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trlProps/ctrlProp2.xml" ContentType="application/vnd.ms-excel.controlproperties+xml"/>
  <Override PartName="/xl/drawings/drawing36.xml" ContentType="application/vnd.openxmlformats-officedocument.drawing+xml"/>
  <Override PartName="/xl/ctrlProps/ctrlProp3.xml" ContentType="application/vnd.ms-excel.controlproperties+xml"/>
  <Override PartName="/xl/drawings/drawing37.xml" ContentType="application/vnd.openxmlformats-officedocument.drawing+xml"/>
  <Override PartName="/xl/ctrlProps/ctrlProp4.xml" ContentType="application/vnd.ms-excel.controlproperties+xml"/>
  <Override PartName="/xl/drawings/drawing38.xml" ContentType="application/vnd.openxmlformats-officedocument.drawing+xml"/>
  <Override PartName="/xl/drawings/drawing39.xml" ContentType="application/vnd.openxmlformats-officedocument.drawing+xml"/>
  <Override PartName="/xl/ctrlProps/ctrlProp5.xml" ContentType="application/vnd.ms-excel.controlproperties+xml"/>
  <Override PartName="/xl/drawings/drawing40.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user\Documents\RINA 2019\"/>
    </mc:Choice>
  </mc:AlternateContent>
  <bookViews>
    <workbookView showSheetTabs="0" xWindow="0" yWindow="0" windowWidth="20490" windowHeight="6945" tabRatio="0" activeTab="1"/>
  </bookViews>
  <sheets>
    <sheet name="LOGIN" sheetId="40" r:id="rId1"/>
    <sheet name="DEPAN" sheetId="9" r:id="rId2"/>
    <sheet name="KKM" sheetId="38" r:id="rId3"/>
    <sheet name="KI-KD" sheetId="39" r:id="rId4"/>
    <sheet name="SISWA" sheetId="3" r:id="rId5"/>
    <sheet name="SPIRIT" sheetId="4" r:id="rId6"/>
    <sheet name="SOSIAL" sheetId="5" r:id="rId7"/>
    <sheet name="PAI3" sheetId="1" r:id="rId8"/>
    <sheet name="PKN3" sheetId="7" r:id="rId9"/>
    <sheet name="BIND3" sheetId="10" r:id="rId10"/>
    <sheet name="MTK3" sheetId="11" r:id="rId11"/>
    <sheet name="IPA3" sheetId="33" r:id="rId12"/>
    <sheet name="IPS3" sheetId="34" r:id="rId13"/>
    <sheet name="SBDP3" sheetId="12" r:id="rId14"/>
    <sheet name="PJOK3" sheetId="26" r:id="rId15"/>
    <sheet name="MLK1-3" sheetId="13" r:id="rId16"/>
    <sheet name="MLK2-3" sheetId="14" r:id="rId17"/>
    <sheet name="MLK3-3" sheetId="15" r:id="rId18"/>
    <sheet name="PAI4" sheetId="16" r:id="rId19"/>
    <sheet name="PKN4" sheetId="17" r:id="rId20"/>
    <sheet name="BIND4" sheetId="18" r:id="rId21"/>
    <sheet name="MTK4" sheetId="19" r:id="rId22"/>
    <sheet name="IPA4" sheetId="35" r:id="rId23"/>
    <sheet name="IPS4" sheetId="36" r:id="rId24"/>
    <sheet name="SBDP4" sheetId="20" r:id="rId25"/>
    <sheet name="PJOK4" sheetId="27" r:id="rId26"/>
    <sheet name="MLK1-4" sheetId="21" r:id="rId27"/>
    <sheet name="MLK2-4" sheetId="22" r:id="rId28"/>
    <sheet name="MLK3-4" sheetId="23" r:id="rId29"/>
    <sheet name="TUTOR" sheetId="31" r:id="rId30"/>
    <sheet name="REKAP" sheetId="25" r:id="rId31"/>
    <sheet name="LEGER" sheetId="41" r:id="rId32"/>
    <sheet name="ABSEN" sheetId="24" r:id="rId33"/>
    <sheet name="APIK" sheetId="6" state="hidden" r:id="rId34"/>
    <sheet name="RAPORT" sheetId="28" r:id="rId35"/>
    <sheet name="DATA RAPORT" sheetId="29" r:id="rId36"/>
    <sheet name="DES RAPORT" sheetId="30" r:id="rId37"/>
    <sheet name="INDUK1" sheetId="42" r:id="rId38"/>
    <sheet name="INDUK2" sheetId="43" r:id="rId39"/>
    <sheet name="INDUK3" sheetId="44" r:id="rId40"/>
  </sheets>
  <externalReferences>
    <externalReference r:id="rId41"/>
  </externalReferences>
  <definedNames>
    <definedName name="_xlnm.Print_Area" localSheetId="35">'DATA RAPORT'!$A$1:$Q$43</definedName>
    <definedName name="_xlnm.Print_Area" localSheetId="36">'DES RAPORT'!$A$1:$K$104</definedName>
    <definedName name="_xlnm.Print_Area" localSheetId="37">INDUK1!$A$1:$S$90</definedName>
    <definedName name="_xlnm.Print_Area" localSheetId="38">INDUK2!$A$1:$S$93</definedName>
    <definedName name="_xlnm.Print_Area" localSheetId="39">INDUK3!$A$1:$AF$77</definedName>
    <definedName name="_xlnm.Print_Area" localSheetId="34">RAPORT!$A$1:$H$61</definedName>
  </definedNames>
  <calcPr calcId="162913"/>
</workbook>
</file>

<file path=xl/calcChain.xml><?xml version="1.0" encoding="utf-8"?>
<calcChain xmlns="http://schemas.openxmlformats.org/spreadsheetml/2006/main">
  <c r="X4" i="23" l="1"/>
  <c r="W4" i="23"/>
  <c r="V4" i="23"/>
  <c r="U4" i="23"/>
  <c r="T4" i="23"/>
  <c r="X3" i="23"/>
  <c r="W3" i="23"/>
  <c r="V3" i="23"/>
  <c r="U3" i="23"/>
  <c r="T3" i="23"/>
  <c r="S4" i="23"/>
  <c r="I4" i="23"/>
  <c r="J4" i="23"/>
  <c r="K4" i="23"/>
  <c r="L4" i="23"/>
  <c r="M4" i="23"/>
  <c r="N4" i="23"/>
  <c r="O4" i="23"/>
  <c r="P4" i="23"/>
  <c r="Q4" i="23"/>
  <c r="R4" i="23"/>
  <c r="H4" i="23"/>
  <c r="S3" i="23"/>
  <c r="I3" i="23"/>
  <c r="J3" i="23"/>
  <c r="K3" i="23"/>
  <c r="L3" i="23"/>
  <c r="M3" i="23"/>
  <c r="N3" i="23"/>
  <c r="O3" i="23"/>
  <c r="P3" i="23"/>
  <c r="Q3" i="23"/>
  <c r="R3" i="23"/>
  <c r="H3" i="23"/>
  <c r="T3" i="22"/>
  <c r="S3" i="22"/>
  <c r="J3" i="22"/>
  <c r="I3" i="22"/>
  <c r="K3" i="22"/>
  <c r="L3" i="22"/>
  <c r="M3" i="22"/>
  <c r="N3" i="22"/>
  <c r="O3" i="22"/>
  <c r="P3" i="22"/>
  <c r="Q3" i="22"/>
  <c r="R3" i="22"/>
  <c r="T4" i="22"/>
  <c r="S4" i="22"/>
  <c r="J4" i="22"/>
  <c r="I4" i="22"/>
  <c r="K4" i="22"/>
  <c r="L4" i="22"/>
  <c r="M4" i="22"/>
  <c r="N4" i="22"/>
  <c r="O4" i="22"/>
  <c r="P4" i="22"/>
  <c r="Q4" i="22"/>
  <c r="R4" i="22"/>
  <c r="L3" i="14"/>
  <c r="K3" i="14"/>
  <c r="J3" i="14"/>
  <c r="I3" i="14"/>
  <c r="H3" i="14"/>
  <c r="L4" i="14"/>
  <c r="K4" i="14"/>
  <c r="J4" i="14"/>
  <c r="I4" i="14"/>
  <c r="E3" i="15"/>
  <c r="F3" i="15"/>
  <c r="G3" i="15"/>
  <c r="U3" i="15"/>
  <c r="T3" i="15"/>
  <c r="S3" i="15"/>
  <c r="J3" i="15"/>
  <c r="I3" i="15"/>
  <c r="H3" i="15"/>
  <c r="K3" i="15"/>
  <c r="L3" i="15"/>
  <c r="M3" i="15"/>
  <c r="N3" i="15"/>
  <c r="O3" i="15"/>
  <c r="P3" i="15"/>
  <c r="Q3" i="15"/>
  <c r="R3" i="15"/>
  <c r="V3" i="15"/>
  <c r="V4" i="15"/>
  <c r="U4" i="15"/>
  <c r="T4" i="15"/>
  <c r="S4" i="15"/>
  <c r="J4" i="15"/>
  <c r="I4" i="15"/>
  <c r="K4" i="15"/>
  <c r="L4" i="15"/>
  <c r="M4" i="15"/>
  <c r="N4" i="15"/>
  <c r="O4" i="15"/>
  <c r="P4" i="15"/>
  <c r="Q4" i="15"/>
  <c r="R4" i="15"/>
  <c r="H4" i="15"/>
  <c r="T3" i="26"/>
  <c r="N3" i="26"/>
  <c r="O3" i="26"/>
  <c r="P3" i="26"/>
  <c r="Q3" i="26"/>
  <c r="R3" i="26"/>
  <c r="S3" i="26"/>
  <c r="T4" i="26"/>
  <c r="N4" i="26"/>
  <c r="O4" i="26"/>
  <c r="P4" i="26"/>
  <c r="Q4" i="26"/>
  <c r="R4" i="26"/>
  <c r="S4" i="26"/>
  <c r="U71" i="44" l="1"/>
  <c r="U62" i="44"/>
  <c r="U61" i="44"/>
  <c r="U55" i="44"/>
  <c r="U54" i="44"/>
  <c r="U53" i="44"/>
  <c r="E53" i="44"/>
  <c r="U52" i="44"/>
  <c r="U33" i="44"/>
  <c r="U15" i="44"/>
  <c r="U13" i="44"/>
  <c r="U12" i="44"/>
  <c r="U51" i="44"/>
  <c r="U32" i="44"/>
  <c r="E70" i="44"/>
  <c r="K23" i="42"/>
  <c r="C27" i="25"/>
  <c r="C28" i="25"/>
  <c r="C29" i="25"/>
  <c r="C30" i="25"/>
  <c r="C31" i="25"/>
  <c r="C32" i="25"/>
  <c r="C33" i="25"/>
  <c r="C34" i="25"/>
  <c r="C35" i="25"/>
  <c r="C36" i="25"/>
  <c r="C37" i="25"/>
  <c r="C38" i="25"/>
  <c r="C39" i="25"/>
  <c r="C40" i="25"/>
  <c r="C41" i="25"/>
  <c r="C42" i="25"/>
  <c r="C43" i="25"/>
  <c r="C44" i="25"/>
  <c r="C45" i="25"/>
  <c r="C46" i="25"/>
  <c r="C47" i="25"/>
  <c r="C48" i="25"/>
  <c r="C49" i="25"/>
  <c r="C50" i="25"/>
  <c r="C51" i="25"/>
  <c r="C52" i="25"/>
  <c r="C53" i="25"/>
  <c r="C54" i="25"/>
  <c r="C55" i="25"/>
  <c r="E71" i="44"/>
  <c r="E66" i="44"/>
  <c r="E65" i="44"/>
  <c r="E64" i="44"/>
  <c r="D54" i="44"/>
  <c r="E55" i="44"/>
  <c r="E54" i="44"/>
  <c r="D55" i="44"/>
  <c r="D53" i="44"/>
  <c r="G74" i="43"/>
  <c r="G73" i="43"/>
  <c r="G72" i="43"/>
  <c r="G71" i="43"/>
  <c r="G70" i="43"/>
  <c r="G69" i="43"/>
  <c r="G68" i="43"/>
  <c r="G65" i="43"/>
  <c r="G64" i="43"/>
  <c r="G63" i="43"/>
  <c r="G62" i="43"/>
  <c r="G61" i="43"/>
  <c r="G58" i="43"/>
  <c r="G57" i="43"/>
  <c r="G56" i="43"/>
  <c r="G55" i="43"/>
  <c r="G54" i="43"/>
  <c r="G41" i="43"/>
  <c r="G25" i="43"/>
  <c r="G24" i="43"/>
  <c r="G23" i="43"/>
  <c r="G22" i="43"/>
  <c r="G19" i="43"/>
  <c r="G18" i="43"/>
  <c r="G17" i="43"/>
  <c r="G16" i="43"/>
  <c r="G15" i="43"/>
  <c r="G12" i="43"/>
  <c r="G14" i="43"/>
  <c r="G12" i="29"/>
  <c r="G30" i="29"/>
  <c r="G29" i="29"/>
  <c r="G28" i="29"/>
  <c r="G25" i="29"/>
  <c r="G24" i="29"/>
  <c r="G23" i="29"/>
  <c r="G22" i="29"/>
  <c r="G21" i="29"/>
  <c r="G19" i="29"/>
  <c r="G18" i="29"/>
  <c r="G16" i="29"/>
  <c r="G15" i="29"/>
  <c r="G13" i="29"/>
  <c r="G9" i="29"/>
  <c r="C48" i="44"/>
  <c r="C47" i="44"/>
  <c r="C46" i="44"/>
  <c r="C28" i="44"/>
  <c r="C27" i="44"/>
  <c r="C26" i="44"/>
  <c r="E5" i="44"/>
  <c r="E4" i="44"/>
  <c r="G33" i="43"/>
  <c r="G36" i="43"/>
  <c r="G35" i="43"/>
  <c r="G64" i="30"/>
  <c r="G13" i="43"/>
  <c r="G11" i="43"/>
  <c r="G10" i="43"/>
  <c r="F5" i="43"/>
  <c r="F6" i="43"/>
  <c r="G9" i="43"/>
  <c r="G7" i="29"/>
  <c r="K28" i="42"/>
  <c r="K29" i="42"/>
  <c r="K30" i="42"/>
  <c r="K27" i="42"/>
  <c r="K26" i="42"/>
  <c r="K24" i="42"/>
  <c r="E3" i="22"/>
  <c r="F3" i="22"/>
  <c r="G3" i="22"/>
  <c r="H3" i="22"/>
  <c r="E4" i="22"/>
  <c r="F4" i="22"/>
  <c r="G4" i="22"/>
  <c r="H4" i="22"/>
  <c r="E3" i="23"/>
  <c r="F3" i="23"/>
  <c r="G3" i="23"/>
  <c r="E4" i="23"/>
  <c r="F4" i="23"/>
  <c r="G4" i="23"/>
  <c r="C27" i="41"/>
  <c r="C28" i="41"/>
  <c r="C29" i="41"/>
  <c r="C30" i="41"/>
  <c r="C31" i="41"/>
  <c r="C32" i="41"/>
  <c r="C33" i="41"/>
  <c r="C34" i="41"/>
  <c r="C35" i="41"/>
  <c r="C36" i="41"/>
  <c r="C37" i="41"/>
  <c r="C38" i="41"/>
  <c r="C39" i="41"/>
  <c r="C40" i="41"/>
  <c r="C41" i="41"/>
  <c r="C42" i="41"/>
  <c r="C43" i="41"/>
  <c r="C44" i="41"/>
  <c r="C45" i="41"/>
  <c r="C46" i="41"/>
  <c r="C47" i="41"/>
  <c r="C48" i="41"/>
  <c r="C49" i="41"/>
  <c r="C50" i="41"/>
  <c r="C51" i="41"/>
  <c r="C52" i="41"/>
  <c r="C53" i="41"/>
  <c r="C54" i="41"/>
  <c r="C55" i="41"/>
  <c r="C6" i="41"/>
  <c r="C7" i="41"/>
  <c r="C8" i="41"/>
  <c r="C9" i="41"/>
  <c r="C10" i="41"/>
  <c r="C11" i="41"/>
  <c r="C12" i="41"/>
  <c r="C13" i="41"/>
  <c r="C14" i="41"/>
  <c r="C15" i="41"/>
  <c r="C16" i="41"/>
  <c r="C17" i="41"/>
  <c r="C18" i="41"/>
  <c r="C19" i="41"/>
  <c r="C20" i="41"/>
  <c r="C21" i="41"/>
  <c r="C22" i="41"/>
  <c r="C23" i="41"/>
  <c r="C24" i="41"/>
  <c r="C25" i="41"/>
  <c r="C26" i="41"/>
  <c r="BX2" i="41"/>
  <c r="U70" i="44" l="1"/>
  <c r="AT2" i="21"/>
  <c r="AS2" i="27"/>
  <c r="AS2" i="20"/>
  <c r="AV2" i="36"/>
  <c r="AT2" i="35"/>
  <c r="AR2" i="19"/>
  <c r="AT2" i="18"/>
  <c r="AQ2" i="17"/>
  <c r="DG3" i="16"/>
  <c r="AV2" i="13"/>
  <c r="AS2" i="26"/>
  <c r="AS2" i="12"/>
  <c r="AR2" i="34"/>
  <c r="AS2" i="33"/>
  <c r="AS2" i="11"/>
  <c r="AR2" i="10"/>
  <c r="AS2" i="7"/>
  <c r="DH3" i="1"/>
  <c r="AU6" i="3" l="1"/>
  <c r="G54" i="9" l="1"/>
  <c r="I54" i="9" s="1"/>
  <c r="O11" i="9" s="1"/>
  <c r="AT57" i="3"/>
  <c r="Y11" i="38"/>
  <c r="Y16" i="38" s="1"/>
  <c r="O13" i="9" s="1"/>
  <c r="AU34" i="3"/>
  <c r="AU33" i="3"/>
  <c r="AU32" i="3"/>
  <c r="AU31" i="3"/>
  <c r="AU30" i="3"/>
  <c r="AU29" i="3"/>
  <c r="AU28" i="3"/>
  <c r="AU27" i="3"/>
  <c r="AU26" i="3"/>
  <c r="AU55" i="3"/>
  <c r="AU54" i="3"/>
  <c r="AU53" i="3"/>
  <c r="AU52" i="3"/>
  <c r="AU51" i="3"/>
  <c r="AU50" i="3"/>
  <c r="AU49" i="3"/>
  <c r="AU48" i="3"/>
  <c r="AU47" i="3"/>
  <c r="AU46" i="3"/>
  <c r="AU45" i="3"/>
  <c r="AU44" i="3"/>
  <c r="AU43" i="3"/>
  <c r="AU42" i="3"/>
  <c r="AU41" i="3"/>
  <c r="AU40" i="3"/>
  <c r="AU39" i="3"/>
  <c r="AU38" i="3"/>
  <c r="AU37" i="3"/>
  <c r="AU36" i="3"/>
  <c r="AU35" i="3"/>
  <c r="AU25" i="3"/>
  <c r="AU24" i="3"/>
  <c r="AU23" i="3"/>
  <c r="AU22" i="3"/>
  <c r="AU21" i="3"/>
  <c r="AU20" i="3"/>
  <c r="AU19" i="3"/>
  <c r="AU18" i="3"/>
  <c r="AU17" i="3"/>
  <c r="AU16" i="3"/>
  <c r="AU15" i="3"/>
  <c r="AU14" i="3"/>
  <c r="AU13" i="3"/>
  <c r="AU12" i="3"/>
  <c r="AU11" i="3"/>
  <c r="AU10" i="3"/>
  <c r="AU9" i="3"/>
  <c r="AU8" i="3"/>
  <c r="AU7" i="3"/>
  <c r="AU56" i="3" l="1"/>
  <c r="AU57" i="3" s="1"/>
  <c r="O12" i="9" l="1"/>
  <c r="D5" i="9"/>
  <c r="Y9" i="38" l="1"/>
  <c r="Y8" i="38"/>
  <c r="Y7" i="38"/>
  <c r="M5" i="9"/>
  <c r="B4" i="9"/>
  <c r="B3" i="9"/>
  <c r="B55" i="41"/>
  <c r="B54" i="41"/>
  <c r="B53" i="41"/>
  <c r="B52" i="41"/>
  <c r="B51" i="41"/>
  <c r="B50" i="41"/>
  <c r="B49" i="41"/>
  <c r="B48" i="41"/>
  <c r="B47" i="41"/>
  <c r="B46" i="41"/>
  <c r="B45" i="41"/>
  <c r="B44" i="41"/>
  <c r="B43" i="41"/>
  <c r="B42" i="41"/>
  <c r="B41" i="41"/>
  <c r="B40" i="41"/>
  <c r="B39" i="41"/>
  <c r="B38" i="41"/>
  <c r="B37" i="41"/>
  <c r="B36" i="41"/>
  <c r="B35" i="41"/>
  <c r="B34" i="41"/>
  <c r="B33" i="41"/>
  <c r="B32" i="41"/>
  <c r="B31" i="41"/>
  <c r="B30" i="41"/>
  <c r="B29" i="41"/>
  <c r="B28" i="41"/>
  <c r="B27" i="41"/>
  <c r="B26" i="41"/>
  <c r="B25" i="41"/>
  <c r="B24" i="41"/>
  <c r="B23" i="41"/>
  <c r="B22" i="41"/>
  <c r="B21" i="41"/>
  <c r="B20" i="41"/>
  <c r="B19" i="41"/>
  <c r="B18" i="41"/>
  <c r="B17" i="41"/>
  <c r="B16" i="41"/>
  <c r="B15" i="41"/>
  <c r="B14" i="41"/>
  <c r="B13" i="41"/>
  <c r="B12" i="41"/>
  <c r="B11" i="41"/>
  <c r="B10" i="41"/>
  <c r="B9" i="41"/>
  <c r="B8" i="41"/>
  <c r="B7" i="41"/>
  <c r="B6" i="41"/>
  <c r="D1" i="9"/>
  <c r="Y10" i="38" l="1"/>
  <c r="J5" i="9" s="1"/>
  <c r="BX3" i="41" s="1"/>
  <c r="BX4" i="41" s="1"/>
  <c r="Y4" i="16"/>
  <c r="X4" i="16"/>
  <c r="W4" i="16"/>
  <c r="V4" i="16"/>
  <c r="U4" i="16"/>
  <c r="T4" i="16"/>
  <c r="S4" i="16"/>
  <c r="R4" i="16"/>
  <c r="Q4" i="16"/>
  <c r="Y5" i="16"/>
  <c r="X5" i="16"/>
  <c r="W5" i="16"/>
  <c r="V5" i="16"/>
  <c r="U5" i="16"/>
  <c r="T5" i="16"/>
  <c r="S5" i="16"/>
  <c r="R5" i="16"/>
  <c r="Q5" i="16"/>
  <c r="P5" i="16"/>
  <c r="P4" i="16"/>
  <c r="T4" i="1"/>
  <c r="E4" i="1"/>
  <c r="Q4" i="1"/>
  <c r="Y4" i="1"/>
  <c r="X4" i="1"/>
  <c r="W4" i="1"/>
  <c r="V4" i="1"/>
  <c r="U4" i="1"/>
  <c r="S4" i="1"/>
  <c r="R4" i="1"/>
  <c r="Q5" i="1"/>
  <c r="P4" i="1"/>
  <c r="Y5" i="1"/>
  <c r="X5" i="1"/>
  <c r="W5" i="1"/>
  <c r="V5" i="1"/>
  <c r="U5" i="1"/>
  <c r="T5" i="1"/>
  <c r="S5" i="1"/>
  <c r="R5" i="1"/>
  <c r="P5" i="1" l="1"/>
  <c r="O3" i="27" l="1"/>
  <c r="N3" i="27"/>
  <c r="O4" i="27"/>
  <c r="N4" i="27"/>
  <c r="P3" i="20"/>
  <c r="O3" i="20"/>
  <c r="N3" i="20"/>
  <c r="M3" i="20"/>
  <c r="L3" i="20"/>
  <c r="P4" i="20"/>
  <c r="O4" i="20"/>
  <c r="N4" i="20"/>
  <c r="M4" i="20"/>
  <c r="L4" i="20"/>
  <c r="E4" i="20"/>
  <c r="O3" i="35"/>
  <c r="N3" i="35"/>
  <c r="M3" i="35"/>
  <c r="L3" i="35"/>
  <c r="K3" i="35"/>
  <c r="J3" i="35"/>
  <c r="O4" i="35"/>
  <c r="N4" i="35"/>
  <c r="M4" i="35"/>
  <c r="L4" i="35"/>
  <c r="K4" i="35"/>
  <c r="J4" i="35"/>
  <c r="I4" i="35"/>
  <c r="P3" i="19"/>
  <c r="O3" i="19"/>
  <c r="P4" i="19"/>
  <c r="O4" i="19"/>
  <c r="P3" i="18"/>
  <c r="O3" i="18"/>
  <c r="P4" i="18"/>
  <c r="O4" i="18"/>
  <c r="L3" i="17"/>
  <c r="K3" i="17"/>
  <c r="J3" i="17"/>
  <c r="L4" i="17"/>
  <c r="K4" i="17"/>
  <c r="J4" i="17"/>
  <c r="I4" i="17"/>
  <c r="I3" i="17"/>
  <c r="E3" i="13"/>
  <c r="M3" i="26"/>
  <c r="P3" i="12"/>
  <c r="O3" i="12"/>
  <c r="N3" i="12"/>
  <c r="M3" i="12"/>
  <c r="L3" i="12"/>
  <c r="P4" i="12"/>
  <c r="O4" i="12"/>
  <c r="N4" i="12"/>
  <c r="M4" i="12"/>
  <c r="L4" i="12"/>
  <c r="E4" i="34"/>
  <c r="O3" i="33"/>
  <c r="N3" i="33"/>
  <c r="M3" i="33"/>
  <c r="L3" i="33"/>
  <c r="K3" i="33"/>
  <c r="J3" i="33"/>
  <c r="I3" i="33"/>
  <c r="O4" i="33"/>
  <c r="N4" i="33"/>
  <c r="M4" i="33"/>
  <c r="L4" i="33"/>
  <c r="K4" i="33"/>
  <c r="J4" i="33"/>
  <c r="P3" i="11"/>
  <c r="O3" i="11"/>
  <c r="E3" i="11"/>
  <c r="P4" i="11"/>
  <c r="O4" i="11"/>
  <c r="O4" i="10"/>
  <c r="P4" i="10"/>
  <c r="P3" i="10"/>
  <c r="O3" i="10"/>
  <c r="L4" i="7"/>
  <c r="K4" i="7"/>
  <c r="J4" i="7"/>
  <c r="I4" i="7"/>
  <c r="K3" i="7"/>
  <c r="L3" i="7"/>
  <c r="J3" i="7"/>
  <c r="I3" i="7"/>
  <c r="E4" i="16" l="1"/>
  <c r="D6" i="1"/>
  <c r="CG5" i="16" l="1"/>
  <c r="CF5" i="16"/>
  <c r="CE5" i="16"/>
  <c r="CD5" i="16"/>
  <c r="CC5" i="16"/>
  <c r="CB5" i="16"/>
  <c r="CA5" i="16"/>
  <c r="BZ5" i="16"/>
  <c r="BY5" i="16"/>
  <c r="BX5" i="16"/>
  <c r="BW5" i="16"/>
  <c r="BV5" i="16"/>
  <c r="BU5" i="16"/>
  <c r="BT5" i="16"/>
  <c r="BS5" i="16"/>
  <c r="BR5" i="16"/>
  <c r="BQ5" i="16"/>
  <c r="BP5" i="16"/>
  <c r="BO5" i="16"/>
  <c r="BN5" i="16"/>
  <c r="BM5" i="16"/>
  <c r="BL5" i="16"/>
  <c r="BK5" i="16"/>
  <c r="BJ5" i="16"/>
  <c r="BI5" i="16"/>
  <c r="BH5" i="16"/>
  <c r="BG5" i="16"/>
  <c r="BF5" i="16"/>
  <c r="BE5" i="16"/>
  <c r="BD5" i="16"/>
  <c r="BC5" i="16"/>
  <c r="BB5" i="16"/>
  <c r="BA5" i="16"/>
  <c r="AZ5" i="16"/>
  <c r="AY5" i="16"/>
  <c r="AX5" i="16"/>
  <c r="AW5" i="16"/>
  <c r="AV5" i="16"/>
  <c r="AU5" i="16"/>
  <c r="AT5" i="16"/>
  <c r="AS5" i="16"/>
  <c r="AR5" i="16"/>
  <c r="AQ5" i="16"/>
  <c r="AP5" i="16"/>
  <c r="AO5" i="16"/>
  <c r="AN5" i="16"/>
  <c r="AM5" i="16"/>
  <c r="AL5" i="16"/>
  <c r="AK5" i="16"/>
  <c r="AJ5" i="16"/>
  <c r="AI5" i="16"/>
  <c r="AH5" i="16"/>
  <c r="AG5" i="16"/>
  <c r="AF5" i="16"/>
  <c r="AE5" i="16"/>
  <c r="AD5" i="16"/>
  <c r="AC5" i="16"/>
  <c r="AB5" i="16"/>
  <c r="AA5" i="16"/>
  <c r="Z5" i="16"/>
  <c r="CG4" i="16"/>
  <c r="CF4" i="16"/>
  <c r="CE4" i="16"/>
  <c r="CD4" i="16"/>
  <c r="CC4" i="16"/>
  <c r="CB4" i="16"/>
  <c r="CA4" i="16"/>
  <c r="BZ4" i="16"/>
  <c r="BY4" i="16"/>
  <c r="BX4" i="16"/>
  <c r="BW4" i="16"/>
  <c r="BV4" i="16"/>
  <c r="BU4" i="16"/>
  <c r="BT4" i="16"/>
  <c r="BS4" i="16"/>
  <c r="BR4" i="16"/>
  <c r="BQ4" i="16"/>
  <c r="BP4" i="16"/>
  <c r="BO4" i="16"/>
  <c r="BN4" i="16"/>
  <c r="BM4" i="16"/>
  <c r="BL4" i="16"/>
  <c r="BK4" i="16"/>
  <c r="BJ4" i="16"/>
  <c r="BI4" i="16"/>
  <c r="BH4" i="16"/>
  <c r="BG4" i="16"/>
  <c r="BF4" i="16"/>
  <c r="BE4" i="16"/>
  <c r="BD4" i="16"/>
  <c r="BC4" i="16"/>
  <c r="BB4" i="16"/>
  <c r="BA4" i="16"/>
  <c r="AZ4" i="16"/>
  <c r="AY4" i="16"/>
  <c r="AX4" i="16"/>
  <c r="AW4" i="16"/>
  <c r="AV4" i="16"/>
  <c r="AU4" i="16"/>
  <c r="AT4" i="16"/>
  <c r="AS4" i="16"/>
  <c r="AR4" i="16"/>
  <c r="AQ4" i="16"/>
  <c r="AP4" i="16"/>
  <c r="AO4" i="16"/>
  <c r="AN4" i="16"/>
  <c r="AM4" i="16"/>
  <c r="AL4" i="16"/>
  <c r="AK4" i="16"/>
  <c r="AJ4" i="16"/>
  <c r="AI4" i="16"/>
  <c r="AH4" i="16"/>
  <c r="AG4" i="16"/>
  <c r="AF4" i="16"/>
  <c r="AE4" i="16"/>
  <c r="AD4" i="16"/>
  <c r="AC4" i="16"/>
  <c r="AB4" i="16"/>
  <c r="AA4" i="16"/>
  <c r="Z4" i="16"/>
  <c r="O5" i="16"/>
  <c r="O4" i="16"/>
  <c r="CG5" i="1"/>
  <c r="CG4" i="1"/>
  <c r="CF5" i="1"/>
  <c r="CF4" i="1"/>
  <c r="CE5" i="1"/>
  <c r="CE4" i="1"/>
  <c r="CD5" i="1"/>
  <c r="CD4" i="1"/>
  <c r="CC5" i="1"/>
  <c r="CC4" i="1"/>
  <c r="CB5" i="1"/>
  <c r="CB4" i="1"/>
  <c r="CA5" i="1"/>
  <c r="CA4" i="1"/>
  <c r="BZ5" i="1"/>
  <c r="BZ4" i="1"/>
  <c r="BY5" i="1"/>
  <c r="BY4" i="1"/>
  <c r="BX5" i="1"/>
  <c r="BX4" i="1"/>
  <c r="BW5" i="1"/>
  <c r="BW4" i="1"/>
  <c r="BV5" i="1"/>
  <c r="BV4" i="1"/>
  <c r="BU5" i="1"/>
  <c r="BU4" i="1"/>
  <c r="BT5" i="1"/>
  <c r="BT4" i="1"/>
  <c r="BS5" i="1"/>
  <c r="BS4" i="1"/>
  <c r="BR5" i="1"/>
  <c r="BR4" i="1"/>
  <c r="BQ5" i="1"/>
  <c r="BQ4" i="1"/>
  <c r="BP5" i="1"/>
  <c r="BP4" i="1"/>
  <c r="BO5" i="1"/>
  <c r="BO4" i="1"/>
  <c r="BN5" i="1"/>
  <c r="BN4" i="1"/>
  <c r="BM5" i="1"/>
  <c r="BM4" i="1"/>
  <c r="BL5" i="1"/>
  <c r="BL4" i="1"/>
  <c r="BK5" i="1"/>
  <c r="BK4" i="1"/>
  <c r="BJ5" i="1"/>
  <c r="BJ4" i="1"/>
  <c r="BI5" i="1"/>
  <c r="BH5" i="1"/>
  <c r="BG5" i="1"/>
  <c r="BF5" i="1"/>
  <c r="BE5" i="1"/>
  <c r="BD5" i="1"/>
  <c r="BC5" i="1"/>
  <c r="BB5" i="1"/>
  <c r="BA5" i="1"/>
  <c r="AZ5" i="1"/>
  <c r="AY5" i="1"/>
  <c r="AX5" i="1"/>
  <c r="BI4" i="1"/>
  <c r="BH4" i="1"/>
  <c r="BG4" i="1"/>
  <c r="BF4" i="1"/>
  <c r="BE4" i="1"/>
  <c r="BD4" i="1"/>
  <c r="BC4" i="1"/>
  <c r="BB4" i="1"/>
  <c r="BA4" i="1"/>
  <c r="AZ4" i="1"/>
  <c r="AY4" i="1"/>
  <c r="AX4" i="1"/>
  <c r="AW4" i="1"/>
  <c r="AV4" i="1"/>
  <c r="AU4" i="1"/>
  <c r="AT4" i="1"/>
  <c r="AS4" i="1"/>
  <c r="AR4" i="1"/>
  <c r="AQ4" i="1"/>
  <c r="AP4" i="1"/>
  <c r="AO4" i="1"/>
  <c r="AN4" i="1"/>
  <c r="AM4" i="1"/>
  <c r="AL4" i="1"/>
  <c r="AW5" i="1"/>
  <c r="AV5" i="1"/>
  <c r="AU5" i="1"/>
  <c r="AT5" i="1"/>
  <c r="AS5" i="1"/>
  <c r="AR5" i="1"/>
  <c r="AQ5" i="1"/>
  <c r="AP5" i="1"/>
  <c r="AO5" i="1"/>
  <c r="AN5" i="1"/>
  <c r="AM5" i="1"/>
  <c r="AL5" i="1"/>
  <c r="AK4" i="1"/>
  <c r="AJ4" i="1"/>
  <c r="AI4" i="1"/>
  <c r="AH4" i="1"/>
  <c r="AG4" i="1"/>
  <c r="AF4" i="1"/>
  <c r="AE4" i="1"/>
  <c r="AD4" i="1"/>
  <c r="AC5" i="1"/>
  <c r="AC4" i="1"/>
  <c r="AB4" i="1"/>
  <c r="AA4" i="1"/>
  <c r="Z4" i="1"/>
  <c r="AJ5" i="1"/>
  <c r="AK5" i="1"/>
  <c r="AI5" i="1"/>
  <c r="AH5" i="1"/>
  <c r="AG5" i="1"/>
  <c r="AF5" i="1"/>
  <c r="AE5" i="1"/>
  <c r="AD5" i="1"/>
  <c r="AB5" i="1"/>
  <c r="AA5" i="1"/>
  <c r="Z5" i="1"/>
  <c r="O4" i="1"/>
  <c r="O5" i="1"/>
  <c r="N5" i="1"/>
  <c r="E5" i="1" l="1"/>
  <c r="F102" i="30"/>
  <c r="I94" i="30"/>
  <c r="J3" i="30" l="1"/>
  <c r="J4" i="30"/>
  <c r="J6" i="30"/>
  <c r="E3" i="21"/>
  <c r="I4" i="21"/>
  <c r="H4" i="21"/>
  <c r="G4" i="21"/>
  <c r="F4" i="21"/>
  <c r="E4" i="21"/>
  <c r="I3" i="21"/>
  <c r="H3" i="21"/>
  <c r="G3" i="21"/>
  <c r="F3" i="21"/>
  <c r="M3" i="27"/>
  <c r="L3" i="27"/>
  <c r="K3" i="27"/>
  <c r="J3" i="27"/>
  <c r="I3" i="27"/>
  <c r="H3" i="27"/>
  <c r="G3" i="27"/>
  <c r="F3" i="27"/>
  <c r="E3" i="27"/>
  <c r="M4" i="27"/>
  <c r="L4" i="27"/>
  <c r="K4" i="27"/>
  <c r="J4" i="27"/>
  <c r="I4" i="27"/>
  <c r="H4" i="27"/>
  <c r="G4" i="27"/>
  <c r="F4" i="27"/>
  <c r="E4" i="27"/>
  <c r="K4" i="20"/>
  <c r="J4" i="20"/>
  <c r="I4" i="20"/>
  <c r="H4" i="20"/>
  <c r="G4" i="20"/>
  <c r="F4" i="20"/>
  <c r="K3" i="20"/>
  <c r="J3" i="20"/>
  <c r="I3" i="20"/>
  <c r="H3" i="20"/>
  <c r="G3" i="20"/>
  <c r="F3" i="20"/>
  <c r="E3" i="20"/>
  <c r="K3" i="36"/>
  <c r="J3" i="36"/>
  <c r="I3" i="36"/>
  <c r="H3" i="36"/>
  <c r="G3" i="36"/>
  <c r="F3" i="36"/>
  <c r="E3" i="36"/>
  <c r="K4" i="36"/>
  <c r="J4" i="36"/>
  <c r="I4" i="36"/>
  <c r="H4" i="36"/>
  <c r="G4" i="36"/>
  <c r="F4" i="36"/>
  <c r="E4" i="36"/>
  <c r="H4" i="35"/>
  <c r="G4" i="35"/>
  <c r="F4" i="35"/>
  <c r="E4" i="35"/>
  <c r="I3" i="35"/>
  <c r="H3" i="35"/>
  <c r="G3" i="35"/>
  <c r="F3" i="35"/>
  <c r="E3" i="35"/>
  <c r="N3" i="19"/>
  <c r="M3" i="19"/>
  <c r="L3" i="19"/>
  <c r="K3" i="19"/>
  <c r="J3" i="19"/>
  <c r="I3" i="19"/>
  <c r="H3" i="19"/>
  <c r="G3" i="19"/>
  <c r="F3" i="19"/>
  <c r="E3" i="19"/>
  <c r="N4" i="19"/>
  <c r="M4" i="19"/>
  <c r="L4" i="19"/>
  <c r="K4" i="19"/>
  <c r="J4" i="19"/>
  <c r="I4" i="19"/>
  <c r="H4" i="19"/>
  <c r="G4" i="19"/>
  <c r="F4" i="19"/>
  <c r="E4" i="19"/>
  <c r="N4" i="18"/>
  <c r="M4" i="18"/>
  <c r="L4" i="18"/>
  <c r="K4" i="18"/>
  <c r="J4" i="18"/>
  <c r="I4" i="18"/>
  <c r="H4" i="18"/>
  <c r="G4" i="18"/>
  <c r="F4" i="18"/>
  <c r="E4" i="18"/>
  <c r="N3" i="18"/>
  <c r="M3" i="18"/>
  <c r="L3" i="18"/>
  <c r="K3" i="18"/>
  <c r="J3" i="18"/>
  <c r="I3" i="18"/>
  <c r="H3" i="18"/>
  <c r="G3" i="18"/>
  <c r="F3" i="18"/>
  <c r="E3" i="18"/>
  <c r="H3" i="17"/>
  <c r="G3" i="17"/>
  <c r="F3" i="17"/>
  <c r="E3" i="17"/>
  <c r="H4" i="17"/>
  <c r="G4" i="17"/>
  <c r="F4" i="17"/>
  <c r="E4" i="17"/>
  <c r="N5" i="16"/>
  <c r="M5" i="16"/>
  <c r="L5" i="16"/>
  <c r="K5" i="16"/>
  <c r="J5" i="16"/>
  <c r="I5" i="16"/>
  <c r="H5" i="16"/>
  <c r="G5" i="16"/>
  <c r="F5" i="16"/>
  <c r="E5" i="16"/>
  <c r="N4" i="16"/>
  <c r="M4" i="16"/>
  <c r="L4" i="16"/>
  <c r="K4" i="16"/>
  <c r="J4" i="16"/>
  <c r="I4" i="16"/>
  <c r="H4" i="16"/>
  <c r="G4" i="16"/>
  <c r="F4" i="16"/>
  <c r="N3" i="11"/>
  <c r="M3" i="11"/>
  <c r="L3" i="11"/>
  <c r="N4" i="11"/>
  <c r="M4" i="11"/>
  <c r="L4" i="11"/>
  <c r="N4" i="10"/>
  <c r="M4" i="10"/>
  <c r="L4" i="10"/>
  <c r="K4" i="10"/>
  <c r="J4" i="10"/>
  <c r="N3" i="10"/>
  <c r="M3" i="10"/>
  <c r="L3" i="10"/>
  <c r="K3" i="10"/>
  <c r="J3" i="10"/>
  <c r="G4" i="15"/>
  <c r="F4" i="15"/>
  <c r="E4" i="15"/>
  <c r="G3" i="14"/>
  <c r="F3" i="14"/>
  <c r="H4" i="14"/>
  <c r="G4" i="14"/>
  <c r="F4" i="14"/>
  <c r="E4" i="14"/>
  <c r="E3" i="14"/>
  <c r="I4" i="13"/>
  <c r="H4" i="13"/>
  <c r="G4" i="13"/>
  <c r="F4" i="13"/>
  <c r="I3" i="13"/>
  <c r="H3" i="13"/>
  <c r="G3" i="13"/>
  <c r="F3" i="13"/>
  <c r="E4" i="13"/>
  <c r="B135" i="39"/>
  <c r="B123" i="39"/>
  <c r="B115" i="39"/>
  <c r="L3" i="26"/>
  <c r="K3" i="26"/>
  <c r="J3" i="26"/>
  <c r="I3" i="26"/>
  <c r="H3" i="26"/>
  <c r="G3" i="26"/>
  <c r="F3" i="26"/>
  <c r="M4" i="26"/>
  <c r="L4" i="26"/>
  <c r="K4" i="26"/>
  <c r="J4" i="26"/>
  <c r="I4" i="26"/>
  <c r="H4" i="26"/>
  <c r="G4" i="26"/>
  <c r="F4" i="26"/>
  <c r="E4" i="26"/>
  <c r="E3" i="26"/>
  <c r="J3" i="12"/>
  <c r="K3" i="12"/>
  <c r="I3" i="12"/>
  <c r="H3" i="12"/>
  <c r="G3" i="12"/>
  <c r="F3" i="12"/>
  <c r="K4" i="12"/>
  <c r="J4" i="12"/>
  <c r="I4" i="12"/>
  <c r="H4" i="12"/>
  <c r="G4" i="12"/>
  <c r="F4" i="12"/>
  <c r="E3" i="12"/>
  <c r="E4" i="12"/>
  <c r="K3" i="34"/>
  <c r="J3" i="34"/>
  <c r="I3" i="34"/>
  <c r="H3" i="34"/>
  <c r="G3" i="34"/>
  <c r="F3" i="34"/>
  <c r="K4" i="34"/>
  <c r="J4" i="34"/>
  <c r="I4" i="34"/>
  <c r="H4" i="34"/>
  <c r="G4" i="34"/>
  <c r="F4" i="34"/>
  <c r="E3" i="34"/>
  <c r="I4" i="33"/>
  <c r="H4" i="33"/>
  <c r="G4" i="33"/>
  <c r="F4" i="33"/>
  <c r="E4" i="33"/>
  <c r="H3" i="33"/>
  <c r="G3" i="33"/>
  <c r="F3" i="33"/>
  <c r="E3" i="33"/>
  <c r="K3" i="11"/>
  <c r="J3" i="11"/>
  <c r="I3" i="11"/>
  <c r="H3" i="11"/>
  <c r="G3" i="11"/>
  <c r="F3" i="11"/>
  <c r="K4" i="11"/>
  <c r="J4" i="11"/>
  <c r="I4" i="11"/>
  <c r="H4" i="11"/>
  <c r="G4" i="11"/>
  <c r="F4" i="11"/>
  <c r="E4" i="11"/>
  <c r="I4" i="10"/>
  <c r="H4" i="10"/>
  <c r="G4" i="10"/>
  <c r="F4" i="10"/>
  <c r="I3" i="10"/>
  <c r="H3" i="10"/>
  <c r="G3" i="10"/>
  <c r="F3" i="10"/>
  <c r="E4" i="10"/>
  <c r="E3" i="10"/>
  <c r="H4" i="7"/>
  <c r="G4" i="7"/>
  <c r="F4" i="7"/>
  <c r="H3" i="7"/>
  <c r="G3" i="7"/>
  <c r="F3" i="7"/>
  <c r="E4" i="7"/>
  <c r="E3" i="7"/>
  <c r="M5" i="1"/>
  <c r="L5" i="1"/>
  <c r="K5" i="1"/>
  <c r="J5" i="1"/>
  <c r="I5" i="1"/>
  <c r="H5" i="1"/>
  <c r="G5" i="1"/>
  <c r="F5" i="1"/>
  <c r="N4" i="1"/>
  <c r="M4" i="1"/>
  <c r="L4" i="1"/>
  <c r="K4" i="1"/>
  <c r="J4" i="1"/>
  <c r="I4" i="1"/>
  <c r="H4" i="1"/>
  <c r="G4" i="1"/>
  <c r="F4" i="1"/>
  <c r="B47" i="30" l="1"/>
  <c r="B46" i="30"/>
  <c r="B45" i="30"/>
  <c r="CI7" i="16" l="1"/>
  <c r="AM7" i="41" s="1"/>
  <c r="CK7" i="16"/>
  <c r="CM7" i="16"/>
  <c r="CI8" i="16"/>
  <c r="AM8" i="41" s="1"/>
  <c r="CK8" i="16"/>
  <c r="CM8" i="16"/>
  <c r="CI9" i="16"/>
  <c r="AM9" i="41" s="1"/>
  <c r="CK9" i="16"/>
  <c r="CM9" i="16"/>
  <c r="CI10" i="16"/>
  <c r="AM10" i="41" s="1"/>
  <c r="CK10" i="16"/>
  <c r="CM10" i="16"/>
  <c r="CI11" i="16"/>
  <c r="AM11" i="41" s="1"/>
  <c r="CK11" i="16"/>
  <c r="CM11" i="16"/>
  <c r="CI12" i="16"/>
  <c r="AM12" i="41" s="1"/>
  <c r="CK12" i="16"/>
  <c r="CM12" i="16"/>
  <c r="CI13" i="16"/>
  <c r="AM13" i="41" s="1"/>
  <c r="CK13" i="16"/>
  <c r="CM13" i="16"/>
  <c r="CI14" i="16"/>
  <c r="AM14" i="41" s="1"/>
  <c r="CK14" i="16"/>
  <c r="CM14" i="16"/>
  <c r="CI15" i="16"/>
  <c r="AM15" i="41" s="1"/>
  <c r="CK15" i="16"/>
  <c r="CM15" i="16"/>
  <c r="CI16" i="16"/>
  <c r="AM16" i="41" s="1"/>
  <c r="CK16" i="16"/>
  <c r="CM16" i="16"/>
  <c r="CI17" i="16"/>
  <c r="AM17" i="41" s="1"/>
  <c r="CK17" i="16"/>
  <c r="CM17" i="16"/>
  <c r="CI18" i="16"/>
  <c r="AM18" i="41" s="1"/>
  <c r="CK18" i="16"/>
  <c r="CM18" i="16"/>
  <c r="CI19" i="16"/>
  <c r="AM19" i="41" s="1"/>
  <c r="CK19" i="16"/>
  <c r="CM19" i="16"/>
  <c r="CI20" i="16"/>
  <c r="AM20" i="41" s="1"/>
  <c r="CK20" i="16"/>
  <c r="CM20" i="16"/>
  <c r="CI21" i="16"/>
  <c r="AM21" i="41" s="1"/>
  <c r="CK21" i="16"/>
  <c r="CM21" i="16"/>
  <c r="CI22" i="16"/>
  <c r="AM22" i="41" s="1"/>
  <c r="CK22" i="16"/>
  <c r="CM22" i="16"/>
  <c r="CI23" i="16"/>
  <c r="AM23" i="41" s="1"/>
  <c r="CK23" i="16"/>
  <c r="CM23" i="16"/>
  <c r="CI24" i="16"/>
  <c r="AM24" i="41" s="1"/>
  <c r="CK24" i="16"/>
  <c r="CM24" i="16"/>
  <c r="CI25" i="16"/>
  <c r="AM25" i="41" s="1"/>
  <c r="CK25" i="16"/>
  <c r="CM25" i="16"/>
  <c r="CI26" i="16"/>
  <c r="AM26" i="41" s="1"/>
  <c r="CK26" i="16"/>
  <c r="CM26" i="16"/>
  <c r="CI27" i="16"/>
  <c r="AM27" i="41" s="1"/>
  <c r="CK27" i="16"/>
  <c r="CM27" i="16"/>
  <c r="CI28" i="16"/>
  <c r="AM28" i="41" s="1"/>
  <c r="CK28" i="16"/>
  <c r="CM28" i="16"/>
  <c r="CI29" i="16"/>
  <c r="AM29" i="41" s="1"/>
  <c r="CK29" i="16"/>
  <c r="CM29" i="16"/>
  <c r="CI30" i="16"/>
  <c r="AM30" i="41" s="1"/>
  <c r="CK30" i="16"/>
  <c r="CM30" i="16"/>
  <c r="CI31" i="16"/>
  <c r="AM31" i="41" s="1"/>
  <c r="CK31" i="16"/>
  <c r="CM31" i="16"/>
  <c r="CI32" i="16"/>
  <c r="AM32" i="41" s="1"/>
  <c r="CK32" i="16"/>
  <c r="CM32" i="16"/>
  <c r="CI33" i="16"/>
  <c r="AM33" i="41" s="1"/>
  <c r="CK33" i="16"/>
  <c r="CM33" i="16"/>
  <c r="CI34" i="16"/>
  <c r="AM34" i="41" s="1"/>
  <c r="CK34" i="16"/>
  <c r="CM34" i="16"/>
  <c r="CI35" i="16"/>
  <c r="AM35" i="41" s="1"/>
  <c r="CK35" i="16"/>
  <c r="CM35" i="16"/>
  <c r="CI36" i="16"/>
  <c r="AM36" i="41" s="1"/>
  <c r="CK36" i="16"/>
  <c r="CM36" i="16"/>
  <c r="CI37" i="16"/>
  <c r="AM37" i="41" s="1"/>
  <c r="CK37" i="16"/>
  <c r="CM37" i="16"/>
  <c r="CI38" i="16"/>
  <c r="AM38" i="41" s="1"/>
  <c r="CK38" i="16"/>
  <c r="CM38" i="16"/>
  <c r="CI39" i="16"/>
  <c r="AM39" i="41" s="1"/>
  <c r="CK39" i="16"/>
  <c r="CM39" i="16"/>
  <c r="CI40" i="16"/>
  <c r="AM40" i="41" s="1"/>
  <c r="CK40" i="16"/>
  <c r="CM40" i="16"/>
  <c r="CI41" i="16"/>
  <c r="AM41" i="41" s="1"/>
  <c r="CK41" i="16"/>
  <c r="CM41" i="16"/>
  <c r="CI42" i="16"/>
  <c r="AM42" i="41" s="1"/>
  <c r="CK42" i="16"/>
  <c r="CM42" i="16"/>
  <c r="CI43" i="16"/>
  <c r="AM43" i="41" s="1"/>
  <c r="CK43" i="16"/>
  <c r="CM43" i="16"/>
  <c r="CI44" i="16"/>
  <c r="AM44" i="41" s="1"/>
  <c r="CK44" i="16"/>
  <c r="CM44" i="16"/>
  <c r="CI45" i="16"/>
  <c r="AM45" i="41" s="1"/>
  <c r="CK45" i="16"/>
  <c r="CM45" i="16"/>
  <c r="CI46" i="16"/>
  <c r="CK46" i="16"/>
  <c r="CM46" i="16"/>
  <c r="CI47" i="16"/>
  <c r="CK47" i="16"/>
  <c r="CM47" i="16"/>
  <c r="CI48" i="16"/>
  <c r="CK48" i="16"/>
  <c r="CM48" i="16"/>
  <c r="CI49" i="16"/>
  <c r="CK49" i="16"/>
  <c r="CM49" i="16"/>
  <c r="CI50" i="16"/>
  <c r="CK50" i="16"/>
  <c r="CM50" i="16"/>
  <c r="CI51" i="16"/>
  <c r="CK51" i="16"/>
  <c r="CM51" i="16"/>
  <c r="CI52" i="16"/>
  <c r="CK52" i="16"/>
  <c r="CM52" i="16"/>
  <c r="CI53" i="16"/>
  <c r="CK53" i="16"/>
  <c r="CM53" i="16"/>
  <c r="CI54" i="16"/>
  <c r="CK54" i="16"/>
  <c r="CM54" i="16"/>
  <c r="CI55" i="16"/>
  <c r="AM55" i="41" s="1"/>
  <c r="CK55" i="16"/>
  <c r="CM55" i="16"/>
  <c r="CM6" i="16"/>
  <c r="CK6" i="16"/>
  <c r="CI6" i="16"/>
  <c r="AM6" i="41" s="1"/>
  <c r="AC54" i="23"/>
  <c r="AA54" i="23"/>
  <c r="Y54" i="23"/>
  <c r="BQ55" i="41" s="1"/>
  <c r="AC53" i="23"/>
  <c r="AA53" i="23"/>
  <c r="Y53" i="23"/>
  <c r="BQ54" i="41" s="1"/>
  <c r="AC52" i="23"/>
  <c r="AA52" i="23"/>
  <c r="Y52" i="23"/>
  <c r="BQ53" i="41" s="1"/>
  <c r="AC51" i="23"/>
  <c r="AA51" i="23"/>
  <c r="Y51" i="23"/>
  <c r="BQ52" i="41" s="1"/>
  <c r="AC50" i="23"/>
  <c r="AA50" i="23"/>
  <c r="Y50" i="23"/>
  <c r="BQ51" i="41" s="1"/>
  <c r="AC49" i="23"/>
  <c r="AA49" i="23"/>
  <c r="Y49" i="23"/>
  <c r="BQ50" i="41" s="1"/>
  <c r="AC48" i="23"/>
  <c r="AA48" i="23"/>
  <c r="Y48" i="23"/>
  <c r="BQ49" i="41" s="1"/>
  <c r="AC47" i="23"/>
  <c r="AA47" i="23"/>
  <c r="Y47" i="23"/>
  <c r="BQ48" i="41" s="1"/>
  <c r="AC46" i="23"/>
  <c r="AA46" i="23"/>
  <c r="Y46" i="23"/>
  <c r="BQ47" i="41" s="1"/>
  <c r="AC45" i="23"/>
  <c r="AA45" i="23"/>
  <c r="Y45" i="23"/>
  <c r="BQ46" i="41" s="1"/>
  <c r="AC44" i="23"/>
  <c r="AA44" i="23"/>
  <c r="Y44" i="23"/>
  <c r="BQ45" i="41" s="1"/>
  <c r="AC43" i="23"/>
  <c r="AA43" i="23"/>
  <c r="Y43" i="23"/>
  <c r="BQ44" i="41" s="1"/>
  <c r="AC42" i="23"/>
  <c r="AA42" i="23"/>
  <c r="Y42" i="23"/>
  <c r="BQ43" i="41" s="1"/>
  <c r="AC41" i="23"/>
  <c r="AA41" i="23"/>
  <c r="Y41" i="23"/>
  <c r="BQ42" i="41" s="1"/>
  <c r="AC40" i="23"/>
  <c r="AA40" i="23"/>
  <c r="Y40" i="23"/>
  <c r="BQ41" i="41" s="1"/>
  <c r="AC39" i="23"/>
  <c r="AA39" i="23"/>
  <c r="Y39" i="23"/>
  <c r="BQ40" i="41" s="1"/>
  <c r="AC38" i="23"/>
  <c r="AA38" i="23"/>
  <c r="Y38" i="23"/>
  <c r="BQ39" i="41" s="1"/>
  <c r="AC37" i="23"/>
  <c r="AA37" i="23"/>
  <c r="Y37" i="23"/>
  <c r="BQ38" i="41" s="1"/>
  <c r="AC36" i="23"/>
  <c r="AA36" i="23"/>
  <c r="Y36" i="23"/>
  <c r="BQ37" i="41" s="1"/>
  <c r="AC35" i="23"/>
  <c r="AA35" i="23"/>
  <c r="Y35" i="23"/>
  <c r="BQ36" i="41" s="1"/>
  <c r="AC34" i="23"/>
  <c r="AA34" i="23"/>
  <c r="Y34" i="23"/>
  <c r="BQ35" i="41" s="1"/>
  <c r="AC33" i="23"/>
  <c r="AA33" i="23"/>
  <c r="Y33" i="23"/>
  <c r="BQ34" i="41" s="1"/>
  <c r="AC32" i="23"/>
  <c r="AA32" i="23"/>
  <c r="Y32" i="23"/>
  <c r="BQ33" i="41" s="1"/>
  <c r="AC31" i="23"/>
  <c r="AA31" i="23"/>
  <c r="Y31" i="23"/>
  <c r="BQ32" i="41" s="1"/>
  <c r="AC30" i="23"/>
  <c r="AA30" i="23"/>
  <c r="Y30" i="23"/>
  <c r="BQ31" i="41" s="1"/>
  <c r="AC29" i="23"/>
  <c r="AA29" i="23"/>
  <c r="Y29" i="23"/>
  <c r="BQ30" i="41" s="1"/>
  <c r="AC28" i="23"/>
  <c r="AA28" i="23"/>
  <c r="Y28" i="23"/>
  <c r="BQ29" i="41" s="1"/>
  <c r="AC27" i="23"/>
  <c r="AA27" i="23"/>
  <c r="Y27" i="23"/>
  <c r="BQ28" i="41" s="1"/>
  <c r="AC26" i="23"/>
  <c r="AA26" i="23"/>
  <c r="Y26" i="23"/>
  <c r="BQ27" i="41" s="1"/>
  <c r="AC25" i="23"/>
  <c r="AA25" i="23"/>
  <c r="Y25" i="23"/>
  <c r="BQ26" i="41" s="1"/>
  <c r="AC24" i="23"/>
  <c r="AA24" i="23"/>
  <c r="Y24" i="23"/>
  <c r="BQ25" i="41" s="1"/>
  <c r="AC23" i="23"/>
  <c r="AA23" i="23"/>
  <c r="Y23" i="23"/>
  <c r="BQ24" i="41" s="1"/>
  <c r="AC22" i="23"/>
  <c r="AA22" i="23"/>
  <c r="Y22" i="23"/>
  <c r="BQ23" i="41" s="1"/>
  <c r="AC21" i="23"/>
  <c r="AA21" i="23"/>
  <c r="Y21" i="23"/>
  <c r="BQ22" i="41" s="1"/>
  <c r="AC20" i="23"/>
  <c r="AA20" i="23"/>
  <c r="Y20" i="23"/>
  <c r="BQ21" i="41" s="1"/>
  <c r="AC19" i="23"/>
  <c r="AA19" i="23"/>
  <c r="Y19" i="23"/>
  <c r="BQ20" i="41" s="1"/>
  <c r="AC18" i="23"/>
  <c r="AA18" i="23"/>
  <c r="Y18" i="23"/>
  <c r="BQ19" i="41" s="1"/>
  <c r="AC17" i="23"/>
  <c r="AA17" i="23"/>
  <c r="Y17" i="23"/>
  <c r="BQ18" i="41" s="1"/>
  <c r="AC16" i="23"/>
  <c r="AA16" i="23"/>
  <c r="Y16" i="23"/>
  <c r="BQ17" i="41" s="1"/>
  <c r="AC15" i="23"/>
  <c r="AA15" i="23"/>
  <c r="Y15" i="23"/>
  <c r="BQ16" i="41" s="1"/>
  <c r="AC14" i="23"/>
  <c r="AA14" i="23"/>
  <c r="Y14" i="23"/>
  <c r="BQ15" i="41" s="1"/>
  <c r="AC13" i="23"/>
  <c r="AA13" i="23"/>
  <c r="Y13" i="23"/>
  <c r="BQ14" i="41" s="1"/>
  <c r="AC12" i="23"/>
  <c r="AA12" i="23"/>
  <c r="Y12" i="23"/>
  <c r="BQ13" i="41" s="1"/>
  <c r="AC11" i="23"/>
  <c r="AA11" i="23"/>
  <c r="Y11" i="23"/>
  <c r="BQ12" i="41" s="1"/>
  <c r="AC10" i="23"/>
  <c r="AA10" i="23"/>
  <c r="Y10" i="23"/>
  <c r="BQ11" i="41" s="1"/>
  <c r="AC9" i="23"/>
  <c r="AA9" i="23"/>
  <c r="Y9" i="23"/>
  <c r="BQ10" i="41" s="1"/>
  <c r="AC8" i="23"/>
  <c r="AA8" i="23"/>
  <c r="Y8" i="23"/>
  <c r="BQ9" i="41" s="1"/>
  <c r="AC7" i="23"/>
  <c r="AA7" i="23"/>
  <c r="Y7" i="23"/>
  <c r="BQ8" i="41" s="1"/>
  <c r="AC6" i="23"/>
  <c r="AA6" i="23"/>
  <c r="Y6" i="23"/>
  <c r="BQ7" i="41" s="1"/>
  <c r="AC5" i="23"/>
  <c r="AA5" i="23"/>
  <c r="Y5" i="23"/>
  <c r="BQ6" i="41" s="1"/>
  <c r="Y54" i="22"/>
  <c r="W54" i="22"/>
  <c r="U54" i="22"/>
  <c r="BN55" i="41" s="1"/>
  <c r="Y53" i="22"/>
  <c r="W53" i="22"/>
  <c r="U53" i="22"/>
  <c r="BN54" i="41" s="1"/>
  <c r="Y52" i="22"/>
  <c r="W52" i="22"/>
  <c r="U52" i="22"/>
  <c r="BN53" i="41" s="1"/>
  <c r="Y51" i="22"/>
  <c r="W51" i="22"/>
  <c r="U51" i="22"/>
  <c r="BN52" i="41" s="1"/>
  <c r="Y50" i="22"/>
  <c r="W50" i="22"/>
  <c r="U50" i="22"/>
  <c r="BN51" i="41" s="1"/>
  <c r="Y49" i="22"/>
  <c r="W49" i="22"/>
  <c r="U49" i="22"/>
  <c r="BN50" i="41" s="1"/>
  <c r="Y48" i="22"/>
  <c r="W48" i="22"/>
  <c r="U48" i="22"/>
  <c r="BN49" i="41" s="1"/>
  <c r="Y47" i="22"/>
  <c r="W47" i="22"/>
  <c r="U47" i="22"/>
  <c r="BN48" i="41" s="1"/>
  <c r="Y46" i="22"/>
  <c r="W46" i="22"/>
  <c r="U46" i="22"/>
  <c r="BN47" i="41" s="1"/>
  <c r="Y45" i="22"/>
  <c r="W45" i="22"/>
  <c r="U45" i="22"/>
  <c r="BN46" i="41" s="1"/>
  <c r="Y44" i="22"/>
  <c r="W44" i="22"/>
  <c r="U44" i="22"/>
  <c r="BN45" i="41" s="1"/>
  <c r="Y43" i="22"/>
  <c r="W43" i="22"/>
  <c r="U43" i="22"/>
  <c r="BN44" i="41" s="1"/>
  <c r="Y42" i="22"/>
  <c r="W42" i="22"/>
  <c r="U42" i="22"/>
  <c r="BN43" i="41" s="1"/>
  <c r="Y41" i="22"/>
  <c r="W41" i="22"/>
  <c r="U41" i="22"/>
  <c r="BN42" i="41" s="1"/>
  <c r="Y40" i="22"/>
  <c r="W40" i="22"/>
  <c r="U40" i="22"/>
  <c r="BN41" i="41" s="1"/>
  <c r="Y39" i="22"/>
  <c r="W39" i="22"/>
  <c r="U39" i="22"/>
  <c r="BN40" i="41" s="1"/>
  <c r="Y38" i="22"/>
  <c r="W38" i="22"/>
  <c r="U38" i="22"/>
  <c r="BN39" i="41" s="1"/>
  <c r="Y37" i="22"/>
  <c r="W37" i="22"/>
  <c r="U37" i="22"/>
  <c r="BN38" i="41" s="1"/>
  <c r="Y36" i="22"/>
  <c r="W36" i="22"/>
  <c r="U36" i="22"/>
  <c r="BN37" i="41" s="1"/>
  <c r="Y35" i="22"/>
  <c r="W35" i="22"/>
  <c r="U35" i="22"/>
  <c r="BN36" i="41" s="1"/>
  <c r="Y34" i="22"/>
  <c r="W34" i="22"/>
  <c r="U34" i="22"/>
  <c r="BN35" i="41" s="1"/>
  <c r="Y33" i="22"/>
  <c r="W33" i="22"/>
  <c r="U33" i="22"/>
  <c r="BN34" i="41" s="1"/>
  <c r="Y32" i="22"/>
  <c r="W32" i="22"/>
  <c r="U32" i="22"/>
  <c r="BN33" i="41" s="1"/>
  <c r="Y31" i="22"/>
  <c r="W31" i="22"/>
  <c r="U31" i="22"/>
  <c r="BN32" i="41" s="1"/>
  <c r="Y30" i="22"/>
  <c r="W30" i="22"/>
  <c r="U30" i="22"/>
  <c r="BN31" i="41" s="1"/>
  <c r="Y29" i="22"/>
  <c r="W29" i="22"/>
  <c r="U29" i="22"/>
  <c r="BN30" i="41" s="1"/>
  <c r="Y28" i="22"/>
  <c r="W28" i="22"/>
  <c r="U28" i="22"/>
  <c r="BN29" i="41" s="1"/>
  <c r="Y27" i="22"/>
  <c r="W27" i="22"/>
  <c r="U27" i="22"/>
  <c r="BN28" i="41" s="1"/>
  <c r="Y26" i="22"/>
  <c r="W26" i="22"/>
  <c r="U26" i="22"/>
  <c r="BN27" i="41" s="1"/>
  <c r="Y25" i="22"/>
  <c r="W25" i="22"/>
  <c r="U25" i="22"/>
  <c r="BN26" i="41" s="1"/>
  <c r="Y24" i="22"/>
  <c r="W24" i="22"/>
  <c r="U24" i="22"/>
  <c r="BN25" i="41" s="1"/>
  <c r="Y23" i="22"/>
  <c r="W23" i="22"/>
  <c r="U23" i="22"/>
  <c r="BN24" i="41" s="1"/>
  <c r="Y22" i="22"/>
  <c r="W22" i="22"/>
  <c r="U22" i="22"/>
  <c r="BN23" i="41" s="1"/>
  <c r="Y21" i="22"/>
  <c r="W21" i="22"/>
  <c r="U21" i="22"/>
  <c r="BN22" i="41" s="1"/>
  <c r="Y20" i="22"/>
  <c r="W20" i="22"/>
  <c r="U20" i="22"/>
  <c r="BN21" i="41" s="1"/>
  <c r="Y19" i="22"/>
  <c r="W19" i="22"/>
  <c r="U19" i="22"/>
  <c r="BN20" i="41" s="1"/>
  <c r="Y18" i="22"/>
  <c r="W18" i="22"/>
  <c r="U18" i="22"/>
  <c r="BN19" i="41" s="1"/>
  <c r="Y17" i="22"/>
  <c r="W17" i="22"/>
  <c r="U17" i="22"/>
  <c r="BN18" i="41" s="1"/>
  <c r="Y16" i="22"/>
  <c r="W16" i="22"/>
  <c r="U16" i="22"/>
  <c r="BN17" i="41" s="1"/>
  <c r="Y15" i="22"/>
  <c r="W15" i="22"/>
  <c r="U15" i="22"/>
  <c r="BN16" i="41" s="1"/>
  <c r="Y14" i="22"/>
  <c r="W14" i="22"/>
  <c r="U14" i="22"/>
  <c r="BN15" i="41" s="1"/>
  <c r="Y13" i="22"/>
  <c r="W13" i="22"/>
  <c r="U13" i="22"/>
  <c r="BN14" i="41" s="1"/>
  <c r="Y12" i="22"/>
  <c r="W12" i="22"/>
  <c r="U12" i="22"/>
  <c r="BN13" i="41" s="1"/>
  <c r="Y11" i="22"/>
  <c r="W11" i="22"/>
  <c r="U11" i="22"/>
  <c r="BN12" i="41" s="1"/>
  <c r="Y10" i="22"/>
  <c r="W10" i="22"/>
  <c r="U10" i="22"/>
  <c r="BN11" i="41" s="1"/>
  <c r="Y9" i="22"/>
  <c r="W9" i="22"/>
  <c r="U9" i="22"/>
  <c r="BN10" i="41" s="1"/>
  <c r="Y8" i="22"/>
  <c r="W8" i="22"/>
  <c r="U8" i="22"/>
  <c r="BN9" i="41" s="1"/>
  <c r="Y7" i="22"/>
  <c r="W7" i="22"/>
  <c r="U7" i="22"/>
  <c r="BN8" i="41" s="1"/>
  <c r="Y6" i="22"/>
  <c r="W6" i="22"/>
  <c r="U6" i="22"/>
  <c r="BN7" i="41" s="1"/>
  <c r="Y5" i="22"/>
  <c r="W5" i="22"/>
  <c r="U5" i="22"/>
  <c r="BN6" i="41" s="1"/>
  <c r="Y54" i="21"/>
  <c r="W54" i="21"/>
  <c r="U54" i="21"/>
  <c r="BK55" i="41" s="1"/>
  <c r="Y53" i="21"/>
  <c r="W53" i="21"/>
  <c r="U53" i="21"/>
  <c r="Y52" i="21"/>
  <c r="W52" i="21"/>
  <c r="U52" i="21"/>
  <c r="Y51" i="21"/>
  <c r="W51" i="21"/>
  <c r="U51" i="21"/>
  <c r="Y50" i="21"/>
  <c r="W50" i="21"/>
  <c r="U50" i="21"/>
  <c r="Y49" i="21"/>
  <c r="W49" i="21"/>
  <c r="U49" i="21"/>
  <c r="Y48" i="21"/>
  <c r="W48" i="21"/>
  <c r="U48" i="21"/>
  <c r="Y47" i="21"/>
  <c r="W47" i="21"/>
  <c r="U47" i="21"/>
  <c r="Y46" i="21"/>
  <c r="W46" i="21"/>
  <c r="U46" i="21"/>
  <c r="Y45" i="21"/>
  <c r="W45" i="21"/>
  <c r="U45" i="21"/>
  <c r="Y44" i="21"/>
  <c r="W44" i="21"/>
  <c r="U44" i="21"/>
  <c r="BK45" i="41" s="1"/>
  <c r="Y43" i="21"/>
  <c r="W43" i="21"/>
  <c r="U43" i="21"/>
  <c r="BK44" i="41" s="1"/>
  <c r="Y42" i="21"/>
  <c r="W42" i="21"/>
  <c r="U42" i="21"/>
  <c r="BK43" i="41" s="1"/>
  <c r="Y41" i="21"/>
  <c r="W41" i="21"/>
  <c r="U41" i="21"/>
  <c r="BK42" i="41" s="1"/>
  <c r="Y40" i="21"/>
  <c r="W40" i="21"/>
  <c r="U40" i="21"/>
  <c r="BK41" i="41" s="1"/>
  <c r="Y39" i="21"/>
  <c r="W39" i="21"/>
  <c r="U39" i="21"/>
  <c r="BK40" i="41" s="1"/>
  <c r="Y38" i="21"/>
  <c r="W38" i="21"/>
  <c r="U38" i="21"/>
  <c r="BK39" i="41" s="1"/>
  <c r="Y37" i="21"/>
  <c r="W37" i="21"/>
  <c r="U37" i="21"/>
  <c r="BK38" i="41" s="1"/>
  <c r="Y36" i="21"/>
  <c r="W36" i="21"/>
  <c r="U36" i="21"/>
  <c r="BK37" i="41" s="1"/>
  <c r="Y35" i="21"/>
  <c r="W35" i="21"/>
  <c r="U35" i="21"/>
  <c r="BK36" i="41" s="1"/>
  <c r="Y34" i="21"/>
  <c r="W34" i="21"/>
  <c r="U34" i="21"/>
  <c r="BK35" i="41" s="1"/>
  <c r="Y33" i="21"/>
  <c r="W33" i="21"/>
  <c r="U33" i="21"/>
  <c r="BK34" i="41" s="1"/>
  <c r="Y32" i="21"/>
  <c r="W32" i="21"/>
  <c r="U32" i="21"/>
  <c r="BK33" i="41" s="1"/>
  <c r="Y31" i="21"/>
  <c r="W31" i="21"/>
  <c r="U31" i="21"/>
  <c r="BK32" i="41" s="1"/>
  <c r="Y30" i="21"/>
  <c r="W30" i="21"/>
  <c r="U30" i="21"/>
  <c r="BK31" i="41" s="1"/>
  <c r="Y29" i="21"/>
  <c r="W29" i="21"/>
  <c r="U29" i="21"/>
  <c r="BK30" i="41" s="1"/>
  <c r="Y28" i="21"/>
  <c r="W28" i="21"/>
  <c r="U28" i="21"/>
  <c r="BK29" i="41" s="1"/>
  <c r="Y27" i="21"/>
  <c r="W27" i="21"/>
  <c r="U27" i="21"/>
  <c r="BK28" i="41" s="1"/>
  <c r="Y26" i="21"/>
  <c r="W26" i="21"/>
  <c r="U26" i="21"/>
  <c r="BK27" i="41" s="1"/>
  <c r="Y25" i="21"/>
  <c r="W25" i="21"/>
  <c r="U25" i="21"/>
  <c r="BK26" i="41" s="1"/>
  <c r="Y24" i="21"/>
  <c r="W24" i="21"/>
  <c r="U24" i="21"/>
  <c r="BK25" i="41" s="1"/>
  <c r="Y23" i="21"/>
  <c r="W23" i="21"/>
  <c r="U23" i="21"/>
  <c r="BK24" i="41" s="1"/>
  <c r="Y22" i="21"/>
  <c r="W22" i="21"/>
  <c r="U22" i="21"/>
  <c r="BK23" i="41" s="1"/>
  <c r="Y21" i="21"/>
  <c r="W21" i="21"/>
  <c r="U21" i="21"/>
  <c r="BK22" i="41" s="1"/>
  <c r="Y20" i="21"/>
  <c r="W20" i="21"/>
  <c r="U20" i="21"/>
  <c r="BK21" i="41" s="1"/>
  <c r="Y19" i="21"/>
  <c r="W19" i="21"/>
  <c r="U19" i="21"/>
  <c r="BK20" i="41" s="1"/>
  <c r="Y18" i="21"/>
  <c r="W18" i="21"/>
  <c r="U18" i="21"/>
  <c r="BK19" i="41" s="1"/>
  <c r="Y17" i="21"/>
  <c r="W17" i="21"/>
  <c r="U17" i="21"/>
  <c r="BK18" i="41" s="1"/>
  <c r="Y16" i="21"/>
  <c r="W16" i="21"/>
  <c r="U16" i="21"/>
  <c r="BK17" i="41" s="1"/>
  <c r="Y15" i="21"/>
  <c r="W15" i="21"/>
  <c r="U15" i="21"/>
  <c r="BK16" i="41" s="1"/>
  <c r="Y14" i="21"/>
  <c r="W14" i="21"/>
  <c r="U14" i="21"/>
  <c r="BK15" i="41" s="1"/>
  <c r="Y13" i="21"/>
  <c r="W13" i="21"/>
  <c r="U13" i="21"/>
  <c r="BK14" i="41" s="1"/>
  <c r="Y12" i="21"/>
  <c r="W12" i="21"/>
  <c r="U12" i="21"/>
  <c r="BK13" i="41" s="1"/>
  <c r="Y11" i="21"/>
  <c r="W11" i="21"/>
  <c r="U11" i="21"/>
  <c r="BK12" i="41" s="1"/>
  <c r="Y10" i="21"/>
  <c r="W10" i="21"/>
  <c r="U10" i="21"/>
  <c r="BK11" i="41" s="1"/>
  <c r="Y9" i="21"/>
  <c r="W9" i="21"/>
  <c r="U9" i="21"/>
  <c r="BK10" i="41" s="1"/>
  <c r="Y8" i="21"/>
  <c r="W8" i="21"/>
  <c r="U8" i="21"/>
  <c r="BK9" i="41" s="1"/>
  <c r="Y7" i="21"/>
  <c r="W7" i="21"/>
  <c r="U7" i="21"/>
  <c r="BK8" i="41" s="1"/>
  <c r="Y6" i="21"/>
  <c r="W6" i="21"/>
  <c r="U6" i="21"/>
  <c r="BK7" i="41" s="1"/>
  <c r="Y5" i="21"/>
  <c r="W5" i="21"/>
  <c r="U5" i="21"/>
  <c r="BK6" i="41" s="1"/>
  <c r="Y54" i="27"/>
  <c r="W54" i="27"/>
  <c r="U54" i="27"/>
  <c r="BH55" i="41" s="1"/>
  <c r="Y53" i="27"/>
  <c r="W53" i="27"/>
  <c r="U53" i="27"/>
  <c r="Y52" i="27"/>
  <c r="W52" i="27"/>
  <c r="U52" i="27"/>
  <c r="Y51" i="27"/>
  <c r="W51" i="27"/>
  <c r="U51" i="27"/>
  <c r="Y50" i="27"/>
  <c r="W50" i="27"/>
  <c r="U50" i="27"/>
  <c r="Y49" i="27"/>
  <c r="W49" i="27"/>
  <c r="U49" i="27"/>
  <c r="Y48" i="27"/>
  <c r="W48" i="27"/>
  <c r="U48" i="27"/>
  <c r="Y47" i="27"/>
  <c r="W47" i="27"/>
  <c r="U47" i="27"/>
  <c r="Y46" i="27"/>
  <c r="W46" i="27"/>
  <c r="U46" i="27"/>
  <c r="Y45" i="27"/>
  <c r="W45" i="27"/>
  <c r="U45" i="27"/>
  <c r="Y44" i="27"/>
  <c r="W44" i="27"/>
  <c r="U44" i="27"/>
  <c r="BH45" i="41" s="1"/>
  <c r="Y43" i="27"/>
  <c r="W43" i="27"/>
  <c r="U43" i="27"/>
  <c r="BH44" i="41" s="1"/>
  <c r="Y42" i="27"/>
  <c r="W42" i="27"/>
  <c r="U42" i="27"/>
  <c r="BH43" i="41" s="1"/>
  <c r="Y41" i="27"/>
  <c r="W41" i="27"/>
  <c r="U41" i="27"/>
  <c r="BH42" i="41" s="1"/>
  <c r="Y40" i="27"/>
  <c r="W40" i="27"/>
  <c r="U40" i="27"/>
  <c r="BH41" i="41" s="1"/>
  <c r="Y39" i="27"/>
  <c r="W39" i="27"/>
  <c r="U39" i="27"/>
  <c r="BH40" i="41" s="1"/>
  <c r="Y38" i="27"/>
  <c r="W38" i="27"/>
  <c r="U38" i="27"/>
  <c r="BH39" i="41" s="1"/>
  <c r="Y37" i="27"/>
  <c r="W37" i="27"/>
  <c r="U37" i="27"/>
  <c r="BH38" i="41" s="1"/>
  <c r="Y36" i="27"/>
  <c r="W36" i="27"/>
  <c r="U36" i="27"/>
  <c r="BH37" i="41" s="1"/>
  <c r="Y35" i="27"/>
  <c r="W35" i="27"/>
  <c r="U35" i="27"/>
  <c r="BH36" i="41" s="1"/>
  <c r="Y34" i="27"/>
  <c r="W34" i="27"/>
  <c r="U34" i="27"/>
  <c r="BH35" i="41" s="1"/>
  <c r="Y33" i="27"/>
  <c r="W33" i="27"/>
  <c r="U33" i="27"/>
  <c r="BH34" i="41" s="1"/>
  <c r="Y32" i="27"/>
  <c r="W32" i="27"/>
  <c r="U32" i="27"/>
  <c r="BH33" i="41" s="1"/>
  <c r="Y31" i="27"/>
  <c r="W31" i="27"/>
  <c r="U31" i="27"/>
  <c r="BH32" i="41" s="1"/>
  <c r="Y30" i="27"/>
  <c r="W30" i="27"/>
  <c r="U30" i="27"/>
  <c r="BH31" i="41" s="1"/>
  <c r="Y29" i="27"/>
  <c r="W29" i="27"/>
  <c r="U29" i="27"/>
  <c r="BH30" i="41" s="1"/>
  <c r="Y28" i="27"/>
  <c r="W28" i="27"/>
  <c r="U28" i="27"/>
  <c r="BH29" i="41" s="1"/>
  <c r="Y27" i="27"/>
  <c r="W27" i="27"/>
  <c r="U27" i="27"/>
  <c r="BH28" i="41" s="1"/>
  <c r="Y26" i="27"/>
  <c r="W26" i="27"/>
  <c r="U26" i="27"/>
  <c r="BH27" i="41" s="1"/>
  <c r="Y25" i="27"/>
  <c r="W25" i="27"/>
  <c r="U25" i="27"/>
  <c r="BH26" i="41" s="1"/>
  <c r="Y24" i="27"/>
  <c r="W24" i="27"/>
  <c r="U24" i="27"/>
  <c r="BH25" i="41" s="1"/>
  <c r="Y23" i="27"/>
  <c r="W23" i="27"/>
  <c r="U23" i="27"/>
  <c r="BH24" i="41" s="1"/>
  <c r="Y22" i="27"/>
  <c r="W22" i="27"/>
  <c r="U22" i="27"/>
  <c r="BH23" i="41" s="1"/>
  <c r="Y21" i="27"/>
  <c r="W21" i="27"/>
  <c r="U21" i="27"/>
  <c r="BH22" i="41" s="1"/>
  <c r="Y20" i="27"/>
  <c r="W20" i="27"/>
  <c r="U20" i="27"/>
  <c r="BH21" i="41" s="1"/>
  <c r="Y19" i="27"/>
  <c r="W19" i="27"/>
  <c r="U19" i="27"/>
  <c r="BH20" i="41" s="1"/>
  <c r="Y18" i="27"/>
  <c r="W18" i="27"/>
  <c r="U18" i="27"/>
  <c r="BH19" i="41" s="1"/>
  <c r="Y17" i="27"/>
  <c r="W17" i="27"/>
  <c r="U17" i="27"/>
  <c r="BH18" i="41" s="1"/>
  <c r="Y16" i="27"/>
  <c r="W16" i="27"/>
  <c r="U16" i="27"/>
  <c r="BH17" i="41" s="1"/>
  <c r="Y15" i="27"/>
  <c r="W15" i="27"/>
  <c r="U15" i="27"/>
  <c r="BH16" i="41" s="1"/>
  <c r="Y14" i="27"/>
  <c r="W14" i="27"/>
  <c r="U14" i="27"/>
  <c r="BH15" i="41" s="1"/>
  <c r="Y13" i="27"/>
  <c r="W13" i="27"/>
  <c r="U13" i="27"/>
  <c r="BH14" i="41" s="1"/>
  <c r="Y12" i="27"/>
  <c r="W12" i="27"/>
  <c r="U12" i="27"/>
  <c r="BH13" i="41" s="1"/>
  <c r="Y11" i="27"/>
  <c r="W11" i="27"/>
  <c r="U11" i="27"/>
  <c r="BH12" i="41" s="1"/>
  <c r="Y10" i="27"/>
  <c r="W10" i="27"/>
  <c r="U10" i="27"/>
  <c r="BH11" i="41" s="1"/>
  <c r="Y9" i="27"/>
  <c r="W9" i="27"/>
  <c r="U9" i="27"/>
  <c r="BH10" i="41" s="1"/>
  <c r="Y8" i="27"/>
  <c r="W8" i="27"/>
  <c r="U8" i="27"/>
  <c r="BH9" i="41" s="1"/>
  <c r="Y7" i="27"/>
  <c r="W7" i="27"/>
  <c r="U7" i="27"/>
  <c r="BH8" i="41" s="1"/>
  <c r="Y6" i="27"/>
  <c r="W6" i="27"/>
  <c r="U6" i="27"/>
  <c r="BH7" i="41" s="1"/>
  <c r="Y5" i="27"/>
  <c r="W5" i="27"/>
  <c r="U5" i="27"/>
  <c r="BH6" i="41" s="1"/>
  <c r="Y54" i="20"/>
  <c r="W54" i="20"/>
  <c r="U54" i="20"/>
  <c r="BE55" i="41" s="1"/>
  <c r="Y53" i="20"/>
  <c r="W53" i="20"/>
  <c r="U53" i="20"/>
  <c r="Y52" i="20"/>
  <c r="W52" i="20"/>
  <c r="U52" i="20"/>
  <c r="Y51" i="20"/>
  <c r="W51" i="20"/>
  <c r="U51" i="20"/>
  <c r="Y50" i="20"/>
  <c r="W50" i="20"/>
  <c r="U50" i="20"/>
  <c r="Y49" i="20"/>
  <c r="W49" i="20"/>
  <c r="U49" i="20"/>
  <c r="Y48" i="20"/>
  <c r="W48" i="20"/>
  <c r="U48" i="20"/>
  <c r="Y47" i="20"/>
  <c r="W47" i="20"/>
  <c r="U47" i="20"/>
  <c r="Y46" i="20"/>
  <c r="W46" i="20"/>
  <c r="U46" i="20"/>
  <c r="Y45" i="20"/>
  <c r="W45" i="20"/>
  <c r="U45" i="20"/>
  <c r="Y44" i="20"/>
  <c r="W44" i="20"/>
  <c r="U44" i="20"/>
  <c r="BE45" i="41" s="1"/>
  <c r="Y43" i="20"/>
  <c r="W43" i="20"/>
  <c r="U43" i="20"/>
  <c r="BE44" i="41" s="1"/>
  <c r="Y42" i="20"/>
  <c r="W42" i="20"/>
  <c r="U42" i="20"/>
  <c r="BE43" i="41" s="1"/>
  <c r="Y41" i="20"/>
  <c r="W41" i="20"/>
  <c r="U41" i="20"/>
  <c r="BE42" i="41" s="1"/>
  <c r="Y40" i="20"/>
  <c r="W40" i="20"/>
  <c r="U40" i="20"/>
  <c r="BE41" i="41" s="1"/>
  <c r="Y39" i="20"/>
  <c r="W39" i="20"/>
  <c r="U39" i="20"/>
  <c r="BE40" i="41" s="1"/>
  <c r="Y38" i="20"/>
  <c r="W38" i="20"/>
  <c r="U38" i="20"/>
  <c r="BE39" i="41" s="1"/>
  <c r="Y37" i="20"/>
  <c r="W37" i="20"/>
  <c r="U37" i="20"/>
  <c r="BE38" i="41" s="1"/>
  <c r="Y36" i="20"/>
  <c r="W36" i="20"/>
  <c r="U36" i="20"/>
  <c r="BE37" i="41" s="1"/>
  <c r="Y35" i="20"/>
  <c r="W35" i="20"/>
  <c r="U35" i="20"/>
  <c r="BE36" i="41" s="1"/>
  <c r="Y34" i="20"/>
  <c r="W34" i="20"/>
  <c r="U34" i="20"/>
  <c r="BE35" i="41" s="1"/>
  <c r="Y33" i="20"/>
  <c r="W33" i="20"/>
  <c r="U33" i="20"/>
  <c r="BE34" i="41" s="1"/>
  <c r="Y32" i="20"/>
  <c r="W32" i="20"/>
  <c r="U32" i="20"/>
  <c r="BE33" i="41" s="1"/>
  <c r="Y31" i="20"/>
  <c r="W31" i="20"/>
  <c r="U31" i="20"/>
  <c r="BE32" i="41" s="1"/>
  <c r="Y30" i="20"/>
  <c r="W30" i="20"/>
  <c r="U30" i="20"/>
  <c r="BE31" i="41" s="1"/>
  <c r="Y29" i="20"/>
  <c r="W29" i="20"/>
  <c r="U29" i="20"/>
  <c r="BE30" i="41" s="1"/>
  <c r="Y28" i="20"/>
  <c r="W28" i="20"/>
  <c r="U28" i="20"/>
  <c r="BE29" i="41" s="1"/>
  <c r="Y27" i="20"/>
  <c r="W27" i="20"/>
  <c r="U27" i="20"/>
  <c r="BE28" i="41" s="1"/>
  <c r="Y26" i="20"/>
  <c r="W26" i="20"/>
  <c r="U26" i="20"/>
  <c r="BE27" i="41" s="1"/>
  <c r="Y25" i="20"/>
  <c r="W25" i="20"/>
  <c r="U25" i="20"/>
  <c r="BE26" i="41" s="1"/>
  <c r="Y24" i="20"/>
  <c r="W24" i="20"/>
  <c r="U24" i="20"/>
  <c r="BE25" i="41" s="1"/>
  <c r="Y23" i="20"/>
  <c r="W23" i="20"/>
  <c r="U23" i="20"/>
  <c r="BE24" i="41" s="1"/>
  <c r="Y22" i="20"/>
  <c r="W22" i="20"/>
  <c r="U22" i="20"/>
  <c r="BE23" i="41" s="1"/>
  <c r="Y21" i="20"/>
  <c r="W21" i="20"/>
  <c r="U21" i="20"/>
  <c r="BE22" i="41" s="1"/>
  <c r="Y20" i="20"/>
  <c r="W20" i="20"/>
  <c r="U20" i="20"/>
  <c r="BE21" i="41" s="1"/>
  <c r="Y19" i="20"/>
  <c r="W19" i="20"/>
  <c r="U19" i="20"/>
  <c r="BE20" i="41" s="1"/>
  <c r="Y18" i="20"/>
  <c r="W18" i="20"/>
  <c r="U18" i="20"/>
  <c r="BE19" i="41" s="1"/>
  <c r="Y17" i="20"/>
  <c r="W17" i="20"/>
  <c r="U17" i="20"/>
  <c r="BE18" i="41" s="1"/>
  <c r="Y16" i="20"/>
  <c r="W16" i="20"/>
  <c r="U16" i="20"/>
  <c r="BE17" i="41" s="1"/>
  <c r="Y15" i="20"/>
  <c r="W15" i="20"/>
  <c r="U15" i="20"/>
  <c r="BE16" i="41" s="1"/>
  <c r="Y14" i="20"/>
  <c r="W14" i="20"/>
  <c r="U14" i="20"/>
  <c r="BE15" i="41" s="1"/>
  <c r="Y13" i="20"/>
  <c r="W13" i="20"/>
  <c r="U13" i="20"/>
  <c r="BE14" i="41" s="1"/>
  <c r="Y12" i="20"/>
  <c r="W12" i="20"/>
  <c r="U12" i="20"/>
  <c r="BE13" i="41" s="1"/>
  <c r="Y11" i="20"/>
  <c r="W11" i="20"/>
  <c r="U11" i="20"/>
  <c r="BE12" i="41" s="1"/>
  <c r="Y10" i="20"/>
  <c r="W10" i="20"/>
  <c r="U10" i="20"/>
  <c r="BE11" i="41" s="1"/>
  <c r="Y9" i="20"/>
  <c r="W9" i="20"/>
  <c r="U9" i="20"/>
  <c r="BE10" i="41" s="1"/>
  <c r="Y8" i="20"/>
  <c r="W8" i="20"/>
  <c r="U8" i="20"/>
  <c r="BE9" i="41" s="1"/>
  <c r="Y7" i="20"/>
  <c r="W7" i="20"/>
  <c r="U7" i="20"/>
  <c r="BE8" i="41" s="1"/>
  <c r="Y6" i="20"/>
  <c r="W6" i="20"/>
  <c r="U6" i="20"/>
  <c r="BE7" i="41" s="1"/>
  <c r="Y5" i="20"/>
  <c r="W5" i="20"/>
  <c r="U5" i="20"/>
  <c r="BE6" i="41" s="1"/>
  <c r="Y54" i="36"/>
  <c r="W54" i="36"/>
  <c r="U54" i="36"/>
  <c r="BB55" i="41" s="1"/>
  <c r="Y53" i="36"/>
  <c r="W53" i="36"/>
  <c r="U53" i="36"/>
  <c r="Y52" i="36"/>
  <c r="W52" i="36"/>
  <c r="U52" i="36"/>
  <c r="Y51" i="36"/>
  <c r="W51" i="36"/>
  <c r="U51" i="36"/>
  <c r="Y50" i="36"/>
  <c r="W50" i="36"/>
  <c r="U50" i="36"/>
  <c r="Y49" i="36"/>
  <c r="W49" i="36"/>
  <c r="U49" i="36"/>
  <c r="Y48" i="36"/>
  <c r="W48" i="36"/>
  <c r="U48" i="36"/>
  <c r="Y47" i="36"/>
  <c r="W47" i="36"/>
  <c r="U47" i="36"/>
  <c r="Y46" i="36"/>
  <c r="W46" i="36"/>
  <c r="U46" i="36"/>
  <c r="Y45" i="36"/>
  <c r="W45" i="36"/>
  <c r="U45" i="36"/>
  <c r="Y44" i="36"/>
  <c r="W44" i="36"/>
  <c r="U44" i="36"/>
  <c r="BB45" i="41" s="1"/>
  <c r="Y43" i="36"/>
  <c r="W43" i="36"/>
  <c r="U43" i="36"/>
  <c r="BB44" i="41" s="1"/>
  <c r="Y42" i="36"/>
  <c r="W42" i="36"/>
  <c r="U42" i="36"/>
  <c r="BB43" i="41" s="1"/>
  <c r="Y41" i="36"/>
  <c r="W41" i="36"/>
  <c r="U41" i="36"/>
  <c r="BB42" i="41" s="1"/>
  <c r="Y40" i="36"/>
  <c r="W40" i="36"/>
  <c r="U40" i="36"/>
  <c r="BB41" i="41" s="1"/>
  <c r="Y39" i="36"/>
  <c r="W39" i="36"/>
  <c r="U39" i="36"/>
  <c r="BB40" i="41" s="1"/>
  <c r="Y38" i="36"/>
  <c r="W38" i="36"/>
  <c r="U38" i="36"/>
  <c r="BB39" i="41" s="1"/>
  <c r="Y37" i="36"/>
  <c r="W37" i="36"/>
  <c r="U37" i="36"/>
  <c r="BB38" i="41" s="1"/>
  <c r="Y36" i="36"/>
  <c r="W36" i="36"/>
  <c r="U36" i="36"/>
  <c r="BB37" i="41" s="1"/>
  <c r="Y35" i="36"/>
  <c r="W35" i="36"/>
  <c r="U35" i="36"/>
  <c r="BB36" i="41" s="1"/>
  <c r="Y34" i="36"/>
  <c r="W34" i="36"/>
  <c r="U34" i="36"/>
  <c r="BB35" i="41" s="1"/>
  <c r="Y33" i="36"/>
  <c r="W33" i="36"/>
  <c r="U33" i="36"/>
  <c r="BB34" i="41" s="1"/>
  <c r="Y32" i="36"/>
  <c r="W32" i="36"/>
  <c r="U32" i="36"/>
  <c r="BB33" i="41" s="1"/>
  <c r="Y31" i="36"/>
  <c r="W31" i="36"/>
  <c r="U31" i="36"/>
  <c r="BB32" i="41" s="1"/>
  <c r="Y30" i="36"/>
  <c r="W30" i="36"/>
  <c r="U30" i="36"/>
  <c r="BB31" i="41" s="1"/>
  <c r="Y29" i="36"/>
  <c r="W29" i="36"/>
  <c r="U29" i="36"/>
  <c r="BB30" i="41" s="1"/>
  <c r="Y28" i="36"/>
  <c r="W28" i="36"/>
  <c r="U28" i="36"/>
  <c r="BB29" i="41" s="1"/>
  <c r="Y27" i="36"/>
  <c r="W27" i="36"/>
  <c r="U27" i="36"/>
  <c r="BB28" i="41" s="1"/>
  <c r="Y26" i="36"/>
  <c r="W26" i="36"/>
  <c r="U26" i="36"/>
  <c r="BB27" i="41" s="1"/>
  <c r="Y25" i="36"/>
  <c r="W25" i="36"/>
  <c r="U25" i="36"/>
  <c r="BB26" i="41" s="1"/>
  <c r="Y24" i="36"/>
  <c r="W24" i="36"/>
  <c r="U24" i="36"/>
  <c r="BB25" i="41" s="1"/>
  <c r="Y23" i="36"/>
  <c r="W23" i="36"/>
  <c r="U23" i="36"/>
  <c r="BB24" i="41" s="1"/>
  <c r="Y22" i="36"/>
  <c r="W22" i="36"/>
  <c r="U22" i="36"/>
  <c r="BB23" i="41" s="1"/>
  <c r="Y21" i="36"/>
  <c r="W21" i="36"/>
  <c r="U21" i="36"/>
  <c r="BB22" i="41" s="1"/>
  <c r="Y20" i="36"/>
  <c r="W20" i="36"/>
  <c r="U20" i="36"/>
  <c r="BB21" i="41" s="1"/>
  <c r="Y19" i="36"/>
  <c r="W19" i="36"/>
  <c r="U19" i="36"/>
  <c r="BB20" i="41" s="1"/>
  <c r="Y18" i="36"/>
  <c r="W18" i="36"/>
  <c r="U18" i="36"/>
  <c r="BB19" i="41" s="1"/>
  <c r="Y17" i="36"/>
  <c r="W17" i="36"/>
  <c r="U17" i="36"/>
  <c r="BB18" i="41" s="1"/>
  <c r="Y16" i="36"/>
  <c r="W16" i="36"/>
  <c r="U16" i="36"/>
  <c r="BB17" i="41" s="1"/>
  <c r="Y15" i="36"/>
  <c r="W15" i="36"/>
  <c r="U15" i="36"/>
  <c r="BB16" i="41" s="1"/>
  <c r="Y14" i="36"/>
  <c r="W14" i="36"/>
  <c r="U14" i="36"/>
  <c r="BB15" i="41" s="1"/>
  <c r="Y13" i="36"/>
  <c r="W13" i="36"/>
  <c r="U13" i="36"/>
  <c r="BB14" i="41" s="1"/>
  <c r="Y12" i="36"/>
  <c r="W12" i="36"/>
  <c r="U12" i="36"/>
  <c r="BB13" i="41" s="1"/>
  <c r="Y11" i="36"/>
  <c r="W11" i="36"/>
  <c r="U11" i="36"/>
  <c r="BB12" i="41" s="1"/>
  <c r="Y10" i="36"/>
  <c r="W10" i="36"/>
  <c r="U10" i="36"/>
  <c r="BB11" i="41" s="1"/>
  <c r="Y9" i="36"/>
  <c r="W9" i="36"/>
  <c r="U9" i="36"/>
  <c r="BB10" i="41" s="1"/>
  <c r="Y8" i="36"/>
  <c r="W8" i="36"/>
  <c r="U8" i="36"/>
  <c r="BB9" i="41" s="1"/>
  <c r="Y7" i="36"/>
  <c r="W7" i="36"/>
  <c r="U7" i="36"/>
  <c r="BB8" i="41" s="1"/>
  <c r="Y6" i="36"/>
  <c r="W6" i="36"/>
  <c r="U6" i="36"/>
  <c r="BB7" i="41" s="1"/>
  <c r="Y5" i="36"/>
  <c r="W5" i="36"/>
  <c r="U5" i="36"/>
  <c r="BB6" i="41" s="1"/>
  <c r="Y54" i="35"/>
  <c r="W54" i="35"/>
  <c r="U54" i="35"/>
  <c r="AY55" i="41" s="1"/>
  <c r="Y53" i="35"/>
  <c r="W53" i="35"/>
  <c r="U53" i="35"/>
  <c r="Y52" i="35"/>
  <c r="W52" i="35"/>
  <c r="U52" i="35"/>
  <c r="Y51" i="35"/>
  <c r="W51" i="35"/>
  <c r="U51" i="35"/>
  <c r="Y50" i="35"/>
  <c r="W50" i="35"/>
  <c r="U50" i="35"/>
  <c r="Y49" i="35"/>
  <c r="W49" i="35"/>
  <c r="U49" i="35"/>
  <c r="Y48" i="35"/>
  <c r="W48" i="35"/>
  <c r="U48" i="35"/>
  <c r="Y47" i="35"/>
  <c r="W47" i="35"/>
  <c r="U47" i="35"/>
  <c r="Y46" i="35"/>
  <c r="W46" i="35"/>
  <c r="U46" i="35"/>
  <c r="Y45" i="35"/>
  <c r="W45" i="35"/>
  <c r="U45" i="35"/>
  <c r="Y44" i="35"/>
  <c r="W44" i="35"/>
  <c r="U44" i="35"/>
  <c r="AY45" i="41" s="1"/>
  <c r="Y43" i="35"/>
  <c r="W43" i="35"/>
  <c r="U43" i="35"/>
  <c r="AY44" i="41" s="1"/>
  <c r="Y42" i="35"/>
  <c r="W42" i="35"/>
  <c r="U42" i="35"/>
  <c r="AY43" i="41" s="1"/>
  <c r="Y41" i="35"/>
  <c r="W41" i="35"/>
  <c r="U41" i="35"/>
  <c r="AY42" i="41" s="1"/>
  <c r="Y40" i="35"/>
  <c r="W40" i="35"/>
  <c r="U40" i="35"/>
  <c r="AY41" i="41" s="1"/>
  <c r="Y39" i="35"/>
  <c r="W39" i="35"/>
  <c r="U39" i="35"/>
  <c r="AY40" i="41" s="1"/>
  <c r="Y38" i="35"/>
  <c r="W38" i="35"/>
  <c r="U38" i="35"/>
  <c r="AY39" i="41" s="1"/>
  <c r="Y37" i="35"/>
  <c r="W37" i="35"/>
  <c r="U37" i="35"/>
  <c r="AY38" i="41" s="1"/>
  <c r="Y36" i="35"/>
  <c r="W36" i="35"/>
  <c r="U36" i="35"/>
  <c r="AY37" i="41" s="1"/>
  <c r="Y35" i="35"/>
  <c r="W35" i="35"/>
  <c r="U35" i="35"/>
  <c r="AY36" i="41" s="1"/>
  <c r="Y34" i="35"/>
  <c r="W34" i="35"/>
  <c r="U34" i="35"/>
  <c r="AY35" i="41" s="1"/>
  <c r="Y33" i="35"/>
  <c r="W33" i="35"/>
  <c r="U33" i="35"/>
  <c r="AY34" i="41" s="1"/>
  <c r="Y32" i="35"/>
  <c r="W32" i="35"/>
  <c r="U32" i="35"/>
  <c r="AY33" i="41" s="1"/>
  <c r="Y31" i="35"/>
  <c r="W31" i="35"/>
  <c r="U31" i="35"/>
  <c r="AY32" i="41" s="1"/>
  <c r="Y30" i="35"/>
  <c r="W30" i="35"/>
  <c r="U30" i="35"/>
  <c r="AY31" i="41" s="1"/>
  <c r="Y29" i="35"/>
  <c r="W29" i="35"/>
  <c r="U29" i="35"/>
  <c r="AY30" i="41" s="1"/>
  <c r="Y28" i="35"/>
  <c r="W28" i="35"/>
  <c r="U28" i="35"/>
  <c r="AY29" i="41" s="1"/>
  <c r="Y27" i="35"/>
  <c r="W27" i="35"/>
  <c r="U27" i="35"/>
  <c r="AY28" i="41" s="1"/>
  <c r="Y26" i="35"/>
  <c r="W26" i="35"/>
  <c r="U26" i="35"/>
  <c r="AY27" i="41" s="1"/>
  <c r="Y25" i="35"/>
  <c r="W25" i="35"/>
  <c r="U25" i="35"/>
  <c r="AY26" i="41" s="1"/>
  <c r="Y24" i="35"/>
  <c r="W24" i="35"/>
  <c r="U24" i="35"/>
  <c r="AY25" i="41" s="1"/>
  <c r="Y23" i="35"/>
  <c r="W23" i="35"/>
  <c r="U23" i="35"/>
  <c r="AY24" i="41" s="1"/>
  <c r="Y22" i="35"/>
  <c r="W22" i="35"/>
  <c r="U22" i="35"/>
  <c r="AY23" i="41" s="1"/>
  <c r="Y21" i="35"/>
  <c r="W21" i="35"/>
  <c r="U21" i="35"/>
  <c r="AY22" i="41" s="1"/>
  <c r="Y20" i="35"/>
  <c r="W20" i="35"/>
  <c r="U20" i="35"/>
  <c r="AY21" i="41" s="1"/>
  <c r="Y19" i="35"/>
  <c r="W19" i="35"/>
  <c r="U19" i="35"/>
  <c r="AY20" i="41" s="1"/>
  <c r="Y18" i="35"/>
  <c r="W18" i="35"/>
  <c r="U18" i="35"/>
  <c r="AY19" i="41" s="1"/>
  <c r="Y17" i="35"/>
  <c r="W17" i="35"/>
  <c r="U17" i="35"/>
  <c r="AY18" i="41" s="1"/>
  <c r="Y16" i="35"/>
  <c r="W16" i="35"/>
  <c r="U16" i="35"/>
  <c r="AY17" i="41" s="1"/>
  <c r="Y15" i="35"/>
  <c r="W15" i="35"/>
  <c r="U15" i="35"/>
  <c r="AY16" i="41" s="1"/>
  <c r="Y14" i="35"/>
  <c r="W14" i="35"/>
  <c r="U14" i="35"/>
  <c r="AY15" i="41" s="1"/>
  <c r="Y13" i="35"/>
  <c r="W13" i="35"/>
  <c r="U13" i="35"/>
  <c r="AY14" i="41" s="1"/>
  <c r="Y12" i="35"/>
  <c r="W12" i="35"/>
  <c r="U12" i="35"/>
  <c r="AY13" i="41" s="1"/>
  <c r="Y11" i="35"/>
  <c r="W11" i="35"/>
  <c r="U11" i="35"/>
  <c r="AY12" i="41" s="1"/>
  <c r="Y10" i="35"/>
  <c r="W10" i="35"/>
  <c r="U10" i="35"/>
  <c r="AY11" i="41" s="1"/>
  <c r="Y9" i="35"/>
  <c r="W9" i="35"/>
  <c r="U9" i="35"/>
  <c r="AY10" i="41" s="1"/>
  <c r="Y8" i="35"/>
  <c r="W8" i="35"/>
  <c r="U8" i="35"/>
  <c r="AY9" i="41" s="1"/>
  <c r="Y7" i="35"/>
  <c r="W7" i="35"/>
  <c r="U7" i="35"/>
  <c r="AY8" i="41" s="1"/>
  <c r="Y6" i="35"/>
  <c r="W6" i="35"/>
  <c r="U6" i="35"/>
  <c r="AY7" i="41" s="1"/>
  <c r="Y5" i="35"/>
  <c r="W5" i="35"/>
  <c r="U5" i="35"/>
  <c r="AY6" i="41" s="1"/>
  <c r="Y54" i="19"/>
  <c r="W54" i="19"/>
  <c r="U54" i="19"/>
  <c r="AV55" i="41" s="1"/>
  <c r="Y53" i="19"/>
  <c r="W53" i="19"/>
  <c r="U53" i="19"/>
  <c r="Y52" i="19"/>
  <c r="W52" i="19"/>
  <c r="U52" i="19"/>
  <c r="Y51" i="19"/>
  <c r="W51" i="19"/>
  <c r="U51" i="19"/>
  <c r="Y50" i="19"/>
  <c r="W50" i="19"/>
  <c r="U50" i="19"/>
  <c r="Y49" i="19"/>
  <c r="W49" i="19"/>
  <c r="U49" i="19"/>
  <c r="Y48" i="19"/>
  <c r="W48" i="19"/>
  <c r="U48" i="19"/>
  <c r="Y47" i="19"/>
  <c r="W47" i="19"/>
  <c r="U47" i="19"/>
  <c r="Y46" i="19"/>
  <c r="W46" i="19"/>
  <c r="U46" i="19"/>
  <c r="Y45" i="19"/>
  <c r="W45" i="19"/>
  <c r="U45" i="19"/>
  <c r="Y44" i="19"/>
  <c r="W44" i="19"/>
  <c r="U44" i="19"/>
  <c r="AV45" i="41" s="1"/>
  <c r="Y43" i="19"/>
  <c r="W43" i="19"/>
  <c r="U43" i="19"/>
  <c r="AV44" i="41" s="1"/>
  <c r="Y42" i="19"/>
  <c r="W42" i="19"/>
  <c r="U42" i="19"/>
  <c r="AV43" i="41" s="1"/>
  <c r="Y41" i="19"/>
  <c r="W41" i="19"/>
  <c r="U41" i="19"/>
  <c r="AV42" i="41" s="1"/>
  <c r="Y40" i="19"/>
  <c r="W40" i="19"/>
  <c r="U40" i="19"/>
  <c r="AV41" i="41" s="1"/>
  <c r="Y39" i="19"/>
  <c r="W39" i="19"/>
  <c r="U39" i="19"/>
  <c r="AV40" i="41" s="1"/>
  <c r="Y38" i="19"/>
  <c r="W38" i="19"/>
  <c r="U38" i="19"/>
  <c r="AV39" i="41" s="1"/>
  <c r="Y37" i="19"/>
  <c r="W37" i="19"/>
  <c r="U37" i="19"/>
  <c r="AV38" i="41" s="1"/>
  <c r="Y36" i="19"/>
  <c r="W36" i="19"/>
  <c r="U36" i="19"/>
  <c r="AV37" i="41" s="1"/>
  <c r="Y35" i="19"/>
  <c r="W35" i="19"/>
  <c r="U35" i="19"/>
  <c r="AV36" i="41" s="1"/>
  <c r="Y34" i="19"/>
  <c r="W34" i="19"/>
  <c r="U34" i="19"/>
  <c r="AV35" i="41" s="1"/>
  <c r="Y33" i="19"/>
  <c r="W33" i="19"/>
  <c r="U33" i="19"/>
  <c r="AV34" i="41" s="1"/>
  <c r="Y32" i="19"/>
  <c r="W32" i="19"/>
  <c r="U32" i="19"/>
  <c r="AV33" i="41" s="1"/>
  <c r="Y31" i="19"/>
  <c r="W31" i="19"/>
  <c r="U31" i="19"/>
  <c r="AV32" i="41" s="1"/>
  <c r="Y30" i="19"/>
  <c r="W30" i="19"/>
  <c r="U30" i="19"/>
  <c r="AV31" i="41" s="1"/>
  <c r="Y29" i="19"/>
  <c r="W29" i="19"/>
  <c r="U29" i="19"/>
  <c r="AV30" i="41" s="1"/>
  <c r="Y28" i="19"/>
  <c r="W28" i="19"/>
  <c r="U28" i="19"/>
  <c r="AV29" i="41" s="1"/>
  <c r="Y27" i="19"/>
  <c r="W27" i="19"/>
  <c r="U27" i="19"/>
  <c r="AV28" i="41" s="1"/>
  <c r="Y26" i="19"/>
  <c r="W26" i="19"/>
  <c r="U26" i="19"/>
  <c r="AV27" i="41" s="1"/>
  <c r="Y25" i="19"/>
  <c r="W25" i="19"/>
  <c r="U25" i="19"/>
  <c r="AV26" i="41" s="1"/>
  <c r="Y24" i="19"/>
  <c r="W24" i="19"/>
  <c r="U24" i="19"/>
  <c r="AV25" i="41" s="1"/>
  <c r="Y23" i="19"/>
  <c r="W23" i="19"/>
  <c r="U23" i="19"/>
  <c r="AV24" i="41" s="1"/>
  <c r="Y22" i="19"/>
  <c r="W22" i="19"/>
  <c r="U22" i="19"/>
  <c r="AV23" i="41" s="1"/>
  <c r="Y21" i="19"/>
  <c r="W21" i="19"/>
  <c r="U21" i="19"/>
  <c r="AV22" i="41" s="1"/>
  <c r="Y20" i="19"/>
  <c r="W20" i="19"/>
  <c r="U20" i="19"/>
  <c r="AV21" i="41" s="1"/>
  <c r="Y19" i="19"/>
  <c r="W19" i="19"/>
  <c r="U19" i="19"/>
  <c r="AV20" i="41" s="1"/>
  <c r="Y18" i="19"/>
  <c r="W18" i="19"/>
  <c r="U18" i="19"/>
  <c r="AV19" i="41" s="1"/>
  <c r="Y17" i="19"/>
  <c r="W17" i="19"/>
  <c r="U17" i="19"/>
  <c r="AV18" i="41" s="1"/>
  <c r="Y16" i="19"/>
  <c r="W16" i="19"/>
  <c r="U16" i="19"/>
  <c r="AV17" i="41" s="1"/>
  <c r="Y15" i="19"/>
  <c r="W15" i="19"/>
  <c r="U15" i="19"/>
  <c r="AV16" i="41" s="1"/>
  <c r="Y14" i="19"/>
  <c r="W14" i="19"/>
  <c r="U14" i="19"/>
  <c r="AV15" i="41" s="1"/>
  <c r="Y13" i="19"/>
  <c r="W13" i="19"/>
  <c r="U13" i="19"/>
  <c r="AV14" i="41" s="1"/>
  <c r="Y12" i="19"/>
  <c r="W12" i="19"/>
  <c r="U12" i="19"/>
  <c r="AV13" i="41" s="1"/>
  <c r="Y11" i="19"/>
  <c r="W11" i="19"/>
  <c r="U11" i="19"/>
  <c r="AV12" i="41" s="1"/>
  <c r="Y10" i="19"/>
  <c r="W10" i="19"/>
  <c r="U10" i="19"/>
  <c r="AV11" i="41" s="1"/>
  <c r="Y9" i="19"/>
  <c r="W9" i="19"/>
  <c r="U9" i="19"/>
  <c r="AV10" i="41" s="1"/>
  <c r="Y8" i="19"/>
  <c r="W8" i="19"/>
  <c r="U8" i="19"/>
  <c r="AV9" i="41" s="1"/>
  <c r="Y7" i="19"/>
  <c r="W7" i="19"/>
  <c r="U7" i="19"/>
  <c r="AV8" i="41" s="1"/>
  <c r="Y6" i="19"/>
  <c r="W6" i="19"/>
  <c r="U6" i="19"/>
  <c r="AV7" i="41" s="1"/>
  <c r="Y5" i="19"/>
  <c r="W5" i="19"/>
  <c r="U5" i="19"/>
  <c r="AV6" i="41" s="1"/>
  <c r="Y54" i="18"/>
  <c r="W54" i="18"/>
  <c r="U54" i="18"/>
  <c r="AS55" i="41" s="1"/>
  <c r="Y53" i="18"/>
  <c r="W53" i="18"/>
  <c r="U53" i="18"/>
  <c r="Y52" i="18"/>
  <c r="W52" i="18"/>
  <c r="U52" i="18"/>
  <c r="Y51" i="18"/>
  <c r="W51" i="18"/>
  <c r="U51" i="18"/>
  <c r="Y50" i="18"/>
  <c r="W50" i="18"/>
  <c r="U50" i="18"/>
  <c r="Y49" i="18"/>
  <c r="W49" i="18"/>
  <c r="U49" i="18"/>
  <c r="Y48" i="18"/>
  <c r="W48" i="18"/>
  <c r="U48" i="18"/>
  <c r="Y47" i="18"/>
  <c r="W47" i="18"/>
  <c r="U47" i="18"/>
  <c r="Y46" i="18"/>
  <c r="W46" i="18"/>
  <c r="U46" i="18"/>
  <c r="Y45" i="18"/>
  <c r="W45" i="18"/>
  <c r="U45" i="18"/>
  <c r="Y44" i="18"/>
  <c r="W44" i="18"/>
  <c r="U44" i="18"/>
  <c r="AS45" i="41" s="1"/>
  <c r="Y43" i="18"/>
  <c r="W43" i="18"/>
  <c r="U43" i="18"/>
  <c r="AS44" i="41" s="1"/>
  <c r="Y42" i="18"/>
  <c r="W42" i="18"/>
  <c r="U42" i="18"/>
  <c r="AS43" i="41" s="1"/>
  <c r="Y41" i="18"/>
  <c r="W41" i="18"/>
  <c r="U41" i="18"/>
  <c r="AS42" i="41" s="1"/>
  <c r="Y40" i="18"/>
  <c r="W40" i="18"/>
  <c r="U40" i="18"/>
  <c r="AS41" i="41" s="1"/>
  <c r="Y39" i="18"/>
  <c r="W39" i="18"/>
  <c r="U39" i="18"/>
  <c r="AS40" i="41" s="1"/>
  <c r="Y38" i="18"/>
  <c r="W38" i="18"/>
  <c r="U38" i="18"/>
  <c r="AS39" i="41" s="1"/>
  <c r="Y37" i="18"/>
  <c r="W37" i="18"/>
  <c r="U37" i="18"/>
  <c r="AS38" i="41" s="1"/>
  <c r="Y36" i="18"/>
  <c r="W36" i="18"/>
  <c r="U36" i="18"/>
  <c r="AS37" i="41" s="1"/>
  <c r="Y35" i="18"/>
  <c r="W35" i="18"/>
  <c r="U35" i="18"/>
  <c r="AS36" i="41" s="1"/>
  <c r="Y34" i="18"/>
  <c r="W34" i="18"/>
  <c r="U34" i="18"/>
  <c r="AS35" i="41" s="1"/>
  <c r="Y33" i="18"/>
  <c r="W33" i="18"/>
  <c r="U33" i="18"/>
  <c r="AS34" i="41" s="1"/>
  <c r="Y32" i="18"/>
  <c r="W32" i="18"/>
  <c r="U32" i="18"/>
  <c r="AS33" i="41" s="1"/>
  <c r="Y31" i="18"/>
  <c r="W31" i="18"/>
  <c r="U31" i="18"/>
  <c r="AS32" i="41" s="1"/>
  <c r="Y30" i="18"/>
  <c r="W30" i="18"/>
  <c r="U30" i="18"/>
  <c r="AS31" i="41" s="1"/>
  <c r="Y29" i="18"/>
  <c r="W29" i="18"/>
  <c r="U29" i="18"/>
  <c r="AS30" i="41" s="1"/>
  <c r="Y28" i="18"/>
  <c r="W28" i="18"/>
  <c r="U28" i="18"/>
  <c r="AS29" i="41" s="1"/>
  <c r="Y27" i="18"/>
  <c r="W27" i="18"/>
  <c r="U27" i="18"/>
  <c r="AS28" i="41" s="1"/>
  <c r="Y26" i="18"/>
  <c r="W26" i="18"/>
  <c r="U26" i="18"/>
  <c r="AS27" i="41" s="1"/>
  <c r="Y25" i="18"/>
  <c r="W25" i="18"/>
  <c r="U25" i="18"/>
  <c r="AS26" i="41" s="1"/>
  <c r="Y24" i="18"/>
  <c r="W24" i="18"/>
  <c r="U24" i="18"/>
  <c r="AS25" i="41" s="1"/>
  <c r="Y23" i="18"/>
  <c r="W23" i="18"/>
  <c r="U23" i="18"/>
  <c r="AS24" i="41" s="1"/>
  <c r="Y22" i="18"/>
  <c r="W22" i="18"/>
  <c r="U22" i="18"/>
  <c r="AS23" i="41" s="1"/>
  <c r="Y21" i="18"/>
  <c r="W21" i="18"/>
  <c r="U21" i="18"/>
  <c r="AS22" i="41" s="1"/>
  <c r="Y20" i="18"/>
  <c r="W20" i="18"/>
  <c r="U20" i="18"/>
  <c r="AS21" i="41" s="1"/>
  <c r="Y19" i="18"/>
  <c r="W19" i="18"/>
  <c r="U19" i="18"/>
  <c r="AS20" i="41" s="1"/>
  <c r="Y18" i="18"/>
  <c r="W18" i="18"/>
  <c r="U18" i="18"/>
  <c r="AS19" i="41" s="1"/>
  <c r="Y17" i="18"/>
  <c r="W17" i="18"/>
  <c r="U17" i="18"/>
  <c r="AS18" i="41" s="1"/>
  <c r="Y16" i="18"/>
  <c r="W16" i="18"/>
  <c r="U16" i="18"/>
  <c r="AS17" i="41" s="1"/>
  <c r="Y15" i="18"/>
  <c r="W15" i="18"/>
  <c r="U15" i="18"/>
  <c r="AS16" i="41" s="1"/>
  <c r="Y14" i="18"/>
  <c r="W14" i="18"/>
  <c r="U14" i="18"/>
  <c r="AS15" i="41" s="1"/>
  <c r="Y13" i="18"/>
  <c r="W13" i="18"/>
  <c r="U13" i="18"/>
  <c r="AS14" i="41" s="1"/>
  <c r="Y12" i="18"/>
  <c r="W12" i="18"/>
  <c r="U12" i="18"/>
  <c r="AS13" i="41" s="1"/>
  <c r="Y11" i="18"/>
  <c r="W11" i="18"/>
  <c r="U11" i="18"/>
  <c r="AS12" i="41" s="1"/>
  <c r="Y10" i="18"/>
  <c r="W10" i="18"/>
  <c r="U10" i="18"/>
  <c r="AS11" i="41" s="1"/>
  <c r="Y9" i="18"/>
  <c r="W9" i="18"/>
  <c r="U9" i="18"/>
  <c r="AS10" i="41" s="1"/>
  <c r="Y8" i="18"/>
  <c r="W8" i="18"/>
  <c r="U8" i="18"/>
  <c r="AS9" i="41" s="1"/>
  <c r="Y7" i="18"/>
  <c r="W7" i="18"/>
  <c r="U7" i="18"/>
  <c r="AS8" i="41" s="1"/>
  <c r="Y6" i="18"/>
  <c r="W6" i="18"/>
  <c r="U6" i="18"/>
  <c r="AS7" i="41" s="1"/>
  <c r="Y5" i="18"/>
  <c r="W5" i="18"/>
  <c r="U5" i="18"/>
  <c r="AS6" i="41" s="1"/>
  <c r="Y54" i="17"/>
  <c r="W54" i="17"/>
  <c r="U54" i="17"/>
  <c r="AP55" i="41" s="1"/>
  <c r="Y53" i="17"/>
  <c r="W53" i="17"/>
  <c r="U53" i="17"/>
  <c r="Y52" i="17"/>
  <c r="W52" i="17"/>
  <c r="U52" i="17"/>
  <c r="Y51" i="17"/>
  <c r="W51" i="17"/>
  <c r="U51" i="17"/>
  <c r="Y50" i="17"/>
  <c r="W50" i="17"/>
  <c r="U50" i="17"/>
  <c r="Y49" i="17"/>
  <c r="W49" i="17"/>
  <c r="U49" i="17"/>
  <c r="Y48" i="17"/>
  <c r="W48" i="17"/>
  <c r="U48" i="17"/>
  <c r="Y47" i="17"/>
  <c r="W47" i="17"/>
  <c r="U47" i="17"/>
  <c r="Y46" i="17"/>
  <c r="W46" i="17"/>
  <c r="U46" i="17"/>
  <c r="Y45" i="17"/>
  <c r="W45" i="17"/>
  <c r="U45" i="17"/>
  <c r="Y44" i="17"/>
  <c r="W44" i="17"/>
  <c r="U44" i="17"/>
  <c r="AP45" i="41" s="1"/>
  <c r="Y43" i="17"/>
  <c r="W43" i="17"/>
  <c r="U43" i="17"/>
  <c r="AP44" i="41" s="1"/>
  <c r="Y42" i="17"/>
  <c r="W42" i="17"/>
  <c r="U42" i="17"/>
  <c r="AP43" i="41" s="1"/>
  <c r="Y41" i="17"/>
  <c r="W41" i="17"/>
  <c r="U41" i="17"/>
  <c r="AP42" i="41" s="1"/>
  <c r="Y40" i="17"/>
  <c r="W40" i="17"/>
  <c r="U40" i="17"/>
  <c r="AP41" i="41" s="1"/>
  <c r="Y39" i="17"/>
  <c r="W39" i="17"/>
  <c r="U39" i="17"/>
  <c r="AP40" i="41" s="1"/>
  <c r="Y38" i="17"/>
  <c r="W38" i="17"/>
  <c r="U38" i="17"/>
  <c r="AP39" i="41" s="1"/>
  <c r="Y37" i="17"/>
  <c r="W37" i="17"/>
  <c r="U37" i="17"/>
  <c r="AP38" i="41" s="1"/>
  <c r="Y36" i="17"/>
  <c r="W36" i="17"/>
  <c r="U36" i="17"/>
  <c r="AP37" i="41" s="1"/>
  <c r="Y35" i="17"/>
  <c r="W35" i="17"/>
  <c r="U35" i="17"/>
  <c r="AP36" i="41" s="1"/>
  <c r="Y34" i="17"/>
  <c r="W34" i="17"/>
  <c r="U34" i="17"/>
  <c r="AP35" i="41" s="1"/>
  <c r="Y33" i="17"/>
  <c r="W33" i="17"/>
  <c r="U33" i="17"/>
  <c r="AP34" i="41" s="1"/>
  <c r="Y32" i="17"/>
  <c r="W32" i="17"/>
  <c r="U32" i="17"/>
  <c r="AP33" i="41" s="1"/>
  <c r="Y31" i="17"/>
  <c r="W31" i="17"/>
  <c r="U31" i="17"/>
  <c r="AP32" i="41" s="1"/>
  <c r="Y30" i="17"/>
  <c r="W30" i="17"/>
  <c r="U30" i="17"/>
  <c r="AP31" i="41" s="1"/>
  <c r="Y29" i="17"/>
  <c r="W29" i="17"/>
  <c r="U29" i="17"/>
  <c r="AP30" i="41" s="1"/>
  <c r="Y28" i="17"/>
  <c r="W28" i="17"/>
  <c r="U28" i="17"/>
  <c r="AP29" i="41" s="1"/>
  <c r="Y27" i="17"/>
  <c r="W27" i="17"/>
  <c r="U27" i="17"/>
  <c r="AP28" i="41" s="1"/>
  <c r="Y26" i="17"/>
  <c r="W26" i="17"/>
  <c r="U26" i="17"/>
  <c r="AP27" i="41" s="1"/>
  <c r="Y25" i="17"/>
  <c r="W25" i="17"/>
  <c r="U25" i="17"/>
  <c r="AP26" i="41" s="1"/>
  <c r="Y24" i="17"/>
  <c r="W24" i="17"/>
  <c r="U24" i="17"/>
  <c r="AP25" i="41" s="1"/>
  <c r="Y23" i="17"/>
  <c r="W23" i="17"/>
  <c r="U23" i="17"/>
  <c r="AP24" i="41" s="1"/>
  <c r="Y22" i="17"/>
  <c r="W22" i="17"/>
  <c r="U22" i="17"/>
  <c r="AP23" i="41" s="1"/>
  <c r="Y21" i="17"/>
  <c r="W21" i="17"/>
  <c r="U21" i="17"/>
  <c r="AP22" i="41" s="1"/>
  <c r="Y20" i="17"/>
  <c r="W20" i="17"/>
  <c r="U20" i="17"/>
  <c r="AP21" i="41" s="1"/>
  <c r="Y19" i="17"/>
  <c r="W19" i="17"/>
  <c r="U19" i="17"/>
  <c r="AP20" i="41" s="1"/>
  <c r="Y18" i="17"/>
  <c r="W18" i="17"/>
  <c r="U18" i="17"/>
  <c r="AP19" i="41" s="1"/>
  <c r="Y17" i="17"/>
  <c r="W17" i="17"/>
  <c r="U17" i="17"/>
  <c r="AP18" i="41" s="1"/>
  <c r="Y16" i="17"/>
  <c r="W16" i="17"/>
  <c r="U16" i="17"/>
  <c r="AP17" i="41" s="1"/>
  <c r="Y15" i="17"/>
  <c r="W15" i="17"/>
  <c r="U15" i="17"/>
  <c r="AP16" i="41" s="1"/>
  <c r="Y14" i="17"/>
  <c r="W14" i="17"/>
  <c r="U14" i="17"/>
  <c r="AP15" i="41" s="1"/>
  <c r="Y13" i="17"/>
  <c r="W13" i="17"/>
  <c r="U13" i="17"/>
  <c r="AP14" i="41" s="1"/>
  <c r="Y12" i="17"/>
  <c r="W12" i="17"/>
  <c r="U12" i="17"/>
  <c r="AP13" i="41" s="1"/>
  <c r="Y11" i="17"/>
  <c r="W11" i="17"/>
  <c r="U11" i="17"/>
  <c r="AP12" i="41" s="1"/>
  <c r="Y10" i="17"/>
  <c r="W10" i="17"/>
  <c r="U10" i="17"/>
  <c r="AP11" i="41" s="1"/>
  <c r="Y9" i="17"/>
  <c r="W9" i="17"/>
  <c r="U9" i="17"/>
  <c r="AP10" i="41" s="1"/>
  <c r="Y8" i="17"/>
  <c r="W8" i="17"/>
  <c r="U8" i="17"/>
  <c r="AP9" i="41" s="1"/>
  <c r="Y7" i="17"/>
  <c r="W7" i="17"/>
  <c r="U7" i="17"/>
  <c r="AP8" i="41" s="1"/>
  <c r="Y6" i="17"/>
  <c r="W6" i="17"/>
  <c r="U6" i="17"/>
  <c r="AP7" i="41" s="1"/>
  <c r="Y5" i="17"/>
  <c r="W5" i="17"/>
  <c r="U5" i="17"/>
  <c r="AP6" i="41" s="1"/>
  <c r="AA54" i="15"/>
  <c r="Y54" i="15"/>
  <c r="W54" i="15"/>
  <c r="AJ55" i="41" s="1"/>
  <c r="AA53" i="15"/>
  <c r="Y53" i="15"/>
  <c r="W53" i="15"/>
  <c r="AJ54" i="41" s="1"/>
  <c r="AA52" i="15"/>
  <c r="Y52" i="15"/>
  <c r="W52" i="15"/>
  <c r="AJ53" i="41" s="1"/>
  <c r="AA51" i="15"/>
  <c r="Y51" i="15"/>
  <c r="W51" i="15"/>
  <c r="AJ52" i="41" s="1"/>
  <c r="AA50" i="15"/>
  <c r="Y50" i="15"/>
  <c r="W50" i="15"/>
  <c r="AJ51" i="41" s="1"/>
  <c r="AA49" i="15"/>
  <c r="Y49" i="15"/>
  <c r="W49" i="15"/>
  <c r="AJ50" i="41" s="1"/>
  <c r="AA48" i="15"/>
  <c r="Y48" i="15"/>
  <c r="W48" i="15"/>
  <c r="AJ49" i="41" s="1"/>
  <c r="AA47" i="15"/>
  <c r="Y47" i="15"/>
  <c r="W47" i="15"/>
  <c r="AJ48" i="41" s="1"/>
  <c r="AA46" i="15"/>
  <c r="Y46" i="15"/>
  <c r="W46" i="15"/>
  <c r="AJ47" i="41" s="1"/>
  <c r="AA45" i="15"/>
  <c r="Y45" i="15"/>
  <c r="W45" i="15"/>
  <c r="AJ46" i="41" s="1"/>
  <c r="AA44" i="15"/>
  <c r="Y44" i="15"/>
  <c r="W44" i="15"/>
  <c r="AJ45" i="41" s="1"/>
  <c r="AA43" i="15"/>
  <c r="Y43" i="15"/>
  <c r="W43" i="15"/>
  <c r="AJ44" i="41" s="1"/>
  <c r="AA42" i="15"/>
  <c r="Y42" i="15"/>
  <c r="W42" i="15"/>
  <c r="AJ43" i="41" s="1"/>
  <c r="AA41" i="15"/>
  <c r="Y41" i="15"/>
  <c r="W41" i="15"/>
  <c r="AJ42" i="41" s="1"/>
  <c r="AA40" i="15"/>
  <c r="Y40" i="15"/>
  <c r="W40" i="15"/>
  <c r="AJ41" i="41" s="1"/>
  <c r="AA39" i="15"/>
  <c r="Y39" i="15"/>
  <c r="W39" i="15"/>
  <c r="AJ40" i="41" s="1"/>
  <c r="AA38" i="15"/>
  <c r="Y38" i="15"/>
  <c r="W38" i="15"/>
  <c r="AJ39" i="41" s="1"/>
  <c r="AA37" i="15"/>
  <c r="Y37" i="15"/>
  <c r="W37" i="15"/>
  <c r="AJ38" i="41" s="1"/>
  <c r="AA36" i="15"/>
  <c r="Y36" i="15"/>
  <c r="W36" i="15"/>
  <c r="AJ37" i="41" s="1"/>
  <c r="AA35" i="15"/>
  <c r="Y35" i="15"/>
  <c r="W35" i="15"/>
  <c r="AJ36" i="41" s="1"/>
  <c r="AA34" i="15"/>
  <c r="Y34" i="15"/>
  <c r="W34" i="15"/>
  <c r="AJ35" i="41" s="1"/>
  <c r="AA33" i="15"/>
  <c r="Y33" i="15"/>
  <c r="W33" i="15"/>
  <c r="AJ34" i="41" s="1"/>
  <c r="AA32" i="15"/>
  <c r="Y32" i="15"/>
  <c r="W32" i="15"/>
  <c r="AJ33" i="41" s="1"/>
  <c r="AA31" i="15"/>
  <c r="Y31" i="15"/>
  <c r="W31" i="15"/>
  <c r="AJ32" i="41" s="1"/>
  <c r="AA30" i="15"/>
  <c r="Y30" i="15"/>
  <c r="W30" i="15"/>
  <c r="AJ31" i="41" s="1"/>
  <c r="AA29" i="15"/>
  <c r="Y29" i="15"/>
  <c r="W29" i="15"/>
  <c r="AJ30" i="41" s="1"/>
  <c r="AA28" i="15"/>
  <c r="Y28" i="15"/>
  <c r="W28" i="15"/>
  <c r="AJ29" i="41" s="1"/>
  <c r="AA27" i="15"/>
  <c r="Y27" i="15"/>
  <c r="W27" i="15"/>
  <c r="AJ28" i="41" s="1"/>
  <c r="AA26" i="15"/>
  <c r="Y26" i="15"/>
  <c r="W26" i="15"/>
  <c r="AJ27" i="41" s="1"/>
  <c r="AA25" i="15"/>
  <c r="Y25" i="15"/>
  <c r="W25" i="15"/>
  <c r="AJ26" i="41" s="1"/>
  <c r="AA24" i="15"/>
  <c r="Y24" i="15"/>
  <c r="W24" i="15"/>
  <c r="AJ25" i="41" s="1"/>
  <c r="AA23" i="15"/>
  <c r="Y23" i="15"/>
  <c r="W23" i="15"/>
  <c r="AJ24" i="41" s="1"/>
  <c r="AA22" i="15"/>
  <c r="Y22" i="15"/>
  <c r="W22" i="15"/>
  <c r="AJ23" i="41" s="1"/>
  <c r="AA21" i="15"/>
  <c r="Y21" i="15"/>
  <c r="W21" i="15"/>
  <c r="AJ22" i="41" s="1"/>
  <c r="AA20" i="15"/>
  <c r="Y20" i="15"/>
  <c r="W20" i="15"/>
  <c r="AJ21" i="41" s="1"/>
  <c r="AA19" i="15"/>
  <c r="Y19" i="15"/>
  <c r="W19" i="15"/>
  <c r="AJ20" i="41" s="1"/>
  <c r="AA18" i="15"/>
  <c r="Y18" i="15"/>
  <c r="W18" i="15"/>
  <c r="AJ19" i="41" s="1"/>
  <c r="AA17" i="15"/>
  <c r="Y17" i="15"/>
  <c r="W17" i="15"/>
  <c r="AJ18" i="41" s="1"/>
  <c r="AA16" i="15"/>
  <c r="Y16" i="15"/>
  <c r="W16" i="15"/>
  <c r="AJ17" i="41" s="1"/>
  <c r="AA15" i="15"/>
  <c r="Y15" i="15"/>
  <c r="W15" i="15"/>
  <c r="AJ16" i="41" s="1"/>
  <c r="AA14" i="15"/>
  <c r="Y14" i="15"/>
  <c r="W14" i="15"/>
  <c r="AJ15" i="41" s="1"/>
  <c r="AA13" i="15"/>
  <c r="Y13" i="15"/>
  <c r="W13" i="15"/>
  <c r="AJ14" i="41" s="1"/>
  <c r="AA12" i="15"/>
  <c r="Y12" i="15"/>
  <c r="W12" i="15"/>
  <c r="AJ13" i="41" s="1"/>
  <c r="AA11" i="15"/>
  <c r="Y11" i="15"/>
  <c r="W11" i="15"/>
  <c r="AJ12" i="41" s="1"/>
  <c r="AA10" i="15"/>
  <c r="Y10" i="15"/>
  <c r="W10" i="15"/>
  <c r="AJ11" i="41" s="1"/>
  <c r="AA9" i="15"/>
  <c r="Y9" i="15"/>
  <c r="W9" i="15"/>
  <c r="AJ10" i="41" s="1"/>
  <c r="AA8" i="15"/>
  <c r="Y8" i="15"/>
  <c r="W8" i="15"/>
  <c r="AJ9" i="41" s="1"/>
  <c r="AA7" i="15"/>
  <c r="Y7" i="15"/>
  <c r="W7" i="15"/>
  <c r="AJ8" i="41" s="1"/>
  <c r="AA6" i="15"/>
  <c r="Y6" i="15"/>
  <c r="W6" i="15"/>
  <c r="AJ7" i="41" s="1"/>
  <c r="AA5" i="15"/>
  <c r="Y5" i="15"/>
  <c r="W5" i="15"/>
  <c r="AJ6" i="41" s="1"/>
  <c r="AB54" i="14"/>
  <c r="Z54" i="14"/>
  <c r="X54" i="14"/>
  <c r="AG55" i="41" s="1"/>
  <c r="AB53" i="14"/>
  <c r="Z53" i="14"/>
  <c r="X53" i="14"/>
  <c r="AG54" i="41" s="1"/>
  <c r="AB52" i="14"/>
  <c r="Z52" i="14"/>
  <c r="X52" i="14"/>
  <c r="AG53" i="41" s="1"/>
  <c r="AB51" i="14"/>
  <c r="Z51" i="14"/>
  <c r="X51" i="14"/>
  <c r="AG52" i="41" s="1"/>
  <c r="AB50" i="14"/>
  <c r="Z50" i="14"/>
  <c r="X50" i="14"/>
  <c r="AG51" i="41" s="1"/>
  <c r="AB49" i="14"/>
  <c r="Z49" i="14"/>
  <c r="X49" i="14"/>
  <c r="AG50" i="41" s="1"/>
  <c r="AB48" i="14"/>
  <c r="Z48" i="14"/>
  <c r="X48" i="14"/>
  <c r="AG49" i="41" s="1"/>
  <c r="AB47" i="14"/>
  <c r="Z47" i="14"/>
  <c r="X47" i="14"/>
  <c r="AG48" i="41" s="1"/>
  <c r="AB46" i="14"/>
  <c r="Z46" i="14"/>
  <c r="X46" i="14"/>
  <c r="AG47" i="41" s="1"/>
  <c r="AB45" i="14"/>
  <c r="Z45" i="14"/>
  <c r="X45" i="14"/>
  <c r="AG46" i="41" s="1"/>
  <c r="AB44" i="14"/>
  <c r="Z44" i="14"/>
  <c r="X44" i="14"/>
  <c r="AG45" i="41" s="1"/>
  <c r="AB43" i="14"/>
  <c r="Z43" i="14"/>
  <c r="X43" i="14"/>
  <c r="AG44" i="41" s="1"/>
  <c r="AB42" i="14"/>
  <c r="Z42" i="14"/>
  <c r="X42" i="14"/>
  <c r="AG43" i="41" s="1"/>
  <c r="AB41" i="14"/>
  <c r="Z41" i="14"/>
  <c r="X41" i="14"/>
  <c r="AG42" i="41" s="1"/>
  <c r="AB40" i="14"/>
  <c r="Z40" i="14"/>
  <c r="X40" i="14"/>
  <c r="AG41" i="41" s="1"/>
  <c r="AB39" i="14"/>
  <c r="Z39" i="14"/>
  <c r="X39" i="14"/>
  <c r="AG40" i="41" s="1"/>
  <c r="AB38" i="14"/>
  <c r="Z38" i="14"/>
  <c r="X38" i="14"/>
  <c r="AG39" i="41" s="1"/>
  <c r="AB37" i="14"/>
  <c r="Z37" i="14"/>
  <c r="X37" i="14"/>
  <c r="AG38" i="41" s="1"/>
  <c r="AB36" i="14"/>
  <c r="Z36" i="14"/>
  <c r="X36" i="14"/>
  <c r="AG37" i="41" s="1"/>
  <c r="AB35" i="14"/>
  <c r="Z35" i="14"/>
  <c r="X35" i="14"/>
  <c r="AG36" i="41" s="1"/>
  <c r="AB34" i="14"/>
  <c r="Z34" i="14"/>
  <c r="X34" i="14"/>
  <c r="AG35" i="41" s="1"/>
  <c r="AB33" i="14"/>
  <c r="Z33" i="14"/>
  <c r="X33" i="14"/>
  <c r="AG34" i="41" s="1"/>
  <c r="AB32" i="14"/>
  <c r="Z32" i="14"/>
  <c r="X32" i="14"/>
  <c r="AG33" i="41" s="1"/>
  <c r="AB31" i="14"/>
  <c r="Z31" i="14"/>
  <c r="X31" i="14"/>
  <c r="AG32" i="41" s="1"/>
  <c r="AB30" i="14"/>
  <c r="Z30" i="14"/>
  <c r="X30" i="14"/>
  <c r="AG31" i="41" s="1"/>
  <c r="AB29" i="14"/>
  <c r="Z29" i="14"/>
  <c r="X29" i="14"/>
  <c r="AG30" i="41" s="1"/>
  <c r="AB28" i="14"/>
  <c r="Z28" i="14"/>
  <c r="X28" i="14"/>
  <c r="AG29" i="41" s="1"/>
  <c r="AB27" i="14"/>
  <c r="Z27" i="14"/>
  <c r="X27" i="14"/>
  <c r="AG28" i="41" s="1"/>
  <c r="AB26" i="14"/>
  <c r="Z26" i="14"/>
  <c r="X26" i="14"/>
  <c r="AG27" i="41" s="1"/>
  <c r="AB25" i="14"/>
  <c r="Z25" i="14"/>
  <c r="X25" i="14"/>
  <c r="AG26" i="41" s="1"/>
  <c r="AB24" i="14"/>
  <c r="Z24" i="14"/>
  <c r="X24" i="14"/>
  <c r="AG25" i="41" s="1"/>
  <c r="AB23" i="14"/>
  <c r="Z23" i="14"/>
  <c r="X23" i="14"/>
  <c r="AG24" i="41" s="1"/>
  <c r="AB22" i="14"/>
  <c r="Z22" i="14"/>
  <c r="X22" i="14"/>
  <c r="AG23" i="41" s="1"/>
  <c r="AB21" i="14"/>
  <c r="Z21" i="14"/>
  <c r="X21" i="14"/>
  <c r="AG22" i="41" s="1"/>
  <c r="AB20" i="14"/>
  <c r="Z20" i="14"/>
  <c r="X20" i="14"/>
  <c r="AG21" i="41" s="1"/>
  <c r="AB19" i="14"/>
  <c r="Z19" i="14"/>
  <c r="X19" i="14"/>
  <c r="AG20" i="41" s="1"/>
  <c r="AB18" i="14"/>
  <c r="Z18" i="14"/>
  <c r="X18" i="14"/>
  <c r="AG19" i="41" s="1"/>
  <c r="AB17" i="14"/>
  <c r="Z17" i="14"/>
  <c r="X17" i="14"/>
  <c r="AG18" i="41" s="1"/>
  <c r="AB16" i="14"/>
  <c r="Z16" i="14"/>
  <c r="X16" i="14"/>
  <c r="AG17" i="41" s="1"/>
  <c r="AB15" i="14"/>
  <c r="Z15" i="14"/>
  <c r="X15" i="14"/>
  <c r="AG16" i="41" s="1"/>
  <c r="AB14" i="14"/>
  <c r="Z14" i="14"/>
  <c r="X14" i="14"/>
  <c r="AG15" i="41" s="1"/>
  <c r="AB13" i="14"/>
  <c r="Z13" i="14"/>
  <c r="X13" i="14"/>
  <c r="AG14" i="41" s="1"/>
  <c r="AB12" i="14"/>
  <c r="Z12" i="14"/>
  <c r="X12" i="14"/>
  <c r="AG13" i="41" s="1"/>
  <c r="AB11" i="14"/>
  <c r="Z11" i="14"/>
  <c r="X11" i="14"/>
  <c r="AG12" i="41" s="1"/>
  <c r="AB10" i="14"/>
  <c r="Z10" i="14"/>
  <c r="X10" i="14"/>
  <c r="AG11" i="41" s="1"/>
  <c r="AB9" i="14"/>
  <c r="Z9" i="14"/>
  <c r="X9" i="14"/>
  <c r="AG10" i="41" s="1"/>
  <c r="AB8" i="14"/>
  <c r="Z8" i="14"/>
  <c r="X8" i="14"/>
  <c r="AG9" i="41" s="1"/>
  <c r="AB7" i="14"/>
  <c r="Z7" i="14"/>
  <c r="X7" i="14"/>
  <c r="AG8" i="41" s="1"/>
  <c r="AB6" i="14"/>
  <c r="Z6" i="14"/>
  <c r="X6" i="14"/>
  <c r="AG7" i="41" s="1"/>
  <c r="AB5" i="14"/>
  <c r="Z5" i="14"/>
  <c r="X5" i="14"/>
  <c r="AG6" i="41" s="1"/>
  <c r="Y54" i="13"/>
  <c r="W54" i="13"/>
  <c r="U54" i="13"/>
  <c r="AD55" i="41" s="1"/>
  <c r="Y53" i="13"/>
  <c r="W53" i="13"/>
  <c r="U53" i="13"/>
  <c r="Y52" i="13"/>
  <c r="W52" i="13"/>
  <c r="U52" i="13"/>
  <c r="Y51" i="13"/>
  <c r="W51" i="13"/>
  <c r="U51" i="13"/>
  <c r="Y50" i="13"/>
  <c r="W50" i="13"/>
  <c r="U50" i="13"/>
  <c r="Y49" i="13"/>
  <c r="W49" i="13"/>
  <c r="U49" i="13"/>
  <c r="Y48" i="13"/>
  <c r="W48" i="13"/>
  <c r="U48" i="13"/>
  <c r="Y47" i="13"/>
  <c r="W47" i="13"/>
  <c r="U47" i="13"/>
  <c r="Y46" i="13"/>
  <c r="W46" i="13"/>
  <c r="U46" i="13"/>
  <c r="Y45" i="13"/>
  <c r="W45" i="13"/>
  <c r="U45" i="13"/>
  <c r="Y44" i="13"/>
  <c r="W44" i="13"/>
  <c r="U44" i="13"/>
  <c r="AD45" i="41" s="1"/>
  <c r="Y43" i="13"/>
  <c r="W43" i="13"/>
  <c r="U43" i="13"/>
  <c r="AD44" i="41" s="1"/>
  <c r="Y42" i="13"/>
  <c r="W42" i="13"/>
  <c r="U42" i="13"/>
  <c r="AD43" i="41" s="1"/>
  <c r="Y41" i="13"/>
  <c r="W41" i="13"/>
  <c r="U41" i="13"/>
  <c r="AD42" i="41" s="1"/>
  <c r="Y40" i="13"/>
  <c r="W40" i="13"/>
  <c r="U40" i="13"/>
  <c r="AD41" i="41" s="1"/>
  <c r="Y39" i="13"/>
  <c r="W39" i="13"/>
  <c r="U39" i="13"/>
  <c r="AD40" i="41" s="1"/>
  <c r="Y38" i="13"/>
  <c r="W38" i="13"/>
  <c r="U38" i="13"/>
  <c r="AD39" i="41" s="1"/>
  <c r="Y37" i="13"/>
  <c r="W37" i="13"/>
  <c r="U37" i="13"/>
  <c r="AD38" i="41" s="1"/>
  <c r="Y36" i="13"/>
  <c r="W36" i="13"/>
  <c r="U36" i="13"/>
  <c r="AD37" i="41" s="1"/>
  <c r="Y35" i="13"/>
  <c r="W35" i="13"/>
  <c r="U35" i="13"/>
  <c r="AD36" i="41" s="1"/>
  <c r="Y34" i="13"/>
  <c r="W34" i="13"/>
  <c r="U34" i="13"/>
  <c r="AD35" i="41" s="1"/>
  <c r="Y33" i="13"/>
  <c r="W33" i="13"/>
  <c r="U33" i="13"/>
  <c r="AD34" i="41" s="1"/>
  <c r="Y32" i="13"/>
  <c r="W32" i="13"/>
  <c r="U32" i="13"/>
  <c r="AD33" i="41" s="1"/>
  <c r="Y31" i="13"/>
  <c r="W31" i="13"/>
  <c r="U31" i="13"/>
  <c r="AD32" i="41" s="1"/>
  <c r="Y30" i="13"/>
  <c r="W30" i="13"/>
  <c r="U30" i="13"/>
  <c r="AD31" i="41" s="1"/>
  <c r="Y29" i="13"/>
  <c r="W29" i="13"/>
  <c r="U29" i="13"/>
  <c r="AD30" i="41" s="1"/>
  <c r="Y28" i="13"/>
  <c r="W28" i="13"/>
  <c r="U28" i="13"/>
  <c r="AD29" i="41" s="1"/>
  <c r="Y27" i="13"/>
  <c r="W27" i="13"/>
  <c r="U27" i="13"/>
  <c r="AD28" i="41" s="1"/>
  <c r="Y26" i="13"/>
  <c r="W26" i="13"/>
  <c r="U26" i="13"/>
  <c r="AD27" i="41" s="1"/>
  <c r="Y25" i="13"/>
  <c r="W25" i="13"/>
  <c r="U25" i="13"/>
  <c r="AD26" i="41" s="1"/>
  <c r="Y24" i="13"/>
  <c r="W24" i="13"/>
  <c r="U24" i="13"/>
  <c r="AD25" i="41" s="1"/>
  <c r="Y23" i="13"/>
  <c r="W23" i="13"/>
  <c r="U23" i="13"/>
  <c r="AD24" i="41" s="1"/>
  <c r="Y22" i="13"/>
  <c r="W22" i="13"/>
  <c r="U22" i="13"/>
  <c r="AD23" i="41" s="1"/>
  <c r="Y21" i="13"/>
  <c r="W21" i="13"/>
  <c r="U21" i="13"/>
  <c r="AD22" i="41" s="1"/>
  <c r="Y20" i="13"/>
  <c r="W20" i="13"/>
  <c r="U20" i="13"/>
  <c r="AD21" i="41" s="1"/>
  <c r="Y19" i="13"/>
  <c r="W19" i="13"/>
  <c r="U19" i="13"/>
  <c r="AD20" i="41" s="1"/>
  <c r="Y18" i="13"/>
  <c r="W18" i="13"/>
  <c r="U18" i="13"/>
  <c r="AD19" i="41" s="1"/>
  <c r="Y17" i="13"/>
  <c r="W17" i="13"/>
  <c r="U17" i="13"/>
  <c r="AD18" i="41" s="1"/>
  <c r="Y16" i="13"/>
  <c r="W16" i="13"/>
  <c r="U16" i="13"/>
  <c r="AD17" i="41" s="1"/>
  <c r="Y15" i="13"/>
  <c r="W15" i="13"/>
  <c r="U15" i="13"/>
  <c r="AD16" i="41" s="1"/>
  <c r="Y14" i="13"/>
  <c r="W14" i="13"/>
  <c r="U14" i="13"/>
  <c r="AD15" i="41" s="1"/>
  <c r="Y13" i="13"/>
  <c r="W13" i="13"/>
  <c r="U13" i="13"/>
  <c r="AD14" i="41" s="1"/>
  <c r="Y12" i="13"/>
  <c r="W12" i="13"/>
  <c r="U12" i="13"/>
  <c r="AD13" i="41" s="1"/>
  <c r="Y11" i="13"/>
  <c r="W11" i="13"/>
  <c r="U11" i="13"/>
  <c r="AD12" i="41" s="1"/>
  <c r="Y10" i="13"/>
  <c r="W10" i="13"/>
  <c r="U10" i="13"/>
  <c r="AD11" i="41" s="1"/>
  <c r="Y9" i="13"/>
  <c r="W9" i="13"/>
  <c r="U9" i="13"/>
  <c r="AD10" i="41" s="1"/>
  <c r="Y8" i="13"/>
  <c r="W8" i="13"/>
  <c r="U8" i="13"/>
  <c r="AD9" i="41" s="1"/>
  <c r="Y7" i="13"/>
  <c r="W7" i="13"/>
  <c r="U7" i="13"/>
  <c r="AD8" i="41" s="1"/>
  <c r="Y6" i="13"/>
  <c r="W6" i="13"/>
  <c r="U6" i="13"/>
  <c r="AD7" i="41" s="1"/>
  <c r="Y5" i="13"/>
  <c r="W5" i="13"/>
  <c r="U5" i="13"/>
  <c r="AD6" i="41" s="1"/>
  <c r="Y54" i="26"/>
  <c r="W54" i="26"/>
  <c r="U54" i="26"/>
  <c r="AA55" i="41" s="1"/>
  <c r="Y53" i="26"/>
  <c r="W53" i="26"/>
  <c r="U53" i="26"/>
  <c r="Y52" i="26"/>
  <c r="W52" i="26"/>
  <c r="U52" i="26"/>
  <c r="Y51" i="26"/>
  <c r="W51" i="26"/>
  <c r="U51" i="26"/>
  <c r="Y50" i="26"/>
  <c r="W50" i="26"/>
  <c r="U50" i="26"/>
  <c r="Y49" i="26"/>
  <c r="W49" i="26"/>
  <c r="U49" i="26"/>
  <c r="Y48" i="26"/>
  <c r="W48" i="26"/>
  <c r="U48" i="26"/>
  <c r="Y47" i="26"/>
  <c r="W47" i="26"/>
  <c r="U47" i="26"/>
  <c r="Y46" i="26"/>
  <c r="W46" i="26"/>
  <c r="U46" i="26"/>
  <c r="Y45" i="26"/>
  <c r="W45" i="26"/>
  <c r="U45" i="26"/>
  <c r="Y44" i="26"/>
  <c r="W44" i="26"/>
  <c r="U44" i="26"/>
  <c r="AA45" i="41" s="1"/>
  <c r="Y43" i="26"/>
  <c r="W43" i="26"/>
  <c r="U43" i="26"/>
  <c r="AA44" i="41" s="1"/>
  <c r="Y42" i="26"/>
  <c r="W42" i="26"/>
  <c r="U42" i="26"/>
  <c r="AA43" i="41" s="1"/>
  <c r="Y41" i="26"/>
  <c r="W41" i="26"/>
  <c r="U41" i="26"/>
  <c r="AA42" i="41" s="1"/>
  <c r="Y40" i="26"/>
  <c r="W40" i="26"/>
  <c r="U40" i="26"/>
  <c r="AA41" i="41" s="1"/>
  <c r="Y39" i="26"/>
  <c r="W39" i="26"/>
  <c r="U39" i="26"/>
  <c r="AA40" i="41" s="1"/>
  <c r="Y38" i="26"/>
  <c r="W38" i="26"/>
  <c r="U38" i="26"/>
  <c r="AA39" i="41" s="1"/>
  <c r="Y37" i="26"/>
  <c r="W37" i="26"/>
  <c r="U37" i="26"/>
  <c r="AA38" i="41" s="1"/>
  <c r="Y36" i="26"/>
  <c r="W36" i="26"/>
  <c r="U36" i="26"/>
  <c r="AA37" i="41" s="1"/>
  <c r="Y35" i="26"/>
  <c r="W35" i="26"/>
  <c r="U35" i="26"/>
  <c r="AA36" i="41" s="1"/>
  <c r="Y34" i="26"/>
  <c r="W34" i="26"/>
  <c r="U34" i="26"/>
  <c r="AA35" i="41" s="1"/>
  <c r="Y33" i="26"/>
  <c r="W33" i="26"/>
  <c r="U33" i="26"/>
  <c r="AA34" i="41" s="1"/>
  <c r="Y32" i="26"/>
  <c r="W32" i="26"/>
  <c r="U32" i="26"/>
  <c r="AA33" i="41" s="1"/>
  <c r="Y31" i="26"/>
  <c r="W31" i="26"/>
  <c r="U31" i="26"/>
  <c r="AA32" i="41" s="1"/>
  <c r="Y30" i="26"/>
  <c r="W30" i="26"/>
  <c r="U30" i="26"/>
  <c r="AA31" i="41" s="1"/>
  <c r="Y29" i="26"/>
  <c r="W29" i="26"/>
  <c r="U29" i="26"/>
  <c r="AA30" i="41" s="1"/>
  <c r="Y28" i="26"/>
  <c r="W28" i="26"/>
  <c r="U28" i="26"/>
  <c r="AA29" i="41" s="1"/>
  <c r="Y27" i="26"/>
  <c r="W27" i="26"/>
  <c r="U27" i="26"/>
  <c r="AA28" i="41" s="1"/>
  <c r="Y26" i="26"/>
  <c r="W26" i="26"/>
  <c r="U26" i="26"/>
  <c r="AA27" i="41" s="1"/>
  <c r="Y25" i="26"/>
  <c r="W25" i="26"/>
  <c r="U25" i="26"/>
  <c r="AA26" i="41" s="1"/>
  <c r="Y24" i="26"/>
  <c r="W24" i="26"/>
  <c r="U24" i="26"/>
  <c r="AA25" i="41" s="1"/>
  <c r="Y23" i="26"/>
  <c r="W23" i="26"/>
  <c r="U23" i="26"/>
  <c r="AA24" i="41" s="1"/>
  <c r="Y22" i="26"/>
  <c r="W22" i="26"/>
  <c r="U22" i="26"/>
  <c r="AA23" i="41" s="1"/>
  <c r="Y21" i="26"/>
  <c r="W21" i="26"/>
  <c r="U21" i="26"/>
  <c r="AA22" i="41" s="1"/>
  <c r="Y20" i="26"/>
  <c r="W20" i="26"/>
  <c r="U20" i="26"/>
  <c r="AA21" i="41" s="1"/>
  <c r="Y19" i="26"/>
  <c r="W19" i="26"/>
  <c r="U19" i="26"/>
  <c r="AA20" i="41" s="1"/>
  <c r="Y18" i="26"/>
  <c r="W18" i="26"/>
  <c r="U18" i="26"/>
  <c r="AA19" i="41" s="1"/>
  <c r="Y17" i="26"/>
  <c r="W17" i="26"/>
  <c r="U17" i="26"/>
  <c r="AA18" i="41" s="1"/>
  <c r="Y16" i="26"/>
  <c r="W16" i="26"/>
  <c r="U16" i="26"/>
  <c r="AA17" i="41" s="1"/>
  <c r="Y15" i="26"/>
  <c r="W15" i="26"/>
  <c r="U15" i="26"/>
  <c r="AA16" i="41" s="1"/>
  <c r="Y14" i="26"/>
  <c r="W14" i="26"/>
  <c r="U14" i="26"/>
  <c r="AA15" i="41" s="1"/>
  <c r="Y13" i="26"/>
  <c r="W13" i="26"/>
  <c r="U13" i="26"/>
  <c r="AA14" i="41" s="1"/>
  <c r="Y12" i="26"/>
  <c r="W12" i="26"/>
  <c r="U12" i="26"/>
  <c r="AA13" i="41" s="1"/>
  <c r="Y11" i="26"/>
  <c r="W11" i="26"/>
  <c r="U11" i="26"/>
  <c r="AA12" i="41" s="1"/>
  <c r="Y10" i="26"/>
  <c r="W10" i="26"/>
  <c r="U10" i="26"/>
  <c r="AA11" i="41" s="1"/>
  <c r="Y9" i="26"/>
  <c r="W9" i="26"/>
  <c r="U9" i="26"/>
  <c r="AA10" i="41" s="1"/>
  <c r="Y8" i="26"/>
  <c r="W8" i="26"/>
  <c r="U8" i="26"/>
  <c r="AA9" i="41" s="1"/>
  <c r="Y7" i="26"/>
  <c r="W7" i="26"/>
  <c r="U7" i="26"/>
  <c r="AA8" i="41" s="1"/>
  <c r="Y6" i="26"/>
  <c r="W6" i="26"/>
  <c r="U6" i="26"/>
  <c r="AA7" i="41" s="1"/>
  <c r="Y5" i="26"/>
  <c r="W5" i="26"/>
  <c r="U5" i="26"/>
  <c r="AA6" i="41" s="1"/>
  <c r="Y54" i="12"/>
  <c r="W54" i="12"/>
  <c r="U54" i="12"/>
  <c r="Y53" i="12"/>
  <c r="W53" i="12"/>
  <c r="U53" i="12"/>
  <c r="Y52" i="12"/>
  <c r="W52" i="12"/>
  <c r="U52" i="12"/>
  <c r="Y51" i="12"/>
  <c r="W51" i="12"/>
  <c r="U51" i="12"/>
  <c r="Y50" i="12"/>
  <c r="W50" i="12"/>
  <c r="U50" i="12"/>
  <c r="Y49" i="12"/>
  <c r="W49" i="12"/>
  <c r="U49" i="12"/>
  <c r="Y48" i="12"/>
  <c r="W48" i="12"/>
  <c r="U48" i="12"/>
  <c r="Y47" i="12"/>
  <c r="W47" i="12"/>
  <c r="U47" i="12"/>
  <c r="Y46" i="12"/>
  <c r="W46" i="12"/>
  <c r="U46" i="12"/>
  <c r="Y45" i="12"/>
  <c r="W45" i="12"/>
  <c r="U45" i="12"/>
  <c r="Y44" i="12"/>
  <c r="W44" i="12"/>
  <c r="U44" i="12"/>
  <c r="X45" i="41" s="1"/>
  <c r="Y43" i="12"/>
  <c r="W43" i="12"/>
  <c r="U43" i="12"/>
  <c r="X44" i="41" s="1"/>
  <c r="Y42" i="12"/>
  <c r="W42" i="12"/>
  <c r="U42" i="12"/>
  <c r="X43" i="41" s="1"/>
  <c r="Y41" i="12"/>
  <c r="W41" i="12"/>
  <c r="U41" i="12"/>
  <c r="X42" i="41" s="1"/>
  <c r="Y40" i="12"/>
  <c r="W40" i="12"/>
  <c r="U40" i="12"/>
  <c r="X41" i="41" s="1"/>
  <c r="Y39" i="12"/>
  <c r="W39" i="12"/>
  <c r="U39" i="12"/>
  <c r="X40" i="41" s="1"/>
  <c r="Y38" i="12"/>
  <c r="W38" i="12"/>
  <c r="U38" i="12"/>
  <c r="X39" i="41" s="1"/>
  <c r="Y37" i="12"/>
  <c r="W37" i="12"/>
  <c r="U37" i="12"/>
  <c r="X38" i="41" s="1"/>
  <c r="Y36" i="12"/>
  <c r="W36" i="12"/>
  <c r="U36" i="12"/>
  <c r="X37" i="41" s="1"/>
  <c r="Y35" i="12"/>
  <c r="W35" i="12"/>
  <c r="U35" i="12"/>
  <c r="X36" i="41" s="1"/>
  <c r="Y34" i="12"/>
  <c r="W34" i="12"/>
  <c r="U34" i="12"/>
  <c r="X35" i="41" s="1"/>
  <c r="Y33" i="12"/>
  <c r="W33" i="12"/>
  <c r="U33" i="12"/>
  <c r="X34" i="41" s="1"/>
  <c r="Y32" i="12"/>
  <c r="W32" i="12"/>
  <c r="U32" i="12"/>
  <c r="X33" i="41" s="1"/>
  <c r="Y31" i="12"/>
  <c r="W31" i="12"/>
  <c r="U31" i="12"/>
  <c r="X32" i="41" s="1"/>
  <c r="Y30" i="12"/>
  <c r="W30" i="12"/>
  <c r="U30" i="12"/>
  <c r="X31" i="41" s="1"/>
  <c r="Y29" i="12"/>
  <c r="W29" i="12"/>
  <c r="U29" i="12"/>
  <c r="X30" i="41" s="1"/>
  <c r="Y28" i="12"/>
  <c r="W28" i="12"/>
  <c r="U28" i="12"/>
  <c r="X29" i="41" s="1"/>
  <c r="Y27" i="12"/>
  <c r="W27" i="12"/>
  <c r="U27" i="12"/>
  <c r="X28" i="41" s="1"/>
  <c r="Y26" i="12"/>
  <c r="W26" i="12"/>
  <c r="U26" i="12"/>
  <c r="X27" i="41" s="1"/>
  <c r="Y25" i="12"/>
  <c r="W25" i="12"/>
  <c r="U25" i="12"/>
  <c r="X26" i="41" s="1"/>
  <c r="Y24" i="12"/>
  <c r="W24" i="12"/>
  <c r="U24" i="12"/>
  <c r="X25" i="41" s="1"/>
  <c r="Y23" i="12"/>
  <c r="W23" i="12"/>
  <c r="U23" i="12"/>
  <c r="X24" i="41" s="1"/>
  <c r="Y22" i="12"/>
  <c r="W22" i="12"/>
  <c r="U22" i="12"/>
  <c r="X23" i="41" s="1"/>
  <c r="Y21" i="12"/>
  <c r="W21" i="12"/>
  <c r="U21" i="12"/>
  <c r="X22" i="41" s="1"/>
  <c r="Y20" i="12"/>
  <c r="W20" i="12"/>
  <c r="U20" i="12"/>
  <c r="X21" i="41" s="1"/>
  <c r="Y19" i="12"/>
  <c r="W19" i="12"/>
  <c r="U19" i="12"/>
  <c r="X20" i="41" s="1"/>
  <c r="Y18" i="12"/>
  <c r="W18" i="12"/>
  <c r="U18" i="12"/>
  <c r="X19" i="41" s="1"/>
  <c r="Y17" i="12"/>
  <c r="W17" i="12"/>
  <c r="U17" i="12"/>
  <c r="X18" i="41" s="1"/>
  <c r="Y16" i="12"/>
  <c r="W16" i="12"/>
  <c r="U16" i="12"/>
  <c r="X17" i="41" s="1"/>
  <c r="Y15" i="12"/>
  <c r="W15" i="12"/>
  <c r="U15" i="12"/>
  <c r="X16" i="41" s="1"/>
  <c r="Y14" i="12"/>
  <c r="W14" i="12"/>
  <c r="U14" i="12"/>
  <c r="X15" i="41" s="1"/>
  <c r="Y13" i="12"/>
  <c r="W13" i="12"/>
  <c r="U13" i="12"/>
  <c r="X14" i="41" s="1"/>
  <c r="Y12" i="12"/>
  <c r="W12" i="12"/>
  <c r="U12" i="12"/>
  <c r="X13" i="41" s="1"/>
  <c r="Y11" i="12"/>
  <c r="W11" i="12"/>
  <c r="U11" i="12"/>
  <c r="X12" i="41" s="1"/>
  <c r="Y10" i="12"/>
  <c r="W10" i="12"/>
  <c r="U10" i="12"/>
  <c r="X11" i="41" s="1"/>
  <c r="Y9" i="12"/>
  <c r="W9" i="12"/>
  <c r="U9" i="12"/>
  <c r="X10" i="41" s="1"/>
  <c r="Y8" i="12"/>
  <c r="W8" i="12"/>
  <c r="U8" i="12"/>
  <c r="X9" i="41" s="1"/>
  <c r="Y7" i="12"/>
  <c r="W7" i="12"/>
  <c r="U7" i="12"/>
  <c r="X8" i="41" s="1"/>
  <c r="Y6" i="12"/>
  <c r="W6" i="12"/>
  <c r="U6" i="12"/>
  <c r="X7" i="41" s="1"/>
  <c r="Y5" i="12"/>
  <c r="W5" i="12"/>
  <c r="U5" i="12"/>
  <c r="X6" i="41" s="1"/>
  <c r="Y54" i="34"/>
  <c r="W54" i="34"/>
  <c r="U54" i="34"/>
  <c r="U55" i="41" s="1"/>
  <c r="Y53" i="34"/>
  <c r="W53" i="34"/>
  <c r="U53" i="34"/>
  <c r="Y52" i="34"/>
  <c r="W52" i="34"/>
  <c r="U52" i="34"/>
  <c r="Y51" i="34"/>
  <c r="W51" i="34"/>
  <c r="U51" i="34"/>
  <c r="Y50" i="34"/>
  <c r="W50" i="34"/>
  <c r="U50" i="34"/>
  <c r="Y49" i="34"/>
  <c r="W49" i="34"/>
  <c r="U49" i="34"/>
  <c r="Y48" i="34"/>
  <c r="W48" i="34"/>
  <c r="U48" i="34"/>
  <c r="Y47" i="34"/>
  <c r="W47" i="34"/>
  <c r="U47" i="34"/>
  <c r="Y46" i="34"/>
  <c r="W46" i="34"/>
  <c r="U46" i="34"/>
  <c r="Y45" i="34"/>
  <c r="W45" i="34"/>
  <c r="U45" i="34"/>
  <c r="Y44" i="34"/>
  <c r="W44" i="34"/>
  <c r="U44" i="34"/>
  <c r="U45" i="41" s="1"/>
  <c r="Y43" i="34"/>
  <c r="W43" i="34"/>
  <c r="U43" i="34"/>
  <c r="U44" i="41" s="1"/>
  <c r="Y42" i="34"/>
  <c r="W42" i="34"/>
  <c r="U42" i="34"/>
  <c r="U43" i="41" s="1"/>
  <c r="Y41" i="34"/>
  <c r="W41" i="34"/>
  <c r="U41" i="34"/>
  <c r="U42" i="41" s="1"/>
  <c r="Y40" i="34"/>
  <c r="W40" i="34"/>
  <c r="U40" i="34"/>
  <c r="U41" i="41" s="1"/>
  <c r="Y39" i="34"/>
  <c r="W39" i="34"/>
  <c r="U39" i="34"/>
  <c r="U40" i="41" s="1"/>
  <c r="Y38" i="34"/>
  <c r="W38" i="34"/>
  <c r="U38" i="34"/>
  <c r="U39" i="41" s="1"/>
  <c r="Y37" i="34"/>
  <c r="W37" i="34"/>
  <c r="U37" i="34"/>
  <c r="U38" i="41" s="1"/>
  <c r="Y36" i="34"/>
  <c r="W36" i="34"/>
  <c r="U36" i="34"/>
  <c r="U37" i="41" s="1"/>
  <c r="Y35" i="34"/>
  <c r="W35" i="34"/>
  <c r="U35" i="34"/>
  <c r="U36" i="41" s="1"/>
  <c r="Y34" i="34"/>
  <c r="W34" i="34"/>
  <c r="U34" i="34"/>
  <c r="U35" i="41" s="1"/>
  <c r="Y33" i="34"/>
  <c r="W33" i="34"/>
  <c r="U33" i="34"/>
  <c r="U34" i="41" s="1"/>
  <c r="Y32" i="34"/>
  <c r="W32" i="34"/>
  <c r="U32" i="34"/>
  <c r="U33" i="41" s="1"/>
  <c r="Y31" i="34"/>
  <c r="W31" i="34"/>
  <c r="U31" i="34"/>
  <c r="U32" i="41" s="1"/>
  <c r="Y30" i="34"/>
  <c r="W30" i="34"/>
  <c r="U30" i="34"/>
  <c r="U31" i="41" s="1"/>
  <c r="Y29" i="34"/>
  <c r="W29" i="34"/>
  <c r="U29" i="34"/>
  <c r="U30" i="41" s="1"/>
  <c r="Y28" i="34"/>
  <c r="W28" i="34"/>
  <c r="U28" i="34"/>
  <c r="U29" i="41" s="1"/>
  <c r="Y27" i="34"/>
  <c r="W27" i="34"/>
  <c r="U27" i="34"/>
  <c r="U28" i="41" s="1"/>
  <c r="Y26" i="34"/>
  <c r="W26" i="34"/>
  <c r="U26" i="34"/>
  <c r="U27" i="41" s="1"/>
  <c r="Y25" i="34"/>
  <c r="W25" i="34"/>
  <c r="U25" i="34"/>
  <c r="U26" i="41" s="1"/>
  <c r="Y24" i="34"/>
  <c r="W24" i="34"/>
  <c r="U24" i="34"/>
  <c r="U25" i="41" s="1"/>
  <c r="Y23" i="34"/>
  <c r="W23" i="34"/>
  <c r="U23" i="34"/>
  <c r="U24" i="41" s="1"/>
  <c r="Y22" i="34"/>
  <c r="W22" i="34"/>
  <c r="U22" i="34"/>
  <c r="U23" i="41" s="1"/>
  <c r="Y21" i="34"/>
  <c r="W21" i="34"/>
  <c r="U21" i="34"/>
  <c r="U22" i="41" s="1"/>
  <c r="Y20" i="34"/>
  <c r="W20" i="34"/>
  <c r="U20" i="34"/>
  <c r="U21" i="41" s="1"/>
  <c r="Y19" i="34"/>
  <c r="W19" i="34"/>
  <c r="U19" i="34"/>
  <c r="U20" i="41" s="1"/>
  <c r="Y18" i="34"/>
  <c r="W18" i="34"/>
  <c r="U18" i="34"/>
  <c r="U19" i="41" s="1"/>
  <c r="Y17" i="34"/>
  <c r="W17" i="34"/>
  <c r="U17" i="34"/>
  <c r="U18" i="41" s="1"/>
  <c r="Y16" i="34"/>
  <c r="W16" i="34"/>
  <c r="U16" i="34"/>
  <c r="U17" i="41" s="1"/>
  <c r="Y15" i="34"/>
  <c r="W15" i="34"/>
  <c r="U15" i="34"/>
  <c r="U16" i="41" s="1"/>
  <c r="Y14" i="34"/>
  <c r="W14" i="34"/>
  <c r="U14" i="34"/>
  <c r="U15" i="41" s="1"/>
  <c r="Y13" i="34"/>
  <c r="W13" i="34"/>
  <c r="U13" i="34"/>
  <c r="U14" i="41" s="1"/>
  <c r="Y12" i="34"/>
  <c r="W12" i="34"/>
  <c r="U12" i="34"/>
  <c r="U13" i="41" s="1"/>
  <c r="Y11" i="34"/>
  <c r="W11" i="34"/>
  <c r="U11" i="34"/>
  <c r="U12" i="41" s="1"/>
  <c r="Y10" i="34"/>
  <c r="W10" i="34"/>
  <c r="U10" i="34"/>
  <c r="U11" i="41" s="1"/>
  <c r="Y9" i="34"/>
  <c r="W9" i="34"/>
  <c r="U9" i="34"/>
  <c r="U10" i="41" s="1"/>
  <c r="Y8" i="34"/>
  <c r="W8" i="34"/>
  <c r="U8" i="34"/>
  <c r="U9" i="41" s="1"/>
  <c r="Y7" i="34"/>
  <c r="W7" i="34"/>
  <c r="U7" i="34"/>
  <c r="U8" i="41" s="1"/>
  <c r="Y6" i="34"/>
  <c r="W6" i="34"/>
  <c r="U6" i="34"/>
  <c r="U7" i="41" s="1"/>
  <c r="Y5" i="34"/>
  <c r="W5" i="34"/>
  <c r="U5" i="34"/>
  <c r="U6" i="41" s="1"/>
  <c r="Y54" i="33"/>
  <c r="W54" i="33"/>
  <c r="U54" i="33"/>
  <c r="R55" i="41" s="1"/>
  <c r="Y53" i="33"/>
  <c r="W53" i="33"/>
  <c r="U53" i="33"/>
  <c r="Y52" i="33"/>
  <c r="W52" i="33"/>
  <c r="U52" i="33"/>
  <c r="Y51" i="33"/>
  <c r="W51" i="33"/>
  <c r="U51" i="33"/>
  <c r="Y50" i="33"/>
  <c r="W50" i="33"/>
  <c r="U50" i="33"/>
  <c r="Y49" i="33"/>
  <c r="W49" i="33"/>
  <c r="U49" i="33"/>
  <c r="Y48" i="33"/>
  <c r="W48" i="33"/>
  <c r="U48" i="33"/>
  <c r="Y47" i="33"/>
  <c r="W47" i="33"/>
  <c r="U47" i="33"/>
  <c r="Y46" i="33"/>
  <c r="W46" i="33"/>
  <c r="U46" i="33"/>
  <c r="Y45" i="33"/>
  <c r="W45" i="33"/>
  <c r="U45" i="33"/>
  <c r="Y44" i="33"/>
  <c r="W44" i="33"/>
  <c r="U44" i="33"/>
  <c r="R45" i="41" s="1"/>
  <c r="Y43" i="33"/>
  <c r="W43" i="33"/>
  <c r="U43" i="33"/>
  <c r="R44" i="41" s="1"/>
  <c r="Y42" i="33"/>
  <c r="W42" i="33"/>
  <c r="U42" i="33"/>
  <c r="R43" i="41" s="1"/>
  <c r="Y41" i="33"/>
  <c r="W41" i="33"/>
  <c r="U41" i="33"/>
  <c r="R42" i="41" s="1"/>
  <c r="Y40" i="33"/>
  <c r="W40" i="33"/>
  <c r="U40" i="33"/>
  <c r="R41" i="41" s="1"/>
  <c r="Y39" i="33"/>
  <c r="W39" i="33"/>
  <c r="U39" i="33"/>
  <c r="R40" i="41" s="1"/>
  <c r="Y38" i="33"/>
  <c r="W38" i="33"/>
  <c r="U38" i="33"/>
  <c r="R39" i="41" s="1"/>
  <c r="Y37" i="33"/>
  <c r="W37" i="33"/>
  <c r="U37" i="33"/>
  <c r="R38" i="41" s="1"/>
  <c r="Y36" i="33"/>
  <c r="W36" i="33"/>
  <c r="U36" i="33"/>
  <c r="R37" i="41" s="1"/>
  <c r="Y35" i="33"/>
  <c r="W35" i="33"/>
  <c r="U35" i="33"/>
  <c r="R36" i="41" s="1"/>
  <c r="Y34" i="33"/>
  <c r="W34" i="33"/>
  <c r="U34" i="33"/>
  <c r="R35" i="41" s="1"/>
  <c r="Y33" i="33"/>
  <c r="W33" i="33"/>
  <c r="U33" i="33"/>
  <c r="R34" i="41" s="1"/>
  <c r="Y32" i="33"/>
  <c r="W32" i="33"/>
  <c r="U32" i="33"/>
  <c r="R33" i="41" s="1"/>
  <c r="Y31" i="33"/>
  <c r="W31" i="33"/>
  <c r="U31" i="33"/>
  <c r="R32" i="41" s="1"/>
  <c r="Y30" i="33"/>
  <c r="W30" i="33"/>
  <c r="U30" i="33"/>
  <c r="R31" i="41" s="1"/>
  <c r="Y29" i="33"/>
  <c r="W29" i="33"/>
  <c r="U29" i="33"/>
  <c r="R30" i="41" s="1"/>
  <c r="Y28" i="33"/>
  <c r="W28" i="33"/>
  <c r="U28" i="33"/>
  <c r="R29" i="41" s="1"/>
  <c r="Y27" i="33"/>
  <c r="W27" i="33"/>
  <c r="U27" i="33"/>
  <c r="R28" i="41" s="1"/>
  <c r="Y26" i="33"/>
  <c r="W26" i="33"/>
  <c r="U26" i="33"/>
  <c r="R27" i="41" s="1"/>
  <c r="Y25" i="33"/>
  <c r="W25" i="33"/>
  <c r="U25" i="33"/>
  <c r="R26" i="41" s="1"/>
  <c r="Y24" i="33"/>
  <c r="W24" i="33"/>
  <c r="U24" i="33"/>
  <c r="R25" i="41" s="1"/>
  <c r="Y23" i="33"/>
  <c r="W23" i="33"/>
  <c r="U23" i="33"/>
  <c r="R24" i="41" s="1"/>
  <c r="Y22" i="33"/>
  <c r="W22" i="33"/>
  <c r="U22" i="33"/>
  <c r="R23" i="41" s="1"/>
  <c r="Y21" i="33"/>
  <c r="W21" i="33"/>
  <c r="U21" i="33"/>
  <c r="R22" i="41" s="1"/>
  <c r="Y20" i="33"/>
  <c r="W20" i="33"/>
  <c r="U20" i="33"/>
  <c r="R21" i="41" s="1"/>
  <c r="Y19" i="33"/>
  <c r="W19" i="33"/>
  <c r="U19" i="33"/>
  <c r="R20" i="41" s="1"/>
  <c r="Y18" i="33"/>
  <c r="W18" i="33"/>
  <c r="U18" i="33"/>
  <c r="R19" i="41" s="1"/>
  <c r="Y17" i="33"/>
  <c r="W17" i="33"/>
  <c r="U17" i="33"/>
  <c r="R18" i="41" s="1"/>
  <c r="Y16" i="33"/>
  <c r="W16" i="33"/>
  <c r="U16" i="33"/>
  <c r="R17" i="41" s="1"/>
  <c r="Y15" i="33"/>
  <c r="W15" i="33"/>
  <c r="U15" i="33"/>
  <c r="R16" i="41" s="1"/>
  <c r="Y14" i="33"/>
  <c r="W14" i="33"/>
  <c r="U14" i="33"/>
  <c r="R15" i="41" s="1"/>
  <c r="Y13" i="33"/>
  <c r="W13" i="33"/>
  <c r="U13" i="33"/>
  <c r="R14" i="41" s="1"/>
  <c r="Y12" i="33"/>
  <c r="W12" i="33"/>
  <c r="U12" i="33"/>
  <c r="R13" i="41" s="1"/>
  <c r="Y11" i="33"/>
  <c r="W11" i="33"/>
  <c r="U11" i="33"/>
  <c r="R12" i="41" s="1"/>
  <c r="Y10" i="33"/>
  <c r="W10" i="33"/>
  <c r="U10" i="33"/>
  <c r="R11" i="41" s="1"/>
  <c r="Y9" i="33"/>
  <c r="W9" i="33"/>
  <c r="U9" i="33"/>
  <c r="R10" i="41" s="1"/>
  <c r="Y8" i="33"/>
  <c r="W8" i="33"/>
  <c r="U8" i="33"/>
  <c r="R9" i="41" s="1"/>
  <c r="Y7" i="33"/>
  <c r="W7" i="33"/>
  <c r="U7" i="33"/>
  <c r="R8" i="41" s="1"/>
  <c r="Y6" i="33"/>
  <c r="W6" i="33"/>
  <c r="U6" i="33"/>
  <c r="R7" i="41" s="1"/>
  <c r="Y5" i="33"/>
  <c r="W5" i="33"/>
  <c r="U5" i="33"/>
  <c r="R6" i="41" s="1"/>
  <c r="Y54" i="11"/>
  <c r="W54" i="11"/>
  <c r="U54" i="11"/>
  <c r="O55" i="41" s="1"/>
  <c r="Y53" i="11"/>
  <c r="W53" i="11"/>
  <c r="U53" i="11"/>
  <c r="Y52" i="11"/>
  <c r="W52" i="11"/>
  <c r="U52" i="11"/>
  <c r="Y51" i="11"/>
  <c r="W51" i="11"/>
  <c r="U51" i="11"/>
  <c r="Y50" i="11"/>
  <c r="W50" i="11"/>
  <c r="U50" i="11"/>
  <c r="Y49" i="11"/>
  <c r="W49" i="11"/>
  <c r="U49" i="11"/>
  <c r="Y48" i="11"/>
  <c r="W48" i="11"/>
  <c r="U48" i="11"/>
  <c r="Y47" i="11"/>
  <c r="W47" i="11"/>
  <c r="U47" i="11"/>
  <c r="Y46" i="11"/>
  <c r="W46" i="11"/>
  <c r="U46" i="11"/>
  <c r="Y45" i="11"/>
  <c r="W45" i="11"/>
  <c r="U45" i="11"/>
  <c r="Y44" i="11"/>
  <c r="W44" i="11"/>
  <c r="U44" i="11"/>
  <c r="O45" i="41" s="1"/>
  <c r="Y43" i="11"/>
  <c r="W43" i="11"/>
  <c r="U43" i="11"/>
  <c r="O44" i="41" s="1"/>
  <c r="Y42" i="11"/>
  <c r="W42" i="11"/>
  <c r="U42" i="11"/>
  <c r="O43" i="41" s="1"/>
  <c r="Y41" i="11"/>
  <c r="W41" i="11"/>
  <c r="U41" i="11"/>
  <c r="O42" i="41" s="1"/>
  <c r="Y40" i="11"/>
  <c r="W40" i="11"/>
  <c r="U40" i="11"/>
  <c r="O41" i="41" s="1"/>
  <c r="Y39" i="11"/>
  <c r="W39" i="11"/>
  <c r="U39" i="11"/>
  <c r="O40" i="41" s="1"/>
  <c r="Y38" i="11"/>
  <c r="W38" i="11"/>
  <c r="U38" i="11"/>
  <c r="O39" i="41" s="1"/>
  <c r="Y37" i="11"/>
  <c r="W37" i="11"/>
  <c r="U37" i="11"/>
  <c r="O38" i="41" s="1"/>
  <c r="Y36" i="11"/>
  <c r="W36" i="11"/>
  <c r="U36" i="11"/>
  <c r="O37" i="41" s="1"/>
  <c r="Y35" i="11"/>
  <c r="W35" i="11"/>
  <c r="U35" i="11"/>
  <c r="O36" i="41" s="1"/>
  <c r="Y34" i="11"/>
  <c r="W34" i="11"/>
  <c r="U34" i="11"/>
  <c r="O35" i="41" s="1"/>
  <c r="Y33" i="11"/>
  <c r="W33" i="11"/>
  <c r="U33" i="11"/>
  <c r="O34" i="41" s="1"/>
  <c r="Y32" i="11"/>
  <c r="W32" i="11"/>
  <c r="U32" i="11"/>
  <c r="O33" i="41" s="1"/>
  <c r="Y31" i="11"/>
  <c r="W31" i="11"/>
  <c r="U31" i="11"/>
  <c r="O32" i="41" s="1"/>
  <c r="Y30" i="11"/>
  <c r="W30" i="11"/>
  <c r="U30" i="11"/>
  <c r="O31" i="41" s="1"/>
  <c r="Y29" i="11"/>
  <c r="W29" i="11"/>
  <c r="U29" i="11"/>
  <c r="O30" i="41" s="1"/>
  <c r="Y28" i="11"/>
  <c r="W28" i="11"/>
  <c r="U28" i="11"/>
  <c r="O29" i="41" s="1"/>
  <c r="Y27" i="11"/>
  <c r="W27" i="11"/>
  <c r="U27" i="11"/>
  <c r="O28" i="41" s="1"/>
  <c r="Y26" i="11"/>
  <c r="W26" i="11"/>
  <c r="U26" i="11"/>
  <c r="O27" i="41" s="1"/>
  <c r="Y25" i="11"/>
  <c r="W25" i="11"/>
  <c r="U25" i="11"/>
  <c r="O26" i="41" s="1"/>
  <c r="Y24" i="11"/>
  <c r="W24" i="11"/>
  <c r="U24" i="11"/>
  <c r="O25" i="41" s="1"/>
  <c r="Y23" i="11"/>
  <c r="W23" i="11"/>
  <c r="U23" i="11"/>
  <c r="O24" i="41" s="1"/>
  <c r="Y22" i="11"/>
  <c r="W22" i="11"/>
  <c r="U22" i="11"/>
  <c r="O23" i="41" s="1"/>
  <c r="Y21" i="11"/>
  <c r="W21" i="11"/>
  <c r="U21" i="11"/>
  <c r="O22" i="41" s="1"/>
  <c r="Y20" i="11"/>
  <c r="W20" i="11"/>
  <c r="U20" i="11"/>
  <c r="O21" i="41" s="1"/>
  <c r="Y19" i="11"/>
  <c r="W19" i="11"/>
  <c r="U19" i="11"/>
  <c r="O20" i="41" s="1"/>
  <c r="Y18" i="11"/>
  <c r="W18" i="11"/>
  <c r="U18" i="11"/>
  <c r="O19" i="41" s="1"/>
  <c r="Y17" i="11"/>
  <c r="W17" i="11"/>
  <c r="U17" i="11"/>
  <c r="O18" i="41" s="1"/>
  <c r="Y16" i="11"/>
  <c r="W16" i="11"/>
  <c r="U16" i="11"/>
  <c r="O17" i="41" s="1"/>
  <c r="Y15" i="11"/>
  <c r="W15" i="11"/>
  <c r="U15" i="11"/>
  <c r="O16" i="41" s="1"/>
  <c r="Y14" i="11"/>
  <c r="W14" i="11"/>
  <c r="U14" i="11"/>
  <c r="O15" i="41" s="1"/>
  <c r="Y13" i="11"/>
  <c r="W13" i="11"/>
  <c r="U13" i="11"/>
  <c r="O14" i="41" s="1"/>
  <c r="Y12" i="11"/>
  <c r="W12" i="11"/>
  <c r="U12" i="11"/>
  <c r="O13" i="41" s="1"/>
  <c r="Y11" i="11"/>
  <c r="W11" i="11"/>
  <c r="U11" i="11"/>
  <c r="O12" i="41" s="1"/>
  <c r="Y10" i="11"/>
  <c r="W10" i="11"/>
  <c r="U10" i="11"/>
  <c r="O11" i="41" s="1"/>
  <c r="Y9" i="11"/>
  <c r="W9" i="11"/>
  <c r="U9" i="11"/>
  <c r="O10" i="41" s="1"/>
  <c r="Y8" i="11"/>
  <c r="W8" i="11"/>
  <c r="U8" i="11"/>
  <c r="O9" i="41" s="1"/>
  <c r="Y7" i="11"/>
  <c r="W7" i="11"/>
  <c r="U7" i="11"/>
  <c r="O8" i="41" s="1"/>
  <c r="Y6" i="11"/>
  <c r="W6" i="11"/>
  <c r="U6" i="11"/>
  <c r="O7" i="41" s="1"/>
  <c r="Y5" i="11"/>
  <c r="W5" i="11"/>
  <c r="U5" i="11"/>
  <c r="O6" i="41" s="1"/>
  <c r="Y54" i="10"/>
  <c r="W54" i="10"/>
  <c r="U54" i="10"/>
  <c r="L55" i="41" s="1"/>
  <c r="Y53" i="10"/>
  <c r="W53" i="10"/>
  <c r="U53" i="10"/>
  <c r="Y52" i="10"/>
  <c r="W52" i="10"/>
  <c r="U52" i="10"/>
  <c r="Y51" i="10"/>
  <c r="W51" i="10"/>
  <c r="U51" i="10"/>
  <c r="Y50" i="10"/>
  <c r="W50" i="10"/>
  <c r="U50" i="10"/>
  <c r="Y49" i="10"/>
  <c r="W49" i="10"/>
  <c r="U49" i="10"/>
  <c r="Y48" i="10"/>
  <c r="W48" i="10"/>
  <c r="U48" i="10"/>
  <c r="Y47" i="10"/>
  <c r="W47" i="10"/>
  <c r="U47" i="10"/>
  <c r="Y46" i="10"/>
  <c r="W46" i="10"/>
  <c r="U46" i="10"/>
  <c r="Y45" i="10"/>
  <c r="W45" i="10"/>
  <c r="U45" i="10"/>
  <c r="Y44" i="10"/>
  <c r="W44" i="10"/>
  <c r="U44" i="10"/>
  <c r="L45" i="41" s="1"/>
  <c r="Y43" i="10"/>
  <c r="W43" i="10"/>
  <c r="U43" i="10"/>
  <c r="L44" i="41" s="1"/>
  <c r="Y42" i="10"/>
  <c r="W42" i="10"/>
  <c r="U42" i="10"/>
  <c r="L43" i="41" s="1"/>
  <c r="Y41" i="10"/>
  <c r="W41" i="10"/>
  <c r="U41" i="10"/>
  <c r="L42" i="41" s="1"/>
  <c r="Y40" i="10"/>
  <c r="W40" i="10"/>
  <c r="U40" i="10"/>
  <c r="L41" i="41" s="1"/>
  <c r="Y39" i="10"/>
  <c r="W39" i="10"/>
  <c r="U39" i="10"/>
  <c r="L40" i="41" s="1"/>
  <c r="Y38" i="10"/>
  <c r="W38" i="10"/>
  <c r="U38" i="10"/>
  <c r="L39" i="41" s="1"/>
  <c r="Y37" i="10"/>
  <c r="W37" i="10"/>
  <c r="U37" i="10"/>
  <c r="L38" i="41" s="1"/>
  <c r="Y36" i="10"/>
  <c r="W36" i="10"/>
  <c r="U36" i="10"/>
  <c r="L37" i="41" s="1"/>
  <c r="Y35" i="10"/>
  <c r="W35" i="10"/>
  <c r="U35" i="10"/>
  <c r="L36" i="41" s="1"/>
  <c r="Y34" i="10"/>
  <c r="W34" i="10"/>
  <c r="U34" i="10"/>
  <c r="L35" i="41" s="1"/>
  <c r="Y33" i="10"/>
  <c r="W33" i="10"/>
  <c r="U33" i="10"/>
  <c r="L34" i="41" s="1"/>
  <c r="Y32" i="10"/>
  <c r="W32" i="10"/>
  <c r="U32" i="10"/>
  <c r="L33" i="41" s="1"/>
  <c r="Y31" i="10"/>
  <c r="W31" i="10"/>
  <c r="U31" i="10"/>
  <c r="L32" i="41" s="1"/>
  <c r="Y30" i="10"/>
  <c r="W30" i="10"/>
  <c r="U30" i="10"/>
  <c r="L31" i="41" s="1"/>
  <c r="Y29" i="10"/>
  <c r="W29" i="10"/>
  <c r="U29" i="10"/>
  <c r="L30" i="41" s="1"/>
  <c r="Y28" i="10"/>
  <c r="W28" i="10"/>
  <c r="U28" i="10"/>
  <c r="L29" i="41" s="1"/>
  <c r="Y27" i="10"/>
  <c r="W27" i="10"/>
  <c r="U27" i="10"/>
  <c r="L28" i="41" s="1"/>
  <c r="Y26" i="10"/>
  <c r="W26" i="10"/>
  <c r="U26" i="10"/>
  <c r="L27" i="41" s="1"/>
  <c r="Y25" i="10"/>
  <c r="W25" i="10"/>
  <c r="U25" i="10"/>
  <c r="L26" i="41" s="1"/>
  <c r="Y24" i="10"/>
  <c r="W24" i="10"/>
  <c r="U24" i="10"/>
  <c r="L25" i="41" s="1"/>
  <c r="Y23" i="10"/>
  <c r="W23" i="10"/>
  <c r="U23" i="10"/>
  <c r="L24" i="41" s="1"/>
  <c r="Y22" i="10"/>
  <c r="W22" i="10"/>
  <c r="U22" i="10"/>
  <c r="L23" i="41" s="1"/>
  <c r="Y21" i="10"/>
  <c r="W21" i="10"/>
  <c r="U21" i="10"/>
  <c r="L22" i="41" s="1"/>
  <c r="Y20" i="10"/>
  <c r="W20" i="10"/>
  <c r="U20" i="10"/>
  <c r="L21" i="41" s="1"/>
  <c r="Y19" i="10"/>
  <c r="W19" i="10"/>
  <c r="U19" i="10"/>
  <c r="L20" i="41" s="1"/>
  <c r="Y18" i="10"/>
  <c r="W18" i="10"/>
  <c r="U18" i="10"/>
  <c r="L19" i="41" s="1"/>
  <c r="Y17" i="10"/>
  <c r="W17" i="10"/>
  <c r="U17" i="10"/>
  <c r="L18" i="41" s="1"/>
  <c r="Y16" i="10"/>
  <c r="W16" i="10"/>
  <c r="U16" i="10"/>
  <c r="L17" i="41" s="1"/>
  <c r="Y15" i="10"/>
  <c r="W15" i="10"/>
  <c r="U15" i="10"/>
  <c r="L16" i="41" s="1"/>
  <c r="Y14" i="10"/>
  <c r="W14" i="10"/>
  <c r="U14" i="10"/>
  <c r="L15" i="41" s="1"/>
  <c r="Y13" i="10"/>
  <c r="W13" i="10"/>
  <c r="U13" i="10"/>
  <c r="L14" i="41" s="1"/>
  <c r="Y12" i="10"/>
  <c r="W12" i="10"/>
  <c r="U12" i="10"/>
  <c r="L13" i="41" s="1"/>
  <c r="Y11" i="10"/>
  <c r="W11" i="10"/>
  <c r="U11" i="10"/>
  <c r="L12" i="41" s="1"/>
  <c r="Y10" i="10"/>
  <c r="W10" i="10"/>
  <c r="U10" i="10"/>
  <c r="L11" i="41" s="1"/>
  <c r="Y9" i="10"/>
  <c r="W9" i="10"/>
  <c r="U9" i="10"/>
  <c r="L10" i="41" s="1"/>
  <c r="Y8" i="10"/>
  <c r="W8" i="10"/>
  <c r="U8" i="10"/>
  <c r="L9" i="41" s="1"/>
  <c r="Y7" i="10"/>
  <c r="W7" i="10"/>
  <c r="U7" i="10"/>
  <c r="L8" i="41" s="1"/>
  <c r="Y6" i="10"/>
  <c r="W6" i="10"/>
  <c r="U6" i="10"/>
  <c r="L7" i="41" s="1"/>
  <c r="Y5" i="10"/>
  <c r="W5" i="10"/>
  <c r="U5" i="10"/>
  <c r="L6" i="41" s="1"/>
  <c r="Y54" i="7"/>
  <c r="W54" i="7"/>
  <c r="U54" i="7"/>
  <c r="Y53" i="7"/>
  <c r="W53" i="7"/>
  <c r="U53" i="7"/>
  <c r="Y52" i="7"/>
  <c r="W52" i="7"/>
  <c r="U52" i="7"/>
  <c r="Y51" i="7"/>
  <c r="W51" i="7"/>
  <c r="U51" i="7"/>
  <c r="Y50" i="7"/>
  <c r="W50" i="7"/>
  <c r="U50" i="7"/>
  <c r="Y49" i="7"/>
  <c r="W49" i="7"/>
  <c r="U49" i="7"/>
  <c r="Y48" i="7"/>
  <c r="W48" i="7"/>
  <c r="U48" i="7"/>
  <c r="Y47" i="7"/>
  <c r="W47" i="7"/>
  <c r="U47" i="7"/>
  <c r="Y46" i="7"/>
  <c r="W46" i="7"/>
  <c r="U46" i="7"/>
  <c r="Y45" i="7"/>
  <c r="W45" i="7"/>
  <c r="U45" i="7"/>
  <c r="Y44" i="7"/>
  <c r="W44" i="7"/>
  <c r="U44" i="7"/>
  <c r="I45" i="41" s="1"/>
  <c r="Y43" i="7"/>
  <c r="W43" i="7"/>
  <c r="U43" i="7"/>
  <c r="I44" i="41" s="1"/>
  <c r="Y42" i="7"/>
  <c r="W42" i="7"/>
  <c r="U42" i="7"/>
  <c r="I43" i="41" s="1"/>
  <c r="Y41" i="7"/>
  <c r="W41" i="7"/>
  <c r="U41" i="7"/>
  <c r="I42" i="41" s="1"/>
  <c r="Y40" i="7"/>
  <c r="W40" i="7"/>
  <c r="U40" i="7"/>
  <c r="I41" i="41" s="1"/>
  <c r="Y39" i="7"/>
  <c r="W39" i="7"/>
  <c r="U39" i="7"/>
  <c r="I40" i="41" s="1"/>
  <c r="Y38" i="7"/>
  <c r="W38" i="7"/>
  <c r="U38" i="7"/>
  <c r="I39" i="41" s="1"/>
  <c r="Y37" i="7"/>
  <c r="W37" i="7"/>
  <c r="U37" i="7"/>
  <c r="I38" i="41" s="1"/>
  <c r="Y36" i="7"/>
  <c r="W36" i="7"/>
  <c r="U36" i="7"/>
  <c r="I37" i="41" s="1"/>
  <c r="Y35" i="7"/>
  <c r="W35" i="7"/>
  <c r="U35" i="7"/>
  <c r="I36" i="41" s="1"/>
  <c r="Y34" i="7"/>
  <c r="W34" i="7"/>
  <c r="U34" i="7"/>
  <c r="I35" i="41" s="1"/>
  <c r="Y33" i="7"/>
  <c r="W33" i="7"/>
  <c r="U33" i="7"/>
  <c r="I34" i="41" s="1"/>
  <c r="Y32" i="7"/>
  <c r="W32" i="7"/>
  <c r="U32" i="7"/>
  <c r="I33" i="41" s="1"/>
  <c r="Y31" i="7"/>
  <c r="W31" i="7"/>
  <c r="U31" i="7"/>
  <c r="I32" i="41" s="1"/>
  <c r="Y30" i="7"/>
  <c r="W30" i="7"/>
  <c r="U30" i="7"/>
  <c r="I31" i="41" s="1"/>
  <c r="Y29" i="7"/>
  <c r="W29" i="7"/>
  <c r="U29" i="7"/>
  <c r="I30" i="41" s="1"/>
  <c r="Y28" i="7"/>
  <c r="W28" i="7"/>
  <c r="U28" i="7"/>
  <c r="I29" i="41" s="1"/>
  <c r="Y27" i="7"/>
  <c r="W27" i="7"/>
  <c r="U27" i="7"/>
  <c r="I28" i="41" s="1"/>
  <c r="Y26" i="7"/>
  <c r="W26" i="7"/>
  <c r="U26" i="7"/>
  <c r="I27" i="41" s="1"/>
  <c r="Y25" i="7"/>
  <c r="W25" i="7"/>
  <c r="U25" i="7"/>
  <c r="I26" i="41" s="1"/>
  <c r="Y24" i="7"/>
  <c r="W24" i="7"/>
  <c r="U24" i="7"/>
  <c r="I25" i="41" s="1"/>
  <c r="Y23" i="7"/>
  <c r="W23" i="7"/>
  <c r="U23" i="7"/>
  <c r="I24" i="41" s="1"/>
  <c r="Y22" i="7"/>
  <c r="W22" i="7"/>
  <c r="U22" i="7"/>
  <c r="I23" i="41" s="1"/>
  <c r="Y21" i="7"/>
  <c r="W21" i="7"/>
  <c r="U21" i="7"/>
  <c r="I22" i="41" s="1"/>
  <c r="Y20" i="7"/>
  <c r="W20" i="7"/>
  <c r="U20" i="7"/>
  <c r="I21" i="41" s="1"/>
  <c r="Y19" i="7"/>
  <c r="W19" i="7"/>
  <c r="U19" i="7"/>
  <c r="I20" i="41" s="1"/>
  <c r="Y18" i="7"/>
  <c r="W18" i="7"/>
  <c r="U18" i="7"/>
  <c r="I19" i="41" s="1"/>
  <c r="Y17" i="7"/>
  <c r="W17" i="7"/>
  <c r="U17" i="7"/>
  <c r="I18" i="41" s="1"/>
  <c r="Y16" i="7"/>
  <c r="W16" i="7"/>
  <c r="U16" i="7"/>
  <c r="I17" i="41" s="1"/>
  <c r="Y15" i="7"/>
  <c r="W15" i="7"/>
  <c r="U15" i="7"/>
  <c r="I16" i="41" s="1"/>
  <c r="Y14" i="7"/>
  <c r="W14" i="7"/>
  <c r="U14" i="7"/>
  <c r="I15" i="41" s="1"/>
  <c r="Y13" i="7"/>
  <c r="W13" i="7"/>
  <c r="U13" i="7"/>
  <c r="I14" i="41" s="1"/>
  <c r="Y12" i="7"/>
  <c r="W12" i="7"/>
  <c r="U12" i="7"/>
  <c r="I13" i="41" s="1"/>
  <c r="Y11" i="7"/>
  <c r="W11" i="7"/>
  <c r="U11" i="7"/>
  <c r="I12" i="41" s="1"/>
  <c r="Y10" i="7"/>
  <c r="W10" i="7"/>
  <c r="U10" i="7"/>
  <c r="I11" i="41" s="1"/>
  <c r="Y9" i="7"/>
  <c r="W9" i="7"/>
  <c r="U9" i="7"/>
  <c r="I10" i="41" s="1"/>
  <c r="Y8" i="7"/>
  <c r="W8" i="7"/>
  <c r="U8" i="7"/>
  <c r="I9" i="41" s="1"/>
  <c r="Y7" i="7"/>
  <c r="W7" i="7"/>
  <c r="U7" i="7"/>
  <c r="I8" i="41" s="1"/>
  <c r="Y6" i="7"/>
  <c r="W6" i="7"/>
  <c r="U6" i="7"/>
  <c r="I7" i="41" s="1"/>
  <c r="Y5" i="7"/>
  <c r="W5" i="7"/>
  <c r="U5" i="7"/>
  <c r="I6" i="41" s="1"/>
  <c r="CI6" i="1"/>
  <c r="F6" i="41" s="1"/>
  <c r="BU12" i="41" l="1"/>
  <c r="BV12" i="41" s="1"/>
  <c r="BU20" i="41"/>
  <c r="BT20" i="41" s="1"/>
  <c r="BU24" i="41"/>
  <c r="BV24" i="41" s="1"/>
  <c r="BU32" i="41"/>
  <c r="BT32" i="41" s="1"/>
  <c r="BU40" i="41"/>
  <c r="BV40" i="41" s="1"/>
  <c r="BU36" i="41"/>
  <c r="BV36" i="41" s="1"/>
  <c r="BU28" i="41"/>
  <c r="BV28" i="41" s="1"/>
  <c r="BU16" i="41"/>
  <c r="BV16" i="41" s="1"/>
  <c r="BU44" i="41"/>
  <c r="BV44" i="41" s="1"/>
  <c r="BU39" i="41"/>
  <c r="BT39" i="41" s="1"/>
  <c r="BU43" i="41"/>
  <c r="BT43" i="41" s="1"/>
  <c r="BU11" i="41"/>
  <c r="BV11" i="41" s="1"/>
  <c r="BU15" i="41"/>
  <c r="BV15" i="41" s="1"/>
  <c r="BU19" i="41"/>
  <c r="BT19" i="41" s="1"/>
  <c r="BU23" i="41"/>
  <c r="BV23" i="41" s="1"/>
  <c r="BU27" i="41"/>
  <c r="BV27" i="41" s="1"/>
  <c r="BU31" i="41"/>
  <c r="BT31" i="41" s="1"/>
  <c r="BU35" i="41"/>
  <c r="BV35" i="41" s="1"/>
  <c r="BU13" i="41"/>
  <c r="BV13" i="41" s="1"/>
  <c r="BU17" i="41"/>
  <c r="BV17" i="41" s="1"/>
  <c r="BU21" i="41"/>
  <c r="BV21" i="41" s="1"/>
  <c r="BU25" i="41"/>
  <c r="BV25" i="41" s="1"/>
  <c r="BU29" i="41"/>
  <c r="BV29" i="41" s="1"/>
  <c r="BU33" i="41"/>
  <c r="BV33" i="41" s="1"/>
  <c r="BU37" i="41"/>
  <c r="BV37" i="41" s="1"/>
  <c r="BU41" i="41"/>
  <c r="BV41" i="41" s="1"/>
  <c r="BU45" i="41"/>
  <c r="BV45" i="41" s="1"/>
  <c r="BU14" i="41"/>
  <c r="BT14" i="41" s="1"/>
  <c r="BU18" i="41"/>
  <c r="BT18" i="41" s="1"/>
  <c r="BU22" i="41"/>
  <c r="BT22" i="41" s="1"/>
  <c r="BU26" i="41"/>
  <c r="BV26" i="41" s="1"/>
  <c r="BU30" i="41"/>
  <c r="BT30" i="41" s="1"/>
  <c r="BU34" i="41"/>
  <c r="BT34" i="41" s="1"/>
  <c r="BU38" i="41"/>
  <c r="BV38" i="41" s="1"/>
  <c r="BU42" i="41"/>
  <c r="BV42" i="41" s="1"/>
  <c r="BT40" i="41"/>
  <c r="I46" i="41"/>
  <c r="AR45" i="7"/>
  <c r="I48" i="41"/>
  <c r="AR47" i="7"/>
  <c r="I50" i="41"/>
  <c r="AR49" i="7"/>
  <c r="I52" i="41"/>
  <c r="AR51" i="7"/>
  <c r="I54" i="41"/>
  <c r="AR53" i="7"/>
  <c r="L46" i="41"/>
  <c r="AQ45" i="10"/>
  <c r="L48" i="41"/>
  <c r="AQ47" i="10"/>
  <c r="L50" i="41"/>
  <c r="AQ49" i="10"/>
  <c r="L52" i="41"/>
  <c r="AQ51" i="10"/>
  <c r="L54" i="41"/>
  <c r="AQ53" i="10"/>
  <c r="O46" i="41"/>
  <c r="AR45" i="11"/>
  <c r="O48" i="41"/>
  <c r="AR47" i="11"/>
  <c r="O50" i="41"/>
  <c r="AR49" i="11"/>
  <c r="O52" i="41"/>
  <c r="AR51" i="11"/>
  <c r="O54" i="41"/>
  <c r="AR53" i="11"/>
  <c r="R46" i="41"/>
  <c r="AR45" i="33"/>
  <c r="R48" i="41"/>
  <c r="AR47" i="33"/>
  <c r="R50" i="41"/>
  <c r="AR49" i="33"/>
  <c r="R52" i="41"/>
  <c r="AR51" i="33"/>
  <c r="R54" i="41"/>
  <c r="AR53" i="33"/>
  <c r="U46" i="41"/>
  <c r="AQ45" i="34"/>
  <c r="U48" i="41"/>
  <c r="AQ47" i="34"/>
  <c r="U50" i="41"/>
  <c r="AQ49" i="34"/>
  <c r="U52" i="41"/>
  <c r="AQ51" i="34"/>
  <c r="U54" i="41"/>
  <c r="AQ53" i="34"/>
  <c r="X46" i="41"/>
  <c r="AR45" i="12"/>
  <c r="X48" i="41"/>
  <c r="AR47" i="12"/>
  <c r="X50" i="41"/>
  <c r="AR49" i="12"/>
  <c r="X52" i="41"/>
  <c r="AR51" i="12"/>
  <c r="X54" i="41"/>
  <c r="AR53" i="12"/>
  <c r="AA46" i="41"/>
  <c r="AR45" i="26"/>
  <c r="AA48" i="41"/>
  <c r="AR47" i="26"/>
  <c r="AA50" i="41"/>
  <c r="AR49" i="26"/>
  <c r="AA52" i="41"/>
  <c r="AR51" i="26"/>
  <c r="AA54" i="41"/>
  <c r="AR53" i="26"/>
  <c r="AD46" i="41"/>
  <c r="AU45" i="13"/>
  <c r="AD48" i="41"/>
  <c r="AU47" i="13"/>
  <c r="AD50" i="41"/>
  <c r="AU49" i="13"/>
  <c r="AD52" i="41"/>
  <c r="AU51" i="13"/>
  <c r="AD54" i="41"/>
  <c r="AU53" i="13"/>
  <c r="AP46" i="41"/>
  <c r="AP45" i="17"/>
  <c r="AP48" i="41"/>
  <c r="AP47" i="17"/>
  <c r="AP50" i="41"/>
  <c r="AP49" i="17"/>
  <c r="AP52" i="41"/>
  <c r="AP51" i="17"/>
  <c r="AP54" i="41"/>
  <c r="AP53" i="17"/>
  <c r="AS46" i="41"/>
  <c r="AS45" i="18"/>
  <c r="AS48" i="41"/>
  <c r="AS47" i="18"/>
  <c r="AS50" i="41"/>
  <c r="AS49" i="18"/>
  <c r="AS52" i="41"/>
  <c r="AS51" i="18"/>
  <c r="AS54" i="41"/>
  <c r="AS53" i="18"/>
  <c r="AV46" i="41"/>
  <c r="AQ45" i="19"/>
  <c r="AV48" i="41"/>
  <c r="AQ47" i="19"/>
  <c r="AV50" i="41"/>
  <c r="AQ49" i="19"/>
  <c r="AV52" i="41"/>
  <c r="AQ51" i="19"/>
  <c r="AV54" i="41"/>
  <c r="AQ53" i="19"/>
  <c r="AY46" i="41"/>
  <c r="AS45" i="35"/>
  <c r="AY48" i="41"/>
  <c r="AS47" i="35"/>
  <c r="AY50" i="41"/>
  <c r="AS49" i="35"/>
  <c r="AY52" i="41"/>
  <c r="AS51" i="35"/>
  <c r="AY54" i="41"/>
  <c r="AS53" i="35"/>
  <c r="BB46" i="41"/>
  <c r="AU45" i="36"/>
  <c r="BB48" i="41"/>
  <c r="AU47" i="36"/>
  <c r="BB50" i="41"/>
  <c r="AU49" i="36"/>
  <c r="BB52" i="41"/>
  <c r="AU51" i="36"/>
  <c r="BB54" i="41"/>
  <c r="AU53" i="36"/>
  <c r="BE46" i="41"/>
  <c r="AR45" i="20"/>
  <c r="BE48" i="41"/>
  <c r="AR47" i="20"/>
  <c r="BE50" i="41"/>
  <c r="AR49" i="20"/>
  <c r="BE52" i="41"/>
  <c r="AR51" i="20"/>
  <c r="BE54" i="41"/>
  <c r="AR53" i="20"/>
  <c r="BH46" i="41"/>
  <c r="AR45" i="27"/>
  <c r="BH48" i="41"/>
  <c r="AR47" i="27"/>
  <c r="BH50" i="41"/>
  <c r="AR49" i="27"/>
  <c r="BH52" i="41"/>
  <c r="AR51" i="27"/>
  <c r="BH54" i="41"/>
  <c r="AR53" i="27"/>
  <c r="BK46" i="41"/>
  <c r="AS45" i="21"/>
  <c r="BK48" i="41"/>
  <c r="AS47" i="21"/>
  <c r="BK50" i="41"/>
  <c r="AS49" i="21"/>
  <c r="BK52" i="41"/>
  <c r="AS51" i="21"/>
  <c r="BK54" i="41"/>
  <c r="AS53" i="21"/>
  <c r="AM54" i="41"/>
  <c r="DF54" i="16"/>
  <c r="AM52" i="41"/>
  <c r="DF52" i="16"/>
  <c r="AM50" i="41"/>
  <c r="DF50" i="16"/>
  <c r="AM48" i="41"/>
  <c r="DF48" i="16"/>
  <c r="AM46" i="41"/>
  <c r="DF46" i="16"/>
  <c r="I47" i="41"/>
  <c r="AR46" i="7"/>
  <c r="I49" i="41"/>
  <c r="AR48" i="7"/>
  <c r="I51" i="41"/>
  <c r="AR50" i="7"/>
  <c r="I53" i="41"/>
  <c r="AR52" i="7"/>
  <c r="I55" i="41"/>
  <c r="AR54" i="7"/>
  <c r="L47" i="41"/>
  <c r="AQ46" i="10"/>
  <c r="L49" i="41"/>
  <c r="AQ48" i="10"/>
  <c r="L51" i="41"/>
  <c r="AQ50" i="10"/>
  <c r="L53" i="41"/>
  <c r="AQ52" i="10"/>
  <c r="O47" i="41"/>
  <c r="AR46" i="11"/>
  <c r="O49" i="41"/>
  <c r="AR48" i="11"/>
  <c r="O51" i="41"/>
  <c r="AR50" i="11"/>
  <c r="O53" i="41"/>
  <c r="AR52" i="11"/>
  <c r="R47" i="41"/>
  <c r="AR46" i="33"/>
  <c r="R49" i="41"/>
  <c r="AR48" i="33"/>
  <c r="R51" i="41"/>
  <c r="AR50" i="33"/>
  <c r="R53" i="41"/>
  <c r="AR52" i="33"/>
  <c r="U47" i="41"/>
  <c r="AQ46" i="34"/>
  <c r="U49" i="41"/>
  <c r="AQ48" i="34"/>
  <c r="U51" i="41"/>
  <c r="AQ50" i="34"/>
  <c r="U53" i="41"/>
  <c r="AQ52" i="34"/>
  <c r="X47" i="41"/>
  <c r="AR46" i="12"/>
  <c r="X49" i="41"/>
  <c r="AR48" i="12"/>
  <c r="X51" i="41"/>
  <c r="AR50" i="12"/>
  <c r="X53" i="41"/>
  <c r="AR52" i="12"/>
  <c r="X55" i="41"/>
  <c r="AR54" i="12"/>
  <c r="AA47" i="41"/>
  <c r="AR46" i="26"/>
  <c r="AA49" i="41"/>
  <c r="AR48" i="26"/>
  <c r="AA51" i="41"/>
  <c r="AR50" i="26"/>
  <c r="AA53" i="41"/>
  <c r="AR52" i="26"/>
  <c r="AD47" i="41"/>
  <c r="AU46" i="13"/>
  <c r="AD49" i="41"/>
  <c r="AU48" i="13"/>
  <c r="AD51" i="41"/>
  <c r="AU50" i="13"/>
  <c r="AD53" i="41"/>
  <c r="AU52" i="13"/>
  <c r="AP47" i="41"/>
  <c r="AP46" i="17"/>
  <c r="AP49" i="41"/>
  <c r="AP48" i="17"/>
  <c r="AP51" i="41"/>
  <c r="AP50" i="17"/>
  <c r="AP53" i="41"/>
  <c r="AP52" i="17"/>
  <c r="AS47" i="41"/>
  <c r="AS46" i="18"/>
  <c r="AS49" i="41"/>
  <c r="AS48" i="18"/>
  <c r="AS51" i="41"/>
  <c r="AS50" i="18"/>
  <c r="AS53" i="41"/>
  <c r="AS52" i="18"/>
  <c r="AV47" i="41"/>
  <c r="AQ46" i="19"/>
  <c r="AV49" i="41"/>
  <c r="AQ48" i="19"/>
  <c r="AV51" i="41"/>
  <c r="AQ50" i="19"/>
  <c r="AV53" i="41"/>
  <c r="AQ52" i="19"/>
  <c r="AY47" i="41"/>
  <c r="AS46" i="35"/>
  <c r="AY49" i="41"/>
  <c r="AS48" i="35"/>
  <c r="AY51" i="41"/>
  <c r="AS50" i="35"/>
  <c r="AY53" i="41"/>
  <c r="AS52" i="35"/>
  <c r="BB47" i="41"/>
  <c r="AU46" i="36"/>
  <c r="BB49" i="41"/>
  <c r="AU48" i="36"/>
  <c r="BB51" i="41"/>
  <c r="AU50" i="36"/>
  <c r="BB53" i="41"/>
  <c r="AU52" i="36"/>
  <c r="BE47" i="41"/>
  <c r="AR46" i="20"/>
  <c r="BE49" i="41"/>
  <c r="AR48" i="20"/>
  <c r="BE51" i="41"/>
  <c r="AR50" i="20"/>
  <c r="BE53" i="41"/>
  <c r="AR52" i="20"/>
  <c r="BH47" i="41"/>
  <c r="AR46" i="27"/>
  <c r="BH49" i="41"/>
  <c r="AR48" i="27"/>
  <c r="BH51" i="41"/>
  <c r="AR50" i="27"/>
  <c r="BH53" i="41"/>
  <c r="AR52" i="27"/>
  <c r="BK47" i="41"/>
  <c r="AS46" i="21"/>
  <c r="BK49" i="41"/>
  <c r="AS48" i="21"/>
  <c r="BK51" i="41"/>
  <c r="AS50" i="21"/>
  <c r="BK53" i="41"/>
  <c r="AS52" i="21"/>
  <c r="AM53" i="41"/>
  <c r="DF53" i="16"/>
  <c r="AM51" i="41"/>
  <c r="DF51" i="16"/>
  <c r="AM49" i="41"/>
  <c r="DF49" i="16"/>
  <c r="AM47" i="41"/>
  <c r="DF47" i="16"/>
  <c r="AS7" i="21"/>
  <c r="AS11" i="21"/>
  <c r="AS15" i="21"/>
  <c r="AS39" i="21"/>
  <c r="AS24" i="21"/>
  <c r="AS32" i="21"/>
  <c r="AS36" i="21"/>
  <c r="AS40" i="21"/>
  <c r="AS44" i="21"/>
  <c r="AS10" i="21"/>
  <c r="AS14" i="21"/>
  <c r="AS18" i="21"/>
  <c r="AS22" i="21"/>
  <c r="AS26" i="21"/>
  <c r="AS30" i="21"/>
  <c r="AS34" i="21"/>
  <c r="AS38" i="21"/>
  <c r="AS42" i="21"/>
  <c r="AS19" i="21"/>
  <c r="AS23" i="21"/>
  <c r="AS27" i="21"/>
  <c r="AS31" i="21"/>
  <c r="AS35" i="21"/>
  <c r="AS43" i="21"/>
  <c r="AS8" i="21"/>
  <c r="AS12" i="21"/>
  <c r="AS16" i="21"/>
  <c r="AS20" i="21"/>
  <c r="AS28" i="21"/>
  <c r="AS5" i="21"/>
  <c r="AS9" i="21"/>
  <c r="AS13" i="21"/>
  <c r="AS17" i="21"/>
  <c r="AS21" i="21"/>
  <c r="AS25" i="21"/>
  <c r="AS29" i="21"/>
  <c r="AS33" i="21"/>
  <c r="AS37" i="21"/>
  <c r="AS41" i="21"/>
  <c r="AR9" i="27"/>
  <c r="AR18" i="27"/>
  <c r="AR22" i="27"/>
  <c r="AR26" i="27"/>
  <c r="AR30" i="27"/>
  <c r="AR34" i="27"/>
  <c r="AR38" i="27"/>
  <c r="AR42" i="27"/>
  <c r="AR8" i="27"/>
  <c r="AR12" i="27"/>
  <c r="AR16" i="27"/>
  <c r="AR20" i="27"/>
  <c r="AR24" i="27"/>
  <c r="AR28" i="27"/>
  <c r="AR32" i="27"/>
  <c r="AR36" i="27"/>
  <c r="AR40" i="27"/>
  <c r="AR44" i="27"/>
  <c r="AR5" i="27"/>
  <c r="AR13" i="27"/>
  <c r="AR17" i="27"/>
  <c r="AR21" i="27"/>
  <c r="AR25" i="27"/>
  <c r="AR29" i="27"/>
  <c r="AR33" i="27"/>
  <c r="AR37" i="27"/>
  <c r="AR41" i="27"/>
  <c r="AR10" i="27"/>
  <c r="AR14" i="27"/>
  <c r="AR11" i="27"/>
  <c r="AR15" i="27"/>
  <c r="AR19" i="27"/>
  <c r="AR23" i="27"/>
  <c r="AR27" i="27"/>
  <c r="AR31" i="27"/>
  <c r="AR35" i="27"/>
  <c r="AR39" i="27"/>
  <c r="AR43" i="27"/>
  <c r="AR10" i="20"/>
  <c r="AR14" i="20"/>
  <c r="AR18" i="20"/>
  <c r="AR26" i="20"/>
  <c r="AR42" i="20"/>
  <c r="AR11" i="20"/>
  <c r="AR15" i="20"/>
  <c r="AR19" i="20"/>
  <c r="AR31" i="20"/>
  <c r="AR43" i="20"/>
  <c r="AR8" i="20"/>
  <c r="AR12" i="20"/>
  <c r="AR16" i="20"/>
  <c r="AR20" i="20"/>
  <c r="AR24" i="20"/>
  <c r="AR28" i="20"/>
  <c r="AR32" i="20"/>
  <c r="AR36" i="20"/>
  <c r="AR40" i="20"/>
  <c r="AR44" i="20"/>
  <c r="AR22" i="20"/>
  <c r="AR30" i="20"/>
  <c r="AR34" i="20"/>
  <c r="AR38" i="20"/>
  <c r="AR23" i="20"/>
  <c r="AR27" i="20"/>
  <c r="AR35" i="20"/>
  <c r="AR39" i="20"/>
  <c r="AR5" i="20"/>
  <c r="AR9" i="20"/>
  <c r="AR13" i="20"/>
  <c r="AR17" i="20"/>
  <c r="AR21" i="20"/>
  <c r="AR25" i="20"/>
  <c r="AR29" i="20"/>
  <c r="AR33" i="20"/>
  <c r="AR37" i="20"/>
  <c r="AR41" i="20"/>
  <c r="AU8" i="36"/>
  <c r="AU12" i="36"/>
  <c r="AU20" i="36"/>
  <c r="AU44" i="36"/>
  <c r="AU16" i="36"/>
  <c r="AU24" i="36"/>
  <c r="AU28" i="36"/>
  <c r="AU32" i="36"/>
  <c r="AU36" i="36"/>
  <c r="AU40" i="36"/>
  <c r="AU5" i="36"/>
  <c r="AU9" i="36"/>
  <c r="AU13" i="36"/>
  <c r="AU17" i="36"/>
  <c r="AU21" i="36"/>
  <c r="AU25" i="36"/>
  <c r="AU29" i="36"/>
  <c r="AU33" i="36"/>
  <c r="AU37" i="36"/>
  <c r="AU41" i="36"/>
  <c r="AU10" i="36"/>
  <c r="AU14" i="36"/>
  <c r="AU18" i="36"/>
  <c r="AU22" i="36"/>
  <c r="AU26" i="36"/>
  <c r="AU30" i="36"/>
  <c r="AU34" i="36"/>
  <c r="AU38" i="36"/>
  <c r="AU42" i="36"/>
  <c r="AU7" i="36"/>
  <c r="AU11" i="36"/>
  <c r="AU15" i="36"/>
  <c r="AU19" i="36"/>
  <c r="AU23" i="36"/>
  <c r="AU27" i="36"/>
  <c r="AU31" i="36"/>
  <c r="AU35" i="36"/>
  <c r="AU39" i="36"/>
  <c r="AU43" i="36"/>
  <c r="AS11" i="35"/>
  <c r="AS8" i="35"/>
  <c r="AS12" i="35"/>
  <c r="AS16" i="35"/>
  <c r="AS20" i="35"/>
  <c r="AS24" i="35"/>
  <c r="AS28" i="35"/>
  <c r="AS32" i="35"/>
  <c r="AS36" i="35"/>
  <c r="AS40" i="35"/>
  <c r="AS44" i="35"/>
  <c r="AS6" i="35"/>
  <c r="AS10" i="35"/>
  <c r="AS14" i="35"/>
  <c r="AS18" i="35"/>
  <c r="AS22" i="35"/>
  <c r="AS26" i="35"/>
  <c r="AS30" i="35"/>
  <c r="AS34" i="35"/>
  <c r="AS38" i="35"/>
  <c r="AS42" i="35"/>
  <c r="AS7" i="35"/>
  <c r="AS15" i="35"/>
  <c r="AS19" i="35"/>
  <c r="AS23" i="35"/>
  <c r="AS27" i="35"/>
  <c r="AS31" i="35"/>
  <c r="AS35" i="35"/>
  <c r="AS39" i="35"/>
  <c r="AS43" i="35"/>
  <c r="AS5" i="35"/>
  <c r="AS9" i="35"/>
  <c r="AS13" i="35"/>
  <c r="AS17" i="35"/>
  <c r="AS21" i="35"/>
  <c r="AS25" i="35"/>
  <c r="AS29" i="35"/>
  <c r="AS33" i="35"/>
  <c r="AS37" i="35"/>
  <c r="AS41" i="35"/>
  <c r="AQ8" i="19"/>
  <c r="AQ12" i="19"/>
  <c r="AQ16" i="19"/>
  <c r="AQ20" i="19"/>
  <c r="AQ24" i="19"/>
  <c r="AQ28" i="19"/>
  <c r="AQ32" i="19"/>
  <c r="AQ36" i="19"/>
  <c r="AQ40" i="19"/>
  <c r="AQ9" i="19"/>
  <c r="AQ13" i="19"/>
  <c r="AQ17" i="19"/>
  <c r="AQ25" i="19"/>
  <c r="AQ6" i="19"/>
  <c r="AQ10" i="19"/>
  <c r="AQ14" i="19"/>
  <c r="AQ18" i="19"/>
  <c r="AQ22" i="19"/>
  <c r="AQ26" i="19"/>
  <c r="AQ30" i="19"/>
  <c r="AQ34" i="19"/>
  <c r="AQ38" i="19"/>
  <c r="AQ42" i="19"/>
  <c r="AQ44" i="19"/>
  <c r="AQ21" i="19"/>
  <c r="AQ29" i="19"/>
  <c r="AQ33" i="19"/>
  <c r="AQ37" i="19"/>
  <c r="AQ41" i="19"/>
  <c r="AQ11" i="19"/>
  <c r="AQ15" i="19"/>
  <c r="AQ19" i="19"/>
  <c r="AQ23" i="19"/>
  <c r="AQ27" i="19"/>
  <c r="AQ31" i="19"/>
  <c r="AQ35" i="19"/>
  <c r="AQ39" i="19"/>
  <c r="AQ43" i="19"/>
  <c r="AS18" i="18"/>
  <c r="AS30" i="18"/>
  <c r="AS10" i="18"/>
  <c r="AS14" i="18"/>
  <c r="AS22" i="18"/>
  <c r="AS26" i="18"/>
  <c r="AS34" i="18"/>
  <c r="AS38" i="18"/>
  <c r="AS42" i="18"/>
  <c r="AS7" i="18"/>
  <c r="AS11" i="18"/>
  <c r="AS15" i="18"/>
  <c r="AS19" i="18"/>
  <c r="AS23" i="18"/>
  <c r="AS27" i="18"/>
  <c r="AS31" i="18"/>
  <c r="AS35" i="18"/>
  <c r="AS39" i="18"/>
  <c r="AS43" i="18"/>
  <c r="AS8" i="18"/>
  <c r="AS12" i="18"/>
  <c r="AS16" i="18"/>
  <c r="AS20" i="18"/>
  <c r="AS24" i="18"/>
  <c r="AS28" i="18"/>
  <c r="AS32" i="18"/>
  <c r="AS36" i="18"/>
  <c r="AS40" i="18"/>
  <c r="AS44" i="18"/>
  <c r="AS5" i="18"/>
  <c r="AS9" i="18"/>
  <c r="AS13" i="18"/>
  <c r="AS17" i="18"/>
  <c r="AS21" i="18"/>
  <c r="AS25" i="18"/>
  <c r="AS29" i="18"/>
  <c r="AS33" i="18"/>
  <c r="AS37" i="18"/>
  <c r="AS41" i="18"/>
  <c r="AP25" i="17"/>
  <c r="AP29" i="17"/>
  <c r="AP41" i="17"/>
  <c r="AP6" i="17"/>
  <c r="AP14" i="17"/>
  <c r="AP22" i="17"/>
  <c r="AP30" i="17"/>
  <c r="AP38" i="17"/>
  <c r="AP42" i="17"/>
  <c r="AP8" i="17"/>
  <c r="AP12" i="17"/>
  <c r="AP16" i="17"/>
  <c r="AP20" i="17"/>
  <c r="AP24" i="17"/>
  <c r="AP28" i="17"/>
  <c r="AP32" i="17"/>
  <c r="AP36" i="17"/>
  <c r="AP40" i="17"/>
  <c r="AP44" i="17"/>
  <c r="AP5" i="17"/>
  <c r="AP9" i="17"/>
  <c r="AP13" i="17"/>
  <c r="AP17" i="17"/>
  <c r="AP21" i="17"/>
  <c r="AP33" i="17"/>
  <c r="AP37" i="17"/>
  <c r="AP10" i="17"/>
  <c r="AP18" i="17"/>
  <c r="AP26" i="17"/>
  <c r="AP34" i="17"/>
  <c r="AP11" i="17"/>
  <c r="AP15" i="17"/>
  <c r="AP19" i="17"/>
  <c r="AP23" i="17"/>
  <c r="AP27" i="17"/>
  <c r="AP31" i="17"/>
  <c r="AP35" i="17"/>
  <c r="AP39" i="17"/>
  <c r="AP43" i="17"/>
  <c r="DF38" i="16"/>
  <c r="DF30" i="16"/>
  <c r="DF22" i="16"/>
  <c r="DF18" i="16"/>
  <c r="DF14" i="16"/>
  <c r="DF45" i="16"/>
  <c r="DF37" i="16"/>
  <c r="DF29" i="16"/>
  <c r="DF43" i="16"/>
  <c r="DF39" i="16"/>
  <c r="DF35" i="16"/>
  <c r="DF31" i="16"/>
  <c r="DF27" i="16"/>
  <c r="DF23" i="16"/>
  <c r="DF19" i="16"/>
  <c r="DF15" i="16"/>
  <c r="DF11" i="16"/>
  <c r="DF42" i="16"/>
  <c r="DF34" i="16"/>
  <c r="DF26" i="16"/>
  <c r="DF10" i="16"/>
  <c r="DF41" i="16"/>
  <c r="DF33" i="16"/>
  <c r="DF25" i="16"/>
  <c r="DF21" i="16"/>
  <c r="DF17" i="16"/>
  <c r="DF13" i="16"/>
  <c r="DF44" i="16"/>
  <c r="DF40" i="16"/>
  <c r="DF36" i="16"/>
  <c r="DF32" i="16"/>
  <c r="DF28" i="16"/>
  <c r="DF24" i="16"/>
  <c r="DF20" i="16"/>
  <c r="DF16" i="16"/>
  <c r="DF12" i="16"/>
  <c r="AU5" i="13"/>
  <c r="AU13" i="13"/>
  <c r="AU17" i="13"/>
  <c r="AU21" i="13"/>
  <c r="AU25" i="13"/>
  <c r="AU29" i="13"/>
  <c r="AU33" i="13"/>
  <c r="AU37" i="13"/>
  <c r="AU41" i="13"/>
  <c r="AU10" i="13"/>
  <c r="AU14" i="13"/>
  <c r="AU18" i="13"/>
  <c r="AU22" i="13"/>
  <c r="AU26" i="13"/>
  <c r="AU30" i="13"/>
  <c r="AU34" i="13"/>
  <c r="AU38" i="13"/>
  <c r="AU42" i="13"/>
  <c r="AU11" i="13"/>
  <c r="AU15" i="13"/>
  <c r="AU19" i="13"/>
  <c r="AU23" i="13"/>
  <c r="AU27" i="13"/>
  <c r="AU31" i="13"/>
  <c r="AU35" i="13"/>
  <c r="AU39" i="13"/>
  <c r="AU43" i="13"/>
  <c r="AU12" i="13"/>
  <c r="AU16" i="13"/>
  <c r="AU20" i="13"/>
  <c r="AU24" i="13"/>
  <c r="AU28" i="13"/>
  <c r="AU32" i="13"/>
  <c r="AU36" i="13"/>
  <c r="AU40" i="13"/>
  <c r="AU44" i="13"/>
  <c r="AR5" i="26"/>
  <c r="AR9" i="26"/>
  <c r="AR13" i="26"/>
  <c r="AR17" i="26"/>
  <c r="AR21" i="26"/>
  <c r="AR25" i="26"/>
  <c r="AR29" i="26"/>
  <c r="AR37" i="26"/>
  <c r="AR8" i="26"/>
  <c r="AR12" i="26"/>
  <c r="AR16" i="26"/>
  <c r="AR20" i="26"/>
  <c r="AR24" i="26"/>
  <c r="AR28" i="26"/>
  <c r="AR32" i="26"/>
  <c r="AR36" i="26"/>
  <c r="AR40" i="26"/>
  <c r="AR44" i="26"/>
  <c r="AR33" i="26"/>
  <c r="AR41" i="26"/>
  <c r="AR10" i="26"/>
  <c r="AR14" i="26"/>
  <c r="AR18" i="26"/>
  <c r="AR22" i="26"/>
  <c r="AR26" i="26"/>
  <c r="AR30" i="26"/>
  <c r="AR34" i="26"/>
  <c r="AR38" i="26"/>
  <c r="AR42" i="26"/>
  <c r="AR7" i="26"/>
  <c r="AR11" i="26"/>
  <c r="AR15" i="26"/>
  <c r="AR19" i="26"/>
  <c r="AR23" i="26"/>
  <c r="AR27" i="26"/>
  <c r="AR31" i="26"/>
  <c r="AR35" i="26"/>
  <c r="AR39" i="26"/>
  <c r="AR43" i="26"/>
  <c r="AR26" i="12"/>
  <c r="AR42" i="12"/>
  <c r="AR6" i="12"/>
  <c r="AR14" i="12"/>
  <c r="AR18" i="12"/>
  <c r="AR22" i="12"/>
  <c r="AR30" i="12"/>
  <c r="AR34" i="12"/>
  <c r="AR38" i="12"/>
  <c r="AR11" i="12"/>
  <c r="AR15" i="12"/>
  <c r="AR19" i="12"/>
  <c r="AR23" i="12"/>
  <c r="AR27" i="12"/>
  <c r="AR31" i="12"/>
  <c r="AR35" i="12"/>
  <c r="AR39" i="12"/>
  <c r="AR43" i="12"/>
  <c r="AR12" i="12"/>
  <c r="AR16" i="12"/>
  <c r="AR20" i="12"/>
  <c r="AR24" i="12"/>
  <c r="AR28" i="12"/>
  <c r="AR32" i="12"/>
  <c r="AR36" i="12"/>
  <c r="AR40" i="12"/>
  <c r="AR44" i="12"/>
  <c r="AR5" i="12"/>
  <c r="AR13" i="12"/>
  <c r="AR17" i="12"/>
  <c r="AR21" i="12"/>
  <c r="AR25" i="12"/>
  <c r="AR29" i="12"/>
  <c r="AR33" i="12"/>
  <c r="AR37" i="12"/>
  <c r="AR41" i="12"/>
  <c r="AQ5" i="34"/>
  <c r="AQ9" i="34"/>
  <c r="AQ21" i="34"/>
  <c r="AQ37" i="34"/>
  <c r="AQ41" i="34"/>
  <c r="AQ6" i="34"/>
  <c r="AQ10" i="34"/>
  <c r="AQ14" i="34"/>
  <c r="AQ42" i="34"/>
  <c r="AQ8" i="34"/>
  <c r="AQ12" i="34"/>
  <c r="AQ16" i="34"/>
  <c r="AQ20" i="34"/>
  <c r="AQ24" i="34"/>
  <c r="AQ28" i="34"/>
  <c r="AQ32" i="34"/>
  <c r="AQ36" i="34"/>
  <c r="AQ40" i="34"/>
  <c r="AQ44" i="34"/>
  <c r="AQ13" i="34"/>
  <c r="AQ17" i="34"/>
  <c r="AQ25" i="34"/>
  <c r="AQ29" i="34"/>
  <c r="AQ33" i="34"/>
  <c r="AQ18" i="34"/>
  <c r="AQ22" i="34"/>
  <c r="AQ26" i="34"/>
  <c r="AQ30" i="34"/>
  <c r="AQ34" i="34"/>
  <c r="AQ38" i="34"/>
  <c r="AQ11" i="34"/>
  <c r="AQ15" i="34"/>
  <c r="AQ19" i="34"/>
  <c r="AQ23" i="34"/>
  <c r="AQ27" i="34"/>
  <c r="AQ31" i="34"/>
  <c r="AQ35" i="34"/>
  <c r="AQ39" i="34"/>
  <c r="AQ43" i="34"/>
  <c r="AR27" i="33"/>
  <c r="AR39" i="33"/>
  <c r="AR20" i="33"/>
  <c r="AR36" i="33"/>
  <c r="AR40" i="33"/>
  <c r="AR44" i="33"/>
  <c r="AR9" i="33"/>
  <c r="AR17" i="33"/>
  <c r="AR21" i="33"/>
  <c r="AR25" i="33"/>
  <c r="AR6" i="33"/>
  <c r="AR10" i="33"/>
  <c r="AR14" i="33"/>
  <c r="AR18" i="33"/>
  <c r="AR22" i="33"/>
  <c r="AR26" i="33"/>
  <c r="AR30" i="33"/>
  <c r="AR34" i="33"/>
  <c r="AR38" i="33"/>
  <c r="AR42" i="33"/>
  <c r="AR11" i="33"/>
  <c r="AR15" i="33"/>
  <c r="AR19" i="33"/>
  <c r="AR23" i="33"/>
  <c r="AR31" i="33"/>
  <c r="AR35" i="33"/>
  <c r="AR43" i="33"/>
  <c r="AR12" i="33"/>
  <c r="AR16" i="33"/>
  <c r="AR24" i="33"/>
  <c r="AR28" i="33"/>
  <c r="AR32" i="33"/>
  <c r="AR13" i="33"/>
  <c r="AR29" i="33"/>
  <c r="AR33" i="33"/>
  <c r="AR37" i="33"/>
  <c r="AR41" i="33"/>
  <c r="AR17" i="11"/>
  <c r="AR29" i="11"/>
  <c r="AR41" i="11"/>
  <c r="AR42" i="11"/>
  <c r="AR12" i="11"/>
  <c r="AR16" i="11"/>
  <c r="AR20" i="11"/>
  <c r="AR24" i="11"/>
  <c r="AR28" i="11"/>
  <c r="AR32" i="11"/>
  <c r="AR36" i="11"/>
  <c r="AR40" i="11"/>
  <c r="AR44" i="11"/>
  <c r="AR13" i="11"/>
  <c r="AR21" i="11"/>
  <c r="AR25" i="11"/>
  <c r="AR33" i="11"/>
  <c r="AR37" i="11"/>
  <c r="AR10" i="11"/>
  <c r="AR14" i="11"/>
  <c r="AR18" i="11"/>
  <c r="AR22" i="11"/>
  <c r="AR26" i="11"/>
  <c r="AR30" i="11"/>
  <c r="AR34" i="11"/>
  <c r="AR38" i="11"/>
  <c r="AR11" i="11"/>
  <c r="AR15" i="11"/>
  <c r="AR19" i="11"/>
  <c r="AR23" i="11"/>
  <c r="AR27" i="11"/>
  <c r="AR31" i="11"/>
  <c r="AR35" i="11"/>
  <c r="AR39" i="11"/>
  <c r="AR43" i="11"/>
  <c r="AQ6" i="10"/>
  <c r="AQ18" i="10"/>
  <c r="AQ26" i="10"/>
  <c r="AQ30" i="10"/>
  <c r="AQ34" i="10"/>
  <c r="AQ38" i="10"/>
  <c r="AQ42" i="10"/>
  <c r="AQ8" i="10"/>
  <c r="AQ12" i="10"/>
  <c r="AQ16" i="10"/>
  <c r="AQ20" i="10"/>
  <c r="AQ24" i="10"/>
  <c r="AQ28" i="10"/>
  <c r="AQ32" i="10"/>
  <c r="AQ36" i="10"/>
  <c r="AQ40" i="10"/>
  <c r="AQ44" i="10"/>
  <c r="AQ10" i="10"/>
  <c r="AQ14" i="10"/>
  <c r="AQ22" i="10"/>
  <c r="AQ11" i="10"/>
  <c r="AQ15" i="10"/>
  <c r="AQ19" i="10"/>
  <c r="AQ23" i="10"/>
  <c r="AQ27" i="10"/>
  <c r="AQ31" i="10"/>
  <c r="AQ35" i="10"/>
  <c r="AQ39" i="10"/>
  <c r="AQ43" i="10"/>
  <c r="AQ5" i="10"/>
  <c r="AQ9" i="10"/>
  <c r="AQ13" i="10"/>
  <c r="AQ17" i="10"/>
  <c r="AQ21" i="10"/>
  <c r="AQ25" i="10"/>
  <c r="AQ29" i="10"/>
  <c r="AQ33" i="10"/>
  <c r="AQ37" i="10"/>
  <c r="AQ41" i="10"/>
  <c r="BU9" i="41"/>
  <c r="BT9" i="41" s="1"/>
  <c r="AR8" i="7"/>
  <c r="AR12" i="7"/>
  <c r="AR16" i="7"/>
  <c r="AR36" i="7"/>
  <c r="AR40" i="7"/>
  <c r="AR44" i="7"/>
  <c r="AR17" i="7"/>
  <c r="AR21" i="7"/>
  <c r="AR25" i="7"/>
  <c r="AR33" i="7"/>
  <c r="AR37" i="7"/>
  <c r="AR6" i="7"/>
  <c r="AR10" i="7"/>
  <c r="AR14" i="7"/>
  <c r="AR18" i="7"/>
  <c r="AR22" i="7"/>
  <c r="AR26" i="7"/>
  <c r="AR30" i="7"/>
  <c r="AR34" i="7"/>
  <c r="AR38" i="7"/>
  <c r="AR42" i="7"/>
  <c r="AR20" i="7"/>
  <c r="AR24" i="7"/>
  <c r="AR28" i="7"/>
  <c r="AR32" i="7"/>
  <c r="AR5" i="7"/>
  <c r="BU10" i="41"/>
  <c r="BT10" i="41" s="1"/>
  <c r="AR9" i="7"/>
  <c r="AR13" i="7"/>
  <c r="AR29" i="7"/>
  <c r="AR41" i="7"/>
  <c r="AR11" i="7"/>
  <c r="AR15" i="7"/>
  <c r="AR19" i="7"/>
  <c r="AR23" i="7"/>
  <c r="AR27" i="7"/>
  <c r="AR31" i="7"/>
  <c r="AR35" i="7"/>
  <c r="AR39" i="7"/>
  <c r="AR43" i="7"/>
  <c r="AS6" i="21"/>
  <c r="AR7" i="27"/>
  <c r="AR6" i="27"/>
  <c r="AU6" i="36"/>
  <c r="AQ5" i="19"/>
  <c r="AQ7" i="19"/>
  <c r="AS6" i="18"/>
  <c r="AP7" i="17"/>
  <c r="DF55" i="16"/>
  <c r="AQ7" i="34"/>
  <c r="AR7" i="7"/>
  <c r="AR6" i="20"/>
  <c r="AR7" i="20"/>
  <c r="DG6" i="1"/>
  <c r="AU7" i="13"/>
  <c r="AR5" i="11"/>
  <c r="AR5" i="33"/>
  <c r="AS54" i="21"/>
  <c r="AR54" i="27"/>
  <c r="AR54" i="20"/>
  <c r="AU54" i="36"/>
  <c r="AS54" i="35"/>
  <c r="AQ54" i="19"/>
  <c r="AS54" i="18"/>
  <c r="AP54" i="17"/>
  <c r="DF9" i="16"/>
  <c r="DF8" i="16"/>
  <c r="DF7" i="16"/>
  <c r="DF6" i="16"/>
  <c r="AU9" i="13"/>
  <c r="AU8" i="13"/>
  <c r="AU6" i="13"/>
  <c r="AU54" i="13"/>
  <c r="AR54" i="26"/>
  <c r="AR6" i="26"/>
  <c r="AR10" i="12"/>
  <c r="AR9" i="12"/>
  <c r="AR8" i="12"/>
  <c r="AR7" i="12"/>
  <c r="AQ54" i="34"/>
  <c r="AR8" i="33"/>
  <c r="AR7" i="33"/>
  <c r="AR54" i="33"/>
  <c r="AR9" i="11"/>
  <c r="AR8" i="11"/>
  <c r="AR7" i="11"/>
  <c r="AR6" i="11"/>
  <c r="AR54" i="11"/>
  <c r="AQ7" i="10"/>
  <c r="AQ54" i="10"/>
  <c r="F75" i="30"/>
  <c r="B75" i="30"/>
  <c r="F74" i="30"/>
  <c r="B74" i="30"/>
  <c r="F70" i="30"/>
  <c r="F69" i="30"/>
  <c r="F68" i="30"/>
  <c r="G63" i="30"/>
  <c r="I87" i="30"/>
  <c r="J34" i="29"/>
  <c r="AJ54" i="13"/>
  <c r="AI54" i="13"/>
  <c r="AJ53" i="13"/>
  <c r="AI53" i="13"/>
  <c r="AJ52" i="13"/>
  <c r="AI52" i="13"/>
  <c r="AJ51" i="13"/>
  <c r="AI51" i="13"/>
  <c r="AJ50" i="13"/>
  <c r="AI50" i="13"/>
  <c r="AJ49" i="13"/>
  <c r="AI49" i="13"/>
  <c r="AJ48" i="13"/>
  <c r="AI48" i="13"/>
  <c r="AJ47" i="13"/>
  <c r="AI47" i="13"/>
  <c r="AJ46" i="13"/>
  <c r="AI46" i="13"/>
  <c r="AJ45" i="13"/>
  <c r="AI45" i="13"/>
  <c r="AJ44" i="13"/>
  <c r="AI44" i="13"/>
  <c r="AJ43" i="13"/>
  <c r="AI43" i="13"/>
  <c r="AJ42" i="13"/>
  <c r="AI42" i="13"/>
  <c r="AJ41" i="13"/>
  <c r="AI41" i="13"/>
  <c r="AJ40" i="13"/>
  <c r="AI40" i="13"/>
  <c r="AJ39" i="13"/>
  <c r="AI39" i="13"/>
  <c r="AJ38" i="13"/>
  <c r="AI38" i="13"/>
  <c r="AJ37" i="13"/>
  <c r="AI37" i="13"/>
  <c r="AJ36" i="13"/>
  <c r="AI36" i="13"/>
  <c r="AJ35" i="13"/>
  <c r="AI35" i="13"/>
  <c r="AJ34" i="13"/>
  <c r="AI34" i="13"/>
  <c r="AJ33" i="13"/>
  <c r="AI33" i="13"/>
  <c r="AJ32" i="13"/>
  <c r="AI32" i="13"/>
  <c r="AJ31" i="13"/>
  <c r="AI31" i="13"/>
  <c r="AJ30" i="13"/>
  <c r="AI30" i="13"/>
  <c r="AJ29" i="13"/>
  <c r="AI29" i="13"/>
  <c r="AJ28" i="13"/>
  <c r="AI28" i="13"/>
  <c r="AJ27" i="13"/>
  <c r="AI27" i="13"/>
  <c r="AJ26" i="13"/>
  <c r="AI26" i="13"/>
  <c r="AJ25" i="13"/>
  <c r="AI25" i="13"/>
  <c r="AJ24" i="13"/>
  <c r="AI24" i="13"/>
  <c r="AJ23" i="13"/>
  <c r="AI23" i="13"/>
  <c r="AJ22" i="13"/>
  <c r="AI22" i="13"/>
  <c r="AJ21" i="13"/>
  <c r="AI21" i="13"/>
  <c r="AJ20" i="13"/>
  <c r="AI20" i="13"/>
  <c r="AJ19" i="13"/>
  <c r="AI19" i="13"/>
  <c r="AJ18" i="13"/>
  <c r="AI18" i="13"/>
  <c r="AJ17" i="13"/>
  <c r="AI17" i="13"/>
  <c r="AJ16" i="13"/>
  <c r="AI16" i="13"/>
  <c r="AJ15" i="13"/>
  <c r="AI15" i="13"/>
  <c r="AJ14" i="13"/>
  <c r="AI14" i="13"/>
  <c r="AJ13" i="13"/>
  <c r="AI13" i="13"/>
  <c r="AJ12" i="13"/>
  <c r="AI12" i="13"/>
  <c r="AJ11" i="13"/>
  <c r="AI11" i="13"/>
  <c r="AJ10" i="13"/>
  <c r="AI10" i="13"/>
  <c r="AJ9" i="13"/>
  <c r="AI9" i="13"/>
  <c r="AJ8" i="13"/>
  <c r="AI8" i="13"/>
  <c r="AJ7" i="13"/>
  <c r="AI7" i="13"/>
  <c r="AJ6" i="13"/>
  <c r="AI6" i="13"/>
  <c r="AJ5" i="13"/>
  <c r="AI5" i="13"/>
  <c r="CI7" i="1"/>
  <c r="CK7" i="1"/>
  <c r="CM7" i="1"/>
  <c r="CI8" i="1"/>
  <c r="CK8" i="1"/>
  <c r="CM8" i="1"/>
  <c r="CI9" i="1"/>
  <c r="CK9" i="1"/>
  <c r="CM9" i="1"/>
  <c r="CI10" i="1"/>
  <c r="CK10" i="1"/>
  <c r="CM10" i="1"/>
  <c r="CI11" i="1"/>
  <c r="CK11" i="1"/>
  <c r="CM11" i="1"/>
  <c r="CI12" i="1"/>
  <c r="CK12" i="1"/>
  <c r="CM12" i="1"/>
  <c r="CI13" i="1"/>
  <c r="CK13" i="1"/>
  <c r="CM13" i="1"/>
  <c r="CI14" i="1"/>
  <c r="CK14" i="1"/>
  <c r="CM14" i="1"/>
  <c r="CI15" i="1"/>
  <c r="CK15" i="1"/>
  <c r="CM15" i="1"/>
  <c r="CI16" i="1"/>
  <c r="CK16" i="1"/>
  <c r="CM16" i="1"/>
  <c r="CI17" i="1"/>
  <c r="CK17" i="1"/>
  <c r="CM17" i="1"/>
  <c r="CI18" i="1"/>
  <c r="CK18" i="1"/>
  <c r="CM18" i="1"/>
  <c r="CI19" i="1"/>
  <c r="CK19" i="1"/>
  <c r="CM19" i="1"/>
  <c r="CI20" i="1"/>
  <c r="CK20" i="1"/>
  <c r="CM20" i="1"/>
  <c r="CI21" i="1"/>
  <c r="CK21" i="1"/>
  <c r="CM21" i="1"/>
  <c r="CI22" i="1"/>
  <c r="CK22" i="1"/>
  <c r="CM22" i="1"/>
  <c r="CI23" i="1"/>
  <c r="CK23" i="1"/>
  <c r="CM23" i="1"/>
  <c r="CI24" i="1"/>
  <c r="CK24" i="1"/>
  <c r="CM24" i="1"/>
  <c r="CI25" i="1"/>
  <c r="CK25" i="1"/>
  <c r="CM25" i="1"/>
  <c r="CI26" i="1"/>
  <c r="CK26" i="1"/>
  <c r="CM26" i="1"/>
  <c r="CI27" i="1"/>
  <c r="CK27" i="1"/>
  <c r="CM27" i="1"/>
  <c r="CI28" i="1"/>
  <c r="CK28" i="1"/>
  <c r="CM28" i="1"/>
  <c r="CI29" i="1"/>
  <c r="CK29" i="1"/>
  <c r="CM29" i="1"/>
  <c r="CI30" i="1"/>
  <c r="CK30" i="1"/>
  <c r="CM30" i="1"/>
  <c r="CI31" i="1"/>
  <c r="CK31" i="1"/>
  <c r="CM31" i="1"/>
  <c r="CI32" i="1"/>
  <c r="CK32" i="1"/>
  <c r="CM32" i="1"/>
  <c r="CI33" i="1"/>
  <c r="CK33" i="1"/>
  <c r="CM33" i="1"/>
  <c r="CI34" i="1"/>
  <c r="CK34" i="1"/>
  <c r="CM34" i="1"/>
  <c r="CI35" i="1"/>
  <c r="CK35" i="1"/>
  <c r="CM35" i="1"/>
  <c r="CI36" i="1"/>
  <c r="CK36" i="1"/>
  <c r="CM36" i="1"/>
  <c r="CI37" i="1"/>
  <c r="CK37" i="1"/>
  <c r="CM37" i="1"/>
  <c r="CI38" i="1"/>
  <c r="CK38" i="1"/>
  <c r="CM38" i="1"/>
  <c r="CI39" i="1"/>
  <c r="CK39" i="1"/>
  <c r="CM39" i="1"/>
  <c r="CI40" i="1"/>
  <c r="CK40" i="1"/>
  <c r="CM40" i="1"/>
  <c r="CI41" i="1"/>
  <c r="CK41" i="1"/>
  <c r="CM41" i="1"/>
  <c r="CI42" i="1"/>
  <c r="CK42" i="1"/>
  <c r="CM42" i="1"/>
  <c r="CI43" i="1"/>
  <c r="CK43" i="1"/>
  <c r="CM43" i="1"/>
  <c r="CI44" i="1"/>
  <c r="CK44" i="1"/>
  <c r="CM44" i="1"/>
  <c r="CI45" i="1"/>
  <c r="CK45" i="1"/>
  <c r="CM45" i="1"/>
  <c r="CI46" i="1"/>
  <c r="CK46" i="1"/>
  <c r="CM46" i="1"/>
  <c r="CI47" i="1"/>
  <c r="CK47" i="1"/>
  <c r="CM47" i="1"/>
  <c r="CI48" i="1"/>
  <c r="CK48" i="1"/>
  <c r="CM48" i="1"/>
  <c r="CI49" i="1"/>
  <c r="CK49" i="1"/>
  <c r="CM49" i="1"/>
  <c r="CI50" i="1"/>
  <c r="CK50" i="1"/>
  <c r="CM50" i="1"/>
  <c r="CI51" i="1"/>
  <c r="CK51" i="1"/>
  <c r="CM51" i="1"/>
  <c r="CI52" i="1"/>
  <c r="CK52" i="1"/>
  <c r="CM52" i="1"/>
  <c r="CI53" i="1"/>
  <c r="CK53" i="1"/>
  <c r="CM53" i="1"/>
  <c r="CI54" i="1"/>
  <c r="CK54" i="1"/>
  <c r="CM54" i="1"/>
  <c r="CI55" i="1"/>
  <c r="CK55" i="1"/>
  <c r="CM55" i="1"/>
  <c r="CM6" i="1"/>
  <c r="CK6" i="1"/>
  <c r="X6" i="5"/>
  <c r="Y6" i="5"/>
  <c r="Z6" i="5"/>
  <c r="AA6" i="5"/>
  <c r="AB6" i="5"/>
  <c r="AC6" i="5"/>
  <c r="AN6" i="5"/>
  <c r="AO6" i="5"/>
  <c r="AP6" i="5"/>
  <c r="AQ6" i="5"/>
  <c r="AR6" i="5"/>
  <c r="AS6" i="5"/>
  <c r="X7" i="5"/>
  <c r="Y7" i="5"/>
  <c r="Z7" i="5"/>
  <c r="AA7" i="5"/>
  <c r="AB7" i="5"/>
  <c r="AC7" i="5"/>
  <c r="AN7" i="5"/>
  <c r="AO7" i="5"/>
  <c r="AP7" i="5"/>
  <c r="AQ7" i="5"/>
  <c r="AR7" i="5"/>
  <c r="AS7" i="5"/>
  <c r="X8" i="5"/>
  <c r="Y8" i="5"/>
  <c r="Z8" i="5"/>
  <c r="AA8" i="5"/>
  <c r="AB8" i="5"/>
  <c r="AC8" i="5"/>
  <c r="AN8" i="5"/>
  <c r="AO8" i="5"/>
  <c r="AP8" i="5"/>
  <c r="AQ8" i="5"/>
  <c r="AR8" i="5"/>
  <c r="AS8" i="5"/>
  <c r="X9" i="5"/>
  <c r="Y9" i="5"/>
  <c r="Z9" i="5"/>
  <c r="AA9" i="5"/>
  <c r="AB9" i="5"/>
  <c r="AC9" i="5"/>
  <c r="AN9" i="5"/>
  <c r="AO9" i="5"/>
  <c r="AP9" i="5"/>
  <c r="AQ9" i="5"/>
  <c r="AR9" i="5"/>
  <c r="AS9" i="5"/>
  <c r="X10" i="5"/>
  <c r="Y10" i="5"/>
  <c r="Z10" i="5"/>
  <c r="AA10" i="5"/>
  <c r="AB10" i="5"/>
  <c r="AC10" i="5"/>
  <c r="AN10" i="5"/>
  <c r="AO10" i="5"/>
  <c r="AP10" i="5"/>
  <c r="AQ10" i="5"/>
  <c r="AR10" i="5"/>
  <c r="AS10" i="5"/>
  <c r="X11" i="5"/>
  <c r="Y11" i="5"/>
  <c r="Z11" i="5"/>
  <c r="AA11" i="5"/>
  <c r="AB11" i="5"/>
  <c r="AC11" i="5"/>
  <c r="AN11" i="5"/>
  <c r="AO11" i="5"/>
  <c r="AP11" i="5"/>
  <c r="AQ11" i="5"/>
  <c r="AR11" i="5"/>
  <c r="AS11" i="5"/>
  <c r="X12" i="5"/>
  <c r="Y12" i="5"/>
  <c r="Z12" i="5"/>
  <c r="AA12" i="5"/>
  <c r="AB12" i="5"/>
  <c r="AC12" i="5"/>
  <c r="AN12" i="5"/>
  <c r="AO12" i="5"/>
  <c r="AP12" i="5"/>
  <c r="AQ12" i="5"/>
  <c r="AR12" i="5"/>
  <c r="AS12" i="5"/>
  <c r="X13" i="5"/>
  <c r="Y13" i="5"/>
  <c r="Z13" i="5"/>
  <c r="AA13" i="5"/>
  <c r="AB13" i="5"/>
  <c r="AC13" i="5"/>
  <c r="AN13" i="5"/>
  <c r="AO13" i="5"/>
  <c r="AP13" i="5"/>
  <c r="AQ13" i="5"/>
  <c r="AR13" i="5"/>
  <c r="AS13" i="5"/>
  <c r="X14" i="5"/>
  <c r="Y14" i="5"/>
  <c r="Z14" i="5"/>
  <c r="AA14" i="5"/>
  <c r="AB14" i="5"/>
  <c r="AC14" i="5"/>
  <c r="AN14" i="5"/>
  <c r="AO14" i="5"/>
  <c r="AP14" i="5"/>
  <c r="AQ14" i="5"/>
  <c r="AR14" i="5"/>
  <c r="AS14" i="5"/>
  <c r="X15" i="5"/>
  <c r="Y15" i="5"/>
  <c r="Z15" i="5"/>
  <c r="AA15" i="5"/>
  <c r="AB15" i="5"/>
  <c r="AC15" i="5"/>
  <c r="AN15" i="5"/>
  <c r="AO15" i="5"/>
  <c r="AP15" i="5"/>
  <c r="AQ15" i="5"/>
  <c r="AR15" i="5"/>
  <c r="AS15" i="5"/>
  <c r="X16" i="5"/>
  <c r="Y16" i="5"/>
  <c r="Z16" i="5"/>
  <c r="AA16" i="5"/>
  <c r="AB16" i="5"/>
  <c r="AC16" i="5"/>
  <c r="AN16" i="5"/>
  <c r="AO16" i="5"/>
  <c r="AP16" i="5"/>
  <c r="AQ16" i="5"/>
  <c r="AR16" i="5"/>
  <c r="AS16" i="5"/>
  <c r="X17" i="5"/>
  <c r="Y17" i="5"/>
  <c r="Z17" i="5"/>
  <c r="AA17" i="5"/>
  <c r="AB17" i="5"/>
  <c r="AC17" i="5"/>
  <c r="AN17" i="5"/>
  <c r="AO17" i="5"/>
  <c r="AP17" i="5"/>
  <c r="AQ17" i="5"/>
  <c r="AR17" i="5"/>
  <c r="AS17" i="5"/>
  <c r="X18" i="5"/>
  <c r="Y18" i="5"/>
  <c r="Z18" i="5"/>
  <c r="AA18" i="5"/>
  <c r="AB18" i="5"/>
  <c r="AC18" i="5"/>
  <c r="AN18" i="5"/>
  <c r="AO18" i="5"/>
  <c r="AP18" i="5"/>
  <c r="AQ18" i="5"/>
  <c r="AR18" i="5"/>
  <c r="AS18" i="5"/>
  <c r="X19" i="5"/>
  <c r="Y19" i="5"/>
  <c r="Z19" i="5"/>
  <c r="AA19" i="5"/>
  <c r="AB19" i="5"/>
  <c r="AC19" i="5"/>
  <c r="AN19" i="5"/>
  <c r="AO19" i="5"/>
  <c r="AP19" i="5"/>
  <c r="AQ19" i="5"/>
  <c r="AR19" i="5"/>
  <c r="AS19" i="5"/>
  <c r="X20" i="5"/>
  <c r="Y20" i="5"/>
  <c r="Z20" i="5"/>
  <c r="AA20" i="5"/>
  <c r="AB20" i="5"/>
  <c r="AC20" i="5"/>
  <c r="AN20" i="5"/>
  <c r="AO20" i="5"/>
  <c r="AP20" i="5"/>
  <c r="AQ20" i="5"/>
  <c r="AR20" i="5"/>
  <c r="AS20" i="5"/>
  <c r="X21" i="5"/>
  <c r="Y21" i="5"/>
  <c r="Z21" i="5"/>
  <c r="AA21" i="5"/>
  <c r="AB21" i="5"/>
  <c r="AC21" i="5"/>
  <c r="AN21" i="5"/>
  <c r="AO21" i="5"/>
  <c r="AP21" i="5"/>
  <c r="AQ21" i="5"/>
  <c r="AR21" i="5"/>
  <c r="AS21" i="5"/>
  <c r="X22" i="5"/>
  <c r="Y22" i="5"/>
  <c r="Z22" i="5"/>
  <c r="AA22" i="5"/>
  <c r="AB22" i="5"/>
  <c r="AC22" i="5"/>
  <c r="AN22" i="5"/>
  <c r="AO22" i="5"/>
  <c r="AP22" i="5"/>
  <c r="AQ22" i="5"/>
  <c r="AR22" i="5"/>
  <c r="AS22" i="5"/>
  <c r="X23" i="5"/>
  <c r="Y23" i="5"/>
  <c r="Z23" i="5"/>
  <c r="AA23" i="5"/>
  <c r="AB23" i="5"/>
  <c r="AC23" i="5"/>
  <c r="AN23" i="5"/>
  <c r="AO23" i="5"/>
  <c r="AP23" i="5"/>
  <c r="AQ23" i="5"/>
  <c r="AR23" i="5"/>
  <c r="AS23" i="5"/>
  <c r="X24" i="5"/>
  <c r="Y24" i="5"/>
  <c r="Z24" i="5"/>
  <c r="AA24" i="5"/>
  <c r="AB24" i="5"/>
  <c r="AC24" i="5"/>
  <c r="AN24" i="5"/>
  <c r="AO24" i="5"/>
  <c r="AP24" i="5"/>
  <c r="AQ24" i="5"/>
  <c r="AR24" i="5"/>
  <c r="AS24" i="5"/>
  <c r="X25" i="5"/>
  <c r="Y25" i="5"/>
  <c r="Z25" i="5"/>
  <c r="AA25" i="5"/>
  <c r="AB25" i="5"/>
  <c r="AC25" i="5"/>
  <c r="AN25" i="5"/>
  <c r="AO25" i="5"/>
  <c r="AP25" i="5"/>
  <c r="AQ25" i="5"/>
  <c r="AR25" i="5"/>
  <c r="AS25" i="5"/>
  <c r="X26" i="5"/>
  <c r="Y26" i="5"/>
  <c r="Z26" i="5"/>
  <c r="AA26" i="5"/>
  <c r="AB26" i="5"/>
  <c r="AC26" i="5"/>
  <c r="AN26" i="5"/>
  <c r="AO26" i="5"/>
  <c r="AP26" i="5"/>
  <c r="AQ26" i="5"/>
  <c r="AR26" i="5"/>
  <c r="AS26" i="5"/>
  <c r="X27" i="5"/>
  <c r="Y27" i="5"/>
  <c r="Z27" i="5"/>
  <c r="AA27" i="5"/>
  <c r="AB27" i="5"/>
  <c r="AC27" i="5"/>
  <c r="AN27" i="5"/>
  <c r="AO27" i="5"/>
  <c r="AP27" i="5"/>
  <c r="AQ27" i="5"/>
  <c r="AR27" i="5"/>
  <c r="AS27" i="5"/>
  <c r="X28" i="5"/>
  <c r="Y28" i="5"/>
  <c r="Z28" i="5"/>
  <c r="AA28" i="5"/>
  <c r="AB28" i="5"/>
  <c r="AC28" i="5"/>
  <c r="AN28" i="5"/>
  <c r="AO28" i="5"/>
  <c r="AP28" i="5"/>
  <c r="AQ28" i="5"/>
  <c r="AR28" i="5"/>
  <c r="AS28" i="5"/>
  <c r="X29" i="5"/>
  <c r="Y29" i="5"/>
  <c r="Z29" i="5"/>
  <c r="AA29" i="5"/>
  <c r="AB29" i="5"/>
  <c r="AC29" i="5"/>
  <c r="AN29" i="5"/>
  <c r="AO29" i="5"/>
  <c r="AP29" i="5"/>
  <c r="AQ29" i="5"/>
  <c r="AR29" i="5"/>
  <c r="AS29" i="5"/>
  <c r="X30" i="5"/>
  <c r="Y30" i="5"/>
  <c r="Z30" i="5"/>
  <c r="AA30" i="5"/>
  <c r="AB30" i="5"/>
  <c r="AC30" i="5"/>
  <c r="AN30" i="5"/>
  <c r="AO30" i="5"/>
  <c r="AP30" i="5"/>
  <c r="AQ30" i="5"/>
  <c r="AR30" i="5"/>
  <c r="AS30" i="5"/>
  <c r="X31" i="5"/>
  <c r="Y31" i="5"/>
  <c r="Z31" i="5"/>
  <c r="AA31" i="5"/>
  <c r="AB31" i="5"/>
  <c r="AC31" i="5"/>
  <c r="AN31" i="5"/>
  <c r="AO31" i="5"/>
  <c r="AP31" i="5"/>
  <c r="AQ31" i="5"/>
  <c r="AR31" i="5"/>
  <c r="AS31" i="5"/>
  <c r="X32" i="5"/>
  <c r="Y32" i="5"/>
  <c r="Z32" i="5"/>
  <c r="AA32" i="5"/>
  <c r="AB32" i="5"/>
  <c r="AC32" i="5"/>
  <c r="AN32" i="5"/>
  <c r="AO32" i="5"/>
  <c r="AP32" i="5"/>
  <c r="AQ32" i="5"/>
  <c r="AR32" i="5"/>
  <c r="AS32" i="5"/>
  <c r="X33" i="5"/>
  <c r="Y33" i="5"/>
  <c r="Z33" i="5"/>
  <c r="AA33" i="5"/>
  <c r="AB33" i="5"/>
  <c r="AC33" i="5"/>
  <c r="AN33" i="5"/>
  <c r="AO33" i="5"/>
  <c r="AP33" i="5"/>
  <c r="AQ33" i="5"/>
  <c r="AR33" i="5"/>
  <c r="AS33" i="5"/>
  <c r="X34" i="5"/>
  <c r="Y34" i="5"/>
  <c r="Z34" i="5"/>
  <c r="AA34" i="5"/>
  <c r="AB34" i="5"/>
  <c r="AC34" i="5"/>
  <c r="AN34" i="5"/>
  <c r="AO34" i="5"/>
  <c r="AP34" i="5"/>
  <c r="AQ34" i="5"/>
  <c r="AR34" i="5"/>
  <c r="AS34" i="5"/>
  <c r="X35" i="5"/>
  <c r="Y35" i="5"/>
  <c r="Z35" i="5"/>
  <c r="AA35" i="5"/>
  <c r="AB35" i="5"/>
  <c r="AC35" i="5"/>
  <c r="AN35" i="5"/>
  <c r="AO35" i="5"/>
  <c r="AP35" i="5"/>
  <c r="AQ35" i="5"/>
  <c r="AR35" i="5"/>
  <c r="AS35" i="5"/>
  <c r="X36" i="5"/>
  <c r="Y36" i="5"/>
  <c r="Z36" i="5"/>
  <c r="AA36" i="5"/>
  <c r="AB36" i="5"/>
  <c r="AC36" i="5"/>
  <c r="AN36" i="5"/>
  <c r="AO36" i="5"/>
  <c r="AP36" i="5"/>
  <c r="AQ36" i="5"/>
  <c r="AR36" i="5"/>
  <c r="AS36" i="5"/>
  <c r="X37" i="5"/>
  <c r="Y37" i="5"/>
  <c r="Z37" i="5"/>
  <c r="AA37" i="5"/>
  <c r="AB37" i="5"/>
  <c r="AC37" i="5"/>
  <c r="AN37" i="5"/>
  <c r="AO37" i="5"/>
  <c r="AP37" i="5"/>
  <c r="AQ37" i="5"/>
  <c r="AR37" i="5"/>
  <c r="AS37" i="5"/>
  <c r="X38" i="5"/>
  <c r="Y38" i="5"/>
  <c r="Z38" i="5"/>
  <c r="AA38" i="5"/>
  <c r="AB38" i="5"/>
  <c r="AC38" i="5"/>
  <c r="AN38" i="5"/>
  <c r="AO38" i="5"/>
  <c r="AP38" i="5"/>
  <c r="AQ38" i="5"/>
  <c r="AR38" i="5"/>
  <c r="AS38" i="5"/>
  <c r="X39" i="5"/>
  <c r="Y39" i="5"/>
  <c r="Z39" i="5"/>
  <c r="AA39" i="5"/>
  <c r="AB39" i="5"/>
  <c r="AC39" i="5"/>
  <c r="AN39" i="5"/>
  <c r="AO39" i="5"/>
  <c r="AP39" i="5"/>
  <c r="AQ39" i="5"/>
  <c r="AR39" i="5"/>
  <c r="AS39" i="5"/>
  <c r="X40" i="5"/>
  <c r="Y40" i="5"/>
  <c r="Z40" i="5"/>
  <c r="AA40" i="5"/>
  <c r="AB40" i="5"/>
  <c r="AC40" i="5"/>
  <c r="AN40" i="5"/>
  <c r="AO40" i="5"/>
  <c r="AP40" i="5"/>
  <c r="AQ40" i="5"/>
  <c r="AR40" i="5"/>
  <c r="AS40" i="5"/>
  <c r="X41" i="5"/>
  <c r="Y41" i="5"/>
  <c r="Z41" i="5"/>
  <c r="AA41" i="5"/>
  <c r="AB41" i="5"/>
  <c r="AC41" i="5"/>
  <c r="AN41" i="5"/>
  <c r="AO41" i="5"/>
  <c r="AP41" i="5"/>
  <c r="AQ41" i="5"/>
  <c r="AR41" i="5"/>
  <c r="AS41" i="5"/>
  <c r="X42" i="5"/>
  <c r="Y42" i="5"/>
  <c r="Z42" i="5"/>
  <c r="AA42" i="5"/>
  <c r="AB42" i="5"/>
  <c r="AC42" i="5"/>
  <c r="AN42" i="5"/>
  <c r="AO42" i="5"/>
  <c r="AP42" i="5"/>
  <c r="AQ42" i="5"/>
  <c r="AR42" i="5"/>
  <c r="AS42" i="5"/>
  <c r="X43" i="5"/>
  <c r="Y43" i="5"/>
  <c r="Z43" i="5"/>
  <c r="AA43" i="5"/>
  <c r="AB43" i="5"/>
  <c r="AC43" i="5"/>
  <c r="AN43" i="5"/>
  <c r="AO43" i="5"/>
  <c r="AP43" i="5"/>
  <c r="AQ43" i="5"/>
  <c r="AR43" i="5"/>
  <c r="AS43" i="5"/>
  <c r="X44" i="5"/>
  <c r="Y44" i="5"/>
  <c r="Z44" i="5"/>
  <c r="AA44" i="5"/>
  <c r="AB44" i="5"/>
  <c r="AC44" i="5"/>
  <c r="AN44" i="5"/>
  <c r="AO44" i="5"/>
  <c r="AP44" i="5"/>
  <c r="AQ44" i="5"/>
  <c r="AR44" i="5"/>
  <c r="AS44" i="5"/>
  <c r="X45" i="5"/>
  <c r="Y45" i="5"/>
  <c r="Z45" i="5"/>
  <c r="AA45" i="5"/>
  <c r="AB45" i="5"/>
  <c r="AC45" i="5"/>
  <c r="AN45" i="5"/>
  <c r="AO45" i="5"/>
  <c r="AP45" i="5"/>
  <c r="AQ45" i="5"/>
  <c r="AR45" i="5"/>
  <c r="AS45" i="5"/>
  <c r="X46" i="5"/>
  <c r="Y46" i="5"/>
  <c r="Z46" i="5"/>
  <c r="AA46" i="5"/>
  <c r="AB46" i="5"/>
  <c r="AC46" i="5"/>
  <c r="AN46" i="5"/>
  <c r="AO46" i="5"/>
  <c r="AP46" i="5"/>
  <c r="AQ46" i="5"/>
  <c r="AR46" i="5"/>
  <c r="AS46" i="5"/>
  <c r="X47" i="5"/>
  <c r="Y47" i="5"/>
  <c r="Z47" i="5"/>
  <c r="AA47" i="5"/>
  <c r="AB47" i="5"/>
  <c r="AC47" i="5"/>
  <c r="AN47" i="5"/>
  <c r="AO47" i="5"/>
  <c r="AP47" i="5"/>
  <c r="AQ47" i="5"/>
  <c r="AR47" i="5"/>
  <c r="AS47" i="5"/>
  <c r="X48" i="5"/>
  <c r="Y48" i="5"/>
  <c r="Z48" i="5"/>
  <c r="AA48" i="5"/>
  <c r="AB48" i="5"/>
  <c r="AC48" i="5"/>
  <c r="AN48" i="5"/>
  <c r="AO48" i="5"/>
  <c r="AP48" i="5"/>
  <c r="AQ48" i="5"/>
  <c r="AR48" i="5"/>
  <c r="AS48" i="5"/>
  <c r="X49" i="5"/>
  <c r="Y49" i="5"/>
  <c r="Z49" i="5"/>
  <c r="AA49" i="5"/>
  <c r="AB49" i="5"/>
  <c r="AC49" i="5"/>
  <c r="AN49" i="5"/>
  <c r="AO49" i="5"/>
  <c r="AP49" i="5"/>
  <c r="AQ49" i="5"/>
  <c r="AR49" i="5"/>
  <c r="AS49" i="5"/>
  <c r="X50" i="5"/>
  <c r="Y50" i="5"/>
  <c r="Z50" i="5"/>
  <c r="AA50" i="5"/>
  <c r="AB50" i="5"/>
  <c r="AC50" i="5"/>
  <c r="AN50" i="5"/>
  <c r="AO50" i="5"/>
  <c r="AP50" i="5"/>
  <c r="AQ50" i="5"/>
  <c r="AR50" i="5"/>
  <c r="AS50" i="5"/>
  <c r="X51" i="5"/>
  <c r="Y51" i="5"/>
  <c r="Z51" i="5"/>
  <c r="AA51" i="5"/>
  <c r="AB51" i="5"/>
  <c r="AC51" i="5"/>
  <c r="AN51" i="5"/>
  <c r="AO51" i="5"/>
  <c r="AP51" i="5"/>
  <c r="AQ51" i="5"/>
  <c r="AR51" i="5"/>
  <c r="AS51" i="5"/>
  <c r="X52" i="5"/>
  <c r="Y52" i="5"/>
  <c r="Z52" i="5"/>
  <c r="AA52" i="5"/>
  <c r="AB52" i="5"/>
  <c r="AC52" i="5"/>
  <c r="AN52" i="5"/>
  <c r="AO52" i="5"/>
  <c r="AP52" i="5"/>
  <c r="AQ52" i="5"/>
  <c r="AR52" i="5"/>
  <c r="AS52" i="5"/>
  <c r="X53" i="5"/>
  <c r="Y53" i="5"/>
  <c r="Z53" i="5"/>
  <c r="AA53" i="5"/>
  <c r="AB53" i="5"/>
  <c r="AC53" i="5"/>
  <c r="AN53" i="5"/>
  <c r="AO53" i="5"/>
  <c r="AP53" i="5"/>
  <c r="AQ53" i="5"/>
  <c r="AR53" i="5"/>
  <c r="AS53" i="5"/>
  <c r="X54" i="5"/>
  <c r="Y54" i="5"/>
  <c r="Z54" i="5"/>
  <c r="AA54" i="5"/>
  <c r="AB54" i="5"/>
  <c r="AC54" i="5"/>
  <c r="AN54" i="5"/>
  <c r="AO54" i="5"/>
  <c r="AP54" i="5"/>
  <c r="AQ54" i="5"/>
  <c r="AR54" i="5"/>
  <c r="AS54" i="5"/>
  <c r="AT5" i="5"/>
  <c r="AT6" i="5"/>
  <c r="AT7" i="5"/>
  <c r="AT8" i="5"/>
  <c r="AT9" i="5"/>
  <c r="AT10" i="5"/>
  <c r="AT11" i="5"/>
  <c r="AT12" i="5"/>
  <c r="AT13" i="5"/>
  <c r="AT14" i="5"/>
  <c r="AT15" i="5"/>
  <c r="AT16" i="5"/>
  <c r="AT17" i="5"/>
  <c r="AT18" i="5"/>
  <c r="AT19" i="5"/>
  <c r="AT20" i="5"/>
  <c r="AT21" i="5"/>
  <c r="AT22"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49" i="5"/>
  <c r="AT50" i="5"/>
  <c r="AT51" i="5"/>
  <c r="AT52" i="5"/>
  <c r="AT53" i="5"/>
  <c r="AT54" i="5"/>
  <c r="AS5" i="5"/>
  <c r="AR5" i="5"/>
  <c r="AQ5" i="5"/>
  <c r="AP5" i="5"/>
  <c r="AO5" i="5"/>
  <c r="AN5" i="5"/>
  <c r="AC5" i="5"/>
  <c r="AB5" i="5"/>
  <c r="AA5" i="5"/>
  <c r="Z5" i="5"/>
  <c r="Y5" i="5"/>
  <c r="X5" i="5"/>
  <c r="T6" i="4"/>
  <c r="U6" i="4"/>
  <c r="V6" i="4"/>
  <c r="W6" i="4"/>
  <c r="AF6" i="4"/>
  <c r="AG6" i="4"/>
  <c r="AH6" i="4"/>
  <c r="AI6" i="4"/>
  <c r="T7" i="4"/>
  <c r="U7" i="4"/>
  <c r="V7" i="4"/>
  <c r="W7" i="4"/>
  <c r="AF7" i="4"/>
  <c r="AG7" i="4"/>
  <c r="AH7" i="4"/>
  <c r="AI7" i="4"/>
  <c r="T8" i="4"/>
  <c r="U8" i="4"/>
  <c r="V8" i="4"/>
  <c r="W8" i="4"/>
  <c r="AF8" i="4"/>
  <c r="AG8" i="4"/>
  <c r="AH8" i="4"/>
  <c r="AI8" i="4"/>
  <c r="T9" i="4"/>
  <c r="U9" i="4"/>
  <c r="V9" i="4"/>
  <c r="W9" i="4"/>
  <c r="AF9" i="4"/>
  <c r="AG9" i="4"/>
  <c r="AH9" i="4"/>
  <c r="AI9" i="4"/>
  <c r="T10" i="4"/>
  <c r="U10" i="4"/>
  <c r="V10" i="4"/>
  <c r="W10" i="4"/>
  <c r="AF10" i="4"/>
  <c r="AG10" i="4"/>
  <c r="AH10" i="4"/>
  <c r="AI10" i="4"/>
  <c r="T11" i="4"/>
  <c r="U11" i="4"/>
  <c r="V11" i="4"/>
  <c r="W11" i="4"/>
  <c r="AF11" i="4"/>
  <c r="AG11" i="4"/>
  <c r="AH11" i="4"/>
  <c r="AI11" i="4"/>
  <c r="T12" i="4"/>
  <c r="U12" i="4"/>
  <c r="V12" i="4"/>
  <c r="W12" i="4"/>
  <c r="AF12" i="4"/>
  <c r="AG12" i="4"/>
  <c r="AH12" i="4"/>
  <c r="AI12" i="4"/>
  <c r="T13" i="4"/>
  <c r="U13" i="4"/>
  <c r="V13" i="4"/>
  <c r="W13" i="4"/>
  <c r="AF13" i="4"/>
  <c r="AG13" i="4"/>
  <c r="AH13" i="4"/>
  <c r="AI13" i="4"/>
  <c r="T14" i="4"/>
  <c r="U14" i="4"/>
  <c r="V14" i="4"/>
  <c r="W14" i="4"/>
  <c r="AF14" i="4"/>
  <c r="AG14" i="4"/>
  <c r="AH14" i="4"/>
  <c r="AI14" i="4"/>
  <c r="T15" i="4"/>
  <c r="U15" i="4"/>
  <c r="V15" i="4"/>
  <c r="W15" i="4"/>
  <c r="AF15" i="4"/>
  <c r="AG15" i="4"/>
  <c r="AH15" i="4"/>
  <c r="AI15" i="4"/>
  <c r="T16" i="4"/>
  <c r="U16" i="4"/>
  <c r="V16" i="4"/>
  <c r="W16" i="4"/>
  <c r="AF16" i="4"/>
  <c r="AG16" i="4"/>
  <c r="AH16" i="4"/>
  <c r="AI16" i="4"/>
  <c r="T17" i="4"/>
  <c r="U17" i="4"/>
  <c r="V17" i="4"/>
  <c r="W17" i="4"/>
  <c r="AF17" i="4"/>
  <c r="AG17" i="4"/>
  <c r="AH17" i="4"/>
  <c r="AI17" i="4"/>
  <c r="T18" i="4"/>
  <c r="U18" i="4"/>
  <c r="V18" i="4"/>
  <c r="W18" i="4"/>
  <c r="AF18" i="4"/>
  <c r="AG18" i="4"/>
  <c r="AH18" i="4"/>
  <c r="AI18" i="4"/>
  <c r="T19" i="4"/>
  <c r="U19" i="4"/>
  <c r="V19" i="4"/>
  <c r="W19" i="4"/>
  <c r="AF19" i="4"/>
  <c r="AG19" i="4"/>
  <c r="AH19" i="4"/>
  <c r="AI19" i="4"/>
  <c r="T20" i="4"/>
  <c r="U20" i="4"/>
  <c r="V20" i="4"/>
  <c r="W20" i="4"/>
  <c r="AF20" i="4"/>
  <c r="AG20" i="4"/>
  <c r="AH20" i="4"/>
  <c r="AI20" i="4"/>
  <c r="T21" i="4"/>
  <c r="U21" i="4"/>
  <c r="V21" i="4"/>
  <c r="W21" i="4"/>
  <c r="AF21" i="4"/>
  <c r="AG21" i="4"/>
  <c r="AH21" i="4"/>
  <c r="AI21" i="4"/>
  <c r="T22" i="4"/>
  <c r="U22" i="4"/>
  <c r="V22" i="4"/>
  <c r="W22" i="4"/>
  <c r="AF22" i="4"/>
  <c r="AG22" i="4"/>
  <c r="AH22" i="4"/>
  <c r="AI22" i="4"/>
  <c r="T23" i="4"/>
  <c r="U23" i="4"/>
  <c r="V23" i="4"/>
  <c r="W23" i="4"/>
  <c r="AF23" i="4"/>
  <c r="AG23" i="4"/>
  <c r="AH23" i="4"/>
  <c r="AI23" i="4"/>
  <c r="T24" i="4"/>
  <c r="U24" i="4"/>
  <c r="V24" i="4"/>
  <c r="W24" i="4"/>
  <c r="AF24" i="4"/>
  <c r="AG24" i="4"/>
  <c r="AH24" i="4"/>
  <c r="AI24" i="4"/>
  <c r="T25" i="4"/>
  <c r="U25" i="4"/>
  <c r="V25" i="4"/>
  <c r="W25" i="4"/>
  <c r="AF25" i="4"/>
  <c r="AG25" i="4"/>
  <c r="AH25" i="4"/>
  <c r="AI25" i="4"/>
  <c r="T26" i="4"/>
  <c r="U26" i="4"/>
  <c r="V26" i="4"/>
  <c r="W26" i="4"/>
  <c r="AF26" i="4"/>
  <c r="AG26" i="4"/>
  <c r="AH26" i="4"/>
  <c r="AI26" i="4"/>
  <c r="T27" i="4"/>
  <c r="U27" i="4"/>
  <c r="V27" i="4"/>
  <c r="W27" i="4"/>
  <c r="AF27" i="4"/>
  <c r="AG27" i="4"/>
  <c r="AH27" i="4"/>
  <c r="AI27" i="4"/>
  <c r="T28" i="4"/>
  <c r="U28" i="4"/>
  <c r="V28" i="4"/>
  <c r="W28" i="4"/>
  <c r="AF28" i="4"/>
  <c r="AG28" i="4"/>
  <c r="AH28" i="4"/>
  <c r="AI28" i="4"/>
  <c r="T29" i="4"/>
  <c r="U29" i="4"/>
  <c r="V29" i="4"/>
  <c r="W29" i="4"/>
  <c r="AF29" i="4"/>
  <c r="AG29" i="4"/>
  <c r="AH29" i="4"/>
  <c r="AI29" i="4"/>
  <c r="T30" i="4"/>
  <c r="U30" i="4"/>
  <c r="V30" i="4"/>
  <c r="W30" i="4"/>
  <c r="AF30" i="4"/>
  <c r="AG30" i="4"/>
  <c r="AH30" i="4"/>
  <c r="AI30" i="4"/>
  <c r="T31" i="4"/>
  <c r="U31" i="4"/>
  <c r="V31" i="4"/>
  <c r="W31" i="4"/>
  <c r="AF31" i="4"/>
  <c r="AG31" i="4"/>
  <c r="AH31" i="4"/>
  <c r="AI31" i="4"/>
  <c r="T32" i="4"/>
  <c r="U32" i="4"/>
  <c r="V32" i="4"/>
  <c r="W32" i="4"/>
  <c r="AF32" i="4"/>
  <c r="AG32" i="4"/>
  <c r="AH32" i="4"/>
  <c r="AI32" i="4"/>
  <c r="T33" i="4"/>
  <c r="U33" i="4"/>
  <c r="V33" i="4"/>
  <c r="W33" i="4"/>
  <c r="AF33" i="4"/>
  <c r="AG33" i="4"/>
  <c r="AH33" i="4"/>
  <c r="AI33" i="4"/>
  <c r="T34" i="4"/>
  <c r="U34" i="4"/>
  <c r="V34" i="4"/>
  <c r="W34" i="4"/>
  <c r="AF34" i="4"/>
  <c r="AG34" i="4"/>
  <c r="AH34" i="4"/>
  <c r="AI34" i="4"/>
  <c r="T35" i="4"/>
  <c r="U35" i="4"/>
  <c r="V35" i="4"/>
  <c r="W35" i="4"/>
  <c r="AF35" i="4"/>
  <c r="AG35" i="4"/>
  <c r="AH35" i="4"/>
  <c r="AI35" i="4"/>
  <c r="T36" i="4"/>
  <c r="U36" i="4"/>
  <c r="V36" i="4"/>
  <c r="W36" i="4"/>
  <c r="AF36" i="4"/>
  <c r="AG36" i="4"/>
  <c r="AH36" i="4"/>
  <c r="AI36" i="4"/>
  <c r="T37" i="4"/>
  <c r="U37" i="4"/>
  <c r="V37" i="4"/>
  <c r="W37" i="4"/>
  <c r="AF37" i="4"/>
  <c r="AG37" i="4"/>
  <c r="AH37" i="4"/>
  <c r="AI37" i="4"/>
  <c r="T38" i="4"/>
  <c r="U38" i="4"/>
  <c r="V38" i="4"/>
  <c r="W38" i="4"/>
  <c r="AF38" i="4"/>
  <c r="AG38" i="4"/>
  <c r="AH38" i="4"/>
  <c r="AI38" i="4"/>
  <c r="T39" i="4"/>
  <c r="U39" i="4"/>
  <c r="V39" i="4"/>
  <c r="W39" i="4"/>
  <c r="AF39" i="4"/>
  <c r="AG39" i="4"/>
  <c r="AH39" i="4"/>
  <c r="AI39" i="4"/>
  <c r="T40" i="4"/>
  <c r="U40" i="4"/>
  <c r="V40" i="4"/>
  <c r="W40" i="4"/>
  <c r="AF40" i="4"/>
  <c r="AG40" i="4"/>
  <c r="AH40" i="4"/>
  <c r="AI40" i="4"/>
  <c r="T41" i="4"/>
  <c r="U41" i="4"/>
  <c r="V41" i="4"/>
  <c r="W41" i="4"/>
  <c r="AF41" i="4"/>
  <c r="AG41" i="4"/>
  <c r="AH41" i="4"/>
  <c r="AI41" i="4"/>
  <c r="T42" i="4"/>
  <c r="U42" i="4"/>
  <c r="V42" i="4"/>
  <c r="W42" i="4"/>
  <c r="AF42" i="4"/>
  <c r="AG42" i="4"/>
  <c r="AH42" i="4"/>
  <c r="AI42" i="4"/>
  <c r="T43" i="4"/>
  <c r="U43" i="4"/>
  <c r="V43" i="4"/>
  <c r="W43" i="4"/>
  <c r="AF43" i="4"/>
  <c r="AG43" i="4"/>
  <c r="AH43" i="4"/>
  <c r="AI43" i="4"/>
  <c r="T44" i="4"/>
  <c r="U44" i="4"/>
  <c r="V44" i="4"/>
  <c r="W44" i="4"/>
  <c r="AF44" i="4"/>
  <c r="AG44" i="4"/>
  <c r="AH44" i="4"/>
  <c r="AI44" i="4"/>
  <c r="T45" i="4"/>
  <c r="U45" i="4"/>
  <c r="V45" i="4"/>
  <c r="W45" i="4"/>
  <c r="AF45" i="4"/>
  <c r="AG45" i="4"/>
  <c r="AH45" i="4"/>
  <c r="AI45" i="4"/>
  <c r="T46" i="4"/>
  <c r="U46" i="4"/>
  <c r="V46" i="4"/>
  <c r="W46" i="4"/>
  <c r="AF46" i="4"/>
  <c r="AG46" i="4"/>
  <c r="AH46" i="4"/>
  <c r="AI46" i="4"/>
  <c r="T47" i="4"/>
  <c r="U47" i="4"/>
  <c r="V47" i="4"/>
  <c r="W47" i="4"/>
  <c r="AF47" i="4"/>
  <c r="AG47" i="4"/>
  <c r="AH47" i="4"/>
  <c r="AI47" i="4"/>
  <c r="T48" i="4"/>
  <c r="U48" i="4"/>
  <c r="V48" i="4"/>
  <c r="W48" i="4"/>
  <c r="AF48" i="4"/>
  <c r="AG48" i="4"/>
  <c r="AH48" i="4"/>
  <c r="AI48" i="4"/>
  <c r="T49" i="4"/>
  <c r="U49" i="4"/>
  <c r="V49" i="4"/>
  <c r="W49" i="4"/>
  <c r="AF49" i="4"/>
  <c r="AG49" i="4"/>
  <c r="AH49" i="4"/>
  <c r="AI49" i="4"/>
  <c r="T50" i="4"/>
  <c r="U50" i="4"/>
  <c r="V50" i="4"/>
  <c r="W50" i="4"/>
  <c r="AF50" i="4"/>
  <c r="AG50" i="4"/>
  <c r="AH50" i="4"/>
  <c r="AI50" i="4"/>
  <c r="T51" i="4"/>
  <c r="U51" i="4"/>
  <c r="V51" i="4"/>
  <c r="W51" i="4"/>
  <c r="AF51" i="4"/>
  <c r="AG51" i="4"/>
  <c r="AH51" i="4"/>
  <c r="AI51" i="4"/>
  <c r="T52" i="4"/>
  <c r="U52" i="4"/>
  <c r="V52" i="4"/>
  <c r="W52" i="4"/>
  <c r="AF52" i="4"/>
  <c r="AG52" i="4"/>
  <c r="AH52" i="4"/>
  <c r="AI52" i="4"/>
  <c r="T53" i="4"/>
  <c r="U53" i="4"/>
  <c r="V53" i="4"/>
  <c r="W53" i="4"/>
  <c r="AF53" i="4"/>
  <c r="AG53" i="4"/>
  <c r="AH53" i="4"/>
  <c r="AI53" i="4"/>
  <c r="T54" i="4"/>
  <c r="U54" i="4"/>
  <c r="V54" i="4"/>
  <c r="W54" i="4"/>
  <c r="AF54" i="4"/>
  <c r="AG54" i="4"/>
  <c r="AH54" i="4"/>
  <c r="AI54" i="4"/>
  <c r="AI5" i="4"/>
  <c r="AH5" i="4"/>
  <c r="AG5" i="4"/>
  <c r="AF5" i="4"/>
  <c r="W5" i="4"/>
  <c r="V5" i="4"/>
  <c r="U5" i="4"/>
  <c r="T5" i="4"/>
  <c r="BT12" i="41" l="1"/>
  <c r="BV32" i="41"/>
  <c r="BT24" i="41"/>
  <c r="BV20" i="41"/>
  <c r="BT36" i="41"/>
  <c r="BT28" i="41"/>
  <c r="BT16" i="41"/>
  <c r="BT44" i="41"/>
  <c r="BV39" i="41"/>
  <c r="BV43" i="41"/>
  <c r="BT27" i="41"/>
  <c r="BV31" i="41"/>
  <c r="BV18" i="41"/>
  <c r="BT15" i="41"/>
  <c r="BV30" i="41"/>
  <c r="BT11" i="41"/>
  <c r="BT33" i="41"/>
  <c r="BT17" i="41"/>
  <c r="BV14" i="41"/>
  <c r="BT35" i="41"/>
  <c r="BT13" i="41"/>
  <c r="BV19" i="41"/>
  <c r="BT29" i="41"/>
  <c r="BT23" i="41"/>
  <c r="BT26" i="41"/>
  <c r="BT45" i="41"/>
  <c r="BV34" i="41"/>
  <c r="BT38" i="41"/>
  <c r="BV22" i="41"/>
  <c r="BT41" i="41"/>
  <c r="BT37" i="41"/>
  <c r="BT25" i="41"/>
  <c r="BT21" i="41"/>
  <c r="BT42" i="41"/>
  <c r="DG44" i="1"/>
  <c r="F44" i="41"/>
  <c r="DG42" i="1"/>
  <c r="F42" i="41"/>
  <c r="DG40" i="1"/>
  <c r="F40" i="41"/>
  <c r="DG38" i="1"/>
  <c r="F38" i="41"/>
  <c r="DG36" i="1"/>
  <c r="F36" i="41"/>
  <c r="DG34" i="1"/>
  <c r="F34" i="41"/>
  <c r="DG32" i="1"/>
  <c r="F32" i="41"/>
  <c r="DG30" i="1"/>
  <c r="F30" i="41"/>
  <c r="DG28" i="1"/>
  <c r="F28" i="41"/>
  <c r="DG26" i="1"/>
  <c r="F26" i="41"/>
  <c r="DG24" i="1"/>
  <c r="F24" i="41"/>
  <c r="DG22" i="1"/>
  <c r="F22" i="41"/>
  <c r="DG20" i="1"/>
  <c r="F20" i="41"/>
  <c r="DG18" i="1"/>
  <c r="F18" i="41"/>
  <c r="DG16" i="1"/>
  <c r="F16" i="41"/>
  <c r="DG14" i="1"/>
  <c r="F14" i="41"/>
  <c r="DG12" i="1"/>
  <c r="F12" i="41"/>
  <c r="DG10" i="1"/>
  <c r="F10" i="41"/>
  <c r="DG8" i="1"/>
  <c r="F8" i="41"/>
  <c r="DG45" i="1"/>
  <c r="F45" i="41"/>
  <c r="DG43" i="1"/>
  <c r="F43" i="41"/>
  <c r="DG41" i="1"/>
  <c r="F41" i="41"/>
  <c r="DG39" i="1"/>
  <c r="F39" i="41"/>
  <c r="DG37" i="1"/>
  <c r="F37" i="41"/>
  <c r="DG35" i="1"/>
  <c r="F35" i="41"/>
  <c r="DG33" i="1"/>
  <c r="F33" i="41"/>
  <c r="DG31" i="1"/>
  <c r="F31" i="41"/>
  <c r="DG29" i="1"/>
  <c r="F29" i="41"/>
  <c r="DG27" i="1"/>
  <c r="F27" i="41"/>
  <c r="DG25" i="1"/>
  <c r="F25" i="41"/>
  <c r="DG23" i="1"/>
  <c r="F23" i="41"/>
  <c r="DG21" i="1"/>
  <c r="F21" i="41"/>
  <c r="DG19" i="1"/>
  <c r="F19" i="41"/>
  <c r="DG17" i="1"/>
  <c r="F17" i="41"/>
  <c r="DG15" i="1"/>
  <c r="F15" i="41"/>
  <c r="DG13" i="1"/>
  <c r="F13" i="41"/>
  <c r="DG11" i="1"/>
  <c r="F11" i="41"/>
  <c r="DG9" i="1"/>
  <c r="F9" i="41"/>
  <c r="BU55" i="41"/>
  <c r="BU53" i="41"/>
  <c r="BU51" i="41"/>
  <c r="BU49" i="41"/>
  <c r="BU47" i="41"/>
  <c r="BU54" i="41"/>
  <c r="BU52" i="41"/>
  <c r="BU50" i="41"/>
  <c r="BU48" i="41"/>
  <c r="BU46" i="41"/>
  <c r="DG7" i="1"/>
  <c r="F7" i="41"/>
  <c r="DG53" i="1"/>
  <c r="F53" i="41"/>
  <c r="DG49" i="1"/>
  <c r="F49" i="41"/>
  <c r="DG52" i="1"/>
  <c r="F52" i="41"/>
  <c r="DG54" i="1"/>
  <c r="F54" i="41"/>
  <c r="DG50" i="1"/>
  <c r="F50" i="41"/>
  <c r="DG46" i="1"/>
  <c r="F46" i="41"/>
  <c r="DG48" i="1"/>
  <c r="F48" i="41"/>
  <c r="DG55" i="1"/>
  <c r="F55" i="41"/>
  <c r="DG51" i="1"/>
  <c r="F51" i="41"/>
  <c r="DG47" i="1"/>
  <c r="F47" i="41"/>
  <c r="BU6" i="41"/>
  <c r="BT6" i="41" s="1"/>
  <c r="BU7" i="41"/>
  <c r="BT7" i="41" s="1"/>
  <c r="BU8" i="41"/>
  <c r="BT8" i="41" s="1"/>
  <c r="AT5" i="35"/>
  <c r="AT3" i="35" s="1"/>
  <c r="AT6" i="35" s="1"/>
  <c r="BV9" i="41"/>
  <c r="BV10" i="41"/>
  <c r="AS5" i="7"/>
  <c r="AS3" i="7" s="1"/>
  <c r="AS6" i="7" s="1"/>
  <c r="AT5" i="21"/>
  <c r="AT3" i="21" s="1"/>
  <c r="AT6" i="21" s="1"/>
  <c r="AS5" i="27"/>
  <c r="AS3" i="27" s="1"/>
  <c r="AS6" i="27" s="1"/>
  <c r="AV5" i="36"/>
  <c r="AV3" i="36" s="1"/>
  <c r="AV6" i="36" s="1"/>
  <c r="AR5" i="19"/>
  <c r="AR3" i="19" s="1"/>
  <c r="AR6" i="19" s="1"/>
  <c r="AT5" i="18"/>
  <c r="AT3" i="18" s="1"/>
  <c r="AT6" i="18" s="1"/>
  <c r="AQ5" i="17"/>
  <c r="AQ3" i="17" s="1"/>
  <c r="AQ6" i="17" s="1"/>
  <c r="AR5" i="34"/>
  <c r="AR3" i="34" s="1"/>
  <c r="AR6" i="34" s="1"/>
  <c r="AS5" i="20"/>
  <c r="AS3" i="20" s="1"/>
  <c r="AS6" i="20" s="1"/>
  <c r="DG6" i="16"/>
  <c r="DG4" i="16" s="1"/>
  <c r="DG7" i="16" s="1"/>
  <c r="AV5" i="13"/>
  <c r="AV3" i="13" s="1"/>
  <c r="AV6" i="13" s="1"/>
  <c r="AS5" i="26"/>
  <c r="AS3" i="26" s="1"/>
  <c r="AS6" i="26" s="1"/>
  <c r="AS5" i="12"/>
  <c r="AS3" i="12" s="1"/>
  <c r="AS6" i="12" s="1"/>
  <c r="AS5" i="33"/>
  <c r="AS3" i="33" s="1"/>
  <c r="AS6" i="33" s="1"/>
  <c r="AS5" i="11"/>
  <c r="AS3" i="11" s="1"/>
  <c r="AS6" i="11" s="1"/>
  <c r="AR5" i="10"/>
  <c r="AR3" i="10" s="1"/>
  <c r="AR6" i="10" s="1"/>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S54" i="5"/>
  <c r="S53" i="5"/>
  <c r="S52" i="5"/>
  <c r="S51" i="5"/>
  <c r="S50" i="5"/>
  <c r="S49" i="5"/>
  <c r="S48" i="5"/>
  <c r="AM47" i="5"/>
  <c r="S47" i="5"/>
  <c r="S46" i="5"/>
  <c r="S45" i="5"/>
  <c r="S44" i="5"/>
  <c r="AM43" i="5"/>
  <c r="S43" i="5"/>
  <c r="S42" i="5"/>
  <c r="S41" i="5"/>
  <c r="S40" i="5"/>
  <c r="S39" i="5"/>
  <c r="S38" i="5"/>
  <c r="S37" i="5"/>
  <c r="S36" i="5"/>
  <c r="S35" i="5"/>
  <c r="S34" i="5"/>
  <c r="S33" i="5"/>
  <c r="S32" i="5"/>
  <c r="AM31" i="5"/>
  <c r="S31" i="5"/>
  <c r="S30" i="5"/>
  <c r="S29" i="5"/>
  <c r="S28" i="5"/>
  <c r="S27" i="5"/>
  <c r="S26" i="5"/>
  <c r="S25" i="5"/>
  <c r="S24" i="5"/>
  <c r="S23" i="5"/>
  <c r="S22" i="5"/>
  <c r="S21" i="5"/>
  <c r="S20" i="5"/>
  <c r="S19" i="5"/>
  <c r="S18" i="5"/>
  <c r="S17" i="5"/>
  <c r="S16" i="5"/>
  <c r="S15" i="5"/>
  <c r="S14" i="5"/>
  <c r="S13" i="5"/>
  <c r="S12" i="5"/>
  <c r="S11" i="5"/>
  <c r="S10" i="5"/>
  <c r="S9" i="5"/>
  <c r="S8" i="5"/>
  <c r="S7" i="5"/>
  <c r="AM48" i="5"/>
  <c r="AM44" i="5"/>
  <c r="AM40" i="5"/>
  <c r="AM36" i="5"/>
  <c r="AM32" i="5"/>
  <c r="Q6"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S6" i="5"/>
  <c r="W5" i="5"/>
  <c r="Q5" i="5"/>
  <c r="S5" i="5"/>
  <c r="AM5" i="5"/>
  <c r="S5" i="4"/>
  <c r="S54" i="4"/>
  <c r="S53" i="4"/>
  <c r="S52" i="4"/>
  <c r="S51" i="4"/>
  <c r="S50" i="4"/>
  <c r="S49" i="4"/>
  <c r="S48" i="4"/>
  <c r="S47" i="4"/>
  <c r="S46" i="4"/>
  <c r="S45" i="4"/>
  <c r="S44" i="4"/>
  <c r="S43" i="4"/>
  <c r="S42" i="4"/>
  <c r="S41" i="4"/>
  <c r="S40" i="4"/>
  <c r="S39" i="4"/>
  <c r="S38" i="4"/>
  <c r="S37" i="4"/>
  <c r="S36" i="4"/>
  <c r="S35" i="4"/>
  <c r="S34" i="4"/>
  <c r="S33" i="4"/>
  <c r="S32" i="4"/>
  <c r="S31" i="4"/>
  <c r="S30" i="4"/>
  <c r="S29" i="4"/>
  <c r="S28" i="4"/>
  <c r="AA28" i="4" s="1"/>
  <c r="S27" i="4"/>
  <c r="S26" i="4"/>
  <c r="S25" i="4"/>
  <c r="S24" i="4"/>
  <c r="S23" i="4"/>
  <c r="S22" i="4"/>
  <c r="S21" i="4"/>
  <c r="S20" i="4"/>
  <c r="S19" i="4"/>
  <c r="S18" i="4"/>
  <c r="S17" i="4"/>
  <c r="S16" i="4"/>
  <c r="S15" i="4"/>
  <c r="S14" i="4"/>
  <c r="AC14" i="4" s="1"/>
  <c r="S13" i="4"/>
  <c r="S12" i="4"/>
  <c r="S11" i="4"/>
  <c r="S10" i="4"/>
  <c r="S9" i="4"/>
  <c r="S8" i="4"/>
  <c r="S7" i="4"/>
  <c r="S6" i="4"/>
  <c r="O5" i="4"/>
  <c r="AE45" i="4"/>
  <c r="O45" i="4" s="1"/>
  <c r="AE42" i="4"/>
  <c r="O42" i="4" s="1"/>
  <c r="AE38" i="4"/>
  <c r="O38" i="4" s="1"/>
  <c r="AE34" i="4"/>
  <c r="O34" i="4" s="1"/>
  <c r="AE30" i="4"/>
  <c r="O30" i="4" s="1"/>
  <c r="AE26" i="4"/>
  <c r="O26" i="4" s="1"/>
  <c r="AE22" i="4"/>
  <c r="O22" i="4" s="1"/>
  <c r="AE18" i="4"/>
  <c r="O18" i="4" s="1"/>
  <c r="AE14" i="4"/>
  <c r="AE10" i="4"/>
  <c r="O10" i="4" s="1"/>
  <c r="M5" i="4"/>
  <c r="AE9" i="4"/>
  <c r="O9" i="4" s="1"/>
  <c r="AM54" i="5"/>
  <c r="AM50" i="5"/>
  <c r="W49" i="5"/>
  <c r="W48" i="5"/>
  <c r="W45" i="5"/>
  <c r="AH45" i="5" s="1"/>
  <c r="W44" i="5"/>
  <c r="AF44" i="5" s="1"/>
  <c r="W41" i="5"/>
  <c r="AI41" i="5" s="1"/>
  <c r="W40" i="5"/>
  <c r="W37" i="5"/>
  <c r="W36" i="5"/>
  <c r="AI36" i="5" s="1"/>
  <c r="W33" i="5"/>
  <c r="AH33" i="5" s="1"/>
  <c r="W32" i="5"/>
  <c r="W29" i="5"/>
  <c r="AK29" i="5" s="1"/>
  <c r="W53" i="5"/>
  <c r="AM39" i="5"/>
  <c r="AM35" i="5"/>
  <c r="W51" i="5"/>
  <c r="AM46" i="5"/>
  <c r="AM45" i="5"/>
  <c r="AM42" i="5"/>
  <c r="AM41" i="5"/>
  <c r="AK41" i="5" s="1"/>
  <c r="AM38" i="5"/>
  <c r="AM37" i="5"/>
  <c r="AM34" i="5"/>
  <c r="AM33" i="5"/>
  <c r="AG33" i="5" s="1"/>
  <c r="AM30" i="5"/>
  <c r="AM29" i="5"/>
  <c r="AM52" i="5"/>
  <c r="W47" i="5"/>
  <c r="AF47" i="5" s="1"/>
  <c r="W46" i="5"/>
  <c r="AK46" i="5" s="1"/>
  <c r="W43" i="5"/>
  <c r="AG43" i="5" s="1"/>
  <c r="W42" i="5"/>
  <c r="W39" i="5"/>
  <c r="AF39" i="5" s="1"/>
  <c r="W38" i="5"/>
  <c r="AH38" i="5" s="1"/>
  <c r="W35" i="5"/>
  <c r="AJ35" i="5" s="1"/>
  <c r="W34" i="5"/>
  <c r="W31" i="5"/>
  <c r="AF31" i="5" s="1"/>
  <c r="W30" i="5"/>
  <c r="AK30" i="5" s="1"/>
  <c r="AI48" i="5"/>
  <c r="AI44" i="5"/>
  <c r="AK44" i="5"/>
  <c r="AH44" i="5"/>
  <c r="AJ44" i="5"/>
  <c r="AG41" i="5"/>
  <c r="AJ37" i="5"/>
  <c r="AF36" i="5"/>
  <c r="AK36" i="5"/>
  <c r="AH36" i="5"/>
  <c r="AG36" i="5"/>
  <c r="AH32" i="5"/>
  <c r="AG47" i="5"/>
  <c r="AI46" i="5"/>
  <c r="AF46" i="5"/>
  <c r="AH46" i="5"/>
  <c r="AJ46" i="5"/>
  <c r="AG46" i="5"/>
  <c r="AJ43" i="5"/>
  <c r="AI42" i="5"/>
  <c r="AH42" i="5"/>
  <c r="AJ42" i="5"/>
  <c r="AI38" i="5"/>
  <c r="AF38" i="5"/>
  <c r="AK38" i="5"/>
  <c r="AJ38" i="5"/>
  <c r="AG38" i="5"/>
  <c r="AI35" i="5"/>
  <c r="AI34" i="5"/>
  <c r="AH34" i="5"/>
  <c r="AJ34" i="5"/>
  <c r="AG31" i="5"/>
  <c r="AI30" i="5"/>
  <c r="AF30" i="5"/>
  <c r="AH30" i="5"/>
  <c r="AJ30" i="5"/>
  <c r="AG30" i="5"/>
  <c r="AM51" i="5"/>
  <c r="W50" i="5"/>
  <c r="W28" i="5"/>
  <c r="W25" i="5"/>
  <c r="W24" i="5"/>
  <c r="W21" i="5"/>
  <c r="W20" i="5"/>
  <c r="W17" i="5"/>
  <c r="W16" i="5"/>
  <c r="W13" i="5"/>
  <c r="W12" i="5"/>
  <c r="W9" i="5"/>
  <c r="W8" i="5"/>
  <c r="AM53" i="5"/>
  <c r="AH53" i="5" s="1"/>
  <c r="W52" i="5"/>
  <c r="AM26" i="5"/>
  <c r="AM25" i="5"/>
  <c r="AM22" i="5"/>
  <c r="AM21" i="5"/>
  <c r="AM18" i="5"/>
  <c r="AM17" i="5"/>
  <c r="AM14" i="5"/>
  <c r="AM13" i="5"/>
  <c r="AM10" i="5"/>
  <c r="AM9" i="5"/>
  <c r="AM6" i="5"/>
  <c r="W54" i="5"/>
  <c r="W27" i="5"/>
  <c r="W26" i="5"/>
  <c r="W23" i="5"/>
  <c r="W22" i="5"/>
  <c r="W19" i="5"/>
  <c r="W18" i="5"/>
  <c r="W15" i="5"/>
  <c r="W14" i="5"/>
  <c r="W11" i="5"/>
  <c r="W10" i="5"/>
  <c r="W7" i="5"/>
  <c r="W6" i="5"/>
  <c r="AM49" i="5"/>
  <c r="AI49" i="5" s="1"/>
  <c r="AM28" i="5"/>
  <c r="AM27" i="5"/>
  <c r="AM24" i="5"/>
  <c r="AM23" i="5"/>
  <c r="AM20" i="5"/>
  <c r="AM19" i="5"/>
  <c r="AM16" i="5"/>
  <c r="AM15" i="5"/>
  <c r="AM12" i="5"/>
  <c r="AM11" i="5"/>
  <c r="AM8" i="5"/>
  <c r="AM7" i="5"/>
  <c r="AE44" i="4"/>
  <c r="O44" i="4" s="1"/>
  <c r="AE41" i="4"/>
  <c r="AE37" i="4"/>
  <c r="O37" i="4" s="1"/>
  <c r="AE33" i="4"/>
  <c r="O33" i="4" s="1"/>
  <c r="AE29" i="4"/>
  <c r="O29" i="4" s="1"/>
  <c r="AE25" i="4"/>
  <c r="O25" i="4" s="1"/>
  <c r="AE21" i="4"/>
  <c r="O21" i="4" s="1"/>
  <c r="AE17" i="4"/>
  <c r="O17" i="4" s="1"/>
  <c r="AE15" i="4"/>
  <c r="O15" i="4" s="1"/>
  <c r="AE11" i="4"/>
  <c r="O11" i="4" s="1"/>
  <c r="AE6" i="4"/>
  <c r="O6" i="4" s="1"/>
  <c r="AE47" i="4"/>
  <c r="O47" i="4" s="1"/>
  <c r="AE40" i="4"/>
  <c r="O40" i="4" s="1"/>
  <c r="AE36" i="4"/>
  <c r="O36" i="4" s="1"/>
  <c r="AE32" i="4"/>
  <c r="O32" i="4" s="1"/>
  <c r="AE28" i="4"/>
  <c r="O28" i="4" s="1"/>
  <c r="AE24" i="4"/>
  <c r="O24" i="4" s="1"/>
  <c r="AE20" i="4"/>
  <c r="O20" i="4" s="1"/>
  <c r="AE16" i="4"/>
  <c r="O16" i="4" s="1"/>
  <c r="AE12" i="4"/>
  <c r="O12" i="4" s="1"/>
  <c r="AE7" i="4"/>
  <c r="O7" i="4" s="1"/>
  <c r="AE46" i="4"/>
  <c r="O46" i="4" s="1"/>
  <c r="AE43" i="4"/>
  <c r="O43" i="4" s="1"/>
  <c r="AE39" i="4"/>
  <c r="O39" i="4" s="1"/>
  <c r="AE35" i="4"/>
  <c r="O35" i="4" s="1"/>
  <c r="AE31" i="4"/>
  <c r="O31" i="4" s="1"/>
  <c r="AE27" i="4"/>
  <c r="O27" i="4" s="1"/>
  <c r="AE23" i="4"/>
  <c r="O23" i="4" s="1"/>
  <c r="AE19" i="4"/>
  <c r="O19" i="4" s="1"/>
  <c r="AE13" i="4"/>
  <c r="O13" i="4" s="1"/>
  <c r="AE8" i="4"/>
  <c r="O8" i="4" s="1"/>
  <c r="Z11" i="4"/>
  <c r="AE54" i="4"/>
  <c r="AE53" i="4"/>
  <c r="O53" i="4" s="1"/>
  <c r="AE52" i="4"/>
  <c r="O52" i="4" s="1"/>
  <c r="AE51" i="4"/>
  <c r="AE50" i="4"/>
  <c r="O50" i="4" s="1"/>
  <c r="AE49" i="4"/>
  <c r="O49" i="4" s="1"/>
  <c r="AE48" i="4"/>
  <c r="O48" i="4" s="1"/>
  <c r="AI31" i="5" l="1"/>
  <c r="AK35" i="5"/>
  <c r="AK39" i="5"/>
  <c r="AH43" i="5"/>
  <c r="AK43" i="5"/>
  <c r="AI47" i="5"/>
  <c r="BV46" i="41"/>
  <c r="BT46" i="41"/>
  <c r="BV50" i="41"/>
  <c r="BT50" i="41"/>
  <c r="BV54" i="41"/>
  <c r="BT54" i="41"/>
  <c r="BV49" i="41"/>
  <c r="BT49" i="41"/>
  <c r="BV53" i="41"/>
  <c r="BT53" i="41"/>
  <c r="AG51" i="5"/>
  <c r="AF29" i="5"/>
  <c r="AJ33" i="5"/>
  <c r="AF37" i="5"/>
  <c r="AH41" i="5"/>
  <c r="AF45" i="5"/>
  <c r="AJ49" i="5"/>
  <c r="AH40" i="5"/>
  <c r="DH6" i="1"/>
  <c r="DH4" i="1" s="1"/>
  <c r="DH7" i="1" s="1"/>
  <c r="AW6" i="13" s="1"/>
  <c r="O16" i="9" s="1"/>
  <c r="BV48" i="41"/>
  <c r="BT48" i="41"/>
  <c r="BV52" i="41"/>
  <c r="BT52" i="41"/>
  <c r="BV47" i="41"/>
  <c r="BT47" i="41"/>
  <c r="BV51" i="41"/>
  <c r="BT51" i="41"/>
  <c r="BV55" i="41"/>
  <c r="BT55" i="41"/>
  <c r="BV6" i="41"/>
  <c r="BV7" i="41"/>
  <c r="BV8" i="41"/>
  <c r="AU6" i="21"/>
  <c r="O17" i="9" s="1"/>
  <c r="AB14" i="4"/>
  <c r="O14" i="4"/>
  <c r="AB16" i="4"/>
  <c r="AA27" i="4"/>
  <c r="AJ51" i="5"/>
  <c r="AH31" i="5"/>
  <c r="AI39" i="5"/>
  <c r="AG39" i="5"/>
  <c r="AI43" i="5"/>
  <c r="AH47" i="5"/>
  <c r="AI29" i="5"/>
  <c r="AG29" i="5"/>
  <c r="AJ36" i="5"/>
  <c r="AK37" i="5"/>
  <c r="AG44" i="5"/>
  <c r="R44" i="5" s="1"/>
  <c r="AJ45" i="5"/>
  <c r="AG35" i="5"/>
  <c r="Z54" i="4"/>
  <c r="O54" i="4"/>
  <c r="AA20" i="4"/>
  <c r="R30" i="5"/>
  <c r="AJ31" i="5"/>
  <c r="AH39" i="5"/>
  <c r="R46" i="5"/>
  <c r="AJ47" i="5"/>
  <c r="AH29" i="5"/>
  <c r="AK33" i="5"/>
  <c r="AI37" i="5"/>
  <c r="AG37" i="5"/>
  <c r="AJ41" i="5"/>
  <c r="AK45" i="5"/>
  <c r="AC41" i="4"/>
  <c r="O41" i="4"/>
  <c r="R36" i="5"/>
  <c r="AC51" i="4"/>
  <c r="O51" i="4"/>
  <c r="AK31" i="5"/>
  <c r="R38" i="5"/>
  <c r="AJ39" i="5"/>
  <c r="AK47" i="5"/>
  <c r="AJ29" i="5"/>
  <c r="AI33" i="5"/>
  <c r="AH37" i="5"/>
  <c r="AI45" i="5"/>
  <c r="AG45" i="5"/>
  <c r="Z31" i="4"/>
  <c r="AB36" i="4"/>
  <c r="AB25" i="4"/>
  <c r="Z38" i="4"/>
  <c r="AC28" i="4"/>
  <c r="Z7" i="4"/>
  <c r="Z23" i="4"/>
  <c r="Z53" i="4"/>
  <c r="Z14" i="4"/>
  <c r="AC17" i="4"/>
  <c r="AA33" i="4"/>
  <c r="AB8" i="4"/>
  <c r="AA43" i="4"/>
  <c r="AA8" i="4"/>
  <c r="AB26" i="4"/>
  <c r="Z12" i="4"/>
  <c r="AA17" i="4"/>
  <c r="Z39" i="4"/>
  <c r="AB45" i="4"/>
  <c r="AC26" i="4"/>
  <c r="Z26" i="4"/>
  <c r="AB49" i="4"/>
  <c r="AB33" i="4"/>
  <c r="AA30" i="4"/>
  <c r="Z47" i="4"/>
  <c r="Z8" i="4"/>
  <c r="Z42" i="4"/>
  <c r="AB38" i="4"/>
  <c r="AC11" i="4"/>
  <c r="AB24" i="4"/>
  <c r="Z44" i="4"/>
  <c r="AB44" i="4"/>
  <c r="Z22" i="4"/>
  <c r="AB42" i="4"/>
  <c r="Z15" i="4"/>
  <c r="AB46" i="4"/>
  <c r="AA38" i="4"/>
  <c r="AC10" i="4"/>
  <c r="AB22" i="4"/>
  <c r="AC30" i="4"/>
  <c r="AC42" i="4"/>
  <c r="AC47" i="4"/>
  <c r="AA19" i="4"/>
  <c r="AA35" i="4"/>
  <c r="AB9" i="4"/>
  <c r="AA22" i="4"/>
  <c r="AB30" i="4"/>
  <c r="Z9" i="4"/>
  <c r="Z20" i="4"/>
  <c r="Z36" i="4"/>
  <c r="AB12" i="4"/>
  <c r="Z51" i="4"/>
  <c r="AA45" i="4"/>
  <c r="AB28" i="4"/>
  <c r="AC36" i="4"/>
  <c r="AB20" i="4"/>
  <c r="AA44" i="4"/>
  <c r="AA50" i="4"/>
  <c r="AB54" i="4"/>
  <c r="Z25" i="4"/>
  <c r="AB37" i="4"/>
  <c r="AC18" i="4"/>
  <c r="AC22" i="4"/>
  <c r="Z30" i="4"/>
  <c r="AC34" i="4"/>
  <c r="AC38" i="4"/>
  <c r="Z45" i="4"/>
  <c r="AA47" i="4"/>
  <c r="Z19" i="4"/>
  <c r="Z27" i="4"/>
  <c r="Z35" i="4"/>
  <c r="Z43" i="4"/>
  <c r="AA9" i="4"/>
  <c r="AC20" i="4"/>
  <c r="Z16" i="4"/>
  <c r="AA11" i="4"/>
  <c r="AB17" i="4"/>
  <c r="AC25" i="4"/>
  <c r="AC33" i="4"/>
  <c r="Z41" i="4"/>
  <c r="Z49" i="4"/>
  <c r="Z28" i="4"/>
  <c r="AB53" i="4"/>
  <c r="AC8" i="4"/>
  <c r="AC44" i="4"/>
  <c r="Z33" i="4"/>
  <c r="AB18" i="4"/>
  <c r="AB34" i="4"/>
  <c r="AA49" i="4"/>
  <c r="AC53" i="4"/>
  <c r="Z6" i="4"/>
  <c r="AB51" i="4"/>
  <c r="Z17" i="4"/>
  <c r="N17" i="4" s="1"/>
  <c r="AB29" i="4"/>
  <c r="AB41" i="4"/>
  <c r="AC45" i="4"/>
  <c r="AA36" i="4"/>
  <c r="AB47" i="4"/>
  <c r="AC19" i="4"/>
  <c r="AC27" i="4"/>
  <c r="AC35" i="4"/>
  <c r="AC43" i="4"/>
  <c r="AC9" i="4"/>
  <c r="AC12" i="4"/>
  <c r="Z18" i="4"/>
  <c r="Z34" i="4"/>
  <c r="AB19" i="4"/>
  <c r="AB27" i="4"/>
  <c r="AB35" i="4"/>
  <c r="AB43" i="4"/>
  <c r="AA53" i="4"/>
  <c r="AA14" i="4"/>
  <c r="AC5" i="4"/>
  <c r="AA5" i="4"/>
  <c r="AB6" i="4"/>
  <c r="Z5" i="4"/>
  <c r="AK34" i="5"/>
  <c r="AH35" i="5"/>
  <c r="AK42" i="5"/>
  <c r="AK32" i="5"/>
  <c r="AK40" i="5"/>
  <c r="AH48" i="5"/>
  <c r="AH49" i="5"/>
  <c r="AG34" i="5"/>
  <c r="AF34" i="5"/>
  <c r="AF35" i="5"/>
  <c r="R35" i="5" s="1"/>
  <c r="AG42" i="5"/>
  <c r="AF42" i="5"/>
  <c r="AF43" i="5"/>
  <c r="AG32" i="5"/>
  <c r="AF32" i="5"/>
  <c r="AF33" i="5"/>
  <c r="AG40" i="5"/>
  <c r="AF40" i="5"/>
  <c r="AF41" i="5"/>
  <c r="AG48" i="5"/>
  <c r="AJ48" i="5"/>
  <c r="AI51" i="5"/>
  <c r="AJ32" i="5"/>
  <c r="AI32" i="5"/>
  <c r="AJ40" i="5"/>
  <c r="AI40" i="5"/>
  <c r="AK48" i="5"/>
  <c r="AF48" i="5"/>
  <c r="AG7" i="5"/>
  <c r="AK7" i="5"/>
  <c r="AJ7" i="5"/>
  <c r="AF7" i="5"/>
  <c r="AH7" i="5"/>
  <c r="AI7" i="5"/>
  <c r="AG15" i="5"/>
  <c r="AK15" i="5"/>
  <c r="AJ15" i="5"/>
  <c r="AF15" i="5"/>
  <c r="AH15" i="5"/>
  <c r="AI15" i="5"/>
  <c r="AG23" i="5"/>
  <c r="AK23" i="5"/>
  <c r="AJ23" i="5"/>
  <c r="AF23" i="5"/>
  <c r="AH23" i="5"/>
  <c r="AI23" i="5"/>
  <c r="AG13" i="5"/>
  <c r="AK13" i="5"/>
  <c r="AJ13" i="5"/>
  <c r="AF13" i="5"/>
  <c r="AH13" i="5"/>
  <c r="AI13" i="5"/>
  <c r="AG21" i="5"/>
  <c r="AK21" i="5"/>
  <c r="AJ21" i="5"/>
  <c r="AF21" i="5"/>
  <c r="AH21" i="5"/>
  <c r="AI21" i="5"/>
  <c r="AF50" i="5"/>
  <c r="AJ50" i="5"/>
  <c r="AI50" i="5"/>
  <c r="AK50" i="5"/>
  <c r="AG50" i="5"/>
  <c r="AH50" i="5"/>
  <c r="AK53" i="5"/>
  <c r="AE30" i="5"/>
  <c r="AE38" i="5"/>
  <c r="AE46" i="5"/>
  <c r="AE36" i="5"/>
  <c r="AE44" i="5"/>
  <c r="AI10" i="5"/>
  <c r="AF10" i="5"/>
  <c r="AK10" i="5"/>
  <c r="AG10" i="5"/>
  <c r="AJ10" i="5"/>
  <c r="AH10" i="5"/>
  <c r="AI18" i="5"/>
  <c r="AF18" i="5"/>
  <c r="AK18" i="5"/>
  <c r="AG18" i="5"/>
  <c r="AJ18" i="5"/>
  <c r="AH18" i="5"/>
  <c r="AI26" i="5"/>
  <c r="AF26" i="5"/>
  <c r="AK26" i="5"/>
  <c r="AG26" i="5"/>
  <c r="AJ26" i="5"/>
  <c r="AH26" i="5"/>
  <c r="AI8" i="5"/>
  <c r="AF8" i="5"/>
  <c r="AK8" i="5"/>
  <c r="AG8" i="5"/>
  <c r="AH8" i="5"/>
  <c r="AJ8" i="5"/>
  <c r="AI16" i="5"/>
  <c r="AF16" i="5"/>
  <c r="AK16" i="5"/>
  <c r="AG16" i="5"/>
  <c r="AH16" i="5"/>
  <c r="AJ16" i="5"/>
  <c r="AI24" i="5"/>
  <c r="AF24" i="5"/>
  <c r="AK24" i="5"/>
  <c r="AG24" i="5"/>
  <c r="AH24" i="5"/>
  <c r="AJ24" i="5"/>
  <c r="AF53" i="5"/>
  <c r="AK51" i="5"/>
  <c r="AH51" i="5"/>
  <c r="AG11" i="5"/>
  <c r="AK11" i="5"/>
  <c r="AJ11" i="5"/>
  <c r="AF11" i="5"/>
  <c r="AH11" i="5"/>
  <c r="AI11" i="5"/>
  <c r="AG19" i="5"/>
  <c r="AK19" i="5"/>
  <c r="AJ19" i="5"/>
  <c r="AF19" i="5"/>
  <c r="AH19" i="5"/>
  <c r="AI19" i="5"/>
  <c r="AG27" i="5"/>
  <c r="AK27" i="5"/>
  <c r="AJ27" i="5"/>
  <c r="AF27" i="5"/>
  <c r="AH27" i="5"/>
  <c r="AI27" i="5"/>
  <c r="AG9" i="5"/>
  <c r="AK9" i="5"/>
  <c r="AJ9" i="5"/>
  <c r="AF9" i="5"/>
  <c r="AH9" i="5"/>
  <c r="AI9" i="5"/>
  <c r="AG17" i="5"/>
  <c r="AK17" i="5"/>
  <c r="AJ17" i="5"/>
  <c r="AF17" i="5"/>
  <c r="AH17" i="5"/>
  <c r="AI17" i="5"/>
  <c r="AG25" i="5"/>
  <c r="AK25" i="5"/>
  <c r="AJ25" i="5"/>
  <c r="AF25" i="5"/>
  <c r="AH25" i="5"/>
  <c r="AI25" i="5"/>
  <c r="AI53" i="5"/>
  <c r="AJ53" i="5"/>
  <c r="AF51" i="5"/>
  <c r="AK49" i="5"/>
  <c r="AG49" i="5"/>
  <c r="AI6" i="5"/>
  <c r="AF6" i="5"/>
  <c r="AK6" i="5"/>
  <c r="AG6" i="5"/>
  <c r="AJ6" i="5"/>
  <c r="AH6" i="5"/>
  <c r="AI14" i="5"/>
  <c r="AF14" i="5"/>
  <c r="AK14" i="5"/>
  <c r="AG14" i="5"/>
  <c r="AJ14" i="5"/>
  <c r="AH14" i="5"/>
  <c r="AI22" i="5"/>
  <c r="AF22" i="5"/>
  <c r="AK22" i="5"/>
  <c r="AG22" i="5"/>
  <c r="AJ22" i="5"/>
  <c r="AH22" i="5"/>
  <c r="AF54" i="5"/>
  <c r="AJ54" i="5"/>
  <c r="AG54" i="5"/>
  <c r="AH54" i="5"/>
  <c r="AI54" i="5"/>
  <c r="AK54" i="5"/>
  <c r="AF52" i="5"/>
  <c r="AJ52" i="5"/>
  <c r="AK52" i="5"/>
  <c r="AG52" i="5"/>
  <c r="AH52" i="5"/>
  <c r="AI52" i="5"/>
  <c r="AI12" i="5"/>
  <c r="AF12" i="5"/>
  <c r="AK12" i="5"/>
  <c r="AG12" i="5"/>
  <c r="AH12" i="5"/>
  <c r="AJ12" i="5"/>
  <c r="AI20" i="5"/>
  <c r="AF20" i="5"/>
  <c r="AK20" i="5"/>
  <c r="AG20" i="5"/>
  <c r="AH20" i="5"/>
  <c r="AJ20" i="5"/>
  <c r="AI28" i="5"/>
  <c r="AF28" i="5"/>
  <c r="AK28" i="5"/>
  <c r="AG28" i="5"/>
  <c r="AH28" i="5"/>
  <c r="AJ28" i="5"/>
  <c r="AG53" i="5"/>
  <c r="AF49" i="5"/>
  <c r="AK5" i="5"/>
  <c r="AJ5" i="5"/>
  <c r="AG5" i="5"/>
  <c r="AI5" i="5"/>
  <c r="AH5" i="5"/>
  <c r="AF5" i="5"/>
  <c r="AC6" i="4"/>
  <c r="AA13" i="4"/>
  <c r="AB13" i="4"/>
  <c r="AC13" i="4"/>
  <c r="AB21" i="4"/>
  <c r="AA21" i="4"/>
  <c r="AC21" i="4"/>
  <c r="AA29" i="4"/>
  <c r="AC29" i="4"/>
  <c r="Z29" i="4"/>
  <c r="AA37" i="4"/>
  <c r="AC37" i="4"/>
  <c r="Z37" i="4"/>
  <c r="AA7" i="4"/>
  <c r="AB7" i="4"/>
  <c r="AC7" i="4"/>
  <c r="Z24" i="4"/>
  <c r="AA24" i="4"/>
  <c r="AC24" i="4"/>
  <c r="Z32" i="4"/>
  <c r="AA32" i="4"/>
  <c r="AC32" i="4"/>
  <c r="Z40" i="4"/>
  <c r="AA40" i="4"/>
  <c r="AC40" i="4"/>
  <c r="AB52" i="4"/>
  <c r="Z52" i="4"/>
  <c r="AA52" i="4"/>
  <c r="AA10" i="4"/>
  <c r="Z10" i="4"/>
  <c r="AA15" i="4"/>
  <c r="AB15" i="4"/>
  <c r="AC15" i="4"/>
  <c r="AB23" i="4"/>
  <c r="AA23" i="4"/>
  <c r="AC23" i="4"/>
  <c r="AB31" i="4"/>
  <c r="AA31" i="4"/>
  <c r="AC31" i="4"/>
  <c r="AB39" i="4"/>
  <c r="AA39" i="4"/>
  <c r="AC39" i="4"/>
  <c r="Z46" i="4"/>
  <c r="AA46" i="4"/>
  <c r="AC46" i="4"/>
  <c r="AA16" i="4"/>
  <c r="AC16" i="4"/>
  <c r="Z21" i="4"/>
  <c r="AB40" i="4"/>
  <c r="AB32" i="4"/>
  <c r="AB10" i="4"/>
  <c r="AA51" i="4"/>
  <c r="AC52" i="4"/>
  <c r="Z48" i="4"/>
  <c r="AB48" i="4"/>
  <c r="Z13" i="4"/>
  <c r="AA48" i="4"/>
  <c r="AB5" i="4"/>
  <c r="AA12" i="4"/>
  <c r="AA25" i="4"/>
  <c r="AA18" i="4"/>
  <c r="AA26" i="4"/>
  <c r="AA34" i="4"/>
  <c r="AA42" i="4"/>
  <c r="AB11" i="4"/>
  <c r="AC49" i="4"/>
  <c r="AA41" i="4"/>
  <c r="AA6" i="4"/>
  <c r="AC50" i="4"/>
  <c r="AC54" i="4"/>
  <c r="AB50" i="4"/>
  <c r="AC48" i="4"/>
  <c r="Z50" i="4"/>
  <c r="N50" i="4" s="1"/>
  <c r="AA54" i="4"/>
  <c r="R31" i="5" l="1"/>
  <c r="N13" i="4"/>
  <c r="N21" i="4"/>
  <c r="N28" i="4"/>
  <c r="N30" i="4"/>
  <c r="AE40" i="5"/>
  <c r="R39" i="5"/>
  <c r="N32" i="4"/>
  <c r="R14" i="5"/>
  <c r="R21" i="5"/>
  <c r="R23" i="5"/>
  <c r="R7" i="5"/>
  <c r="R48" i="5"/>
  <c r="AE32" i="5"/>
  <c r="AE34" i="5"/>
  <c r="N41" i="4"/>
  <c r="N11" i="4"/>
  <c r="N43" i="4"/>
  <c r="N9" i="4"/>
  <c r="N53" i="4"/>
  <c r="AE45" i="5"/>
  <c r="R37" i="5"/>
  <c r="AE29" i="5"/>
  <c r="R47" i="5"/>
  <c r="AE39" i="5"/>
  <c r="AE31" i="5"/>
  <c r="N24" i="4"/>
  <c r="BW46" i="41"/>
  <c r="BW48" i="41"/>
  <c r="BW51" i="41"/>
  <c r="BW45" i="41"/>
  <c r="BW55" i="41"/>
  <c r="BW50" i="41"/>
  <c r="BW52" i="41"/>
  <c r="BW47" i="41"/>
  <c r="BW53" i="41"/>
  <c r="BW54" i="41"/>
  <c r="BW44" i="41"/>
  <c r="BW49" i="41"/>
  <c r="BW43" i="41"/>
  <c r="BW39" i="41"/>
  <c r="BW40" i="41"/>
  <c r="BW20" i="41"/>
  <c r="BW27" i="41"/>
  <c r="BW23" i="41"/>
  <c r="BW33" i="41"/>
  <c r="BW18" i="41"/>
  <c r="BW14" i="41"/>
  <c r="BW41" i="41"/>
  <c r="BW32" i="41"/>
  <c r="BW12" i="41"/>
  <c r="BW21" i="41"/>
  <c r="BW9" i="41"/>
  <c r="BW34" i="41"/>
  <c r="BW42" i="41"/>
  <c r="BW30" i="41"/>
  <c r="BW26" i="41"/>
  <c r="BW11" i="41"/>
  <c r="BW38" i="41"/>
  <c r="BW15" i="41"/>
  <c r="BW25" i="41"/>
  <c r="BW24" i="41"/>
  <c r="BW22" i="41"/>
  <c r="BW28" i="41"/>
  <c r="BW16" i="41"/>
  <c r="BW10" i="41"/>
  <c r="BW13" i="41"/>
  <c r="BW19" i="41"/>
  <c r="BW37" i="41"/>
  <c r="BW35" i="41"/>
  <c r="BW29" i="41"/>
  <c r="BW17" i="41"/>
  <c r="BW31" i="41"/>
  <c r="BW36" i="41"/>
  <c r="BW7" i="41"/>
  <c r="BW6" i="41"/>
  <c r="BW8" i="41"/>
  <c r="P5" i="9"/>
  <c r="M20" i="9" s="1"/>
  <c r="N37" i="4"/>
  <c r="R52" i="5"/>
  <c r="R25" i="5"/>
  <c r="R9" i="5"/>
  <c r="R19" i="5"/>
  <c r="R16" i="5"/>
  <c r="R26" i="5"/>
  <c r="R10" i="5"/>
  <c r="AE43" i="5"/>
  <c r="R43" i="5"/>
  <c r="R34" i="5"/>
  <c r="N18" i="4"/>
  <c r="N49" i="4"/>
  <c r="N19" i="4"/>
  <c r="N20" i="4"/>
  <c r="N22" i="4"/>
  <c r="N47" i="4"/>
  <c r="N26" i="4"/>
  <c r="N14" i="4"/>
  <c r="N31" i="4"/>
  <c r="N54" i="4"/>
  <c r="AE37" i="5"/>
  <c r="AE47" i="5"/>
  <c r="R12" i="5"/>
  <c r="AE42" i="5"/>
  <c r="R42" i="5"/>
  <c r="N51" i="4"/>
  <c r="N38" i="4"/>
  <c r="R45" i="5"/>
  <c r="R29" i="5"/>
  <c r="N40" i="4"/>
  <c r="R54" i="5"/>
  <c r="R17" i="5"/>
  <c r="R27" i="5"/>
  <c r="R11" i="5"/>
  <c r="AE48" i="5"/>
  <c r="R24" i="5"/>
  <c r="R8" i="5"/>
  <c r="R18" i="5"/>
  <c r="R50" i="5"/>
  <c r="AE41" i="5"/>
  <c r="R41" i="5"/>
  <c r="R32" i="5"/>
  <c r="Y53" i="4"/>
  <c r="N16" i="4"/>
  <c r="N35" i="4"/>
  <c r="N45" i="4"/>
  <c r="N15" i="4"/>
  <c r="N44" i="4"/>
  <c r="N42" i="4"/>
  <c r="N23" i="4"/>
  <c r="R28" i="5"/>
  <c r="R53" i="5"/>
  <c r="AE33" i="5"/>
  <c r="R33" i="5"/>
  <c r="N25" i="4"/>
  <c r="N12" i="4"/>
  <c r="N46" i="4"/>
  <c r="N52" i="4"/>
  <c r="N48" i="4"/>
  <c r="N10" i="4"/>
  <c r="N29" i="4"/>
  <c r="R49" i="5"/>
  <c r="R20" i="5"/>
  <c r="R22" i="5"/>
  <c r="R51" i="5"/>
  <c r="R13" i="5"/>
  <c r="R15" i="5"/>
  <c r="R40" i="5"/>
  <c r="N34" i="4"/>
  <c r="N33" i="4"/>
  <c r="N27" i="4"/>
  <c r="N36" i="4"/>
  <c r="N8" i="4"/>
  <c r="N39" i="4"/>
  <c r="N6" i="4"/>
  <c r="N7" i="4"/>
  <c r="R6" i="5"/>
  <c r="R5" i="5"/>
  <c r="AE5" i="5"/>
  <c r="Y14" i="4"/>
  <c r="Y54" i="4"/>
  <c r="Y48" i="4"/>
  <c r="Y31" i="4"/>
  <c r="Y23" i="4"/>
  <c r="Y10" i="4"/>
  <c r="Y7" i="4"/>
  <c r="Y29" i="4"/>
  <c r="Y35" i="4"/>
  <c r="Y45" i="4"/>
  <c r="Y36" i="4"/>
  <c r="Y15" i="4"/>
  <c r="Y42" i="4"/>
  <c r="Y50" i="4"/>
  <c r="Y37" i="4"/>
  <c r="Y27" i="4"/>
  <c r="Y38" i="4"/>
  <c r="Y28" i="4"/>
  <c r="Y16" i="4"/>
  <c r="Y44" i="4"/>
  <c r="Y24" i="4"/>
  <c r="Y34" i="4"/>
  <c r="Y6" i="4"/>
  <c r="Y49" i="4"/>
  <c r="Y51" i="4"/>
  <c r="Y8" i="4"/>
  <c r="Y39" i="4"/>
  <c r="Y13" i="4"/>
  <c r="Y21" i="4"/>
  <c r="Y32" i="4"/>
  <c r="Y18" i="4"/>
  <c r="Y17" i="4"/>
  <c r="Y33" i="4"/>
  <c r="Y19" i="4"/>
  <c r="Y20" i="4"/>
  <c r="Y22" i="4"/>
  <c r="Y47" i="4"/>
  <c r="Y26" i="4"/>
  <c r="Y11" i="4"/>
  <c r="Y46" i="4"/>
  <c r="Y52" i="4"/>
  <c r="Y40" i="4"/>
  <c r="Y41" i="4"/>
  <c r="Y43" i="4"/>
  <c r="Y30" i="4"/>
  <c r="Y25" i="4"/>
  <c r="Y9" i="4"/>
  <c r="Y12" i="4"/>
  <c r="N5" i="4"/>
  <c r="AE25" i="5"/>
  <c r="AE9" i="5"/>
  <c r="AE19" i="5"/>
  <c r="AE21" i="5"/>
  <c r="AE23" i="5"/>
  <c r="AE35" i="5"/>
  <c r="AE7" i="5"/>
  <c r="AE28" i="5"/>
  <c r="AE12" i="5"/>
  <c r="AE14" i="5"/>
  <c r="AE16" i="5"/>
  <c r="AE26" i="5"/>
  <c r="AE10" i="5"/>
  <c r="AE54" i="5"/>
  <c r="AE53" i="5"/>
  <c r="AE50" i="5"/>
  <c r="AE49" i="5"/>
  <c r="AE20" i="5"/>
  <c r="AE22" i="5"/>
  <c r="AE17" i="5"/>
  <c r="AE27" i="5"/>
  <c r="AE11" i="5"/>
  <c r="AE24" i="5"/>
  <c r="AE8" i="5"/>
  <c r="AE18" i="5"/>
  <c r="AE13" i="5"/>
  <c r="AE15" i="5"/>
  <c r="AE52" i="5"/>
  <c r="AE6" i="5"/>
  <c r="AE51" i="5"/>
  <c r="B1" i="23" l="1"/>
  <c r="B1" i="22"/>
  <c r="B1" i="21"/>
  <c r="B1" i="15"/>
  <c r="B1" i="14"/>
  <c r="B1" i="13"/>
  <c r="F57" i="28"/>
  <c r="F56" i="28"/>
  <c r="F55" i="28"/>
  <c r="F54" i="28"/>
  <c r="AT7" i="3"/>
  <c r="AT8" i="3"/>
  <c r="AT9" i="3"/>
  <c r="AT10" i="3"/>
  <c r="AT11" i="3"/>
  <c r="AT12" i="3"/>
  <c r="AT13" i="3"/>
  <c r="AT14" i="3"/>
  <c r="AT15" i="3"/>
  <c r="AT16" i="3"/>
  <c r="AT17" i="3"/>
  <c r="AT18" i="3"/>
  <c r="AT19" i="3"/>
  <c r="AT20" i="3"/>
  <c r="AT21" i="3"/>
  <c r="AT22" i="3"/>
  <c r="AT23" i="3"/>
  <c r="AT24" i="3"/>
  <c r="AT25" i="3"/>
  <c r="AT26" i="3"/>
  <c r="AT27" i="3"/>
  <c r="AT28" i="3"/>
  <c r="AT29" i="3"/>
  <c r="AT30" i="3"/>
  <c r="AT31" i="3"/>
  <c r="AT32" i="3"/>
  <c r="AT33" i="3"/>
  <c r="AT34" i="3"/>
  <c r="AT35" i="3"/>
  <c r="AT36" i="3"/>
  <c r="AT37" i="3"/>
  <c r="AT38" i="3"/>
  <c r="AT39" i="3"/>
  <c r="AT40" i="3"/>
  <c r="AT41" i="3"/>
  <c r="AT42" i="3"/>
  <c r="AT43" i="3"/>
  <c r="AT44" i="3"/>
  <c r="AT45" i="3"/>
  <c r="AT46" i="3"/>
  <c r="AT47" i="3"/>
  <c r="AT48" i="3"/>
  <c r="AT49" i="3"/>
  <c r="AT50" i="3"/>
  <c r="AT51" i="3"/>
  <c r="AT52" i="3"/>
  <c r="AT53" i="3"/>
  <c r="AT54" i="3"/>
  <c r="AT55" i="3"/>
  <c r="AT6" i="3"/>
  <c r="D24" i="28" s="1"/>
  <c r="T8" i="38" l="1"/>
  <c r="P8" i="38"/>
  <c r="Q8" i="38" s="1"/>
  <c r="F8" i="38"/>
  <c r="E8" i="38"/>
  <c r="I10" i="38" l="1"/>
  <c r="J8" i="38" s="1"/>
  <c r="R8" i="38"/>
  <c r="G10" i="38" s="1"/>
  <c r="S8" i="38"/>
  <c r="H10" i="38" s="1"/>
  <c r="X5" i="7" l="1"/>
  <c r="CL6" i="1"/>
  <c r="CL7" i="1"/>
  <c r="CQ7" i="1" s="1"/>
  <c r="CJ9" i="16"/>
  <c r="AN9" i="41" s="1"/>
  <c r="CN9" i="16"/>
  <c r="CR9" i="16" s="1"/>
  <c r="CL10" i="16"/>
  <c r="CQ10" i="16" s="1"/>
  <c r="CJ11" i="16"/>
  <c r="AN11" i="41" s="1"/>
  <c r="CN11" i="16"/>
  <c r="CR11" i="16" s="1"/>
  <c r="CL12" i="16"/>
  <c r="CQ12" i="16" s="1"/>
  <c r="CJ13" i="16"/>
  <c r="AN13" i="41" s="1"/>
  <c r="CN13" i="16"/>
  <c r="CR13" i="16" s="1"/>
  <c r="CL14" i="16"/>
  <c r="CQ14" i="16" s="1"/>
  <c r="CJ15" i="16"/>
  <c r="AN15" i="41" s="1"/>
  <c r="CN15" i="16"/>
  <c r="CR15" i="16" s="1"/>
  <c r="CL16" i="16"/>
  <c r="CQ16" i="16" s="1"/>
  <c r="CJ17" i="16"/>
  <c r="AN17" i="41" s="1"/>
  <c r="CN17" i="16"/>
  <c r="CR17" i="16" s="1"/>
  <c r="CL18" i="16"/>
  <c r="CQ18" i="16" s="1"/>
  <c r="CJ19" i="16"/>
  <c r="AN19" i="41" s="1"/>
  <c r="CN19" i="16"/>
  <c r="CR19" i="16" s="1"/>
  <c r="CL20" i="16"/>
  <c r="CQ20" i="16" s="1"/>
  <c r="CJ21" i="16"/>
  <c r="AN21" i="41" s="1"/>
  <c r="CN21" i="16"/>
  <c r="CR21" i="16" s="1"/>
  <c r="CL22" i="16"/>
  <c r="CQ22" i="16" s="1"/>
  <c r="CJ23" i="16"/>
  <c r="AN23" i="41" s="1"/>
  <c r="CN23" i="16"/>
  <c r="CR23" i="16" s="1"/>
  <c r="CL24" i="16"/>
  <c r="CQ24" i="16" s="1"/>
  <c r="CJ25" i="16"/>
  <c r="AN25" i="41" s="1"/>
  <c r="CN25" i="16"/>
  <c r="CR25" i="16" s="1"/>
  <c r="CL26" i="16"/>
  <c r="CQ26" i="16" s="1"/>
  <c r="CJ27" i="16"/>
  <c r="AN27" i="41" s="1"/>
  <c r="CN27" i="16"/>
  <c r="CR27" i="16" s="1"/>
  <c r="CL28" i="16"/>
  <c r="CQ28" i="16" s="1"/>
  <c r="CJ29" i="16"/>
  <c r="AN29" i="41" s="1"/>
  <c r="CN29" i="16"/>
  <c r="CR29" i="16" s="1"/>
  <c r="CL30" i="16"/>
  <c r="CQ30" i="16" s="1"/>
  <c r="CJ31" i="16"/>
  <c r="AN31" i="41" s="1"/>
  <c r="CN31" i="16"/>
  <c r="CR31" i="16" s="1"/>
  <c r="CL32" i="16"/>
  <c r="CQ32" i="16" s="1"/>
  <c r="CJ33" i="16"/>
  <c r="AN33" i="41" s="1"/>
  <c r="CN33" i="16"/>
  <c r="CR33" i="16" s="1"/>
  <c r="CL34" i="16"/>
  <c r="CQ34" i="16" s="1"/>
  <c r="CJ35" i="16"/>
  <c r="AN35" i="41" s="1"/>
  <c r="CN35" i="16"/>
  <c r="CR35" i="16" s="1"/>
  <c r="CL36" i="16"/>
  <c r="CQ36" i="16" s="1"/>
  <c r="CJ37" i="16"/>
  <c r="AN37" i="41" s="1"/>
  <c r="CN37" i="16"/>
  <c r="CR37" i="16" s="1"/>
  <c r="CL38" i="16"/>
  <c r="CQ38" i="16" s="1"/>
  <c r="CJ39" i="16"/>
  <c r="AN39" i="41" s="1"/>
  <c r="CN39" i="16"/>
  <c r="CR39" i="16" s="1"/>
  <c r="CL40" i="16"/>
  <c r="CQ40" i="16" s="1"/>
  <c r="CJ41" i="16"/>
  <c r="AN41" i="41" s="1"/>
  <c r="CN41" i="16"/>
  <c r="CR41" i="16" s="1"/>
  <c r="CL42" i="16"/>
  <c r="CQ42" i="16" s="1"/>
  <c r="CJ43" i="16"/>
  <c r="AN43" i="41" s="1"/>
  <c r="CN43" i="16"/>
  <c r="CR43" i="16" s="1"/>
  <c r="CL44" i="16"/>
  <c r="CQ44" i="16" s="1"/>
  <c r="CJ45" i="16"/>
  <c r="AN45" i="41" s="1"/>
  <c r="CN45" i="16"/>
  <c r="CR45" i="16" s="1"/>
  <c r="CL46" i="16"/>
  <c r="CQ46" i="16" s="1"/>
  <c r="CJ47" i="16"/>
  <c r="AN47" i="41" s="1"/>
  <c r="CN47" i="16"/>
  <c r="CR47" i="16" s="1"/>
  <c r="CL48" i="16"/>
  <c r="CQ48" i="16" s="1"/>
  <c r="CJ49" i="16"/>
  <c r="AN49" i="41" s="1"/>
  <c r="CN49" i="16"/>
  <c r="CR49" i="16" s="1"/>
  <c r="CL50" i="16"/>
  <c r="CQ50" i="16" s="1"/>
  <c r="CJ51" i="16"/>
  <c r="AN51" i="41" s="1"/>
  <c r="CN51" i="16"/>
  <c r="CR51" i="16" s="1"/>
  <c r="CL52" i="16"/>
  <c r="CQ52" i="16" s="1"/>
  <c r="CJ53" i="16"/>
  <c r="AN53" i="41" s="1"/>
  <c r="CN53" i="16"/>
  <c r="CR53" i="16" s="1"/>
  <c r="CL54" i="16"/>
  <c r="CQ54" i="16" s="1"/>
  <c r="CJ55" i="16"/>
  <c r="AN55" i="41" s="1"/>
  <c r="CN55" i="16"/>
  <c r="CR55" i="16" s="1"/>
  <c r="CJ8" i="16"/>
  <c r="AN8" i="41" s="1"/>
  <c r="CJ7" i="16"/>
  <c r="AN7" i="41" s="1"/>
  <c r="CN7" i="16"/>
  <c r="CR7" i="16" s="1"/>
  <c r="CN8" i="16"/>
  <c r="CR8" i="16" s="1"/>
  <c r="CL9" i="16"/>
  <c r="CQ9" i="16" s="1"/>
  <c r="CJ10" i="16"/>
  <c r="AN10" i="41" s="1"/>
  <c r="CN10" i="16"/>
  <c r="CR10" i="16" s="1"/>
  <c r="CL11" i="16"/>
  <c r="CQ11" i="16" s="1"/>
  <c r="CJ12" i="16"/>
  <c r="AN12" i="41" s="1"/>
  <c r="CN12" i="16"/>
  <c r="CR12" i="16" s="1"/>
  <c r="CL13" i="16"/>
  <c r="CQ13" i="16" s="1"/>
  <c r="CJ14" i="16"/>
  <c r="AN14" i="41" s="1"/>
  <c r="CN14" i="16"/>
  <c r="CR14" i="16" s="1"/>
  <c r="CL15" i="16"/>
  <c r="CQ15" i="16" s="1"/>
  <c r="CJ16" i="16"/>
  <c r="AN16" i="41" s="1"/>
  <c r="CN16" i="16"/>
  <c r="CR16" i="16" s="1"/>
  <c r="CL17" i="16"/>
  <c r="CQ17" i="16" s="1"/>
  <c r="CJ18" i="16"/>
  <c r="AN18" i="41" s="1"/>
  <c r="CN18" i="16"/>
  <c r="CR18" i="16" s="1"/>
  <c r="CL19" i="16"/>
  <c r="CQ19" i="16" s="1"/>
  <c r="CJ20" i="16"/>
  <c r="AN20" i="41" s="1"/>
  <c r="CN20" i="16"/>
  <c r="CR20" i="16" s="1"/>
  <c r="CL21" i="16"/>
  <c r="CQ21" i="16" s="1"/>
  <c r="CJ22" i="16"/>
  <c r="AN22" i="41" s="1"/>
  <c r="CN22" i="16"/>
  <c r="CR22" i="16" s="1"/>
  <c r="CL23" i="16"/>
  <c r="CQ23" i="16" s="1"/>
  <c r="CJ24" i="16"/>
  <c r="AN24" i="41" s="1"/>
  <c r="CN24" i="16"/>
  <c r="CR24" i="16" s="1"/>
  <c r="CL25" i="16"/>
  <c r="CQ25" i="16" s="1"/>
  <c r="CJ26" i="16"/>
  <c r="AN26" i="41" s="1"/>
  <c r="CN26" i="16"/>
  <c r="CR26" i="16" s="1"/>
  <c r="CL27" i="16"/>
  <c r="CQ27" i="16" s="1"/>
  <c r="CJ28" i="16"/>
  <c r="AN28" i="41" s="1"/>
  <c r="CN28" i="16"/>
  <c r="CR28" i="16" s="1"/>
  <c r="CL29" i="16"/>
  <c r="CQ29" i="16" s="1"/>
  <c r="CJ30" i="16"/>
  <c r="AN30" i="41" s="1"/>
  <c r="CN30" i="16"/>
  <c r="CR30" i="16" s="1"/>
  <c r="CL31" i="16"/>
  <c r="CQ31" i="16" s="1"/>
  <c r="CJ32" i="16"/>
  <c r="AN32" i="41" s="1"/>
  <c r="CN32" i="16"/>
  <c r="CR32" i="16" s="1"/>
  <c r="CL33" i="16"/>
  <c r="CQ33" i="16" s="1"/>
  <c r="CJ34" i="16"/>
  <c r="AN34" i="41" s="1"/>
  <c r="CN34" i="16"/>
  <c r="CR34" i="16" s="1"/>
  <c r="CL35" i="16"/>
  <c r="CQ35" i="16" s="1"/>
  <c r="CJ36" i="16"/>
  <c r="AN36" i="41" s="1"/>
  <c r="CN36" i="16"/>
  <c r="CR36" i="16" s="1"/>
  <c r="CL37" i="16"/>
  <c r="CQ37" i="16" s="1"/>
  <c r="CJ38" i="16"/>
  <c r="AN38" i="41" s="1"/>
  <c r="CN38" i="16"/>
  <c r="CR38" i="16" s="1"/>
  <c r="CL39" i="16"/>
  <c r="CQ39" i="16" s="1"/>
  <c r="CJ40" i="16"/>
  <c r="AN40" i="41" s="1"/>
  <c r="CN40" i="16"/>
  <c r="CR40" i="16" s="1"/>
  <c r="CL41" i="16"/>
  <c r="CQ41" i="16" s="1"/>
  <c r="CJ42" i="16"/>
  <c r="AN42" i="41" s="1"/>
  <c r="CN42" i="16"/>
  <c r="CR42" i="16" s="1"/>
  <c r="CL43" i="16"/>
  <c r="CQ43" i="16" s="1"/>
  <c r="CJ44" i="16"/>
  <c r="AN44" i="41" s="1"/>
  <c r="CN44" i="16"/>
  <c r="CR44" i="16" s="1"/>
  <c r="CL45" i="16"/>
  <c r="CQ45" i="16" s="1"/>
  <c r="CJ46" i="16"/>
  <c r="AN46" i="41" s="1"/>
  <c r="CN46" i="16"/>
  <c r="CR46" i="16" s="1"/>
  <c r="CL47" i="16"/>
  <c r="CQ47" i="16" s="1"/>
  <c r="CJ48" i="16"/>
  <c r="AN48" i="41" s="1"/>
  <c r="CN48" i="16"/>
  <c r="CR48" i="16" s="1"/>
  <c r="CL49" i="16"/>
  <c r="CQ49" i="16" s="1"/>
  <c r="CJ50" i="16"/>
  <c r="AN50" i="41" s="1"/>
  <c r="CN50" i="16"/>
  <c r="CR50" i="16" s="1"/>
  <c r="CL51" i="16"/>
  <c r="CQ51" i="16" s="1"/>
  <c r="CJ52" i="16"/>
  <c r="AN52" i="41" s="1"/>
  <c r="CN52" i="16"/>
  <c r="CR52" i="16" s="1"/>
  <c r="CL53" i="16"/>
  <c r="CQ53" i="16" s="1"/>
  <c r="CJ54" i="16"/>
  <c r="AN54" i="41" s="1"/>
  <c r="CN54" i="16"/>
  <c r="CR54" i="16" s="1"/>
  <c r="CL55" i="16"/>
  <c r="CQ55" i="16" s="1"/>
  <c r="CL7" i="16"/>
  <c r="CQ7" i="16" s="1"/>
  <c r="CL6" i="16"/>
  <c r="CQ6" i="16" s="1"/>
  <c r="CN6" i="16"/>
  <c r="CR6" i="16" s="1"/>
  <c r="CL8" i="16"/>
  <c r="CQ8" i="16" s="1"/>
  <c r="CJ6" i="16"/>
  <c r="AN6" i="41" s="1"/>
  <c r="H8" i="38"/>
  <c r="AB46" i="23"/>
  <c r="AG46" i="23" s="1"/>
  <c r="AD35" i="23"/>
  <c r="AH35" i="23" s="1"/>
  <c r="Z25" i="23"/>
  <c r="BR26" i="41" s="1"/>
  <c r="AB14" i="23"/>
  <c r="AG14" i="23" s="1"/>
  <c r="X42" i="22"/>
  <c r="AC42" i="22" s="1"/>
  <c r="Z31" i="22"/>
  <c r="AD31" i="22" s="1"/>
  <c r="V21" i="22"/>
  <c r="BO22" i="41" s="1"/>
  <c r="X10" i="22"/>
  <c r="AC10" i="22" s="1"/>
  <c r="AD43" i="23"/>
  <c r="AH43" i="23" s="1"/>
  <c r="AB30" i="23"/>
  <c r="AG30" i="23" s="1"/>
  <c r="Z17" i="23"/>
  <c r="BR18" i="41" s="1"/>
  <c r="Z39" i="22"/>
  <c r="AD39" i="22" s="1"/>
  <c r="X26" i="22"/>
  <c r="AC26" i="22" s="1"/>
  <c r="V13" i="22"/>
  <c r="BO14" i="41" s="1"/>
  <c r="X38" i="21"/>
  <c r="AC38" i="21" s="1"/>
  <c r="Z27" i="21"/>
  <c r="AD27" i="21" s="1"/>
  <c r="V17" i="21"/>
  <c r="BL18" i="41" s="1"/>
  <c r="X6" i="21"/>
  <c r="AC6" i="21" s="1"/>
  <c r="V39" i="27"/>
  <c r="BI40" i="41" s="1"/>
  <c r="X28" i="27"/>
  <c r="AC28" i="27" s="1"/>
  <c r="Z17" i="27"/>
  <c r="AD17" i="27" s="1"/>
  <c r="V7" i="27"/>
  <c r="BI8" i="41" s="1"/>
  <c r="X38" i="20"/>
  <c r="AC38" i="20" s="1"/>
  <c r="Z27" i="20"/>
  <c r="AD27" i="20" s="1"/>
  <c r="V17" i="20"/>
  <c r="BF18" i="41" s="1"/>
  <c r="X6" i="20"/>
  <c r="AC6" i="20" s="1"/>
  <c r="X53" i="36"/>
  <c r="AC53" i="36" s="1"/>
  <c r="Z50" i="36"/>
  <c r="AD50" i="36" s="1"/>
  <c r="V48" i="36"/>
  <c r="BC49" i="41" s="1"/>
  <c r="X45" i="36"/>
  <c r="AC45" i="36" s="1"/>
  <c r="Z42" i="36"/>
  <c r="AD42" i="36" s="1"/>
  <c r="V40" i="36"/>
  <c r="BC41" i="41" s="1"/>
  <c r="X37" i="36"/>
  <c r="AC37" i="36" s="1"/>
  <c r="Z34" i="36"/>
  <c r="AD34" i="36" s="1"/>
  <c r="V32" i="36"/>
  <c r="BC33" i="41" s="1"/>
  <c r="Z41" i="23"/>
  <c r="BR42" i="41" s="1"/>
  <c r="AB22" i="23"/>
  <c r="AG22" i="23" s="1"/>
  <c r="AB6" i="23"/>
  <c r="AG6" i="23" s="1"/>
  <c r="V45" i="22"/>
  <c r="BO46" i="41" s="1"/>
  <c r="Z23" i="22"/>
  <c r="AD23" i="22" s="1"/>
  <c r="V5" i="22"/>
  <c r="BO6" i="41" s="1"/>
  <c r="Z43" i="21"/>
  <c r="AD43" i="21" s="1"/>
  <c r="X30" i="21"/>
  <c r="AC30" i="21" s="1"/>
  <c r="X14" i="21"/>
  <c r="AC14" i="21" s="1"/>
  <c r="X44" i="27"/>
  <c r="AC44" i="27" s="1"/>
  <c r="V31" i="27"/>
  <c r="BI32" i="41" s="1"/>
  <c r="V15" i="27"/>
  <c r="BI16" i="41" s="1"/>
  <c r="Z43" i="20"/>
  <c r="AD43" i="20" s="1"/>
  <c r="X30" i="20"/>
  <c r="AC30" i="20" s="1"/>
  <c r="X14" i="20"/>
  <c r="AC14" i="20" s="1"/>
  <c r="Z54" i="36"/>
  <c r="AD54" i="36" s="1"/>
  <c r="Z52" i="36"/>
  <c r="AD52" i="36" s="1"/>
  <c r="V46" i="36"/>
  <c r="BC47" i="41" s="1"/>
  <c r="V44" i="36"/>
  <c r="BC45" i="41" s="1"/>
  <c r="V42" i="36"/>
  <c r="BC43" i="41" s="1"/>
  <c r="X35" i="36"/>
  <c r="AC35" i="36" s="1"/>
  <c r="X33" i="36"/>
  <c r="AC33" i="36" s="1"/>
  <c r="X31" i="36"/>
  <c r="AC31" i="36" s="1"/>
  <c r="Z28" i="36"/>
  <c r="AD28" i="36" s="1"/>
  <c r="V26" i="36"/>
  <c r="BC27" i="41" s="1"/>
  <c r="X23" i="36"/>
  <c r="AC23" i="36" s="1"/>
  <c r="Z20" i="36"/>
  <c r="AD20" i="36" s="1"/>
  <c r="V18" i="36"/>
  <c r="BC19" i="41" s="1"/>
  <c r="X15" i="36"/>
  <c r="AC15" i="36" s="1"/>
  <c r="Z12" i="36"/>
  <c r="AD12" i="36" s="1"/>
  <c r="V10" i="36"/>
  <c r="BC11" i="41" s="1"/>
  <c r="X7" i="36"/>
  <c r="AC7" i="36" s="1"/>
  <c r="X40" i="35"/>
  <c r="AC40" i="35" s="1"/>
  <c r="Z29" i="35"/>
  <c r="AD29" i="35" s="1"/>
  <c r="V19" i="35"/>
  <c r="AZ20" i="41" s="1"/>
  <c r="X8" i="35"/>
  <c r="AC8" i="35" s="1"/>
  <c r="V41" i="19"/>
  <c r="AW42" i="41" s="1"/>
  <c r="X30" i="19"/>
  <c r="AC30" i="19" s="1"/>
  <c r="Z19" i="19"/>
  <c r="AD19" i="19" s="1"/>
  <c r="V9" i="19"/>
  <c r="AW10" i="41" s="1"/>
  <c r="Z47" i="18"/>
  <c r="AD47" i="18" s="1"/>
  <c r="V37" i="18"/>
  <c r="AT38" i="41" s="1"/>
  <c r="X26" i="18"/>
  <c r="AC26" i="18" s="1"/>
  <c r="Z15" i="18"/>
  <c r="AD15" i="18" s="1"/>
  <c r="V5" i="18"/>
  <c r="AT6" i="41" s="1"/>
  <c r="Z43" i="17"/>
  <c r="AD43" i="17" s="1"/>
  <c r="V33" i="17"/>
  <c r="AQ34" i="41" s="1"/>
  <c r="X22" i="17"/>
  <c r="AC22" i="17" s="1"/>
  <c r="Z11" i="17"/>
  <c r="AD11" i="17" s="1"/>
  <c r="Z38" i="15"/>
  <c r="AE38" i="15" s="1"/>
  <c r="AB27" i="15"/>
  <c r="AF27" i="15" s="1"/>
  <c r="AB38" i="23"/>
  <c r="AG38" i="23" s="1"/>
  <c r="AD11" i="23"/>
  <c r="AH11" i="23" s="1"/>
  <c r="Z47" i="22"/>
  <c r="AD47" i="22" s="1"/>
  <c r="X18" i="22"/>
  <c r="AC18" i="22" s="1"/>
  <c r="V33" i="21"/>
  <c r="BL34" i="41" s="1"/>
  <c r="Z11" i="21"/>
  <c r="AD11" i="21" s="1"/>
  <c r="X36" i="27"/>
  <c r="AC36" i="27" s="1"/>
  <c r="X20" i="27"/>
  <c r="AC20" i="27" s="1"/>
  <c r="V41" i="20"/>
  <c r="BF42" i="41" s="1"/>
  <c r="X22" i="20"/>
  <c r="AC22" i="20" s="1"/>
  <c r="Z48" i="36"/>
  <c r="AD48" i="36" s="1"/>
  <c r="Z46" i="36"/>
  <c r="AD46" i="36" s="1"/>
  <c r="X43" i="36"/>
  <c r="AC43" i="36" s="1"/>
  <c r="V34" i="36"/>
  <c r="BC35" i="41" s="1"/>
  <c r="Z30" i="36"/>
  <c r="AD30" i="36" s="1"/>
  <c r="V24" i="36"/>
  <c r="BC25" i="41" s="1"/>
  <c r="V22" i="36"/>
  <c r="BC23" i="41" s="1"/>
  <c r="V20" i="36"/>
  <c r="BC21" i="41" s="1"/>
  <c r="X13" i="36"/>
  <c r="AC13" i="36" s="1"/>
  <c r="X11" i="36"/>
  <c r="AC11" i="36" s="1"/>
  <c r="X9" i="36"/>
  <c r="AC9" i="36" s="1"/>
  <c r="Z37" i="35"/>
  <c r="AD37" i="35" s="1"/>
  <c r="X24" i="35"/>
  <c r="AC24" i="35" s="1"/>
  <c r="V11" i="35"/>
  <c r="AZ12" i="41" s="1"/>
  <c r="X38" i="19"/>
  <c r="AC38" i="19" s="1"/>
  <c r="V25" i="19"/>
  <c r="AW26" i="41" s="1"/>
  <c r="Z11" i="19"/>
  <c r="AD11" i="19" s="1"/>
  <c r="V45" i="18"/>
  <c r="AT46" i="41" s="1"/>
  <c r="Z31" i="18"/>
  <c r="AD31" i="18" s="1"/>
  <c r="X18" i="18"/>
  <c r="AC18" i="18" s="1"/>
  <c r="X38" i="17"/>
  <c r="AC38" i="17" s="1"/>
  <c r="V25" i="17"/>
  <c r="AQ26" i="41" s="1"/>
  <c r="V9" i="17"/>
  <c r="AQ10" i="41" s="1"/>
  <c r="Z46" i="15"/>
  <c r="AE46" i="15" s="1"/>
  <c r="X33" i="15"/>
  <c r="AK34" i="41" s="1"/>
  <c r="AB19" i="15"/>
  <c r="AF19" i="15" s="1"/>
  <c r="X9" i="15"/>
  <c r="AK10" i="41" s="1"/>
  <c r="AA46" i="14"/>
  <c r="AF46" i="14" s="1"/>
  <c r="AC35" i="14"/>
  <c r="AG35" i="14" s="1"/>
  <c r="Y25" i="14"/>
  <c r="AH26" i="41" s="1"/>
  <c r="AA14" i="14"/>
  <c r="AF14" i="14" s="1"/>
  <c r="V54" i="13"/>
  <c r="AE55" i="41" s="1"/>
  <c r="X51" i="13"/>
  <c r="AC51" i="13" s="1"/>
  <c r="Z48" i="13"/>
  <c r="AD48" i="13" s="1"/>
  <c r="V46" i="13"/>
  <c r="AE47" i="41" s="1"/>
  <c r="X43" i="13"/>
  <c r="AC43" i="13" s="1"/>
  <c r="Z40" i="13"/>
  <c r="AD40" i="13" s="1"/>
  <c r="V38" i="13"/>
  <c r="AE39" i="41" s="1"/>
  <c r="X35" i="13"/>
  <c r="AC35" i="13" s="1"/>
  <c r="Z32" i="13"/>
  <c r="AD32" i="13" s="1"/>
  <c r="V30" i="13"/>
  <c r="AE31" i="41" s="1"/>
  <c r="X27" i="13"/>
  <c r="AC27" i="13" s="1"/>
  <c r="Z24" i="13"/>
  <c r="AD24" i="13" s="1"/>
  <c r="V22" i="13"/>
  <c r="AE23" i="41" s="1"/>
  <c r="X19" i="13"/>
  <c r="AC19" i="13" s="1"/>
  <c r="Z16" i="13"/>
  <c r="AD16" i="13" s="1"/>
  <c r="V14" i="13"/>
  <c r="AE15" i="41" s="1"/>
  <c r="X11" i="13"/>
  <c r="AC11" i="13" s="1"/>
  <c r="Z8" i="13"/>
  <c r="AD8" i="13" s="1"/>
  <c r="V6" i="13"/>
  <c r="AE7" i="41" s="1"/>
  <c r="Z43" i="26"/>
  <c r="AD43" i="26" s="1"/>
  <c r="V33" i="26"/>
  <c r="AB34" i="41" s="1"/>
  <c r="X22" i="26"/>
  <c r="AC22" i="26" s="1"/>
  <c r="Z11" i="26"/>
  <c r="AD11" i="26" s="1"/>
  <c r="Z31" i="12"/>
  <c r="AD31" i="12" s="1"/>
  <c r="X26" i="12"/>
  <c r="AC26" i="12" s="1"/>
  <c r="V21" i="12"/>
  <c r="Y22" i="41" s="1"/>
  <c r="Z15" i="12"/>
  <c r="AD15" i="12" s="1"/>
  <c r="X10" i="12"/>
  <c r="AC10" i="12" s="1"/>
  <c r="V5" i="12"/>
  <c r="Y6" i="41" s="1"/>
  <c r="Z43" i="34"/>
  <c r="AD43" i="34" s="1"/>
  <c r="V33" i="34"/>
  <c r="V34" i="41" s="1"/>
  <c r="X22" i="34"/>
  <c r="AC22" i="34" s="1"/>
  <c r="Z11" i="34"/>
  <c r="AD11" i="34" s="1"/>
  <c r="X38" i="33"/>
  <c r="AC38" i="33" s="1"/>
  <c r="Z27" i="33"/>
  <c r="AD27" i="33" s="1"/>
  <c r="V17" i="33"/>
  <c r="S18" i="41" s="1"/>
  <c r="X6" i="33"/>
  <c r="AC6" i="33" s="1"/>
  <c r="Z43" i="11"/>
  <c r="AD43" i="11" s="1"/>
  <c r="V33" i="11"/>
  <c r="P34" i="41" s="1"/>
  <c r="X22" i="11"/>
  <c r="AC22" i="11" s="1"/>
  <c r="Z11" i="11"/>
  <c r="AD11" i="11" s="1"/>
  <c r="X38" i="10"/>
  <c r="AC38" i="10" s="1"/>
  <c r="Z27" i="10"/>
  <c r="AD27" i="10" s="1"/>
  <c r="V17" i="10"/>
  <c r="M18" i="41" s="1"/>
  <c r="X6" i="10"/>
  <c r="AC6" i="10" s="1"/>
  <c r="X47" i="7"/>
  <c r="AC47" i="7" s="1"/>
  <c r="V42" i="7"/>
  <c r="J43" i="41" s="1"/>
  <c r="Z36" i="7"/>
  <c r="AD36" i="7" s="1"/>
  <c r="X31" i="7"/>
  <c r="AC31" i="7" s="1"/>
  <c r="V26" i="7"/>
  <c r="J27" i="41" s="1"/>
  <c r="Z20" i="7"/>
  <c r="AD20" i="7" s="1"/>
  <c r="X15" i="7"/>
  <c r="AC15" i="7" s="1"/>
  <c r="V10" i="7"/>
  <c r="J11" i="41" s="1"/>
  <c r="CN12" i="1"/>
  <c r="CR12" i="1" s="1"/>
  <c r="CN16" i="1"/>
  <c r="CR16" i="1" s="1"/>
  <c r="CN20" i="1"/>
  <c r="CR20" i="1" s="1"/>
  <c r="CN24" i="1"/>
  <c r="CR24" i="1" s="1"/>
  <c r="CN28" i="1"/>
  <c r="CR28" i="1" s="1"/>
  <c r="CN32" i="1"/>
  <c r="CR32" i="1" s="1"/>
  <c r="CN36" i="1"/>
  <c r="CR36" i="1" s="1"/>
  <c r="CN40" i="1"/>
  <c r="CR40" i="1" s="1"/>
  <c r="CN44" i="1"/>
  <c r="CR44" i="1" s="1"/>
  <c r="CN48" i="1"/>
  <c r="CR48" i="1" s="1"/>
  <c r="CN52" i="1"/>
  <c r="CR52" i="1" s="1"/>
  <c r="CL8" i="1"/>
  <c r="CQ8" i="1" s="1"/>
  <c r="CL13" i="1"/>
  <c r="CQ13" i="1" s="1"/>
  <c r="CL17" i="1"/>
  <c r="CQ17" i="1" s="1"/>
  <c r="CL21" i="1"/>
  <c r="CQ21" i="1" s="1"/>
  <c r="CL25" i="1"/>
  <c r="CQ25" i="1" s="1"/>
  <c r="CL29" i="1"/>
  <c r="CQ29" i="1" s="1"/>
  <c r="CL33" i="1"/>
  <c r="CQ33" i="1" s="1"/>
  <c r="CL37" i="1"/>
  <c r="CQ37" i="1" s="1"/>
  <c r="CL41" i="1"/>
  <c r="CQ41" i="1" s="1"/>
  <c r="CL45" i="1"/>
  <c r="CQ45" i="1" s="1"/>
  <c r="CL49" i="1"/>
  <c r="CQ49" i="1" s="1"/>
  <c r="CL53" i="1"/>
  <c r="CQ53" i="1" s="1"/>
  <c r="CJ10" i="1"/>
  <c r="G10" i="41" s="1"/>
  <c r="CJ14" i="1"/>
  <c r="G14" i="41" s="1"/>
  <c r="CJ18" i="1"/>
  <c r="G18" i="41" s="1"/>
  <c r="CJ22" i="1"/>
  <c r="G22" i="41" s="1"/>
  <c r="CJ26" i="1"/>
  <c r="G26" i="41" s="1"/>
  <c r="CJ30" i="1"/>
  <c r="G30" i="41" s="1"/>
  <c r="CJ34" i="1"/>
  <c r="G34" i="41" s="1"/>
  <c r="CJ38" i="1"/>
  <c r="G38" i="41" s="1"/>
  <c r="CJ42" i="1"/>
  <c r="G42" i="41" s="1"/>
  <c r="CJ46" i="1"/>
  <c r="G46" i="41" s="1"/>
  <c r="CJ50" i="1"/>
  <c r="G50" i="41" s="1"/>
  <c r="CJ54" i="1"/>
  <c r="G54" i="41" s="1"/>
  <c r="Z33" i="23"/>
  <c r="BR34" i="41" s="1"/>
  <c r="Z9" i="23"/>
  <c r="BR10" i="41" s="1"/>
  <c r="V37" i="22"/>
  <c r="BO38" i="41" s="1"/>
  <c r="Z15" i="22"/>
  <c r="AD15" i="22" s="1"/>
  <c r="X46" i="21"/>
  <c r="AC46" i="21" s="1"/>
  <c r="V25" i="21"/>
  <c r="BL26" i="41" s="1"/>
  <c r="AD27" i="23"/>
  <c r="AH27" i="23" s="1"/>
  <c r="X34" i="22"/>
  <c r="AC34" i="22" s="1"/>
  <c r="Z19" i="21"/>
  <c r="AD19" i="21" s="1"/>
  <c r="Z33" i="27"/>
  <c r="AD33" i="27" s="1"/>
  <c r="Z9" i="27"/>
  <c r="AD9" i="27" s="1"/>
  <c r="V25" i="20"/>
  <c r="BF26" i="41" s="1"/>
  <c r="X47" i="36"/>
  <c r="AC47" i="36" s="1"/>
  <c r="X41" i="36"/>
  <c r="AC41" i="36" s="1"/>
  <c r="X39" i="36"/>
  <c r="AC39" i="36" s="1"/>
  <c r="Z26" i="36"/>
  <c r="AD26" i="36" s="1"/>
  <c r="Z24" i="36"/>
  <c r="AD24" i="36" s="1"/>
  <c r="X21" i="36"/>
  <c r="AC21" i="36" s="1"/>
  <c r="V12" i="36"/>
  <c r="BC13" i="41" s="1"/>
  <c r="Z8" i="36"/>
  <c r="AD8" i="36" s="1"/>
  <c r="Z6" i="36"/>
  <c r="AD6" i="36" s="1"/>
  <c r="V43" i="35"/>
  <c r="AZ44" i="41" s="1"/>
  <c r="Z21" i="35"/>
  <c r="AD21" i="35" s="1"/>
  <c r="X46" i="19"/>
  <c r="AC46" i="19" s="1"/>
  <c r="Z27" i="19"/>
  <c r="AD27" i="19" s="1"/>
  <c r="X6" i="19"/>
  <c r="AC6" i="19" s="1"/>
  <c r="Z39" i="18"/>
  <c r="AD39" i="18" s="1"/>
  <c r="V21" i="18"/>
  <c r="AT22" i="41" s="1"/>
  <c r="Z35" i="17"/>
  <c r="AD35" i="17" s="1"/>
  <c r="V17" i="17"/>
  <c r="AQ18" i="41" s="1"/>
  <c r="Z30" i="15"/>
  <c r="AE30" i="15" s="1"/>
  <c r="Z14" i="15"/>
  <c r="AE14" i="15" s="1"/>
  <c r="Y33" i="14"/>
  <c r="AH34" i="41" s="1"/>
  <c r="AC19" i="14"/>
  <c r="AG19" i="14" s="1"/>
  <c r="AA6" i="14"/>
  <c r="AF6" i="14" s="1"/>
  <c r="X49" i="13"/>
  <c r="AC49" i="13" s="1"/>
  <c r="X47" i="13"/>
  <c r="AC47" i="13" s="1"/>
  <c r="X45" i="13"/>
  <c r="AC45" i="13" s="1"/>
  <c r="Z38" i="13"/>
  <c r="AD38" i="13" s="1"/>
  <c r="Z36" i="13"/>
  <c r="AD36" i="13" s="1"/>
  <c r="Z34" i="13"/>
  <c r="AD34" i="13" s="1"/>
  <c r="V28" i="13"/>
  <c r="AE29" i="41" s="1"/>
  <c r="V26" i="13"/>
  <c r="AE27" i="41" s="1"/>
  <c r="V24" i="13"/>
  <c r="AE25" i="41" s="1"/>
  <c r="X17" i="13"/>
  <c r="AC17" i="13" s="1"/>
  <c r="X15" i="13"/>
  <c r="AC15" i="13" s="1"/>
  <c r="X13" i="13"/>
  <c r="AC13" i="13" s="1"/>
  <c r="Z6" i="13"/>
  <c r="AD6" i="13" s="1"/>
  <c r="Z35" i="26"/>
  <c r="AD35" i="26" s="1"/>
  <c r="Z19" i="26"/>
  <c r="AD19" i="26" s="1"/>
  <c r="X6" i="26"/>
  <c r="AC6" i="26" s="1"/>
  <c r="X34" i="12"/>
  <c r="AC34" i="12" s="1"/>
  <c r="Z29" i="12"/>
  <c r="AD29" i="12" s="1"/>
  <c r="X16" i="12"/>
  <c r="AC16" i="12" s="1"/>
  <c r="V13" i="12"/>
  <c r="Y14" i="41" s="1"/>
  <c r="X8" i="12"/>
  <c r="AC8" i="12" s="1"/>
  <c r="V41" i="34"/>
  <c r="V42" i="41" s="1"/>
  <c r="Z27" i="34"/>
  <c r="AD27" i="34" s="1"/>
  <c r="X14" i="34"/>
  <c r="AC14" i="34" s="1"/>
  <c r="Z35" i="33"/>
  <c r="AD35" i="33" s="1"/>
  <c r="X22" i="33"/>
  <c r="AC22" i="33" s="1"/>
  <c r="V9" i="33"/>
  <c r="S10" i="41" s="1"/>
  <c r="V41" i="11"/>
  <c r="P42" i="41" s="1"/>
  <c r="Z27" i="11"/>
  <c r="AD27" i="11" s="1"/>
  <c r="X14" i="11"/>
  <c r="AC14" i="11" s="1"/>
  <c r="Z35" i="10"/>
  <c r="AD35" i="10" s="1"/>
  <c r="X22" i="10"/>
  <c r="AC22" i="10" s="1"/>
  <c r="V9" i="10"/>
  <c r="M10" i="41" s="1"/>
  <c r="V46" i="7"/>
  <c r="J47" i="41" s="1"/>
  <c r="X39" i="7"/>
  <c r="AC39" i="7" s="1"/>
  <c r="Z32" i="7"/>
  <c r="AD32" i="7" s="1"/>
  <c r="Z24" i="7"/>
  <c r="AD24" i="7" s="1"/>
  <c r="V18" i="7"/>
  <c r="J19" i="41" s="1"/>
  <c r="X11" i="7"/>
  <c r="AC11" i="7" s="1"/>
  <c r="CN13" i="1"/>
  <c r="CR13" i="1" s="1"/>
  <c r="CN18" i="1"/>
  <c r="CR18" i="1" s="1"/>
  <c r="CN23" i="1"/>
  <c r="CR23" i="1" s="1"/>
  <c r="CN29" i="1"/>
  <c r="CR29" i="1" s="1"/>
  <c r="CN34" i="1"/>
  <c r="CR34" i="1" s="1"/>
  <c r="CN39" i="1"/>
  <c r="CR39" i="1" s="1"/>
  <c r="CN45" i="1"/>
  <c r="CR45" i="1" s="1"/>
  <c r="CN50" i="1"/>
  <c r="CR50" i="1" s="1"/>
  <c r="CN55" i="1"/>
  <c r="CR55" i="1" s="1"/>
  <c r="CL14" i="1"/>
  <c r="CQ14" i="1" s="1"/>
  <c r="CL19" i="1"/>
  <c r="CQ19" i="1" s="1"/>
  <c r="CL24" i="1"/>
  <c r="CQ24" i="1" s="1"/>
  <c r="CL30" i="1"/>
  <c r="CQ30" i="1" s="1"/>
  <c r="CL35" i="1"/>
  <c r="CQ35" i="1" s="1"/>
  <c r="CL40" i="1"/>
  <c r="CQ40" i="1" s="1"/>
  <c r="CL46" i="1"/>
  <c r="CQ46" i="1" s="1"/>
  <c r="CL51" i="1"/>
  <c r="CQ51" i="1" s="1"/>
  <c r="CN6" i="1"/>
  <c r="CR6" i="1" s="1"/>
  <c r="CJ8" i="1"/>
  <c r="G8" i="41" s="1"/>
  <c r="CJ15" i="1"/>
  <c r="G15" i="41" s="1"/>
  <c r="CJ20" i="1"/>
  <c r="G20" i="41" s="1"/>
  <c r="CJ25" i="1"/>
  <c r="G25" i="41" s="1"/>
  <c r="CJ31" i="1"/>
  <c r="G31" i="41" s="1"/>
  <c r="CJ36" i="1"/>
  <c r="G36" i="41" s="1"/>
  <c r="CJ41" i="1"/>
  <c r="G41" i="41" s="1"/>
  <c r="CJ47" i="1"/>
  <c r="G47" i="41" s="1"/>
  <c r="CJ52" i="1"/>
  <c r="G52" i="41" s="1"/>
  <c r="AD19" i="23"/>
  <c r="AH19" i="23" s="1"/>
  <c r="V29" i="22"/>
  <c r="BO30" i="41" s="1"/>
  <c r="V41" i="21"/>
  <c r="BL42" i="41" s="1"/>
  <c r="V9" i="21"/>
  <c r="BL10" i="41" s="1"/>
  <c r="Z25" i="27"/>
  <c r="AD25" i="27" s="1"/>
  <c r="X46" i="20"/>
  <c r="AC46" i="20" s="1"/>
  <c r="Z19" i="20"/>
  <c r="AD19" i="20" s="1"/>
  <c r="X51" i="36"/>
  <c r="AC51" i="36" s="1"/>
  <c r="X49" i="36"/>
  <c r="AC49" i="36" s="1"/>
  <c r="Z44" i="36"/>
  <c r="AD44" i="36" s="1"/>
  <c r="Z32" i="36"/>
  <c r="AD32" i="36" s="1"/>
  <c r="X29" i="36"/>
  <c r="AC29" i="36" s="1"/>
  <c r="X27" i="36"/>
  <c r="AC27" i="36" s="1"/>
  <c r="X25" i="36"/>
  <c r="AC25" i="36" s="1"/>
  <c r="V16" i="36"/>
  <c r="BC17" i="41" s="1"/>
  <c r="V14" i="36"/>
  <c r="BC15" i="41" s="1"/>
  <c r="Z10" i="36"/>
  <c r="AD10" i="36" s="1"/>
  <c r="V35" i="35"/>
  <c r="AZ36" i="41" s="1"/>
  <c r="X16" i="35"/>
  <c r="AC16" i="35" s="1"/>
  <c r="Z43" i="19"/>
  <c r="AD43" i="19" s="1"/>
  <c r="X22" i="19"/>
  <c r="AC22" i="19" s="1"/>
  <c r="X34" i="18"/>
  <c r="AC34" i="18" s="1"/>
  <c r="V13" i="18"/>
  <c r="AT14" i="41" s="1"/>
  <c r="X30" i="17"/>
  <c r="AC30" i="17" s="1"/>
  <c r="X14" i="17"/>
  <c r="AC14" i="17" s="1"/>
  <c r="AB43" i="15"/>
  <c r="AF43" i="15" s="1"/>
  <c r="X25" i="15"/>
  <c r="AK26" i="41" s="1"/>
  <c r="AB11" i="15"/>
  <c r="AF11" i="15" s="1"/>
  <c r="AC43" i="14"/>
  <c r="AG43" i="14" s="1"/>
  <c r="AA30" i="14"/>
  <c r="AF30" i="14" s="1"/>
  <c r="Y17" i="14"/>
  <c r="AH18" i="41" s="1"/>
  <c r="V52" i="13"/>
  <c r="AE53" i="41" s="1"/>
  <c r="V50" i="13"/>
  <c r="AE51" i="41" s="1"/>
  <c r="V48" i="13"/>
  <c r="AE49" i="41" s="1"/>
  <c r="X41" i="13"/>
  <c r="AC41" i="13" s="1"/>
  <c r="X39" i="13"/>
  <c r="AC39" i="13" s="1"/>
  <c r="X37" i="13"/>
  <c r="AC37" i="13" s="1"/>
  <c r="Z30" i="13"/>
  <c r="AD30" i="13" s="1"/>
  <c r="Z28" i="13"/>
  <c r="AD28" i="13" s="1"/>
  <c r="Z26" i="13"/>
  <c r="AD26" i="13" s="1"/>
  <c r="V20" i="13"/>
  <c r="AE21" i="41" s="1"/>
  <c r="V18" i="13"/>
  <c r="AE19" i="41" s="1"/>
  <c r="V16" i="13"/>
  <c r="AE17" i="41" s="1"/>
  <c r="X9" i="13"/>
  <c r="AC9" i="13" s="1"/>
  <c r="X7" i="13"/>
  <c r="AC7" i="13" s="1"/>
  <c r="X5" i="13"/>
  <c r="AC5" i="13" s="1"/>
  <c r="X46" i="26"/>
  <c r="AC46" i="26" s="1"/>
  <c r="X30" i="26"/>
  <c r="AC30" i="26" s="1"/>
  <c r="V17" i="26"/>
  <c r="AB18" i="41" s="1"/>
  <c r="V35" i="12"/>
  <c r="Y36" i="41" s="1"/>
  <c r="Z21" i="12"/>
  <c r="AD21" i="12" s="1"/>
  <c r="X18" i="12"/>
  <c r="AC18" i="12" s="1"/>
  <c r="Z13" i="12"/>
  <c r="AD13" i="12" s="1"/>
  <c r="X38" i="34"/>
  <c r="AC38" i="34" s="1"/>
  <c r="V25" i="34"/>
  <c r="V26" i="41" s="1"/>
  <c r="V9" i="34"/>
  <c r="V10" i="41" s="1"/>
  <c r="X46" i="33"/>
  <c r="AC46" i="33" s="1"/>
  <c r="V33" i="33"/>
  <c r="S34" i="41" s="1"/>
  <c r="Z19" i="33"/>
  <c r="AD19" i="33" s="1"/>
  <c r="X38" i="11"/>
  <c r="AC38" i="11" s="1"/>
  <c r="V25" i="11"/>
  <c r="P26" i="41" s="1"/>
  <c r="V9" i="11"/>
  <c r="P10" i="41" s="1"/>
  <c r="X46" i="10"/>
  <c r="AC46" i="10" s="1"/>
  <c r="V33" i="10"/>
  <c r="M34" i="41" s="1"/>
  <c r="Z19" i="10"/>
  <c r="AD19" i="10" s="1"/>
  <c r="Z44" i="7"/>
  <c r="AD44" i="7" s="1"/>
  <c r="V38" i="7"/>
  <c r="J39" i="41" s="1"/>
  <c r="V30" i="7"/>
  <c r="J31" i="41" s="1"/>
  <c r="X23" i="7"/>
  <c r="AC23" i="7" s="1"/>
  <c r="Z16" i="7"/>
  <c r="AD16" i="7" s="1"/>
  <c r="Z8" i="7"/>
  <c r="AD8" i="7" s="1"/>
  <c r="CN8" i="1"/>
  <c r="CR8" i="1" s="1"/>
  <c r="CN14" i="1"/>
  <c r="CR14" i="1" s="1"/>
  <c r="CN19" i="1"/>
  <c r="CR19" i="1" s="1"/>
  <c r="CN25" i="1"/>
  <c r="CR25" i="1" s="1"/>
  <c r="CN30" i="1"/>
  <c r="CR30" i="1" s="1"/>
  <c r="CN35" i="1"/>
  <c r="CR35" i="1" s="1"/>
  <c r="CN41" i="1"/>
  <c r="CR41" i="1" s="1"/>
  <c r="CN46" i="1"/>
  <c r="CR46" i="1" s="1"/>
  <c r="CN51" i="1"/>
  <c r="CR51" i="1" s="1"/>
  <c r="CL10" i="1"/>
  <c r="CQ10" i="1" s="1"/>
  <c r="CL15" i="1"/>
  <c r="CQ15" i="1" s="1"/>
  <c r="CL20" i="1"/>
  <c r="CQ20" i="1" s="1"/>
  <c r="CL26" i="1"/>
  <c r="CQ26" i="1" s="1"/>
  <c r="CL31" i="1"/>
  <c r="CQ31" i="1" s="1"/>
  <c r="CL36" i="1"/>
  <c r="CQ36" i="1" s="1"/>
  <c r="CL42" i="1"/>
  <c r="CQ42" i="1" s="1"/>
  <c r="CL47" i="1"/>
  <c r="CQ47" i="1" s="1"/>
  <c r="CL52" i="1"/>
  <c r="CQ52" i="1" s="1"/>
  <c r="CJ11" i="1"/>
  <c r="G11" i="41" s="1"/>
  <c r="CJ16" i="1"/>
  <c r="G16" i="41" s="1"/>
  <c r="CJ21" i="1"/>
  <c r="G21" i="41" s="1"/>
  <c r="CJ27" i="1"/>
  <c r="G27" i="41" s="1"/>
  <c r="CJ32" i="1"/>
  <c r="G32" i="41" s="1"/>
  <c r="CJ37" i="1"/>
  <c r="G37" i="41" s="1"/>
  <c r="CJ43" i="1"/>
  <c r="G43" i="41" s="1"/>
  <c r="CJ48" i="1"/>
  <c r="G48" i="41" s="1"/>
  <c r="CJ53" i="1"/>
  <c r="G53" i="41" s="1"/>
  <c r="Z7" i="22"/>
  <c r="AD7" i="22" s="1"/>
  <c r="Z35" i="21"/>
  <c r="AD35" i="21" s="1"/>
  <c r="V47" i="27"/>
  <c r="BI48" i="41" s="1"/>
  <c r="V23" i="27"/>
  <c r="BI24" i="41" s="1"/>
  <c r="Z35" i="20"/>
  <c r="AD35" i="20" s="1"/>
  <c r="Z11" i="20"/>
  <c r="AD11" i="20" s="1"/>
  <c r="V52" i="36"/>
  <c r="BC53" i="41" s="1"/>
  <c r="V50" i="36"/>
  <c r="BC51" i="41" s="1"/>
  <c r="V38" i="36"/>
  <c r="BC39" i="41" s="1"/>
  <c r="V36" i="36"/>
  <c r="BC37" i="41" s="1"/>
  <c r="V30" i="36"/>
  <c r="BC31" i="41" s="1"/>
  <c r="V28" i="36"/>
  <c r="BC29" i="41" s="1"/>
  <c r="Z18" i="36"/>
  <c r="AD18" i="36" s="1"/>
  <c r="Z16" i="36"/>
  <c r="AD16" i="36" s="1"/>
  <c r="Z14" i="36"/>
  <c r="AD14" i="36" s="1"/>
  <c r="X5" i="36"/>
  <c r="AC5" i="36" s="1"/>
  <c r="X32" i="35"/>
  <c r="AC32" i="35" s="1"/>
  <c r="Z13" i="35"/>
  <c r="AD13" i="35" s="1"/>
  <c r="Z35" i="19"/>
  <c r="AD35" i="19" s="1"/>
  <c r="V17" i="19"/>
  <c r="AW18" i="41" s="1"/>
  <c r="V29" i="18"/>
  <c r="AT30" i="41" s="1"/>
  <c r="X10" i="18"/>
  <c r="AC10" i="18" s="1"/>
  <c r="X46" i="17"/>
  <c r="AC46" i="17" s="1"/>
  <c r="Z27" i="17"/>
  <c r="AD27" i="17" s="1"/>
  <c r="X6" i="17"/>
  <c r="AC6" i="17" s="1"/>
  <c r="X41" i="15"/>
  <c r="AK42" i="41" s="1"/>
  <c r="Z22" i="15"/>
  <c r="AE22" i="15" s="1"/>
  <c r="Z6" i="15"/>
  <c r="AE6" i="15" s="1"/>
  <c r="Y41" i="14"/>
  <c r="AH42" i="41" s="1"/>
  <c r="AC27" i="14"/>
  <c r="AG27" i="14" s="1"/>
  <c r="AC11" i="14"/>
  <c r="AG11" i="14" s="1"/>
  <c r="Z54" i="13"/>
  <c r="AD54" i="13" s="1"/>
  <c r="Z52" i="13"/>
  <c r="AD52" i="13" s="1"/>
  <c r="Z50" i="13"/>
  <c r="AD50" i="13" s="1"/>
  <c r="V44" i="13"/>
  <c r="AE45" i="41" s="1"/>
  <c r="V42" i="13"/>
  <c r="AE43" i="41" s="1"/>
  <c r="V40" i="13"/>
  <c r="AE41" i="41" s="1"/>
  <c r="X33" i="13"/>
  <c r="AC33" i="13" s="1"/>
  <c r="X31" i="13"/>
  <c r="AC31" i="13" s="1"/>
  <c r="X29" i="13"/>
  <c r="AC29" i="13" s="1"/>
  <c r="Z22" i="13"/>
  <c r="AD22" i="13" s="1"/>
  <c r="Z20" i="13"/>
  <c r="AD20" i="13" s="1"/>
  <c r="Z18" i="13"/>
  <c r="AD18" i="13" s="1"/>
  <c r="V12" i="13"/>
  <c r="AE13" i="41" s="1"/>
  <c r="V10" i="13"/>
  <c r="AE11" i="41" s="1"/>
  <c r="V8" i="13"/>
  <c r="AE9" i="41" s="1"/>
  <c r="V41" i="26"/>
  <c r="AB42" i="41" s="1"/>
  <c r="Z27" i="26"/>
  <c r="AD27" i="26" s="1"/>
  <c r="X14" i="26"/>
  <c r="AC14" i="26" s="1"/>
  <c r="V27" i="12"/>
  <c r="Y28" i="41" s="1"/>
  <c r="Z23" i="12"/>
  <c r="AD23" i="12" s="1"/>
  <c r="V19" i="12"/>
  <c r="Y20" i="41" s="1"/>
  <c r="Z5" i="12"/>
  <c r="AD5" i="12" s="1"/>
  <c r="Z35" i="34"/>
  <c r="AD35" i="34" s="1"/>
  <c r="Z19" i="34"/>
  <c r="AD19" i="34" s="1"/>
  <c r="X6" i="34"/>
  <c r="AC6" i="34" s="1"/>
  <c r="Z43" i="33"/>
  <c r="AD43" i="33" s="1"/>
  <c r="X30" i="33"/>
  <c r="AC30" i="33" s="1"/>
  <c r="X14" i="33"/>
  <c r="AC14" i="33" s="1"/>
  <c r="Z35" i="11"/>
  <c r="AD35" i="11" s="1"/>
  <c r="Z19" i="11"/>
  <c r="AD19" i="11" s="1"/>
  <c r="X6" i="11"/>
  <c r="AC6" i="11" s="1"/>
  <c r="Z43" i="10"/>
  <c r="AD43" i="10" s="1"/>
  <c r="X30" i="10"/>
  <c r="AC30" i="10" s="1"/>
  <c r="X14" i="10"/>
  <c r="AC14" i="10" s="1"/>
  <c r="X43" i="7"/>
  <c r="AC43" i="7" s="1"/>
  <c r="X35" i="7"/>
  <c r="AC35" i="7" s="1"/>
  <c r="Z28" i="7"/>
  <c r="AD28" i="7" s="1"/>
  <c r="V22" i="7"/>
  <c r="J23" i="41" s="1"/>
  <c r="V14" i="7"/>
  <c r="J15" i="41" s="1"/>
  <c r="X7" i="7"/>
  <c r="AC7" i="7" s="1"/>
  <c r="CN10" i="1"/>
  <c r="CR10" i="1" s="1"/>
  <c r="CN15" i="1"/>
  <c r="CR15" i="1" s="1"/>
  <c r="CN21" i="1"/>
  <c r="CR21" i="1" s="1"/>
  <c r="CN26" i="1"/>
  <c r="CR26" i="1" s="1"/>
  <c r="CN31" i="1"/>
  <c r="CR31" i="1" s="1"/>
  <c r="CN37" i="1"/>
  <c r="CR37" i="1" s="1"/>
  <c r="CN42" i="1"/>
  <c r="CR42" i="1" s="1"/>
  <c r="CN47" i="1"/>
  <c r="CR47" i="1" s="1"/>
  <c r="CN53" i="1"/>
  <c r="CR53" i="1" s="1"/>
  <c r="CL11" i="1"/>
  <c r="CQ11" i="1" s="1"/>
  <c r="CL16" i="1"/>
  <c r="CQ16" i="1" s="1"/>
  <c r="CL22" i="1"/>
  <c r="CQ22" i="1" s="1"/>
  <c r="CL27" i="1"/>
  <c r="CQ27" i="1" s="1"/>
  <c r="CL32" i="1"/>
  <c r="CQ32" i="1" s="1"/>
  <c r="CL38" i="1"/>
  <c r="CQ38" i="1" s="1"/>
  <c r="CL43" i="1"/>
  <c r="CQ43" i="1" s="1"/>
  <c r="CL48" i="1"/>
  <c r="CQ48" i="1" s="1"/>
  <c r="CL54" i="1"/>
  <c r="CQ54" i="1" s="1"/>
  <c r="CQ6" i="1"/>
  <c r="CJ12" i="1"/>
  <c r="G12" i="41" s="1"/>
  <c r="CJ17" i="1"/>
  <c r="G17" i="41" s="1"/>
  <c r="V33" i="20"/>
  <c r="BF34" i="41" s="1"/>
  <c r="Z36" i="36"/>
  <c r="AD36" i="36" s="1"/>
  <c r="X14" i="19"/>
  <c r="AC14" i="19" s="1"/>
  <c r="Z23" i="18"/>
  <c r="AD23" i="18" s="1"/>
  <c r="V41" i="17"/>
  <c r="AQ42" i="41" s="1"/>
  <c r="AB35" i="15"/>
  <c r="AF35" i="15" s="1"/>
  <c r="AA38" i="14"/>
  <c r="AF38" i="14" s="1"/>
  <c r="X53" i="13"/>
  <c r="AC53" i="13" s="1"/>
  <c r="Z44" i="13"/>
  <c r="AD44" i="13" s="1"/>
  <c r="V36" i="13"/>
  <c r="AE37" i="41" s="1"/>
  <c r="Z10" i="13"/>
  <c r="AD10" i="13" s="1"/>
  <c r="X38" i="26"/>
  <c r="AC38" i="26" s="1"/>
  <c r="X46" i="34"/>
  <c r="AC46" i="34" s="1"/>
  <c r="X22" i="21"/>
  <c r="AC22" i="21" s="1"/>
  <c r="V9" i="20"/>
  <c r="BF10" i="41" s="1"/>
  <c r="V54" i="36"/>
  <c r="BC55" i="41" s="1"/>
  <c r="Z38" i="36"/>
  <c r="AD38" i="36" s="1"/>
  <c r="X17" i="36"/>
  <c r="AC17" i="36" s="1"/>
  <c r="V6" i="36"/>
  <c r="BC7" i="41" s="1"/>
  <c r="V27" i="35"/>
  <c r="AZ28" i="41" s="1"/>
  <c r="Z7" i="18"/>
  <c r="AD7" i="18" s="1"/>
  <c r="Z19" i="17"/>
  <c r="AD19" i="17" s="1"/>
  <c r="X17" i="15"/>
  <c r="AK18" i="41" s="1"/>
  <c r="AA22" i="14"/>
  <c r="AF22" i="14" s="1"/>
  <c r="Z46" i="13"/>
  <c r="AD46" i="13" s="1"/>
  <c r="X21" i="13"/>
  <c r="AC21" i="13" s="1"/>
  <c r="Z12" i="13"/>
  <c r="AD12" i="13" s="1"/>
  <c r="V25" i="26"/>
  <c r="AB26" i="41" s="1"/>
  <c r="X24" i="12"/>
  <c r="AC24" i="12" s="1"/>
  <c r="Z7" i="12"/>
  <c r="AD7" i="12" s="1"/>
  <c r="X30" i="34"/>
  <c r="AC30" i="34" s="1"/>
  <c r="V41" i="33"/>
  <c r="S42" i="41" s="1"/>
  <c r="Z11" i="10"/>
  <c r="AD11" i="10" s="1"/>
  <c r="Z40" i="7"/>
  <c r="AD40" i="7" s="1"/>
  <c r="Z12" i="7"/>
  <c r="AD12" i="7" s="1"/>
  <c r="CN17" i="1"/>
  <c r="CR17" i="1" s="1"/>
  <c r="CN38" i="1"/>
  <c r="CR38" i="1" s="1"/>
  <c r="CL12" i="1"/>
  <c r="CQ12" i="1" s="1"/>
  <c r="CL34" i="1"/>
  <c r="CQ34" i="1" s="1"/>
  <c r="CL55" i="1"/>
  <c r="CQ55" i="1" s="1"/>
  <c r="CJ19" i="1"/>
  <c r="G19" i="41" s="1"/>
  <c r="CJ29" i="1"/>
  <c r="G29" i="41" s="1"/>
  <c r="CJ40" i="1"/>
  <c r="G40" i="41" s="1"/>
  <c r="CJ51" i="1"/>
  <c r="G51" i="41" s="1"/>
  <c r="Z41" i="27"/>
  <c r="AD41" i="27" s="1"/>
  <c r="Z40" i="36"/>
  <c r="AD40" i="36" s="1"/>
  <c r="X19" i="36"/>
  <c r="AC19" i="36" s="1"/>
  <c r="V8" i="36"/>
  <c r="BC9" i="41" s="1"/>
  <c r="Z5" i="35"/>
  <c r="AD5" i="35" s="1"/>
  <c r="X42" i="18"/>
  <c r="AC42" i="18" s="1"/>
  <c r="V34" i="13"/>
  <c r="AE35" i="41" s="1"/>
  <c r="X25" i="13"/>
  <c r="AC25" i="13" s="1"/>
  <c r="X27" i="7"/>
  <c r="AC27" i="7" s="1"/>
  <c r="CN11" i="1"/>
  <c r="CR11" i="1" s="1"/>
  <c r="CN43" i="1"/>
  <c r="CR43" i="1" s="1"/>
  <c r="CL23" i="1"/>
  <c r="CQ23" i="1" s="1"/>
  <c r="CL50" i="1"/>
  <c r="CQ50" i="1" s="1"/>
  <c r="CJ23" i="1"/>
  <c r="G23" i="41" s="1"/>
  <c r="CJ35" i="1"/>
  <c r="G35" i="41" s="1"/>
  <c r="CJ49" i="1"/>
  <c r="G49" i="41" s="1"/>
  <c r="X23" i="13"/>
  <c r="AC23" i="13" s="1"/>
  <c r="X32" i="12"/>
  <c r="AC32" i="12" s="1"/>
  <c r="V17" i="11"/>
  <c r="P18" i="41" s="1"/>
  <c r="V25" i="10"/>
  <c r="M26" i="41" s="1"/>
  <c r="CL18" i="1"/>
  <c r="CQ18" i="1" s="1"/>
  <c r="CJ13" i="1"/>
  <c r="G13" i="41" s="1"/>
  <c r="CJ45" i="1"/>
  <c r="G45" i="41" s="1"/>
  <c r="X12" i="27"/>
  <c r="AC12" i="27" s="1"/>
  <c r="V33" i="19"/>
  <c r="AW34" i="41" s="1"/>
  <c r="Z42" i="13"/>
  <c r="AD42" i="13" s="1"/>
  <c r="V11" i="12"/>
  <c r="Y12" i="41" s="1"/>
  <c r="V25" i="33"/>
  <c r="S26" i="41" s="1"/>
  <c r="X46" i="11"/>
  <c r="AC46" i="11" s="1"/>
  <c r="X19" i="7"/>
  <c r="AC19" i="7" s="1"/>
  <c r="CN22" i="1"/>
  <c r="CR22" i="1" s="1"/>
  <c r="CN49" i="1"/>
  <c r="CR49" i="1" s="1"/>
  <c r="CL28" i="1"/>
  <c r="CQ28" i="1" s="1"/>
  <c r="CJ24" i="1"/>
  <c r="G24" i="41" s="1"/>
  <c r="CJ39" i="1"/>
  <c r="G39" i="41" s="1"/>
  <c r="CJ55" i="1"/>
  <c r="G55" i="41" s="1"/>
  <c r="Z14" i="13"/>
  <c r="AD14" i="13" s="1"/>
  <c r="V9" i="26"/>
  <c r="AB10" i="41" s="1"/>
  <c r="V29" i="12"/>
  <c r="Y30" i="41" s="1"/>
  <c r="V17" i="34"/>
  <c r="V18" i="41" s="1"/>
  <c r="Z11" i="33"/>
  <c r="AD11" i="33" s="1"/>
  <c r="X30" i="11"/>
  <c r="AC30" i="11" s="1"/>
  <c r="V41" i="10"/>
  <c r="M42" i="41" s="1"/>
  <c r="V6" i="7"/>
  <c r="J7" i="41" s="1"/>
  <c r="CN27" i="1"/>
  <c r="CR27" i="1" s="1"/>
  <c r="CN54" i="1"/>
  <c r="CR54" i="1" s="1"/>
  <c r="CL39" i="1"/>
  <c r="CQ39" i="1" s="1"/>
  <c r="CJ28" i="1"/>
  <c r="G28" i="41" s="1"/>
  <c r="CJ44" i="1"/>
  <c r="G44" i="41" s="1"/>
  <c r="Z22" i="36"/>
  <c r="AD22" i="36" s="1"/>
  <c r="Y9" i="14"/>
  <c r="AH10" i="41" s="1"/>
  <c r="V32" i="13"/>
  <c r="AE33" i="41" s="1"/>
  <c r="V34" i="7"/>
  <c r="J35" i="41" s="1"/>
  <c r="CN33" i="1"/>
  <c r="CR33" i="1" s="1"/>
  <c r="CL44" i="1"/>
  <c r="CQ44" i="1" s="1"/>
  <c r="CJ33" i="1"/>
  <c r="G33" i="41" s="1"/>
  <c r="X8" i="7"/>
  <c r="AC8" i="7" s="1"/>
  <c r="V46" i="10"/>
  <c r="M47" i="41" s="1"/>
  <c r="V18" i="33"/>
  <c r="S19" i="41" s="1"/>
  <c r="Z53" i="33"/>
  <c r="AD53" i="33" s="1"/>
  <c r="Z33" i="12"/>
  <c r="AD33" i="12" s="1"/>
  <c r="Z48" i="15"/>
  <c r="AE48" i="15" s="1"/>
  <c r="Z17" i="18"/>
  <c r="AD17" i="18" s="1"/>
  <c r="Z49" i="21"/>
  <c r="AD49" i="21" s="1"/>
  <c r="V49" i="7"/>
  <c r="J50" i="41" s="1"/>
  <c r="X54" i="7"/>
  <c r="AC54" i="7" s="1"/>
  <c r="X20" i="10"/>
  <c r="AC20" i="10" s="1"/>
  <c r="X42" i="10"/>
  <c r="AC42" i="10" s="1"/>
  <c r="Z13" i="11"/>
  <c r="AD13" i="11" s="1"/>
  <c r="X9" i="33"/>
  <c r="AC9" i="33" s="1"/>
  <c r="V46" i="33"/>
  <c r="S47" i="41" s="1"/>
  <c r="X21" i="12"/>
  <c r="AC21" i="12" s="1"/>
  <c r="X10" i="26"/>
  <c r="AC10" i="26" s="1"/>
  <c r="Z7" i="15"/>
  <c r="AE7" i="15" s="1"/>
  <c r="X11" i="18"/>
  <c r="AC11" i="18" s="1"/>
  <c r="X18" i="7"/>
  <c r="AC18" i="7" s="1"/>
  <c r="Z16" i="10"/>
  <c r="AD16" i="10" s="1"/>
  <c r="Z8" i="11"/>
  <c r="AD8" i="11" s="1"/>
  <c r="X45" i="11"/>
  <c r="AC45" i="11" s="1"/>
  <c r="Z51" i="11"/>
  <c r="AD51" i="11" s="1"/>
  <c r="V7" i="33"/>
  <c r="S8" i="41" s="1"/>
  <c r="X26" i="33"/>
  <c r="AC26" i="33" s="1"/>
  <c r="AA44" i="14"/>
  <c r="AF44" i="14" s="1"/>
  <c r="AC49" i="14"/>
  <c r="AG49" i="14" s="1"/>
  <c r="X5" i="15"/>
  <c r="AK6" i="41" s="1"/>
  <c r="V9" i="36"/>
  <c r="BC10" i="41" s="1"/>
  <c r="X11" i="27"/>
  <c r="AC11" i="27" s="1"/>
  <c r="Z22" i="10"/>
  <c r="AD22" i="10" s="1"/>
  <c r="X48" i="33"/>
  <c r="AC48" i="33" s="1"/>
  <c r="X23" i="34"/>
  <c r="AC23" i="34" s="1"/>
  <c r="Y8" i="14"/>
  <c r="AH9" i="41" s="1"/>
  <c r="X51" i="15"/>
  <c r="AK52" i="41" s="1"/>
  <c r="V19" i="18"/>
  <c r="AT20" i="41" s="1"/>
  <c r="X48" i="21"/>
  <c r="AC48" i="21" s="1"/>
  <c r="X9" i="7"/>
  <c r="AC9" i="7" s="1"/>
  <c r="X36" i="7"/>
  <c r="AC36" i="7" s="1"/>
  <c r="Z33" i="26"/>
  <c r="AD33" i="26" s="1"/>
  <c r="Z49" i="26"/>
  <c r="AD49" i="26" s="1"/>
  <c r="V5" i="13"/>
  <c r="AE6" i="41" s="1"/>
  <c r="Y14" i="14"/>
  <c r="AH15" i="41" s="1"/>
  <c r="Z8" i="17"/>
  <c r="AD8" i="17" s="1"/>
  <c r="V14" i="17"/>
  <c r="AQ15" i="41" s="1"/>
  <c r="X20" i="20"/>
  <c r="AC20" i="20" s="1"/>
  <c r="X36" i="18"/>
  <c r="AC36" i="18" s="1"/>
  <c r="X24" i="19"/>
  <c r="AC24" i="19" s="1"/>
  <c r="Z50" i="19"/>
  <c r="AD50" i="19" s="1"/>
  <c r="V7" i="35"/>
  <c r="AZ8" i="41" s="1"/>
  <c r="Z39" i="36"/>
  <c r="AD39" i="36" s="1"/>
  <c r="Z16" i="20"/>
  <c r="AD16" i="20" s="1"/>
  <c r="X48" i="20"/>
  <c r="AC48" i="20" s="1"/>
  <c r="Z53" i="20"/>
  <c r="AD53" i="20" s="1"/>
  <c r="V9" i="27"/>
  <c r="BI10" i="41" s="1"/>
  <c r="V48" i="22"/>
  <c r="BO49" i="41" s="1"/>
  <c r="X53" i="22"/>
  <c r="AC53" i="22" s="1"/>
  <c r="Z30" i="7"/>
  <c r="AD30" i="7" s="1"/>
  <c r="Z10" i="10"/>
  <c r="AD10" i="10" s="1"/>
  <c r="Z49" i="10"/>
  <c r="AD49" i="10" s="1"/>
  <c r="V5" i="11"/>
  <c r="P6" i="41" s="1"/>
  <c r="Z24" i="11"/>
  <c r="AD24" i="11" s="1"/>
  <c r="V40" i="33"/>
  <c r="S41" i="41" s="1"/>
  <c r="X12" i="34"/>
  <c r="AC12" i="34" s="1"/>
  <c r="Z31" i="34"/>
  <c r="AD31" i="34" s="1"/>
  <c r="V37" i="12"/>
  <c r="Y38" i="41" s="1"/>
  <c r="X42" i="12"/>
  <c r="AC42" i="12" s="1"/>
  <c r="Z47" i="12"/>
  <c r="AD47" i="12" s="1"/>
  <c r="V53" i="12"/>
  <c r="Y54" i="41" s="1"/>
  <c r="V24" i="26"/>
  <c r="AB25" i="41" s="1"/>
  <c r="Z44" i="26"/>
  <c r="AD44" i="26" s="1"/>
  <c r="Z45" i="13"/>
  <c r="AD45" i="13" s="1"/>
  <c r="AC23" i="14"/>
  <c r="AG23" i="14" s="1"/>
  <c r="X16" i="15"/>
  <c r="AK17" i="41" s="1"/>
  <c r="V21" i="17"/>
  <c r="AQ22" i="41" s="1"/>
  <c r="Z32" i="18"/>
  <c r="AD32" i="18" s="1"/>
  <c r="Z20" i="19"/>
  <c r="AD20" i="19" s="1"/>
  <c r="Z24" i="35"/>
  <c r="AD24" i="35" s="1"/>
  <c r="Z6" i="20"/>
  <c r="AD6" i="20" s="1"/>
  <c r="V38" i="20"/>
  <c r="BF39" i="41" s="1"/>
  <c r="V46" i="20"/>
  <c r="BF47" i="41" s="1"/>
  <c r="X19" i="33"/>
  <c r="AC19" i="33" s="1"/>
  <c r="V27" i="34"/>
  <c r="V28" i="41" s="1"/>
  <c r="V49" i="34"/>
  <c r="V50" i="41" s="1"/>
  <c r="X54" i="34"/>
  <c r="AC54" i="34" s="1"/>
  <c r="V36" i="26"/>
  <c r="AB37" i="41" s="1"/>
  <c r="X30" i="13"/>
  <c r="AC30" i="13" s="1"/>
  <c r="Y36" i="14"/>
  <c r="AH37" i="41" s="1"/>
  <c r="AB13" i="15"/>
  <c r="AF13" i="15" s="1"/>
  <c r="V15" i="17"/>
  <c r="AQ16" i="41" s="1"/>
  <c r="X42" i="17"/>
  <c r="AC42" i="17" s="1"/>
  <c r="V12" i="19"/>
  <c r="AW13" i="41" s="1"/>
  <c r="V38" i="19"/>
  <c r="AW39" i="41" s="1"/>
  <c r="X43" i="19"/>
  <c r="AC43" i="19" s="1"/>
  <c r="X47" i="35"/>
  <c r="AC47" i="35" s="1"/>
  <c r="Z52" i="35"/>
  <c r="AD52" i="35" s="1"/>
  <c r="X34" i="20"/>
  <c r="AC34" i="20" s="1"/>
  <c r="V19" i="21"/>
  <c r="BL20" i="41" s="1"/>
  <c r="AD50" i="23"/>
  <c r="AH50" i="23" s="1"/>
  <c r="AC5" i="7"/>
  <c r="V12" i="7"/>
  <c r="J13" i="41" s="1"/>
  <c r="X25" i="7"/>
  <c r="AC25" i="7" s="1"/>
  <c r="X32" i="7"/>
  <c r="AC32" i="7" s="1"/>
  <c r="Z45" i="7"/>
  <c r="AD45" i="7" s="1"/>
  <c r="Z50" i="7"/>
  <c r="AD50" i="7" s="1"/>
  <c r="V6" i="10"/>
  <c r="M7" i="41" s="1"/>
  <c r="V11" i="10"/>
  <c r="M12" i="41" s="1"/>
  <c r="V28" i="10"/>
  <c r="M29" i="41" s="1"/>
  <c r="X35" i="10"/>
  <c r="AC35" i="10" s="1"/>
  <c r="X40" i="10"/>
  <c r="AC40" i="10" s="1"/>
  <c r="X47" i="10"/>
  <c r="AC47" i="10" s="1"/>
  <c r="Z52" i="10"/>
  <c r="AD52" i="10" s="1"/>
  <c r="V10" i="11"/>
  <c r="P11" i="41" s="1"/>
  <c r="V15" i="11"/>
  <c r="P16" i="41" s="1"/>
  <c r="V21" i="11"/>
  <c r="P22" i="41" s="1"/>
  <c r="X39" i="11"/>
  <c r="AC39" i="11" s="1"/>
  <c r="X44" i="11"/>
  <c r="AC44" i="11" s="1"/>
  <c r="X49" i="11"/>
  <c r="AC49" i="11" s="1"/>
  <c r="Z54" i="11"/>
  <c r="AD54" i="11" s="1"/>
  <c r="Z9" i="33"/>
  <c r="AD9" i="33" s="1"/>
  <c r="Z15" i="33"/>
  <c r="AD15" i="33" s="1"/>
  <c r="V34" i="33"/>
  <c r="S35" i="41" s="1"/>
  <c r="V39" i="33"/>
  <c r="S40" i="41" s="1"/>
  <c r="V45" i="33"/>
  <c r="S46" i="41" s="1"/>
  <c r="X51" i="33"/>
  <c r="AC51" i="33" s="1"/>
  <c r="Z7" i="34"/>
  <c r="AD7" i="34" s="1"/>
  <c r="V14" i="34"/>
  <c r="V15" i="41" s="1"/>
  <c r="Z18" i="34"/>
  <c r="AD18" i="34" s="1"/>
  <c r="V37" i="34"/>
  <c r="V38" i="41" s="1"/>
  <c r="V43" i="34"/>
  <c r="V44" i="41" s="1"/>
  <c r="V48" i="34"/>
  <c r="V49" i="41" s="1"/>
  <c r="X53" i="34"/>
  <c r="AC53" i="34" s="1"/>
  <c r="V9" i="12"/>
  <c r="Y10" i="41" s="1"/>
  <c r="Z22" i="12"/>
  <c r="AD22" i="12" s="1"/>
  <c r="X29" i="12"/>
  <c r="AC29" i="12" s="1"/>
  <c r="Z15" i="26"/>
  <c r="AD15" i="26" s="1"/>
  <c r="Z21" i="26"/>
  <c r="AD21" i="26" s="1"/>
  <c r="Z26" i="26"/>
  <c r="AD26" i="26" s="1"/>
  <c r="V34" i="26"/>
  <c r="AB35" i="41" s="1"/>
  <c r="Z38" i="26"/>
  <c r="AD38" i="26" s="1"/>
  <c r="V11" i="13"/>
  <c r="AE12" i="41" s="1"/>
  <c r="Z23" i="13"/>
  <c r="AD23" i="13" s="1"/>
  <c r="X38" i="13"/>
  <c r="AC38" i="13" s="1"/>
  <c r="Z53" i="13"/>
  <c r="AD53" i="13" s="1"/>
  <c r="AA9" i="14"/>
  <c r="AF9" i="14" s="1"/>
  <c r="AC26" i="14"/>
  <c r="AG26" i="14" s="1"/>
  <c r="AC33" i="14"/>
  <c r="AG33" i="14" s="1"/>
  <c r="AC38" i="14"/>
  <c r="AG38" i="14" s="1"/>
  <c r="Y46" i="14"/>
  <c r="AH47" i="41" s="1"/>
  <c r="AA51" i="14"/>
  <c r="AF51" i="14" s="1"/>
  <c r="AB7" i="15"/>
  <c r="AF7" i="15" s="1"/>
  <c r="X26" i="15"/>
  <c r="AK27" i="41" s="1"/>
  <c r="X31" i="15"/>
  <c r="AK32" i="41" s="1"/>
  <c r="Z42" i="15"/>
  <c r="AE42" i="15" s="1"/>
  <c r="AB48" i="15"/>
  <c r="AF48" i="15" s="1"/>
  <c r="X54" i="15"/>
  <c r="AK55" i="41" s="1"/>
  <c r="Z26" i="17"/>
  <c r="AD26" i="17" s="1"/>
  <c r="V34" i="17"/>
  <c r="AQ35" i="41" s="1"/>
  <c r="V44" i="17"/>
  <c r="AQ45" i="41" s="1"/>
  <c r="X50" i="17"/>
  <c r="AC50" i="17" s="1"/>
  <c r="Z5" i="18"/>
  <c r="AD5" i="18" s="1"/>
  <c r="Z11" i="18"/>
  <c r="AD11" i="18" s="1"/>
  <c r="V18" i="18"/>
  <c r="AT19" i="41" s="1"/>
  <c r="V48" i="18"/>
  <c r="AT49" i="41" s="1"/>
  <c r="X53" i="18"/>
  <c r="AC53" i="18" s="1"/>
  <c r="X8" i="19"/>
  <c r="AC8" i="19" s="1"/>
  <c r="Z13" i="19"/>
  <c r="AD13" i="19" s="1"/>
  <c r="V26" i="19"/>
  <c r="AW27" i="41" s="1"/>
  <c r="V31" i="19"/>
  <c r="AW32" i="41" s="1"/>
  <c r="X16" i="7"/>
  <c r="AC16" i="7" s="1"/>
  <c r="V16" i="11"/>
  <c r="P17" i="41" s="1"/>
  <c r="V47" i="33"/>
  <c r="S48" i="41" s="1"/>
  <c r="V22" i="34"/>
  <c r="V23" i="41" s="1"/>
  <c r="V30" i="26"/>
  <c r="AB31" i="41" s="1"/>
  <c r="Z52" i="15"/>
  <c r="AE52" i="15" s="1"/>
  <c r="X20" i="18"/>
  <c r="AC20" i="18" s="1"/>
  <c r="X52" i="21"/>
  <c r="AC52" i="21" s="1"/>
  <c r="X50" i="7"/>
  <c r="AC50" i="7" s="1"/>
  <c r="Z5" i="10"/>
  <c r="AD5" i="10" s="1"/>
  <c r="Z21" i="10"/>
  <c r="AD21" i="10" s="1"/>
  <c r="Z9" i="11"/>
  <c r="AD9" i="11" s="1"/>
  <c r="V28" i="11"/>
  <c r="P29" i="41" s="1"/>
  <c r="Z10" i="33"/>
  <c r="AD10" i="33" s="1"/>
  <c r="V16" i="34"/>
  <c r="V17" i="41" s="1"/>
  <c r="V28" i="12"/>
  <c r="Y29" i="41" s="1"/>
  <c r="Z13" i="13"/>
  <c r="AD13" i="13" s="1"/>
  <c r="AB8" i="15"/>
  <c r="AF8" i="15" s="1"/>
  <c r="Z41" i="36"/>
  <c r="AD41" i="36" s="1"/>
  <c r="Z29" i="7"/>
  <c r="AD29" i="7" s="1"/>
  <c r="V18" i="10"/>
  <c r="M19" i="41" s="1"/>
  <c r="Z25" i="11"/>
  <c r="AD25" i="11" s="1"/>
  <c r="Z47" i="11"/>
  <c r="AD47" i="11" s="1"/>
  <c r="V53" i="11"/>
  <c r="P54" i="41" s="1"/>
  <c r="X8" i="33"/>
  <c r="AC8" i="33" s="1"/>
  <c r="Z8" i="12"/>
  <c r="AD8" i="12" s="1"/>
  <c r="AC45" i="14"/>
  <c r="AG45" i="14" s="1"/>
  <c r="Y51" i="14"/>
  <c r="AH52" i="41" s="1"/>
  <c r="Z30" i="19"/>
  <c r="AD30" i="19" s="1"/>
  <c r="X10" i="36"/>
  <c r="AC10" i="36" s="1"/>
  <c r="Z13" i="27"/>
  <c r="AD13" i="27" s="1"/>
  <c r="Z44" i="10"/>
  <c r="AD44" i="10" s="1"/>
  <c r="X52" i="33"/>
  <c r="AC52" i="33" s="1"/>
  <c r="V30" i="12"/>
  <c r="Y31" i="41" s="1"/>
  <c r="AA10" i="14"/>
  <c r="AF10" i="14" s="1"/>
  <c r="AB53" i="15"/>
  <c r="AF53" i="15" s="1"/>
  <c r="X38" i="35"/>
  <c r="AC38" i="35" s="1"/>
  <c r="V51" i="21"/>
  <c r="BL52" i="41" s="1"/>
  <c r="Z10" i="7"/>
  <c r="AD10" i="7" s="1"/>
  <c r="Z37" i="7"/>
  <c r="AD37" i="7" s="1"/>
  <c r="V35" i="26"/>
  <c r="AB36" i="41" s="1"/>
  <c r="V51" i="26"/>
  <c r="AB52" i="41" s="1"/>
  <c r="V9" i="13"/>
  <c r="AE10" i="41" s="1"/>
  <c r="AA15" i="14"/>
  <c r="AF15" i="14" s="1"/>
  <c r="V10" i="17"/>
  <c r="AQ11" i="41" s="1"/>
  <c r="V40" i="18"/>
  <c r="AT41" i="41" s="1"/>
  <c r="Z21" i="20"/>
  <c r="AD21" i="20" s="1"/>
  <c r="Z37" i="18"/>
  <c r="AD37" i="18" s="1"/>
  <c r="Z46" i="19"/>
  <c r="AD46" i="19" s="1"/>
  <c r="V52" i="19"/>
  <c r="AW53" i="41" s="1"/>
  <c r="V7" i="36"/>
  <c r="BC8" i="41" s="1"/>
  <c r="Z12" i="20"/>
  <c r="AD12" i="20" s="1"/>
  <c r="V18" i="20"/>
  <c r="BF19" i="41" s="1"/>
  <c r="Z49" i="20"/>
  <c r="AD49" i="20" s="1"/>
  <c r="V5" i="27"/>
  <c r="BI6" i="41" s="1"/>
  <c r="X39" i="27"/>
  <c r="AC39" i="27" s="1"/>
  <c r="X49" i="22"/>
  <c r="AC49" i="22" s="1"/>
  <c r="Z54" i="22"/>
  <c r="AD54" i="22" s="1"/>
  <c r="V32" i="7"/>
  <c r="J33" i="41" s="1"/>
  <c r="V13" i="10"/>
  <c r="M14" i="41" s="1"/>
  <c r="V51" i="10"/>
  <c r="M52" i="41" s="1"/>
  <c r="Z20" i="11"/>
  <c r="AD20" i="11" s="1"/>
  <c r="X20" i="33"/>
  <c r="AC20" i="33" s="1"/>
  <c r="X42" i="33"/>
  <c r="AC42" i="33" s="1"/>
  <c r="Z13" i="34"/>
  <c r="AD13" i="34" s="1"/>
  <c r="Z6" i="12"/>
  <c r="AD6" i="12" s="1"/>
  <c r="X38" i="12"/>
  <c r="AC38" i="12" s="1"/>
  <c r="Z43" i="12"/>
  <c r="AD43" i="12" s="1"/>
  <c r="V49" i="12"/>
  <c r="Y50" i="41" s="1"/>
  <c r="X54" i="12"/>
  <c r="AC54" i="12" s="1"/>
  <c r="X26" i="26"/>
  <c r="AC26" i="26" s="1"/>
  <c r="V46" i="26"/>
  <c r="AB47" i="41" s="1"/>
  <c r="AC5" i="14"/>
  <c r="AG5" i="14" s="1"/>
  <c r="Y42" i="14"/>
  <c r="AH43" i="41" s="1"/>
  <c r="Z18" i="15"/>
  <c r="AE18" i="15" s="1"/>
  <c r="X5" i="18"/>
  <c r="AC5" i="18" s="1"/>
  <c r="V34" i="18"/>
  <c r="AT35" i="41" s="1"/>
  <c r="V22" i="19"/>
  <c r="AW23" i="41" s="1"/>
  <c r="V26" i="35"/>
  <c r="AZ27" i="41" s="1"/>
  <c r="V8" i="20"/>
  <c r="BF9" i="41" s="1"/>
  <c r="X39" i="20"/>
  <c r="AC39" i="20" s="1"/>
  <c r="V20" i="21"/>
  <c r="BL21" i="41" s="1"/>
  <c r="X7" i="34"/>
  <c r="AC7" i="34" s="1"/>
  <c r="V44" i="34"/>
  <c r="V45" i="41" s="1"/>
  <c r="X50" i="34"/>
  <c r="AC50" i="34" s="1"/>
  <c r="X14" i="12"/>
  <c r="AC14" i="12" s="1"/>
  <c r="X37" i="26"/>
  <c r="AC37" i="26" s="1"/>
  <c r="V35" i="13"/>
  <c r="AE36" i="41" s="1"/>
  <c r="AA37" i="14"/>
  <c r="AF37" i="14" s="1"/>
  <c r="Z33" i="15"/>
  <c r="AE33" i="15" s="1"/>
  <c r="X16" i="17"/>
  <c r="AC16" i="17" s="1"/>
  <c r="X21" i="18"/>
  <c r="AC21" i="18" s="1"/>
  <c r="X13" i="19"/>
  <c r="AC13" i="19" s="1"/>
  <c r="X39" i="19"/>
  <c r="AC39" i="19" s="1"/>
  <c r="X43" i="35"/>
  <c r="AC43" i="35" s="1"/>
  <c r="Z48" i="35"/>
  <c r="AD48" i="35" s="1"/>
  <c r="V54" i="35"/>
  <c r="AZ55" i="41" s="1"/>
  <c r="V15" i="21"/>
  <c r="BL16" i="41" s="1"/>
  <c r="AD46" i="23"/>
  <c r="AH46" i="23" s="1"/>
  <c r="Z52" i="23"/>
  <c r="BR53" i="41" s="1"/>
  <c r="X6" i="7"/>
  <c r="AC6" i="7" s="1"/>
  <c r="V13" i="7"/>
  <c r="J14" i="41" s="1"/>
  <c r="Z26" i="7"/>
  <c r="AD26" i="7" s="1"/>
  <c r="X33" i="7"/>
  <c r="AC33" i="7" s="1"/>
  <c r="Z46" i="7"/>
  <c r="AD46" i="7" s="1"/>
  <c r="V52" i="7"/>
  <c r="J53" i="41" s="1"/>
  <c r="X7" i="10"/>
  <c r="AC7" i="10" s="1"/>
  <c r="V12" i="10"/>
  <c r="M13" i="41" s="1"/>
  <c r="X29" i="10"/>
  <c r="AC29" i="10" s="1"/>
  <c r="X36" i="10"/>
  <c r="AC36" i="10" s="1"/>
  <c r="X41" i="10"/>
  <c r="AC41" i="10" s="1"/>
  <c r="Z48" i="10"/>
  <c r="AD48" i="10" s="1"/>
  <c r="V54" i="10"/>
  <c r="M55" i="41" s="1"/>
  <c r="X11" i="11"/>
  <c r="AC11" i="11" s="1"/>
  <c r="X16" i="11"/>
  <c r="AC16" i="11" s="1"/>
  <c r="X33" i="11"/>
  <c r="AC33" i="11" s="1"/>
  <c r="Z40" i="11"/>
  <c r="AD40" i="11" s="1"/>
  <c r="Z45" i="11"/>
  <c r="AD45" i="11" s="1"/>
  <c r="Z50" i="11"/>
  <c r="AD50" i="11" s="1"/>
  <c r="V6" i="33"/>
  <c r="S7" i="41" s="1"/>
  <c r="V11" i="33"/>
  <c r="S12" i="41" s="1"/>
  <c r="V28" i="33"/>
  <c r="S29" i="41" s="1"/>
  <c r="X35" i="33"/>
  <c r="AC35" i="33" s="1"/>
  <c r="X40" i="33"/>
  <c r="AC40" i="33" s="1"/>
  <c r="X47" i="33"/>
  <c r="AC47" i="33" s="1"/>
  <c r="Z52" i="33"/>
  <c r="AD52" i="33" s="1"/>
  <c r="V10" i="34"/>
  <c r="V11" i="41" s="1"/>
  <c r="V15" i="34"/>
  <c r="V16" i="41" s="1"/>
  <c r="V21" i="34"/>
  <c r="V22" i="41" s="1"/>
  <c r="X39" i="34"/>
  <c r="AC39" i="34" s="1"/>
  <c r="X44" i="34"/>
  <c r="AC44" i="34" s="1"/>
  <c r="X49" i="34"/>
  <c r="AC49" i="34" s="1"/>
  <c r="Z54" i="34"/>
  <c r="AD54" i="34" s="1"/>
  <c r="V16" i="12"/>
  <c r="Y17" i="41" s="1"/>
  <c r="Z24" i="12"/>
  <c r="AD24" i="12" s="1"/>
  <c r="X30" i="12"/>
  <c r="AC30" i="12" s="1"/>
  <c r="V18" i="26"/>
  <c r="AB19" i="41" s="1"/>
  <c r="V23" i="26"/>
  <c r="AB24" i="41" s="1"/>
  <c r="V29" i="26"/>
  <c r="AB30" i="41" s="1"/>
  <c r="X35" i="26"/>
  <c r="AC35" i="26" s="1"/>
  <c r="V40" i="26"/>
  <c r="AB41" i="41" s="1"/>
  <c r="V13" i="13"/>
  <c r="AE14" i="41" s="1"/>
  <c r="Z27" i="13"/>
  <c r="AD27" i="13" s="1"/>
  <c r="V43" i="13"/>
  <c r="AE44" i="41" s="1"/>
  <c r="Y6" i="14"/>
  <c r="AH7" i="41" s="1"/>
  <c r="AC10" i="14"/>
  <c r="AG10" i="14" s="1"/>
  <c r="Y29" i="14"/>
  <c r="AH30" i="41" s="1"/>
  <c r="Y35" i="14"/>
  <c r="AH36" i="41" s="1"/>
  <c r="Y40" i="14"/>
  <c r="AH41" i="41" s="1"/>
  <c r="AA47" i="14"/>
  <c r="AF47" i="14" s="1"/>
  <c r="AC52" i="14"/>
  <c r="AG52" i="14" s="1"/>
  <c r="X20" i="15"/>
  <c r="AK21" i="41" s="1"/>
  <c r="Z27" i="15"/>
  <c r="AE27" i="15" s="1"/>
  <c r="Z32" i="15"/>
  <c r="AE32" i="15" s="1"/>
  <c r="AB44" i="15"/>
  <c r="AF44" i="15" s="1"/>
  <c r="X50" i="15"/>
  <c r="AK51" i="41" s="1"/>
  <c r="X5" i="17"/>
  <c r="AC5" i="17" s="1"/>
  <c r="V29" i="17"/>
  <c r="AQ30" i="41" s="1"/>
  <c r="X35" i="17"/>
  <c r="AC35" i="17" s="1"/>
  <c r="X45" i="17"/>
  <c r="AC45" i="17" s="1"/>
  <c r="Z51" i="17"/>
  <c r="AD51" i="17" s="1"/>
  <c r="V7" i="18"/>
  <c r="AT8" i="41" s="1"/>
  <c r="V14" i="18"/>
  <c r="AT15" i="41" s="1"/>
  <c r="Z26" i="18"/>
  <c r="AD26" i="18" s="1"/>
  <c r="X49" i="18"/>
  <c r="AC49" i="18" s="1"/>
  <c r="Z54" i="18"/>
  <c r="AD54" i="18" s="1"/>
  <c r="Z9" i="19"/>
  <c r="AD9" i="19" s="1"/>
  <c r="Z14" i="19"/>
  <c r="AD14" i="19" s="1"/>
  <c r="X27" i="19"/>
  <c r="AC27" i="19" s="1"/>
  <c r="X32" i="19"/>
  <c r="AC32" i="19" s="1"/>
  <c r="X11" i="35"/>
  <c r="AC11" i="35" s="1"/>
  <c r="Z18" i="35"/>
  <c r="AD18" i="35" s="1"/>
  <c r="Z23" i="35"/>
  <c r="AD23" i="35" s="1"/>
  <c r="V36" i="35"/>
  <c r="AZ37" i="41" s="1"/>
  <c r="X41" i="35"/>
  <c r="AC41" i="35" s="1"/>
  <c r="X46" i="35"/>
  <c r="AC46" i="35" s="1"/>
  <c r="Z51" i="35"/>
  <c r="AD51" i="35" s="1"/>
  <c r="Z11" i="36"/>
  <c r="AD11" i="36" s="1"/>
  <c r="X26" i="36"/>
  <c r="AC26" i="36" s="1"/>
  <c r="V39" i="36"/>
  <c r="BC40" i="41" s="1"/>
  <c r="X9" i="20"/>
  <c r="AC9" i="20" s="1"/>
  <c r="Z24" i="20"/>
  <c r="AD24" i="20" s="1"/>
  <c r="Z29" i="20"/>
  <c r="AD29" i="20" s="1"/>
  <c r="Z34" i="20"/>
  <c r="AD34" i="20" s="1"/>
  <c r="X24" i="27"/>
  <c r="AC24" i="27" s="1"/>
  <c r="Z30" i="27"/>
  <c r="AD30" i="27" s="1"/>
  <c r="Z49" i="27"/>
  <c r="AD49" i="27" s="1"/>
  <c r="V5" i="21"/>
  <c r="BL6" i="41" s="1"/>
  <c r="Z16" i="21"/>
  <c r="AD16" i="21" s="1"/>
  <c r="X33" i="21"/>
  <c r="AC33" i="21" s="1"/>
  <c r="V46" i="21"/>
  <c r="BL47" i="41" s="1"/>
  <c r="X40" i="22"/>
  <c r="AC40" i="22" s="1"/>
  <c r="Z45" i="22"/>
  <c r="AD45" i="22" s="1"/>
  <c r="Z47" i="23"/>
  <c r="BR48" i="41" s="1"/>
  <c r="AB52" i="23"/>
  <c r="AG52" i="23" s="1"/>
  <c r="Z7" i="7"/>
  <c r="AD7" i="7" s="1"/>
  <c r="X21" i="7"/>
  <c r="AC21" i="7" s="1"/>
  <c r="V28" i="7"/>
  <c r="J29" i="41" s="1"/>
  <c r="X41" i="7"/>
  <c r="AC41" i="7" s="1"/>
  <c r="X48" i="7"/>
  <c r="AC48" i="7" s="1"/>
  <c r="Z53" i="7"/>
  <c r="AD53" i="7" s="1"/>
  <c r="V21" i="10"/>
  <c r="M22" i="41" s="1"/>
  <c r="V27" i="10"/>
  <c r="M28" i="41" s="1"/>
  <c r="V32" i="10"/>
  <c r="M33" i="41" s="1"/>
  <c r="X39" i="10"/>
  <c r="AC39" i="10" s="1"/>
  <c r="V44" i="10"/>
  <c r="M45" i="41" s="1"/>
  <c r="X50" i="10"/>
  <c r="AC50" i="10" s="1"/>
  <c r="Z5" i="11"/>
  <c r="AD5" i="11" s="1"/>
  <c r="Z22" i="11"/>
  <c r="AD22" i="11" s="1"/>
  <c r="V30" i="11"/>
  <c r="P31" i="41" s="1"/>
  <c r="V35" i="11"/>
  <c r="P36" i="41" s="1"/>
  <c r="V42" i="11"/>
  <c r="P43" i="41" s="1"/>
  <c r="V47" i="11"/>
  <c r="P48" i="41" s="1"/>
  <c r="X52" i="11"/>
  <c r="AC52" i="11" s="1"/>
  <c r="Z18" i="33"/>
  <c r="AD18" i="33" s="1"/>
  <c r="V24" i="10"/>
  <c r="M25" i="41" s="1"/>
  <c r="Z49" i="33"/>
  <c r="AD49" i="33" s="1"/>
  <c r="Z19" i="13"/>
  <c r="AD19" i="13" s="1"/>
  <c r="V41" i="35"/>
  <c r="AZ42" i="41" s="1"/>
  <c r="Z51" i="7"/>
  <c r="AD51" i="7" s="1"/>
  <c r="Z38" i="10"/>
  <c r="AD38" i="10" s="1"/>
  <c r="X29" i="11"/>
  <c r="AC29" i="11" s="1"/>
  <c r="X18" i="34"/>
  <c r="AC18" i="34" s="1"/>
  <c r="Z47" i="13"/>
  <c r="AD47" i="13" s="1"/>
  <c r="V43" i="36"/>
  <c r="BC44" i="41" s="1"/>
  <c r="X19" i="10"/>
  <c r="AC19" i="10" s="1"/>
  <c r="V49" i="11"/>
  <c r="P50" i="41" s="1"/>
  <c r="Z22" i="33"/>
  <c r="AD22" i="33" s="1"/>
  <c r="Y47" i="14"/>
  <c r="AH48" i="41" s="1"/>
  <c r="V32" i="19"/>
  <c r="AW33" i="41" s="1"/>
  <c r="V15" i="7"/>
  <c r="J16" i="41" s="1"/>
  <c r="V5" i="34"/>
  <c r="V6" i="41" s="1"/>
  <c r="X47" i="15"/>
  <c r="AK48" i="41" s="1"/>
  <c r="Z39" i="35"/>
  <c r="AD39" i="35" s="1"/>
  <c r="X17" i="7"/>
  <c r="AC17" i="7" s="1"/>
  <c r="V47" i="26"/>
  <c r="AB48" i="41" s="1"/>
  <c r="X24" i="13"/>
  <c r="AC24" i="13" s="1"/>
  <c r="X11" i="17"/>
  <c r="AC11" i="17" s="1"/>
  <c r="Z12" i="18"/>
  <c r="AD12" i="18" s="1"/>
  <c r="V48" i="19"/>
  <c r="AW49" i="41" s="1"/>
  <c r="V31" i="36"/>
  <c r="BC32" i="41" s="1"/>
  <c r="X19" i="20"/>
  <c r="AC19" i="20" s="1"/>
  <c r="X6" i="27"/>
  <c r="AC6" i="27" s="1"/>
  <c r="Z50" i="22"/>
  <c r="AD50" i="22" s="1"/>
  <c r="Z39" i="7"/>
  <c r="AD39" i="7" s="1"/>
  <c r="X52" i="10"/>
  <c r="AC52" i="10" s="1"/>
  <c r="Z21" i="33"/>
  <c r="AD21" i="33" s="1"/>
  <c r="V28" i="34"/>
  <c r="V29" i="41" s="1"/>
  <c r="Z39" i="12"/>
  <c r="AD39" i="12" s="1"/>
  <c r="X50" i="12"/>
  <c r="AC50" i="12" s="1"/>
  <c r="V42" i="26"/>
  <c r="AB43" i="41" s="1"/>
  <c r="Y20" i="14"/>
  <c r="AH21" i="41" s="1"/>
  <c r="X17" i="17"/>
  <c r="AC17" i="17" s="1"/>
  <c r="V18" i="19"/>
  <c r="AW19" i="41" s="1"/>
  <c r="X28" i="35"/>
  <c r="AC28" i="35" s="1"/>
  <c r="Z40" i="20"/>
  <c r="AD40" i="20" s="1"/>
  <c r="Z8" i="34"/>
  <c r="AD8" i="34" s="1"/>
  <c r="Z51" i="34"/>
  <c r="AD51" i="34" s="1"/>
  <c r="Z39" i="26"/>
  <c r="AD39" i="26" s="1"/>
  <c r="AC39" i="14"/>
  <c r="AG39" i="14" s="1"/>
  <c r="Z38" i="17"/>
  <c r="AD38" i="17" s="1"/>
  <c r="Z15" i="19"/>
  <c r="AD15" i="19" s="1"/>
  <c r="Z44" i="35"/>
  <c r="AD44" i="35" s="1"/>
  <c r="Z30" i="20"/>
  <c r="AD30" i="20" s="1"/>
  <c r="Z48" i="23"/>
  <c r="BR49" i="41" s="1"/>
  <c r="Z9" i="7"/>
  <c r="AD9" i="7" s="1"/>
  <c r="Z27" i="7"/>
  <c r="AD27" i="7" s="1"/>
  <c r="V48" i="7"/>
  <c r="J49" i="41" s="1"/>
  <c r="Z8" i="10"/>
  <c r="AD8" i="10" s="1"/>
  <c r="Z31" i="10"/>
  <c r="AD31" i="10" s="1"/>
  <c r="Z42" i="10"/>
  <c r="AD42" i="10" s="1"/>
  <c r="X5" i="11"/>
  <c r="AC5" i="11" s="1"/>
  <c r="X17" i="11"/>
  <c r="AC17" i="11" s="1"/>
  <c r="Z41" i="11"/>
  <c r="AD41" i="11" s="1"/>
  <c r="V52" i="11"/>
  <c r="P53" i="41" s="1"/>
  <c r="V12" i="33"/>
  <c r="S13" i="41" s="1"/>
  <c r="X36" i="33"/>
  <c r="AC36" i="33" s="1"/>
  <c r="Z48" i="33"/>
  <c r="AD48" i="33" s="1"/>
  <c r="X11" i="34"/>
  <c r="AC11" i="34" s="1"/>
  <c r="X33" i="34"/>
  <c r="AC33" i="34" s="1"/>
  <c r="Z45" i="34"/>
  <c r="AD45" i="34" s="1"/>
  <c r="V7" i="12"/>
  <c r="Y8" i="41" s="1"/>
  <c r="V26" i="12"/>
  <c r="Y27" i="41" s="1"/>
  <c r="X19" i="26"/>
  <c r="AC19" i="26" s="1"/>
  <c r="X31" i="26"/>
  <c r="AC31" i="26" s="1"/>
  <c r="X42" i="26"/>
  <c r="AC42" i="26" s="1"/>
  <c r="X32" i="13"/>
  <c r="AC32" i="13" s="1"/>
  <c r="Y7" i="14"/>
  <c r="AH8" i="41" s="1"/>
  <c r="AA31" i="14"/>
  <c r="AF31" i="14" s="1"/>
  <c r="AA42" i="14"/>
  <c r="AF42" i="14" s="1"/>
  <c r="Y54" i="14"/>
  <c r="AH55" i="41" s="1"/>
  <c r="AB28" i="15"/>
  <c r="AF28" i="15" s="1"/>
  <c r="X46" i="15"/>
  <c r="AK47" i="41" s="1"/>
  <c r="Z7" i="17"/>
  <c r="AD7" i="17" s="1"/>
  <c r="X36" i="17"/>
  <c r="AC36" i="17" s="1"/>
  <c r="V53" i="17"/>
  <c r="AQ54" i="41" s="1"/>
  <c r="X15" i="18"/>
  <c r="AC15" i="18" s="1"/>
  <c r="Z50" i="18"/>
  <c r="AD50" i="18" s="1"/>
  <c r="V11" i="19"/>
  <c r="AW12" i="41" s="1"/>
  <c r="X28" i="19"/>
  <c r="AC28" i="19" s="1"/>
  <c r="V37" i="19"/>
  <c r="AW38" i="41" s="1"/>
  <c r="V20" i="35"/>
  <c r="AZ21" i="41" s="1"/>
  <c r="X31" i="35"/>
  <c r="AC31" i="35" s="1"/>
  <c r="V40" i="35"/>
  <c r="AZ41" i="41" s="1"/>
  <c r="Z47" i="35"/>
  <c r="AD47" i="35" s="1"/>
  <c r="X54" i="35"/>
  <c r="AC54" i="35" s="1"/>
  <c r="V21" i="36"/>
  <c r="BC22" i="41" s="1"/>
  <c r="Z5" i="20"/>
  <c r="AD5" i="20" s="1"/>
  <c r="V13" i="20"/>
  <c r="BF14" i="41" s="1"/>
  <c r="X28" i="20"/>
  <c r="AC28" i="20" s="1"/>
  <c r="V37" i="20"/>
  <c r="BF38" i="41" s="1"/>
  <c r="V28" i="27"/>
  <c r="BI29" i="41" s="1"/>
  <c r="X48" i="27"/>
  <c r="AC48" i="27" s="1"/>
  <c r="Z12" i="21"/>
  <c r="AD12" i="21" s="1"/>
  <c r="X19" i="21"/>
  <c r="AC19" i="21" s="1"/>
  <c r="Z44" i="21"/>
  <c r="AD44" i="21" s="1"/>
  <c r="Z41" i="22"/>
  <c r="AD41" i="22" s="1"/>
  <c r="AB44" i="23"/>
  <c r="AG44" i="23" s="1"/>
  <c r="Z51" i="23"/>
  <c r="BR52" i="41" s="1"/>
  <c r="Z15" i="7"/>
  <c r="AD15" i="7" s="1"/>
  <c r="Z25" i="7"/>
  <c r="AD25" i="7" s="1"/>
  <c r="X40" i="7"/>
  <c r="AC40" i="7" s="1"/>
  <c r="Z49" i="7"/>
  <c r="AD49" i="7" s="1"/>
  <c r="X17" i="10"/>
  <c r="AC17" i="10" s="1"/>
  <c r="Z25" i="10"/>
  <c r="AD25" i="10" s="1"/>
  <c r="X34" i="10"/>
  <c r="AC34" i="10" s="1"/>
  <c r="Z41" i="10"/>
  <c r="AD41" i="10" s="1"/>
  <c r="V49" i="10"/>
  <c r="M50" i="41" s="1"/>
  <c r="Z6" i="11"/>
  <c r="AD6" i="11" s="1"/>
  <c r="X26" i="11"/>
  <c r="AC26" i="11" s="1"/>
  <c r="Z33" i="11"/>
  <c r="AD33" i="11" s="1"/>
  <c r="X43" i="11"/>
  <c r="AC43" i="11" s="1"/>
  <c r="Z49" i="11"/>
  <c r="AD49" i="11" s="1"/>
  <c r="X17" i="33"/>
  <c r="AC17" i="33" s="1"/>
  <c r="Z25" i="33"/>
  <c r="AD25" i="33" s="1"/>
  <c r="Z30" i="33"/>
  <c r="AD30" i="33" s="1"/>
  <c r="V38" i="33"/>
  <c r="S39" i="41" s="1"/>
  <c r="V43" i="33"/>
  <c r="S44" i="41" s="1"/>
  <c r="V49" i="33"/>
  <c r="S50" i="41" s="1"/>
  <c r="X54" i="33"/>
  <c r="AC54" i="33" s="1"/>
  <c r="X10" i="34"/>
  <c r="AC10" i="34" s="1"/>
  <c r="Z28" i="34"/>
  <c r="AD28" i="34" s="1"/>
  <c r="Z33" i="34"/>
  <c r="AD33" i="34" s="1"/>
  <c r="Z39" i="34"/>
  <c r="AD39" i="34" s="1"/>
  <c r="V46" i="34"/>
  <c r="V47" i="41" s="1"/>
  <c r="V51" i="34"/>
  <c r="V52" i="41" s="1"/>
  <c r="Z11" i="12"/>
  <c r="AD11" i="12" s="1"/>
  <c r="Z20" i="12"/>
  <c r="AD20" i="12" s="1"/>
  <c r="V32" i="12"/>
  <c r="Y33" i="41" s="1"/>
  <c r="V39" i="12"/>
  <c r="Y40" i="41" s="1"/>
  <c r="X44" i="12"/>
  <c r="AC44" i="12" s="1"/>
  <c r="Z49" i="12"/>
  <c r="AD49" i="12" s="1"/>
  <c r="V5" i="26"/>
  <c r="AB6" i="41" s="1"/>
  <c r="V11" i="26"/>
  <c r="AB12" i="41" s="1"/>
  <c r="V16" i="26"/>
  <c r="AB17" i="41" s="1"/>
  <c r="X23" i="26"/>
  <c r="AC23" i="26" s="1"/>
  <c r="V28" i="26"/>
  <c r="AB29" i="41" s="1"/>
  <c r="X45" i="26"/>
  <c r="AC45" i="26" s="1"/>
  <c r="Z51" i="26"/>
  <c r="AD51" i="26" s="1"/>
  <c r="X10" i="13"/>
  <c r="AC10" i="13" s="1"/>
  <c r="V25" i="13"/>
  <c r="AE26" i="41" s="1"/>
  <c r="X40" i="13"/>
  <c r="AC40" i="13" s="1"/>
  <c r="V53" i="13"/>
  <c r="AE54" i="41" s="1"/>
  <c r="AC20" i="14"/>
  <c r="AG20" i="14" s="1"/>
  <c r="AC25" i="14"/>
  <c r="AG25" i="14" s="1"/>
  <c r="AC31" i="14"/>
  <c r="AG31" i="14" s="1"/>
  <c r="Y38" i="14"/>
  <c r="AH39" i="41" s="1"/>
  <c r="AC42" i="14"/>
  <c r="AG42" i="14" s="1"/>
  <c r="X13" i="15"/>
  <c r="AK14" i="41" s="1"/>
  <c r="X19" i="15"/>
  <c r="AK20" i="41" s="1"/>
  <c r="X24" i="15"/>
  <c r="AK25" i="41" s="1"/>
  <c r="Z36" i="15"/>
  <c r="AE36" i="15" s="1"/>
  <c r="Z41" i="15"/>
  <c r="AE41" i="15" s="1"/>
  <c r="X13" i="17"/>
  <c r="AC13" i="17" s="1"/>
  <c r="X20" i="17"/>
  <c r="AC20" i="17" s="1"/>
  <c r="Z25" i="17"/>
  <c r="AD25" i="17" s="1"/>
  <c r="Z31" i="17"/>
  <c r="AD31" i="17" s="1"/>
  <c r="V43" i="17"/>
  <c r="AQ44" i="41" s="1"/>
  <c r="V48" i="17"/>
  <c r="AQ49" i="41" s="1"/>
  <c r="X53" i="17"/>
  <c r="AC53" i="17" s="1"/>
  <c r="X8" i="18"/>
  <c r="AC8" i="18" s="1"/>
  <c r="X14" i="18"/>
  <c r="AC14" i="18" s="1"/>
  <c r="Z45" i="18"/>
  <c r="AD45" i="18" s="1"/>
  <c r="V51" i="18"/>
  <c r="AT52" i="41" s="1"/>
  <c r="X7" i="19"/>
  <c r="AC7" i="19" s="1"/>
  <c r="V20" i="19"/>
  <c r="AW21" i="41" s="1"/>
  <c r="Z42" i="19"/>
  <c r="AD42" i="19" s="1"/>
  <c r="V50" i="19"/>
  <c r="AW51" i="41" s="1"/>
  <c r="X5" i="35"/>
  <c r="AC5" i="35" s="1"/>
  <c r="X10" i="35"/>
  <c r="AC10" i="35" s="1"/>
  <c r="X15" i="35"/>
  <c r="AC15" i="35" s="1"/>
  <c r="Z27" i="35"/>
  <c r="AD27" i="35" s="1"/>
  <c r="Z32" i="35"/>
  <c r="AD32" i="35" s="1"/>
  <c r="V13" i="36"/>
  <c r="BC14" i="41" s="1"/>
  <c r="X28" i="36"/>
  <c r="AC28" i="36" s="1"/>
  <c r="X52" i="36"/>
  <c r="AC52" i="36" s="1"/>
  <c r="V21" i="20"/>
  <c r="BF22" i="41" s="1"/>
  <c r="V49" i="20"/>
  <c r="BF50" i="41" s="1"/>
  <c r="X54" i="20"/>
  <c r="AC54" i="20" s="1"/>
  <c r="X18" i="27"/>
  <c r="AC18" i="27" s="1"/>
  <c r="X23" i="27"/>
  <c r="AC23" i="27" s="1"/>
  <c r="Z38" i="27"/>
  <c r="AD38" i="27" s="1"/>
  <c r="Z43" i="27"/>
  <c r="AD43" i="27" s="1"/>
  <c r="Z25" i="21"/>
  <c r="AD25" i="21" s="1"/>
  <c r="V31" i="21"/>
  <c r="BL32" i="41" s="1"/>
  <c r="X42" i="21"/>
  <c r="AC42" i="21" s="1"/>
  <c r="V38" i="22"/>
  <c r="BO39" i="41" s="1"/>
  <c r="X43" i="22"/>
  <c r="AC43" i="22" s="1"/>
  <c r="Z21" i="23"/>
  <c r="BR22" i="41" s="1"/>
  <c r="V16" i="7"/>
  <c r="J17" i="41" s="1"/>
  <c r="Z22" i="7"/>
  <c r="AD22" i="7" s="1"/>
  <c r="V36" i="7"/>
  <c r="J37" i="41" s="1"/>
  <c r="V43" i="7"/>
  <c r="J44" i="41" s="1"/>
  <c r="V8" i="10"/>
  <c r="M9" i="41" s="1"/>
  <c r="V15" i="10"/>
  <c r="M16" i="41" s="1"/>
  <c r="V20" i="10"/>
  <c r="M21" i="41" s="1"/>
  <c r="X27" i="10"/>
  <c r="AC27" i="10" s="1"/>
  <c r="X32" i="10"/>
  <c r="AC32" i="10" s="1"/>
  <c r="V12" i="11"/>
  <c r="P13" i="41" s="1"/>
  <c r="X19" i="11"/>
  <c r="AC19" i="11" s="1"/>
  <c r="X24" i="11"/>
  <c r="AC24" i="11" s="1"/>
  <c r="X31" i="11"/>
  <c r="AC31" i="11" s="1"/>
  <c r="X36" i="11"/>
  <c r="AC36" i="11" s="1"/>
  <c r="X42" i="11"/>
  <c r="AC42" i="11" s="1"/>
  <c r="Z12" i="33"/>
  <c r="AD12" i="33" s="1"/>
  <c r="Z17" i="33"/>
  <c r="AD17" i="33" s="1"/>
  <c r="Z23" i="33"/>
  <c r="AD23" i="33" s="1"/>
  <c r="V30" i="33"/>
  <c r="S31" i="41" s="1"/>
  <c r="Z34" i="33"/>
  <c r="AD34" i="33" s="1"/>
  <c r="Z15" i="34"/>
  <c r="AD15" i="34" s="1"/>
  <c r="Z21" i="34"/>
  <c r="AD21" i="34" s="1"/>
  <c r="Z26" i="34"/>
  <c r="AD26" i="34" s="1"/>
  <c r="V34" i="34"/>
  <c r="V35" i="41" s="1"/>
  <c r="Z38" i="34"/>
  <c r="AD38" i="34" s="1"/>
  <c r="X6" i="12"/>
  <c r="AC6" i="12" s="1"/>
  <c r="X15" i="12"/>
  <c r="AC15" i="12" s="1"/>
  <c r="Z26" i="12"/>
  <c r="AD26" i="12" s="1"/>
  <c r="X35" i="12"/>
  <c r="AC35" i="12" s="1"/>
  <c r="Z40" i="12"/>
  <c r="AD40" i="12" s="1"/>
  <c r="V46" i="12"/>
  <c r="Y47" i="41" s="1"/>
  <c r="X51" i="12"/>
  <c r="AC51" i="12" s="1"/>
  <c r="Z7" i="26"/>
  <c r="AD7" i="26" s="1"/>
  <c r="V14" i="26"/>
  <c r="AB15" i="41" s="1"/>
  <c r="Z18" i="26"/>
  <c r="AD18" i="26" s="1"/>
  <c r="V37" i="26"/>
  <c r="AB38" i="41" s="1"/>
  <c r="V43" i="26"/>
  <c r="AB44" i="41" s="1"/>
  <c r="V48" i="26"/>
  <c r="AB49" i="41" s="1"/>
  <c r="X53" i="26"/>
  <c r="AC53" i="26" s="1"/>
  <c r="Z11" i="13"/>
  <c r="AD11" i="13" s="1"/>
  <c r="V27" i="13"/>
  <c r="AE28" i="41" s="1"/>
  <c r="Z39" i="13"/>
  <c r="AD39" i="13" s="1"/>
  <c r="X54" i="13"/>
  <c r="AC54" i="13" s="1"/>
  <c r="AA11" i="14"/>
  <c r="AF11" i="14" s="1"/>
  <c r="AA16" i="14"/>
  <c r="AF16" i="14" s="1"/>
  <c r="AA23" i="14"/>
  <c r="AF23" i="14" s="1"/>
  <c r="AA28" i="14"/>
  <c r="AF28" i="14" s="1"/>
  <c r="AA34" i="14"/>
  <c r="AF34" i="14" s="1"/>
  <c r="AC50" i="14"/>
  <c r="AG50" i="14" s="1"/>
  <c r="X6" i="15"/>
  <c r="AK7" i="41" s="1"/>
  <c r="X11" i="15"/>
  <c r="AK12" i="41" s="1"/>
  <c r="X18" i="15"/>
  <c r="AK19" i="41" s="1"/>
  <c r="Z29" i="15"/>
  <c r="AE29" i="15" s="1"/>
  <c r="X12" i="17"/>
  <c r="AC12" i="17" s="1"/>
  <c r="X18" i="17"/>
  <c r="AC18" i="17" s="1"/>
  <c r="Z24" i="17"/>
  <c r="AD24" i="17" s="1"/>
  <c r="Z18" i="18"/>
  <c r="AD18" i="18" s="1"/>
  <c r="V26" i="18"/>
  <c r="AT27" i="41" s="1"/>
  <c r="V31" i="18"/>
  <c r="AT32" i="41" s="1"/>
  <c r="X43" i="18"/>
  <c r="AC43" i="18" s="1"/>
  <c r="Z48" i="18"/>
  <c r="AD48" i="18" s="1"/>
  <c r="V54" i="18"/>
  <c r="AT55" i="41" s="1"/>
  <c r="Z26" i="19"/>
  <c r="AD26" i="19" s="1"/>
  <c r="Z41" i="19"/>
  <c r="AD41" i="19" s="1"/>
  <c r="Z47" i="19"/>
  <c r="AD47" i="19" s="1"/>
  <c r="V53" i="19"/>
  <c r="AW54" i="41" s="1"/>
  <c r="X9" i="35"/>
  <c r="AC9" i="35" s="1"/>
  <c r="V23" i="35"/>
  <c r="AZ24" i="41" s="1"/>
  <c r="Z45" i="35"/>
  <c r="AD45" i="35" s="1"/>
  <c r="V51" i="35"/>
  <c r="AZ52" i="41" s="1"/>
  <c r="X20" i="36"/>
  <c r="AC20" i="36" s="1"/>
  <c r="Z37" i="36"/>
  <c r="AD37" i="36" s="1"/>
  <c r="Z41" i="20"/>
  <c r="AD41" i="20" s="1"/>
  <c r="V11" i="27"/>
  <c r="BI12" i="41" s="1"/>
  <c r="X17" i="27"/>
  <c r="AC17" i="27" s="1"/>
  <c r="Z32" i="27"/>
  <c r="AD32" i="27" s="1"/>
  <c r="V21" i="21"/>
  <c r="BL22" i="41" s="1"/>
  <c r="X27" i="21"/>
  <c r="AC27" i="21" s="1"/>
  <c r="Z25" i="22"/>
  <c r="AD25" i="22" s="1"/>
  <c r="AB25" i="23"/>
  <c r="AG25" i="23" s="1"/>
  <c r="Z22" i="21"/>
  <c r="AD22" i="21" s="1"/>
  <c r="X45" i="21"/>
  <c r="AC45" i="21" s="1"/>
  <c r="Z51" i="21"/>
  <c r="AD51" i="21" s="1"/>
  <c r="Z14" i="22"/>
  <c r="AD14" i="22" s="1"/>
  <c r="V22" i="22"/>
  <c r="BO23" i="41" s="1"/>
  <c r="Z29" i="22"/>
  <c r="AD29" i="22" s="1"/>
  <c r="Z34" i="22"/>
  <c r="AD34" i="22" s="1"/>
  <c r="Z8" i="23"/>
  <c r="BR9" i="41" s="1"/>
  <c r="AB15" i="23"/>
  <c r="AG15" i="23" s="1"/>
  <c r="AB34" i="23"/>
  <c r="AG34" i="23" s="1"/>
  <c r="Z46" i="23"/>
  <c r="BR47" i="41" s="1"/>
  <c r="AB51" i="23"/>
  <c r="AG51" i="23" s="1"/>
  <c r="V8" i="7"/>
  <c r="J9" i="41" s="1"/>
  <c r="X14" i="7"/>
  <c r="AC14" i="7" s="1"/>
  <c r="V23" i="7"/>
  <c r="J24" i="41" s="1"/>
  <c r="X29" i="7"/>
  <c r="AC29" i="7" s="1"/>
  <c r="Z35" i="7"/>
  <c r="AD35" i="7" s="1"/>
  <c r="X44" i="7"/>
  <c r="AC44" i="7" s="1"/>
  <c r="V50" i="7"/>
  <c r="J51" i="41" s="1"/>
  <c r="X5" i="10"/>
  <c r="AC5" i="10" s="1"/>
  <c r="X12" i="10"/>
  <c r="AC12" i="10" s="1"/>
  <c r="X18" i="10"/>
  <c r="AC18" i="10" s="1"/>
  <c r="X24" i="10"/>
  <c r="AC24" i="10" s="1"/>
  <c r="X31" i="10"/>
  <c r="AC31" i="10" s="1"/>
  <c r="V36" i="10"/>
  <c r="M37" i="41" s="1"/>
  <c r="X43" i="10"/>
  <c r="AC43" i="10" s="1"/>
  <c r="V48" i="10"/>
  <c r="M49" i="41" s="1"/>
  <c r="X53" i="10"/>
  <c r="AC53" i="10" s="1"/>
  <c r="X8" i="11"/>
  <c r="AC8" i="11" s="1"/>
  <c r="X15" i="11"/>
  <c r="AC15" i="11" s="1"/>
  <c r="V20" i="11"/>
  <c r="P21" i="41" s="1"/>
  <c r="X27" i="11"/>
  <c r="AC27" i="11" s="1"/>
  <c r="V32" i="11"/>
  <c r="P33" i="41" s="1"/>
  <c r="V39" i="11"/>
  <c r="P40" i="41" s="1"/>
  <c r="V45" i="11"/>
  <c r="P46" i="41" s="1"/>
  <c r="X51" i="11"/>
  <c r="AC51" i="11" s="1"/>
  <c r="Z7" i="33"/>
  <c r="AD7" i="33" s="1"/>
  <c r="Z13" i="33"/>
  <c r="AD13" i="33" s="1"/>
  <c r="Z20" i="33"/>
  <c r="AD20" i="33" s="1"/>
  <c r="X25" i="33"/>
  <c r="AC25" i="33" s="1"/>
  <c r="Z32" i="33"/>
  <c r="AD32" i="33" s="1"/>
  <c r="X37" i="33"/>
  <c r="AC37" i="33" s="1"/>
  <c r="X44" i="33"/>
  <c r="AC44" i="33" s="1"/>
  <c r="X49" i="33"/>
  <c r="AC49" i="33" s="1"/>
  <c r="Z54" i="33"/>
  <c r="AD54" i="33" s="1"/>
  <c r="X9" i="34"/>
  <c r="AC9" i="34" s="1"/>
  <c r="Z16" i="34"/>
  <c r="AD16" i="34" s="1"/>
  <c r="X21" i="34"/>
  <c r="AC21" i="34" s="1"/>
  <c r="X28" i="34"/>
  <c r="AC28" i="34" s="1"/>
  <c r="X34" i="34"/>
  <c r="AC34" i="34" s="1"/>
  <c r="X40" i="34"/>
  <c r="AC40" i="34" s="1"/>
  <c r="X47" i="34"/>
  <c r="AC47" i="34" s="1"/>
  <c r="Z52" i="34"/>
  <c r="AD52" i="34" s="1"/>
  <c r="X9" i="12"/>
  <c r="AC9" i="12" s="1"/>
  <c r="Z16" i="12"/>
  <c r="AD16" i="12" s="1"/>
  <c r="X23" i="12"/>
  <c r="AC23" i="12" s="1"/>
  <c r="Z30" i="12"/>
  <c r="AD30" i="12" s="1"/>
  <c r="X37" i="12"/>
  <c r="AC37" i="12" s="1"/>
  <c r="Z42" i="12"/>
  <c r="AD42" i="12" s="1"/>
  <c r="V48" i="12"/>
  <c r="Y49" i="41" s="1"/>
  <c r="X53" i="12"/>
  <c r="AC53" i="12" s="1"/>
  <c r="X8" i="26"/>
  <c r="AC8" i="26" s="1"/>
  <c r="X15" i="26"/>
  <c r="AC15" i="26" s="1"/>
  <c r="V20" i="26"/>
  <c r="AB21" i="41" s="1"/>
  <c r="X27" i="26"/>
  <c r="AC27" i="26" s="1"/>
  <c r="V32" i="26"/>
  <c r="AB33" i="41" s="1"/>
  <c r="V39" i="26"/>
  <c r="AB40" i="41" s="1"/>
  <c r="X26" i="10"/>
  <c r="AC26" i="10" s="1"/>
  <c r="V51" i="33"/>
  <c r="S52" i="41" s="1"/>
  <c r="AC6" i="14"/>
  <c r="AG6" i="14" s="1"/>
  <c r="V47" i="21"/>
  <c r="BL48" i="41" s="1"/>
  <c r="V53" i="7"/>
  <c r="J54" i="41" s="1"/>
  <c r="V40" i="10"/>
  <c r="M41" i="41" s="1"/>
  <c r="Z31" i="11"/>
  <c r="AD31" i="11" s="1"/>
  <c r="X13" i="12"/>
  <c r="AC13" i="12" s="1"/>
  <c r="Z51" i="13"/>
  <c r="AD51" i="13" s="1"/>
  <c r="X44" i="36"/>
  <c r="AC44" i="36" s="1"/>
  <c r="X7" i="11"/>
  <c r="AC7" i="11" s="1"/>
  <c r="X50" i="11"/>
  <c r="AC50" i="11" s="1"/>
  <c r="V24" i="33"/>
  <c r="S25" i="41" s="1"/>
  <c r="AA48" i="14"/>
  <c r="AF48" i="14" s="1"/>
  <c r="X34" i="19"/>
  <c r="AC34" i="19" s="1"/>
  <c r="V33" i="7"/>
  <c r="J34" i="41" s="1"/>
  <c r="Z20" i="34"/>
  <c r="AD20" i="34" s="1"/>
  <c r="AB49" i="15"/>
  <c r="AF49" i="15" s="1"/>
  <c r="X42" i="35"/>
  <c r="AC42" i="35" s="1"/>
  <c r="X26" i="7"/>
  <c r="AC26" i="7" s="1"/>
  <c r="X48" i="26"/>
  <c r="AC48" i="26" s="1"/>
  <c r="AC12" i="14"/>
  <c r="AG12" i="14" s="1"/>
  <c r="Z12" i="17"/>
  <c r="AD12" i="17" s="1"/>
  <c r="V35" i="18"/>
  <c r="AT36" i="41" s="1"/>
  <c r="X49" i="19"/>
  <c r="AC49" i="19" s="1"/>
  <c r="X32" i="36"/>
  <c r="AC32" i="36" s="1"/>
  <c r="V47" i="20"/>
  <c r="BF48" i="41" s="1"/>
  <c r="Z7" i="27"/>
  <c r="AD7" i="27" s="1"/>
  <c r="V52" i="22"/>
  <c r="BO53" i="41" s="1"/>
  <c r="X9" i="10"/>
  <c r="AC9" i="10" s="1"/>
  <c r="Z53" i="10"/>
  <c r="AD53" i="10" s="1"/>
  <c r="Z38" i="33"/>
  <c r="AD38" i="33" s="1"/>
  <c r="X29" i="34"/>
  <c r="AC29" i="34" s="1"/>
  <c r="V41" i="12"/>
  <c r="Y42" i="41" s="1"/>
  <c r="Z51" i="12"/>
  <c r="AD51" i="12" s="1"/>
  <c r="X43" i="26"/>
  <c r="AC43" i="26" s="1"/>
  <c r="AA21" i="14"/>
  <c r="AF21" i="14" s="1"/>
  <c r="Z18" i="17"/>
  <c r="AD18" i="17" s="1"/>
  <c r="X19" i="19"/>
  <c r="AC19" i="19" s="1"/>
  <c r="V53" i="36"/>
  <c r="BC54" i="41" s="1"/>
  <c r="Z44" i="20"/>
  <c r="AD44" i="20" s="1"/>
  <c r="Z25" i="34"/>
  <c r="AD25" i="34" s="1"/>
  <c r="V53" i="34"/>
  <c r="V54" i="41" s="1"/>
  <c r="X26" i="13"/>
  <c r="AC26" i="13" s="1"/>
  <c r="Z12" i="15"/>
  <c r="AE12" i="15" s="1"/>
  <c r="V40" i="17"/>
  <c r="AQ41" i="41" s="1"/>
  <c r="Z36" i="19"/>
  <c r="AD36" i="19" s="1"/>
  <c r="V46" i="35"/>
  <c r="AZ47" i="41" s="1"/>
  <c r="V32" i="20"/>
  <c r="BF33" i="41" s="1"/>
  <c r="AB49" i="23"/>
  <c r="AG49" i="23" s="1"/>
  <c r="V11" i="7"/>
  <c r="J12" i="41" s="1"/>
  <c r="V31" i="7"/>
  <c r="J32" i="41" s="1"/>
  <c r="X49" i="7"/>
  <c r="AC49" i="7" s="1"/>
  <c r="Z9" i="10"/>
  <c r="AD9" i="10" s="1"/>
  <c r="V34" i="10"/>
  <c r="M35" i="41" s="1"/>
  <c r="V45" i="10"/>
  <c r="M46" i="41" s="1"/>
  <c r="Z7" i="11"/>
  <c r="AD7" i="11" s="1"/>
  <c r="Z18" i="11"/>
  <c r="AD18" i="11" s="1"/>
  <c r="V43" i="11"/>
  <c r="P44" i="41" s="1"/>
  <c r="X53" i="11"/>
  <c r="AC53" i="11" s="1"/>
  <c r="X13" i="33"/>
  <c r="AC13" i="33" s="1"/>
  <c r="Z37" i="33"/>
  <c r="AD37" i="33" s="1"/>
  <c r="V50" i="33"/>
  <c r="S51" i="41" s="1"/>
  <c r="Z12" i="34"/>
  <c r="AD12" i="34" s="1"/>
  <c r="Z34" i="34"/>
  <c r="AD34" i="34" s="1"/>
  <c r="Z46" i="34"/>
  <c r="AD46" i="34" s="1"/>
  <c r="V8" i="12"/>
  <c r="Y9" i="41" s="1"/>
  <c r="X28" i="12"/>
  <c r="AC28" i="12" s="1"/>
  <c r="X20" i="26"/>
  <c r="AC20" i="26" s="1"/>
  <c r="Z32" i="26"/>
  <c r="AD32" i="26" s="1"/>
  <c r="X6" i="13"/>
  <c r="AC6" i="13" s="1"/>
  <c r="X34" i="13"/>
  <c r="AC34" i="13" s="1"/>
  <c r="AA8" i="14"/>
  <c r="AF8" i="14" s="1"/>
  <c r="AC32" i="14"/>
  <c r="AG32" i="14" s="1"/>
  <c r="AC44" i="14"/>
  <c r="AG44" i="14" s="1"/>
  <c r="Z5" i="15"/>
  <c r="AE5" i="15" s="1"/>
  <c r="X30" i="15"/>
  <c r="AK31" i="41" s="1"/>
  <c r="Z47" i="15"/>
  <c r="AE47" i="15" s="1"/>
  <c r="X25" i="17"/>
  <c r="AC25" i="17" s="1"/>
  <c r="Z37" i="17"/>
  <c r="AD37" i="17" s="1"/>
  <c r="X54" i="17"/>
  <c r="AC54" i="17" s="1"/>
  <c r="Z16" i="18"/>
  <c r="AD16" i="18" s="1"/>
  <c r="V52" i="18"/>
  <c r="AT53" i="41" s="1"/>
  <c r="X12" i="19"/>
  <c r="AC12" i="19" s="1"/>
  <c r="Z29" i="19"/>
  <c r="AD29" i="19" s="1"/>
  <c r="Z12" i="35"/>
  <c r="AD12" i="35" s="1"/>
  <c r="X21" i="35"/>
  <c r="AC21" i="35" s="1"/>
  <c r="Z33" i="35"/>
  <c r="AD33" i="35" s="1"/>
  <c r="Z42" i="35"/>
  <c r="AD42" i="35" s="1"/>
  <c r="V49" i="35"/>
  <c r="AZ50" i="41" s="1"/>
  <c r="X6" i="36"/>
  <c r="AC6" i="36" s="1"/>
  <c r="Z33" i="36"/>
  <c r="AD33" i="36" s="1"/>
  <c r="V7" i="20"/>
  <c r="BF8" i="41" s="1"/>
  <c r="X23" i="20"/>
  <c r="AC23" i="20" s="1"/>
  <c r="V31" i="20"/>
  <c r="BF32" i="41" s="1"/>
  <c r="Z20" i="27"/>
  <c r="AD20" i="27" s="1"/>
  <c r="X29" i="27"/>
  <c r="AC29" i="27" s="1"/>
  <c r="V51" i="27"/>
  <c r="BI52" i="41" s="1"/>
  <c r="V14" i="21"/>
  <c r="BL15" i="41" s="1"/>
  <c r="X20" i="21"/>
  <c r="AC20" i="21" s="1"/>
  <c r="X5" i="22"/>
  <c r="AC5" i="22" s="1"/>
  <c r="V43" i="22"/>
  <c r="BO44" i="41" s="1"/>
  <c r="AD45" i="23"/>
  <c r="AH45" i="23" s="1"/>
  <c r="AD53" i="23"/>
  <c r="AH53" i="23" s="1"/>
  <c r="V19" i="7"/>
  <c r="J20" i="41" s="1"/>
  <c r="V27" i="7"/>
  <c r="J28" i="41" s="1"/>
  <c r="Z42" i="7"/>
  <c r="AD42" i="7" s="1"/>
  <c r="V51" i="7"/>
  <c r="J52" i="41" s="1"/>
  <c r="Z18" i="10"/>
  <c r="AD18" i="10" s="1"/>
  <c r="X28" i="10"/>
  <c r="AC28" i="10" s="1"/>
  <c r="Z36" i="10"/>
  <c r="AD36" i="10" s="1"/>
  <c r="V43" i="10"/>
  <c r="M44" i="41" s="1"/>
  <c r="Z51" i="10"/>
  <c r="AD51" i="10" s="1"/>
  <c r="V8" i="11"/>
  <c r="P9" i="41" s="1"/>
  <c r="Z28" i="11"/>
  <c r="AD28" i="11" s="1"/>
  <c r="V36" i="11"/>
  <c r="P37" i="41" s="1"/>
  <c r="Z44" i="11"/>
  <c r="AD44" i="11" s="1"/>
  <c r="V51" i="11"/>
  <c r="P52" i="41" s="1"/>
  <c r="V21" i="33"/>
  <c r="S22" i="41" s="1"/>
  <c r="V27" i="33"/>
  <c r="S28" i="41" s="1"/>
  <c r="V32" i="33"/>
  <c r="S33" i="41" s="1"/>
  <c r="X39" i="33"/>
  <c r="AC39" i="33" s="1"/>
  <c r="V44" i="33"/>
  <c r="S45" i="41" s="1"/>
  <c r="X50" i="33"/>
  <c r="AC50" i="33" s="1"/>
  <c r="Z5" i="34"/>
  <c r="AD5" i="34" s="1"/>
  <c r="Z22" i="34"/>
  <c r="AD22" i="34" s="1"/>
  <c r="V30" i="34"/>
  <c r="V31" i="41" s="1"/>
  <c r="V35" i="34"/>
  <c r="V36" i="41" s="1"/>
  <c r="V42" i="34"/>
  <c r="V43" i="41" s="1"/>
  <c r="V47" i="34"/>
  <c r="V48" i="41" s="1"/>
  <c r="X52" i="34"/>
  <c r="AC52" i="34" s="1"/>
  <c r="V15" i="12"/>
  <c r="Y16" i="41" s="1"/>
  <c r="V23" i="12"/>
  <c r="Y24" i="41" s="1"/>
  <c r="V33" i="12"/>
  <c r="Y34" i="41" s="1"/>
  <c r="X40" i="12"/>
  <c r="AC40" i="12" s="1"/>
  <c r="Z45" i="12"/>
  <c r="AD45" i="12" s="1"/>
  <c r="V51" i="12"/>
  <c r="Y52" i="41" s="1"/>
  <c r="X7" i="26"/>
  <c r="AC7" i="26" s="1"/>
  <c r="X12" i="26"/>
  <c r="AC12" i="26" s="1"/>
  <c r="X18" i="26"/>
  <c r="AC18" i="26" s="1"/>
  <c r="Z24" i="26"/>
  <c r="AD24" i="26" s="1"/>
  <c r="X29" i="26"/>
  <c r="AC29" i="26" s="1"/>
  <c r="Z47" i="26"/>
  <c r="AD47" i="26" s="1"/>
  <c r="V53" i="26"/>
  <c r="AB54" i="41" s="1"/>
  <c r="X14" i="13"/>
  <c r="AC14" i="13" s="1"/>
  <c r="Z29" i="13"/>
  <c r="AD29" i="13" s="1"/>
  <c r="X42" i="13"/>
  <c r="AC42" i="13" s="1"/>
  <c r="AC14" i="14"/>
  <c r="AG14" i="14" s="1"/>
  <c r="Y22" i="14"/>
  <c r="AH23" i="41" s="1"/>
  <c r="Y27" i="14"/>
  <c r="AH28" i="41" s="1"/>
  <c r="Y34" i="14"/>
  <c r="AH35" i="41" s="1"/>
  <c r="Y39" i="14"/>
  <c r="AH40" i="41" s="1"/>
  <c r="Y45" i="14"/>
  <c r="AH46" i="41" s="1"/>
  <c r="Z15" i="15"/>
  <c r="AE15" i="15" s="1"/>
  <c r="Z20" i="15"/>
  <c r="AE20" i="15" s="1"/>
  <c r="Z26" i="15"/>
  <c r="AE26" i="15" s="1"/>
  <c r="AB37" i="15"/>
  <c r="AF37" i="15" s="1"/>
  <c r="AB42" i="15"/>
  <c r="AF42" i="15" s="1"/>
  <c r="Z15" i="17"/>
  <c r="AD15" i="17" s="1"/>
  <c r="Z21" i="17"/>
  <c r="AD21" i="17" s="1"/>
  <c r="V27" i="17"/>
  <c r="AQ28" i="41" s="1"/>
  <c r="X39" i="17"/>
  <c r="AC39" i="17" s="1"/>
  <c r="X44" i="17"/>
  <c r="AC44" i="17" s="1"/>
  <c r="X49" i="17"/>
  <c r="AC49" i="17" s="1"/>
  <c r="Z54" i="17"/>
  <c r="AD54" i="17" s="1"/>
  <c r="Z9" i="18"/>
  <c r="AD9" i="18" s="1"/>
  <c r="V32" i="18"/>
  <c r="AT33" i="41" s="1"/>
  <c r="V47" i="18"/>
  <c r="AT48" i="41" s="1"/>
  <c r="X52" i="18"/>
  <c r="AC52" i="18" s="1"/>
  <c r="Z8" i="19"/>
  <c r="AD8" i="19" s="1"/>
  <c r="X21" i="19"/>
  <c r="AC21" i="19" s="1"/>
  <c r="V45" i="19"/>
  <c r="AW46" i="41" s="1"/>
  <c r="X51" i="19"/>
  <c r="AC51" i="19" s="1"/>
  <c r="X6" i="35"/>
  <c r="AC6" i="35" s="1"/>
  <c r="Z11" i="35"/>
  <c r="AD11" i="35" s="1"/>
  <c r="Z17" i="35"/>
  <c r="AD17" i="35" s="1"/>
  <c r="V29" i="35"/>
  <c r="AZ30" i="41" s="1"/>
  <c r="V34" i="35"/>
  <c r="AZ35" i="41" s="1"/>
  <c r="V15" i="36"/>
  <c r="BC16" i="41" s="1"/>
  <c r="Z31" i="36"/>
  <c r="AD31" i="36" s="1"/>
  <c r="Z53" i="36"/>
  <c r="AD53" i="36" s="1"/>
  <c r="V44" i="20"/>
  <c r="BF45" i="41" s="1"/>
  <c r="X50" i="20"/>
  <c r="AC50" i="20" s="1"/>
  <c r="Z5" i="27"/>
  <c r="AD5" i="27" s="1"/>
  <c r="Z19" i="27"/>
  <c r="AD19" i="27" s="1"/>
  <c r="Z24" i="27"/>
  <c r="AD24" i="27" s="1"/>
  <c r="V40" i="27"/>
  <c r="BI41" i="41" s="1"/>
  <c r="Z6" i="21"/>
  <c r="AD6" i="21" s="1"/>
  <c r="V27" i="21"/>
  <c r="BL28" i="41" s="1"/>
  <c r="X32" i="21"/>
  <c r="AC32" i="21" s="1"/>
  <c r="Z26" i="22"/>
  <c r="AD26" i="22" s="1"/>
  <c r="X39" i="22"/>
  <c r="AC39" i="22" s="1"/>
  <c r="Z44" i="22"/>
  <c r="AD44" i="22" s="1"/>
  <c r="X10" i="7"/>
  <c r="AC10" i="7" s="1"/>
  <c r="V17" i="7"/>
  <c r="J18" i="41" s="1"/>
  <c r="Z23" i="7"/>
  <c r="AD23" i="7" s="1"/>
  <c r="X37" i="7"/>
  <c r="AC37" i="7" s="1"/>
  <c r="V44" i="7"/>
  <c r="J45" i="41" s="1"/>
  <c r="X10" i="10"/>
  <c r="AC10" i="10" s="1"/>
  <c r="X16" i="10"/>
  <c r="AC16" i="10" s="1"/>
  <c r="X21" i="10"/>
  <c r="AC21" i="10" s="1"/>
  <c r="Z28" i="10"/>
  <c r="AD28" i="10" s="1"/>
  <c r="X33" i="10"/>
  <c r="AC33" i="10" s="1"/>
  <c r="X13" i="11"/>
  <c r="AC13" i="11" s="1"/>
  <c r="X20" i="11"/>
  <c r="AC20" i="11" s="1"/>
  <c r="X25" i="11"/>
  <c r="AC25" i="11" s="1"/>
  <c r="Z32" i="11"/>
  <c r="AD32" i="11" s="1"/>
  <c r="Z37" i="11"/>
  <c r="AD37" i="11" s="1"/>
  <c r="Z6" i="33"/>
  <c r="AD6" i="33" s="1"/>
  <c r="V14" i="33"/>
  <c r="S15" i="41" s="1"/>
  <c r="V19" i="33"/>
  <c r="S20" i="41" s="1"/>
  <c r="V26" i="33"/>
  <c r="S27" i="41" s="1"/>
  <c r="V31" i="33"/>
  <c r="S32" i="41" s="1"/>
  <c r="V37" i="33"/>
  <c r="S38" i="41" s="1"/>
  <c r="V18" i="34"/>
  <c r="V19" i="41" s="1"/>
  <c r="V23" i="34"/>
  <c r="V24" i="41" s="1"/>
  <c r="V29" i="34"/>
  <c r="V30" i="41" s="1"/>
  <c r="X35" i="34"/>
  <c r="AC35" i="34" s="1"/>
  <c r="V40" i="34"/>
  <c r="V41" i="41" s="1"/>
  <c r="Z9" i="12"/>
  <c r="AD9" i="12" s="1"/>
  <c r="Z17" i="12"/>
  <c r="AD17" i="12" s="1"/>
  <c r="Z27" i="12"/>
  <c r="AD27" i="12" s="1"/>
  <c r="Z36" i="12"/>
  <c r="AD36" i="12" s="1"/>
  <c r="V42" i="12"/>
  <c r="Y43" i="41" s="1"/>
  <c r="X47" i="12"/>
  <c r="AC47" i="12" s="1"/>
  <c r="Z52" i="12"/>
  <c r="AD52" i="12" s="1"/>
  <c r="V10" i="26"/>
  <c r="AB11" i="41" s="1"/>
  <c r="V15" i="26"/>
  <c r="AB16" i="41" s="1"/>
  <c r="V21" i="26"/>
  <c r="AB22" i="41" s="1"/>
  <c r="X39" i="26"/>
  <c r="AC39" i="26" s="1"/>
  <c r="X44" i="26"/>
  <c r="AC44" i="26" s="1"/>
  <c r="X49" i="26"/>
  <c r="AC49" i="26" s="1"/>
  <c r="Z54" i="26"/>
  <c r="AD54" i="26" s="1"/>
  <c r="X16" i="13"/>
  <c r="AC16" i="13" s="1"/>
  <c r="V29" i="13"/>
  <c r="AE30" i="41" s="1"/>
  <c r="Z43" i="13"/>
  <c r="AD43" i="13" s="1"/>
  <c r="AA5" i="14"/>
  <c r="AF5" i="14" s="1"/>
  <c r="AA12" i="14"/>
  <c r="AF12" i="14" s="1"/>
  <c r="AA17" i="14"/>
  <c r="AF17" i="14" s="1"/>
  <c r="AC24" i="14"/>
  <c r="AG24" i="14" s="1"/>
  <c r="AC29" i="14"/>
  <c r="AG29" i="14" s="1"/>
  <c r="AC46" i="14"/>
  <c r="AG46" i="14" s="1"/>
  <c r="Y52" i="14"/>
  <c r="AH53" i="41" s="1"/>
  <c r="X7" i="15"/>
  <c r="AK8" i="41" s="1"/>
  <c r="X12" i="15"/>
  <c r="AK13" i="41" s="1"/>
  <c r="Z19" i="15"/>
  <c r="AE19" i="15" s="1"/>
  <c r="AB31" i="15"/>
  <c r="AF31" i="15" s="1"/>
  <c r="Z13" i="17"/>
  <c r="AD13" i="17" s="1"/>
  <c r="Z20" i="17"/>
  <c r="AD20" i="17" s="1"/>
  <c r="X33" i="17"/>
  <c r="AC33" i="17" s="1"/>
  <c r="V20" i="18"/>
  <c r="AT21" i="41" s="1"/>
  <c r="X27" i="18"/>
  <c r="AC27" i="18" s="1"/>
  <c r="X37" i="18"/>
  <c r="AC37" i="18" s="1"/>
  <c r="Z44" i="18"/>
  <c r="AD44" i="18" s="1"/>
  <c r="V50" i="18"/>
  <c r="AT51" i="41" s="1"/>
  <c r="X5" i="19"/>
  <c r="AC5" i="19" s="1"/>
  <c r="V29" i="19"/>
  <c r="AW30" i="41" s="1"/>
  <c r="V43" i="19"/>
  <c r="AW44" i="41" s="1"/>
  <c r="V49" i="19"/>
  <c r="AW50" i="41" s="1"/>
  <c r="X54" i="19"/>
  <c r="AC54" i="19" s="1"/>
  <c r="Z10" i="35"/>
  <c r="AD10" i="35" s="1"/>
  <c r="Z40" i="35"/>
  <c r="AD40" i="35" s="1"/>
  <c r="V47" i="35"/>
  <c r="AZ48" i="41" s="1"/>
  <c r="X52" i="35"/>
  <c r="AC52" i="35" s="1"/>
  <c r="Z23" i="36"/>
  <c r="AD23" i="36" s="1"/>
  <c r="Z22" i="20"/>
  <c r="AD22" i="20" s="1"/>
  <c r="V43" i="20"/>
  <c r="BF44" i="41" s="1"/>
  <c r="X13" i="27"/>
  <c r="AC13" i="27" s="1"/>
  <c r="Z18" i="27"/>
  <c r="AD18" i="27" s="1"/>
  <c r="V35" i="27"/>
  <c r="BI36" i="41" s="1"/>
  <c r="X23" i="21"/>
  <c r="AC23" i="21" s="1"/>
  <c r="Z28" i="21"/>
  <c r="AD28" i="21" s="1"/>
  <c r="V32" i="22"/>
  <c r="BO33" i="41" s="1"/>
  <c r="AD26" i="23"/>
  <c r="AH26" i="23" s="1"/>
  <c r="V24" i="21"/>
  <c r="BL25" i="41" s="1"/>
  <c r="Z47" i="21"/>
  <c r="AD47" i="21" s="1"/>
  <c r="V53" i="21"/>
  <c r="BL54" i="41" s="1"/>
  <c r="V17" i="22"/>
  <c r="BO18" i="41" s="1"/>
  <c r="X23" i="22"/>
  <c r="AC23" i="22" s="1"/>
  <c r="V31" i="22"/>
  <c r="BO32" i="41" s="1"/>
  <c r="V36" i="22"/>
  <c r="BO37" i="41" s="1"/>
  <c r="AB10" i="23"/>
  <c r="AG10" i="23" s="1"/>
  <c r="AD16" i="23"/>
  <c r="AH16" i="23" s="1"/>
  <c r="Z42" i="23"/>
  <c r="BR43" i="41" s="1"/>
  <c r="AB47" i="23"/>
  <c r="AG47" i="23" s="1"/>
  <c r="AD52" i="23"/>
  <c r="AH52" i="23" s="1"/>
  <c r="V9" i="7"/>
  <c r="J10" i="41" s="1"/>
  <c r="Z17" i="7"/>
  <c r="AD17" i="7" s="1"/>
  <c r="V24" i="7"/>
  <c r="J25" i="41" s="1"/>
  <c r="X30" i="7"/>
  <c r="AC30" i="7" s="1"/>
  <c r="V39" i="7"/>
  <c r="J40" i="41" s="1"/>
  <c r="X45" i="7"/>
  <c r="AC45" i="7" s="1"/>
  <c r="X51" i="7"/>
  <c r="AC51" i="7" s="1"/>
  <c r="Z7" i="10"/>
  <c r="AD7" i="10" s="1"/>
  <c r="Z13" i="10"/>
  <c r="AD13" i="10" s="1"/>
  <c r="Z20" i="10"/>
  <c r="AD20" i="10" s="1"/>
  <c r="X25" i="10"/>
  <c r="AC25" i="10" s="1"/>
  <c r="Z32" i="10"/>
  <c r="AD32" i="10" s="1"/>
  <c r="X37" i="10"/>
  <c r="AC37" i="10" s="1"/>
  <c r="X44" i="10"/>
  <c r="AC44" i="10" s="1"/>
  <c r="X49" i="10"/>
  <c r="AC49" i="10" s="1"/>
  <c r="Z54" i="10"/>
  <c r="AD54" i="10" s="1"/>
  <c r="X9" i="11"/>
  <c r="AC9" i="11" s="1"/>
  <c r="Z16" i="11"/>
  <c r="AD16" i="11" s="1"/>
  <c r="X21" i="11"/>
  <c r="AC21" i="11" s="1"/>
  <c r="X28" i="11"/>
  <c r="AC28" i="11" s="1"/>
  <c r="X34" i="11"/>
  <c r="AC34" i="11" s="1"/>
  <c r="X40" i="11"/>
  <c r="AC40" i="11" s="1"/>
  <c r="X47" i="11"/>
  <c r="AC47" i="11" s="1"/>
  <c r="Z52" i="11"/>
  <c r="AD52" i="11" s="1"/>
  <c r="V10" i="33"/>
  <c r="S11" i="41" s="1"/>
  <c r="Z14" i="33"/>
  <c r="AD14" i="33" s="1"/>
  <c r="V22" i="33"/>
  <c r="S23" i="41" s="1"/>
  <c r="Z26" i="33"/>
  <c r="AD26" i="33" s="1"/>
  <c r="Z33" i="33"/>
  <c r="AD33" i="33" s="1"/>
  <c r="Z39" i="33"/>
  <c r="AD39" i="33" s="1"/>
  <c r="Z45" i="33"/>
  <c r="AD45" i="33" s="1"/>
  <c r="Z50" i="33"/>
  <c r="AD50" i="33" s="1"/>
  <c r="V6" i="34"/>
  <c r="V7" i="41" s="1"/>
  <c r="Z10" i="34"/>
  <c r="AD10" i="34" s="1"/>
  <c r="Z17" i="34"/>
  <c r="AD17" i="34" s="1"/>
  <c r="Z23" i="34"/>
  <c r="AD23" i="34" s="1"/>
  <c r="Z29" i="34"/>
  <c r="AD29" i="34" s="1"/>
  <c r="Z36" i="34"/>
  <c r="AD36" i="34" s="1"/>
  <c r="X41" i="34"/>
  <c r="AC41" i="34" s="1"/>
  <c r="Z48" i="34"/>
  <c r="AD48" i="34" s="1"/>
  <c r="V54" i="34"/>
  <c r="V55" i="41" s="1"/>
  <c r="X11" i="12"/>
  <c r="AC11" i="12" s="1"/>
  <c r="V18" i="12"/>
  <c r="Y19" i="41" s="1"/>
  <c r="X25" i="12"/>
  <c r="AC25" i="12" s="1"/>
  <c r="Z32" i="12"/>
  <c r="AD32" i="12" s="1"/>
  <c r="Z38" i="12"/>
  <c r="AD38" i="12" s="1"/>
  <c r="V44" i="12"/>
  <c r="Y45" i="41" s="1"/>
  <c r="X49" i="12"/>
  <c r="AC49" i="12" s="1"/>
  <c r="Z54" i="12"/>
  <c r="AD54" i="12" s="1"/>
  <c r="X9" i="26"/>
  <c r="AC9" i="26" s="1"/>
  <c r="Z16" i="26"/>
  <c r="AD16" i="26" s="1"/>
  <c r="X21" i="26"/>
  <c r="AC21" i="26" s="1"/>
  <c r="X28" i="26"/>
  <c r="AC28" i="26" s="1"/>
  <c r="X34" i="26"/>
  <c r="AC34" i="26" s="1"/>
  <c r="X40" i="26"/>
  <c r="AC40" i="26" s="1"/>
  <c r="X47" i="26"/>
  <c r="AC47" i="26" s="1"/>
  <c r="Z52" i="26"/>
  <c r="AD52" i="26" s="1"/>
  <c r="X12" i="13"/>
  <c r="AC12" i="13" s="1"/>
  <c r="V23" i="13"/>
  <c r="AE24" i="41" s="1"/>
  <c r="Z33" i="13"/>
  <c r="AD33" i="13" s="1"/>
  <c r="X44" i="13"/>
  <c r="AC44" i="13" s="1"/>
  <c r="Y5" i="14"/>
  <c r="AH6" i="41" s="1"/>
  <c r="Y11" i="14"/>
  <c r="AH12" i="41" s="1"/>
  <c r="Y18" i="14"/>
  <c r="AH19" i="41" s="1"/>
  <c r="AC22" i="14"/>
  <c r="AG22" i="14" s="1"/>
  <c r="Y30" i="14"/>
  <c r="AH31" i="41" s="1"/>
  <c r="AC34" i="14"/>
  <c r="AG34" i="14" s="1"/>
  <c r="AC41" i="14"/>
  <c r="AG41" i="14" s="1"/>
  <c r="AC47" i="14"/>
  <c r="AG47" i="14" s="1"/>
  <c r="Y53" i="14"/>
  <c r="AH54" i="41" s="1"/>
  <c r="X8" i="15"/>
  <c r="AK9" i="41" s="1"/>
  <c r="X15" i="15"/>
  <c r="AK16" i="41" s="1"/>
  <c r="X21" i="15"/>
  <c r="AK22" i="41" s="1"/>
  <c r="X27" i="15"/>
  <c r="AK28" i="41" s="1"/>
  <c r="X32" i="15"/>
  <c r="AK33" i="41" s="1"/>
  <c r="Z39" i="15"/>
  <c r="AE39" i="15" s="1"/>
  <c r="X44" i="15"/>
  <c r="AK45" i="41" s="1"/>
  <c r="Z50" i="15"/>
  <c r="AE50" i="15" s="1"/>
  <c r="Z5" i="17"/>
  <c r="AD5" i="17" s="1"/>
  <c r="Z22" i="17"/>
  <c r="AD22" i="17" s="1"/>
  <c r="V30" i="17"/>
  <c r="AQ31" i="41" s="1"/>
  <c r="V35" i="17"/>
  <c r="AQ36" i="41" s="1"/>
  <c r="V42" i="17"/>
  <c r="AQ43" i="41" s="1"/>
  <c r="V47" i="17"/>
  <c r="AQ48" i="41" s="1"/>
  <c r="X52" i="17"/>
  <c r="AC52" i="17" s="1"/>
  <c r="Z19" i="18"/>
  <c r="AD19" i="18" s="1"/>
  <c r="Z25" i="18"/>
  <c r="AD25" i="18" s="1"/>
  <c r="Z30" i="18"/>
  <c r="AD30" i="18" s="1"/>
  <c r="V38" i="18"/>
  <c r="AT39" i="41" s="1"/>
  <c r="Z42" i="18"/>
  <c r="AD42" i="18" s="1"/>
  <c r="Z10" i="19"/>
  <c r="AD10" i="19" s="1"/>
  <c r="Z17" i="19"/>
  <c r="AD17" i="19" s="1"/>
  <c r="Z22" i="19"/>
  <c r="AD22" i="19" s="1"/>
  <c r="V30" i="19"/>
  <c r="AW31" i="41" s="1"/>
  <c r="V35" i="19"/>
  <c r="AW36" i="41" s="1"/>
  <c r="Z8" i="35"/>
  <c r="AD8" i="35" s="1"/>
  <c r="V16" i="35"/>
  <c r="AZ17" i="41" s="1"/>
  <c r="V21" i="35"/>
  <c r="AZ22" i="41" s="1"/>
  <c r="V28" i="35"/>
  <c r="AZ29" i="41" s="1"/>
  <c r="V33" i="35"/>
  <c r="AZ34" i="41" s="1"/>
  <c r="V39" i="35"/>
  <c r="AZ40" i="41" s="1"/>
  <c r="X18" i="36"/>
  <c r="AC18" i="36" s="1"/>
  <c r="X42" i="36"/>
  <c r="AC42" i="36" s="1"/>
  <c r="V5" i="20"/>
  <c r="BF6" i="41" s="1"/>
  <c r="V19" i="20"/>
  <c r="BF20" i="41" s="1"/>
  <c r="V26" i="20"/>
  <c r="BF27" i="41" s="1"/>
  <c r="Z38" i="20"/>
  <c r="AD38" i="20" s="1"/>
  <c r="X19" i="27"/>
  <c r="AC19" i="27" s="1"/>
  <c r="X26" i="27"/>
  <c r="AC26" i="27" s="1"/>
  <c r="Z31" i="27"/>
  <c r="AD31" i="27" s="1"/>
  <c r="Z37" i="27"/>
  <c r="AD37" i="27" s="1"/>
  <c r="V49" i="27"/>
  <c r="BI50" i="41" s="1"/>
  <c r="X54" i="27"/>
  <c r="AC54" i="27" s="1"/>
  <c r="X9" i="21"/>
  <c r="AC9" i="21" s="1"/>
  <c r="V32" i="21"/>
  <c r="BL33" i="41" s="1"/>
  <c r="X39" i="21"/>
  <c r="AC39" i="21" s="1"/>
  <c r="V6" i="22"/>
  <c r="BO7" i="41" s="1"/>
  <c r="V11" i="22"/>
  <c r="BO12" i="41" s="1"/>
  <c r="V16" i="22"/>
  <c r="BO17" i="41" s="1"/>
  <c r="Z46" i="22"/>
  <c r="AD46" i="22" s="1"/>
  <c r="V53" i="22"/>
  <c r="BO54" i="41" s="1"/>
  <c r="AB8" i="23"/>
  <c r="AG8" i="23" s="1"/>
  <c r="AB23" i="23"/>
  <c r="AG23" i="23" s="1"/>
  <c r="AB28" i="23"/>
  <c r="AG28" i="23" s="1"/>
  <c r="AD39" i="23"/>
  <c r="AH39" i="23" s="1"/>
  <c r="Z25" i="15"/>
  <c r="AE25" i="15" s="1"/>
  <c r="AB32" i="15"/>
  <c r="AF32" i="15" s="1"/>
  <c r="Z37" i="15"/>
  <c r="AE37" i="15" s="1"/>
  <c r="Z44" i="15"/>
  <c r="AE44" i="15" s="1"/>
  <c r="Z49" i="15"/>
  <c r="AE49" i="15" s="1"/>
  <c r="AB54" i="15"/>
  <c r="AF54" i="15" s="1"/>
  <c r="X9" i="17"/>
  <c r="AC9" i="17" s="1"/>
  <c r="Z16" i="17"/>
  <c r="AD16" i="17" s="1"/>
  <c r="X21" i="17"/>
  <c r="AC21" i="17" s="1"/>
  <c r="X28" i="17"/>
  <c r="AC28" i="17" s="1"/>
  <c r="X34" i="17"/>
  <c r="AC34" i="17" s="1"/>
  <c r="X40" i="17"/>
  <c r="AC40" i="17" s="1"/>
  <c r="X47" i="17"/>
  <c r="AC47" i="17" s="1"/>
  <c r="Z52" i="17"/>
  <c r="AD52" i="17" s="1"/>
  <c r="V10" i="18"/>
  <c r="AT11" i="41" s="1"/>
  <c r="Z14" i="18"/>
  <c r="AD14" i="18" s="1"/>
  <c r="Z21" i="18"/>
  <c r="AD21" i="18" s="1"/>
  <c r="Z27" i="18"/>
  <c r="AD27" i="18" s="1"/>
  <c r="Z33" i="18"/>
  <c r="AD33" i="18" s="1"/>
  <c r="Z40" i="18"/>
  <c r="AD40" i="18" s="1"/>
  <c r="X45" i="18"/>
  <c r="AC45" i="18" s="1"/>
  <c r="Z51" i="18"/>
  <c r="AD51" i="18" s="1"/>
  <c r="Z6" i="19"/>
  <c r="AD6" i="19" s="1"/>
  <c r="V14" i="19"/>
  <c r="AW15" i="41" s="1"/>
  <c r="Z18" i="19"/>
  <c r="AD18" i="19" s="1"/>
  <c r="Z25" i="19"/>
  <c r="AD25" i="19" s="1"/>
  <c r="Z31" i="19"/>
  <c r="AD31" i="19" s="1"/>
  <c r="Z37" i="19"/>
  <c r="AD37" i="19" s="1"/>
  <c r="Z44" i="19"/>
  <c r="AD44" i="19" s="1"/>
  <c r="Z49" i="19"/>
  <c r="AD49" i="19" s="1"/>
  <c r="V5" i="35"/>
  <c r="AZ6" i="41" s="1"/>
  <c r="V12" i="35"/>
  <c r="AZ13" i="41" s="1"/>
  <c r="Z16" i="35"/>
  <c r="AD16" i="35" s="1"/>
  <c r="V24" i="35"/>
  <c r="AZ25" i="41" s="1"/>
  <c r="Z28" i="35"/>
  <c r="AD28" i="35" s="1"/>
  <c r="Z35" i="35"/>
  <c r="AD35" i="35" s="1"/>
  <c r="Z41" i="35"/>
  <c r="AD41" i="35" s="1"/>
  <c r="V48" i="35"/>
  <c r="AZ49" i="41" s="1"/>
  <c r="X53" i="35"/>
  <c r="AC53" i="35" s="1"/>
  <c r="V11" i="36"/>
  <c r="BC12" i="41" s="1"/>
  <c r="Z21" i="36"/>
  <c r="AD21" i="36" s="1"/>
  <c r="X34" i="36"/>
  <c r="AC34" i="36" s="1"/>
  <c r="V47" i="36"/>
  <c r="BC48" i="41" s="1"/>
  <c r="Z8" i="20"/>
  <c r="AD8" i="20" s="1"/>
  <c r="X13" i="20"/>
  <c r="AC13" i="20" s="1"/>
  <c r="X18" i="11"/>
  <c r="AC18" i="11" s="1"/>
  <c r="V5" i="17"/>
  <c r="AQ6" i="41" s="1"/>
  <c r="V7" i="10"/>
  <c r="M8" i="41" s="1"/>
  <c r="V13" i="33"/>
  <c r="S14" i="41" s="1"/>
  <c r="X10" i="15"/>
  <c r="AK11" i="41" s="1"/>
  <c r="V27" i="11"/>
  <c r="P28" i="41" s="1"/>
  <c r="V10" i="12"/>
  <c r="Y11" i="41" s="1"/>
  <c r="Z15" i="36"/>
  <c r="AD15" i="36" s="1"/>
  <c r="Z28" i="26"/>
  <c r="AD28" i="26" s="1"/>
  <c r="Z53" i="21"/>
  <c r="AD53" i="21" s="1"/>
  <c r="X52" i="26"/>
  <c r="AC52" i="26" s="1"/>
  <c r="X41" i="18"/>
  <c r="AC41" i="18" s="1"/>
  <c r="X53" i="19"/>
  <c r="AC53" i="19" s="1"/>
  <c r="V51" i="20"/>
  <c r="BF52" i="41" s="1"/>
  <c r="Z6" i="23"/>
  <c r="BR7" i="41" s="1"/>
  <c r="V22" i="11"/>
  <c r="P23" i="41" s="1"/>
  <c r="Z25" i="12"/>
  <c r="AD25" i="12" s="1"/>
  <c r="Z5" i="26"/>
  <c r="AD5" i="26" s="1"/>
  <c r="AA43" i="14"/>
  <c r="AF43" i="14" s="1"/>
  <c r="X44" i="19"/>
  <c r="AC44" i="19" s="1"/>
  <c r="X21" i="21"/>
  <c r="AC21" i="21" s="1"/>
  <c r="X22" i="12"/>
  <c r="AC22" i="12" s="1"/>
  <c r="AB34" i="15"/>
  <c r="AF34" i="15" s="1"/>
  <c r="Z40" i="19"/>
  <c r="AD40" i="19" s="1"/>
  <c r="X16" i="21"/>
  <c r="AC16" i="21" s="1"/>
  <c r="V21" i="7"/>
  <c r="J22" i="41" s="1"/>
  <c r="X53" i="7"/>
  <c r="AC53" i="7" s="1"/>
  <c r="Z37" i="10"/>
  <c r="AD37" i="10" s="1"/>
  <c r="Z12" i="11"/>
  <c r="AD12" i="11" s="1"/>
  <c r="X31" i="12"/>
  <c r="AC31" i="12" s="1"/>
  <c r="Z47" i="7"/>
  <c r="AD47" i="7" s="1"/>
  <c r="X12" i="11"/>
  <c r="AC12" i="11" s="1"/>
  <c r="V8" i="26"/>
  <c r="AB9" i="41" s="1"/>
  <c r="X15" i="10"/>
  <c r="AC15" i="10" s="1"/>
  <c r="Z5" i="33"/>
  <c r="AD5" i="33" s="1"/>
  <c r="AC53" i="14"/>
  <c r="AG53" i="14" s="1"/>
  <c r="Z16" i="33"/>
  <c r="AD16" i="33" s="1"/>
  <c r="X16" i="18"/>
  <c r="AC16" i="18" s="1"/>
  <c r="X32" i="26"/>
  <c r="AC32" i="26" s="1"/>
  <c r="X7" i="17"/>
  <c r="AC7" i="17" s="1"/>
  <c r="V23" i="19"/>
  <c r="AW24" i="41" s="1"/>
  <c r="X15" i="20"/>
  <c r="AC15" i="20" s="1"/>
  <c r="V43" i="27"/>
  <c r="BI44" i="41" s="1"/>
  <c r="X48" i="10"/>
  <c r="AC48" i="10" s="1"/>
  <c r="V11" i="34"/>
  <c r="V12" i="41" s="1"/>
  <c r="X46" i="12"/>
  <c r="AC46" i="12" s="1"/>
  <c r="V41" i="13"/>
  <c r="AE42" i="41" s="1"/>
  <c r="V9" i="18"/>
  <c r="AT10" i="41" s="1"/>
  <c r="Z36" i="20"/>
  <c r="AD36" i="20" s="1"/>
  <c r="Z47" i="34"/>
  <c r="AD47" i="34" s="1"/>
  <c r="Y19" i="14"/>
  <c r="AH20" i="41" s="1"/>
  <c r="V25" i="18"/>
  <c r="AT26" i="41" s="1"/>
  <c r="X51" i="35"/>
  <c r="AC51" i="35" s="1"/>
  <c r="AD54" i="23"/>
  <c r="AH54" i="23" s="1"/>
  <c r="X42" i="7"/>
  <c r="AC42" i="7" s="1"/>
  <c r="Z15" i="10"/>
  <c r="AD15" i="10" s="1"/>
  <c r="X51" i="10"/>
  <c r="AC51" i="10" s="1"/>
  <c r="V37" i="11"/>
  <c r="P38" i="41" s="1"/>
  <c r="Z8" i="33"/>
  <c r="AD8" i="33" s="1"/>
  <c r="Z42" i="33"/>
  <c r="AD42" i="33" s="1"/>
  <c r="X17" i="34"/>
  <c r="AC17" i="34" s="1"/>
  <c r="V52" i="34"/>
  <c r="V53" i="41" s="1"/>
  <c r="X13" i="26"/>
  <c r="AC13" i="26" s="1"/>
  <c r="Z37" i="26"/>
  <c r="AD37" i="26" s="1"/>
  <c r="V49" i="13"/>
  <c r="AE50" i="41" s="1"/>
  <c r="AC37" i="14"/>
  <c r="AG37" i="14" s="1"/>
  <c r="AB23" i="15"/>
  <c r="AF23" i="15" s="1"/>
  <c r="AB52" i="15"/>
  <c r="AF52" i="15" s="1"/>
  <c r="V49" i="17"/>
  <c r="AQ50" i="41" s="1"/>
  <c r="X30" i="18"/>
  <c r="AC30" i="18" s="1"/>
  <c r="X18" i="19"/>
  <c r="AC18" i="19" s="1"/>
  <c r="X17" i="35"/>
  <c r="AC17" i="35" s="1"/>
  <c r="Z38" i="35"/>
  <c r="AD38" i="35" s="1"/>
  <c r="V53" i="35"/>
  <c r="AZ54" i="41" s="1"/>
  <c r="V37" i="36"/>
  <c r="BC38" i="41" s="1"/>
  <c r="V27" i="20"/>
  <c r="BF28" i="41" s="1"/>
  <c r="Z26" i="27"/>
  <c r="AD26" i="27" s="1"/>
  <c r="Z53" i="27"/>
  <c r="AD53" i="27" s="1"/>
  <c r="V37" i="21"/>
  <c r="BL38" i="41" s="1"/>
  <c r="V47" i="22"/>
  <c r="BO48" i="41" s="1"/>
  <c r="Z6" i="7"/>
  <c r="AD6" i="7" s="1"/>
  <c r="V37" i="7"/>
  <c r="J38" i="41" s="1"/>
  <c r="V5" i="10"/>
  <c r="M6" i="41" s="1"/>
  <c r="Z30" i="10"/>
  <c r="AD30" i="10" s="1"/>
  <c r="Z47" i="10"/>
  <c r="AD47" i="10" s="1"/>
  <c r="V24" i="11"/>
  <c r="P25" i="41" s="1"/>
  <c r="Z39" i="11"/>
  <c r="AD39" i="11" s="1"/>
  <c r="V5" i="33"/>
  <c r="S6" i="41" s="1"/>
  <c r="Z29" i="33"/>
  <c r="AD29" i="33" s="1"/>
  <c r="Z41" i="33"/>
  <c r="AD41" i="33" s="1"/>
  <c r="V53" i="33"/>
  <c r="S54" i="41" s="1"/>
  <c r="X26" i="34"/>
  <c r="AC26" i="34" s="1"/>
  <c r="X37" i="34"/>
  <c r="AC37" i="34" s="1"/>
  <c r="Z49" i="34"/>
  <c r="AD49" i="34" s="1"/>
  <c r="X19" i="12"/>
  <c r="AC19" i="12" s="1"/>
  <c r="Z37" i="12"/>
  <c r="AD37" i="12" s="1"/>
  <c r="X48" i="12"/>
  <c r="AC48" i="12" s="1"/>
  <c r="Z9" i="26"/>
  <c r="AD9" i="26" s="1"/>
  <c r="V22" i="26"/>
  <c r="AB23" i="41" s="1"/>
  <c r="V44" i="26"/>
  <c r="AB45" i="41" s="1"/>
  <c r="X8" i="13"/>
  <c r="AC8" i="13" s="1"/>
  <c r="Z35" i="13"/>
  <c r="AD35" i="13" s="1"/>
  <c r="AA18" i="14"/>
  <c r="AF18" i="14" s="1"/>
  <c r="AA29" i="14"/>
  <c r="AF29" i="14" s="1"/>
  <c r="AA41" i="14"/>
  <c r="AF41" i="14" s="1"/>
  <c r="AB17" i="15"/>
  <c r="AF17" i="15" s="1"/>
  <c r="Z35" i="15"/>
  <c r="AE35" i="15" s="1"/>
  <c r="V12" i="17"/>
  <c r="AQ13" i="41" s="1"/>
  <c r="X24" i="17"/>
  <c r="AC24" i="17" s="1"/>
  <c r="Z41" i="17"/>
  <c r="AD41" i="17" s="1"/>
  <c r="V52" i="17"/>
  <c r="AQ53" i="41" s="1"/>
  <c r="V12" i="18"/>
  <c r="AT13" i="41" s="1"/>
  <c r="Z49" i="18"/>
  <c r="AD49" i="18" s="1"/>
  <c r="X11" i="19"/>
  <c r="AC11" i="19" s="1"/>
  <c r="X15" i="33"/>
  <c r="AC15" i="33" s="1"/>
  <c r="X8" i="10"/>
  <c r="AC8" i="10" s="1"/>
  <c r="Z11" i="15"/>
  <c r="AE11" i="15" s="1"/>
  <c r="X12" i="12"/>
  <c r="AC12" i="12" s="1"/>
  <c r="Z15" i="13"/>
  <c r="AD15" i="13" s="1"/>
  <c r="Z53" i="26"/>
  <c r="AD53" i="26" s="1"/>
  <c r="Z54" i="19"/>
  <c r="AD54" i="19" s="1"/>
  <c r="Z11" i="7"/>
  <c r="AD11" i="7" s="1"/>
  <c r="Z35" i="12"/>
  <c r="AD35" i="12" s="1"/>
  <c r="AB14" i="15"/>
  <c r="AF14" i="15" s="1"/>
  <c r="Z23" i="21"/>
  <c r="AD23" i="21" s="1"/>
  <c r="X37" i="15"/>
  <c r="AK38" i="41" s="1"/>
  <c r="Z17" i="21"/>
  <c r="AD17" i="21" s="1"/>
  <c r="Z54" i="7"/>
  <c r="AD54" i="7" s="1"/>
  <c r="V14" i="11"/>
  <c r="P15" i="41" s="1"/>
  <c r="X7" i="33"/>
  <c r="AC7" i="33" s="1"/>
  <c r="V54" i="33"/>
  <c r="S55" i="41" s="1"/>
  <c r="Z41" i="34"/>
  <c r="AD41" i="34" s="1"/>
  <c r="V12" i="26"/>
  <c r="AB13" i="41" s="1"/>
  <c r="V17" i="13"/>
  <c r="AE18" i="41" s="1"/>
  <c r="AA25" i="14"/>
  <c r="AF25" i="14" s="1"/>
  <c r="Z21" i="15"/>
  <c r="AE21" i="15" s="1"/>
  <c r="X31" i="17"/>
  <c r="AC31" i="17" s="1"/>
  <c r="X9" i="18"/>
  <c r="AC9" i="18" s="1"/>
  <c r="V16" i="19"/>
  <c r="AW17" i="41" s="1"/>
  <c r="X22" i="35"/>
  <c r="AC22" i="35" s="1"/>
  <c r="V45" i="35"/>
  <c r="AZ46" i="41" s="1"/>
  <c r="V35" i="36"/>
  <c r="BC36" i="41" s="1"/>
  <c r="X32" i="20"/>
  <c r="AC32" i="20" s="1"/>
  <c r="V46" i="27"/>
  <c r="BI47" i="41" s="1"/>
  <c r="Z34" i="21"/>
  <c r="AD34" i="21" s="1"/>
  <c r="AB48" i="23"/>
  <c r="AG48" i="23" s="1"/>
  <c r="X22" i="7"/>
  <c r="AC22" i="7" s="1"/>
  <c r="X52" i="7"/>
  <c r="AC52" i="7" s="1"/>
  <c r="V38" i="10"/>
  <c r="M39" i="41" s="1"/>
  <c r="X54" i="10"/>
  <c r="AC54" i="10" s="1"/>
  <c r="X37" i="11"/>
  <c r="AC37" i="11" s="1"/>
  <c r="X23" i="33"/>
  <c r="AC23" i="33" s="1"/>
  <c r="Z36" i="33"/>
  <c r="AD36" i="33" s="1"/>
  <c r="Z51" i="33"/>
  <c r="AD51" i="33" s="1"/>
  <c r="V31" i="34"/>
  <c r="V32" i="41" s="1"/>
  <c r="Z44" i="34"/>
  <c r="AD44" i="34" s="1"/>
  <c r="X17" i="12"/>
  <c r="AC17" i="12" s="1"/>
  <c r="Z41" i="12"/>
  <c r="AD41" i="12" s="1"/>
  <c r="Z53" i="12"/>
  <c r="AD53" i="12" s="1"/>
  <c r="Z20" i="26"/>
  <c r="AD20" i="26" s="1"/>
  <c r="V49" i="26"/>
  <c r="AB50" i="41" s="1"/>
  <c r="V21" i="13"/>
  <c r="AE22" i="41" s="1"/>
  <c r="Y16" i="14"/>
  <c r="AH17" i="41" s="1"/>
  <c r="AA35" i="14"/>
  <c r="AF35" i="14" s="1"/>
  <c r="AB10" i="15"/>
  <c r="AF10" i="15" s="1"/>
  <c r="X34" i="15"/>
  <c r="AK35" i="41" s="1"/>
  <c r="V18" i="17"/>
  <c r="AQ19" i="41" s="1"/>
  <c r="X29" i="17"/>
  <c r="AC29" i="17" s="1"/>
  <c r="Z50" i="17"/>
  <c r="AD50" i="17" s="1"/>
  <c r="X33" i="18"/>
  <c r="AC33" i="18" s="1"/>
  <c r="V5" i="19"/>
  <c r="AW6" i="41" s="1"/>
  <c r="X47" i="19"/>
  <c r="AC47" i="19" s="1"/>
  <c r="Z7" i="35"/>
  <c r="AD7" i="35" s="1"/>
  <c r="X25" i="35"/>
  <c r="AC25" i="35" s="1"/>
  <c r="X36" i="35"/>
  <c r="AC36" i="35" s="1"/>
  <c r="X48" i="36"/>
  <c r="AC48" i="36" s="1"/>
  <c r="X45" i="20"/>
  <c r="AC45" i="20" s="1"/>
  <c r="Z15" i="27"/>
  <c r="AD15" i="27" s="1"/>
  <c r="V27" i="27"/>
  <c r="BI28" i="41" s="1"/>
  <c r="V8" i="21"/>
  <c r="BL9" i="41" s="1"/>
  <c r="Z38" i="21"/>
  <c r="AD38" i="21" s="1"/>
  <c r="Z40" i="22"/>
  <c r="AD40" i="22" s="1"/>
  <c r="Z13" i="7"/>
  <c r="AD13" i="7" s="1"/>
  <c r="Z31" i="7"/>
  <c r="AD31" i="7" s="1"/>
  <c r="V45" i="7"/>
  <c r="J46" i="41" s="1"/>
  <c r="Z17" i="10"/>
  <c r="AD17" i="10" s="1"/>
  <c r="V30" i="10"/>
  <c r="M31" i="41" s="1"/>
  <c r="Z15" i="11"/>
  <c r="AD15" i="11" s="1"/>
  <c r="Z26" i="11"/>
  <c r="AD26" i="11" s="1"/>
  <c r="Z38" i="11"/>
  <c r="AD38" i="11" s="1"/>
  <c r="V15" i="33"/>
  <c r="S16" i="41" s="1"/>
  <c r="X27" i="33"/>
  <c r="AC27" i="33" s="1"/>
  <c r="V12" i="34"/>
  <c r="V13" i="41" s="1"/>
  <c r="X24" i="34"/>
  <c r="AC24" i="34" s="1"/>
  <c r="X36" i="34"/>
  <c r="AC36" i="34" s="1"/>
  <c r="V12" i="12"/>
  <c r="Y13" i="41" s="1"/>
  <c r="V31" i="12"/>
  <c r="Y32" i="41" s="1"/>
  <c r="X43" i="12"/>
  <c r="AC43" i="12" s="1"/>
  <c r="V54" i="12"/>
  <c r="Y55" i="41" s="1"/>
  <c r="X16" i="26"/>
  <c r="AC16" i="26" s="1"/>
  <c r="Z40" i="26"/>
  <c r="AD40" i="26" s="1"/>
  <c r="Z50" i="26"/>
  <c r="AD50" i="26" s="1"/>
  <c r="X18" i="13"/>
  <c r="AC18" i="13" s="1"/>
  <c r="X48" i="13"/>
  <c r="AC48" i="13" s="1"/>
  <c r="AC13" i="14"/>
  <c r="AG13" i="14" s="1"/>
  <c r="Y26" i="14"/>
  <c r="AH27" i="41" s="1"/>
  <c r="Y48" i="14"/>
  <c r="AH49" i="41" s="1"/>
  <c r="Z8" i="15"/>
  <c r="AE8" i="15" s="1"/>
  <c r="AB20" i="15"/>
  <c r="AF20" i="15" s="1"/>
  <c r="Z14" i="17"/>
  <c r="AD14" i="17" s="1"/>
  <c r="Z34" i="17"/>
  <c r="AD34" i="17" s="1"/>
  <c r="Z28" i="18"/>
  <c r="AD28" i="18" s="1"/>
  <c r="V46" i="18"/>
  <c r="AT47" i="41" s="1"/>
  <c r="Z7" i="19"/>
  <c r="AD7" i="19" s="1"/>
  <c r="V44" i="19"/>
  <c r="AW45" i="41" s="1"/>
  <c r="Z6" i="35"/>
  <c r="AD6" i="35" s="1"/>
  <c r="V42" i="35"/>
  <c r="AZ43" i="41" s="1"/>
  <c r="Z53" i="35"/>
  <c r="AD53" i="35" s="1"/>
  <c r="V24" i="20"/>
  <c r="BF25" i="41" s="1"/>
  <c r="Z14" i="27"/>
  <c r="AD14" i="27" s="1"/>
  <c r="X17" i="21"/>
  <c r="AC17" i="21" s="1"/>
  <c r="V30" i="21"/>
  <c r="BL31" i="41" s="1"/>
  <c r="Z29" i="23"/>
  <c r="BR30" i="41" s="1"/>
  <c r="V5" i="7"/>
  <c r="J6" i="41" s="1"/>
  <c r="Z6" i="26"/>
  <c r="AD6" i="26" s="1"/>
  <c r="X54" i="11"/>
  <c r="AC54" i="11" s="1"/>
  <c r="Z14" i="11"/>
  <c r="AD14" i="11" s="1"/>
  <c r="V31" i="26"/>
  <c r="AB32" i="41" s="1"/>
  <c r="V39" i="18"/>
  <c r="AT40" i="41" s="1"/>
  <c r="Z40" i="27"/>
  <c r="AD40" i="27" s="1"/>
  <c r="Z9" i="34"/>
  <c r="AD9" i="34" s="1"/>
  <c r="V37" i="13"/>
  <c r="AE38" i="41" s="1"/>
  <c r="X10" i="20"/>
  <c r="AC10" i="20" s="1"/>
  <c r="AC17" i="14"/>
  <c r="AG17" i="14" s="1"/>
  <c r="V50" i="35"/>
  <c r="AZ51" i="41" s="1"/>
  <c r="X34" i="7"/>
  <c r="AC34" i="7" s="1"/>
  <c r="V50" i="10"/>
  <c r="M51" i="41" s="1"/>
  <c r="V48" i="11"/>
  <c r="P49" i="41" s="1"/>
  <c r="X41" i="33"/>
  <c r="AC41" i="33" s="1"/>
  <c r="Z40" i="34"/>
  <c r="AD40" i="34" s="1"/>
  <c r="X20" i="12"/>
  <c r="AC20" i="12" s="1"/>
  <c r="X36" i="26"/>
  <c r="AC36" i="26" s="1"/>
  <c r="Y13" i="14"/>
  <c r="AH14" i="41" s="1"/>
  <c r="Y50" i="14"/>
  <c r="AH51" i="41" s="1"/>
  <c r="Z51" i="15"/>
  <c r="AE51" i="15" s="1"/>
  <c r="V8" i="18"/>
  <c r="AT9" i="41" s="1"/>
  <c r="V7" i="19"/>
  <c r="AW8" i="41" s="1"/>
  <c r="V15" i="35"/>
  <c r="AZ16" i="41" s="1"/>
  <c r="Z43" i="35"/>
  <c r="AD43" i="35" s="1"/>
  <c r="Z19" i="36"/>
  <c r="AD19" i="36" s="1"/>
  <c r="Z25" i="20"/>
  <c r="AD25" i="20" s="1"/>
  <c r="Z44" i="27"/>
  <c r="AD44" i="27" s="1"/>
  <c r="V18" i="21"/>
  <c r="BL19" i="41" s="1"/>
  <c r="X44" i="22"/>
  <c r="AC44" i="22" s="1"/>
  <c r="V20" i="7"/>
  <c r="J21" i="41" s="1"/>
  <c r="V47" i="7"/>
  <c r="J48" i="41" s="1"/>
  <c r="Z29" i="10"/>
  <c r="AD29" i="10" s="1"/>
  <c r="V53" i="10"/>
  <c r="M54" i="41" s="1"/>
  <c r="X32" i="11"/>
  <c r="AC32" i="11" s="1"/>
  <c r="Z53" i="11"/>
  <c r="AD53" i="11" s="1"/>
  <c r="X34" i="33"/>
  <c r="AC34" i="33" s="1"/>
  <c r="Z47" i="33"/>
  <c r="AD47" i="33" s="1"/>
  <c r="V24" i="34"/>
  <c r="V25" i="41" s="1"/>
  <c r="X43" i="34"/>
  <c r="AC43" i="34" s="1"/>
  <c r="Z10" i="12"/>
  <c r="AD10" i="12" s="1"/>
  <c r="X36" i="12"/>
  <c r="AC36" i="12" s="1"/>
  <c r="X52" i="12"/>
  <c r="AC52" i="12" s="1"/>
  <c r="Z14" i="26"/>
  <c r="AD14" i="26" s="1"/>
  <c r="Z31" i="26"/>
  <c r="AD31" i="26" s="1"/>
  <c r="V19" i="13"/>
  <c r="AE20" i="41" s="1"/>
  <c r="V51" i="13"/>
  <c r="AE52" i="41" s="1"/>
  <c r="Y28" i="14"/>
  <c r="AH29" i="41" s="1"/>
  <c r="Z9" i="15"/>
  <c r="AE9" i="15" s="1"/>
  <c r="AB22" i="15"/>
  <c r="AF22" i="15" s="1"/>
  <c r="X45" i="15"/>
  <c r="AK46" i="41" s="1"/>
  <c r="V28" i="17"/>
  <c r="AQ29" i="41" s="1"/>
  <c r="Z46" i="17"/>
  <c r="AD46" i="17" s="1"/>
  <c r="Z10" i="18"/>
  <c r="AD10" i="18" s="1"/>
  <c r="Z53" i="18"/>
  <c r="AD53" i="18" s="1"/>
  <c r="X41" i="19"/>
  <c r="AC41" i="19" s="1"/>
  <c r="V54" i="19"/>
  <c r="AW55" i="41" s="1"/>
  <c r="V14" i="35"/>
  <c r="AZ15" i="41" s="1"/>
  <c r="Z31" i="35"/>
  <c r="AD31" i="35" s="1"/>
  <c r="X22" i="36"/>
  <c r="AC22" i="36" s="1"/>
  <c r="Z18" i="20"/>
  <c r="AD18" i="20" s="1"/>
  <c r="V53" i="20"/>
  <c r="BF54" i="41" s="1"/>
  <c r="X22" i="27"/>
  <c r="AC22" i="27" s="1"/>
  <c r="X42" i="27"/>
  <c r="AC42" i="27" s="1"/>
  <c r="Z29" i="21"/>
  <c r="AD29" i="21" s="1"/>
  <c r="X30" i="22"/>
  <c r="AC30" i="22" s="1"/>
  <c r="AD18" i="23"/>
  <c r="AH18" i="23" s="1"/>
  <c r="Z21" i="7"/>
  <c r="AD21" i="7" s="1"/>
  <c r="Z41" i="7"/>
  <c r="AD41" i="7" s="1"/>
  <c r="V14" i="10"/>
  <c r="M15" i="41" s="1"/>
  <c r="V26" i="10"/>
  <c r="M27" i="41" s="1"/>
  <c r="V37" i="10"/>
  <c r="M38" i="41" s="1"/>
  <c r="V23" i="11"/>
  <c r="P24" i="41" s="1"/>
  <c r="X35" i="11"/>
  <c r="AC35" i="11" s="1"/>
  <c r="X10" i="33"/>
  <c r="AC10" i="33" s="1"/>
  <c r="X21" i="33"/>
  <c r="AC21" i="33" s="1"/>
  <c r="X33" i="33"/>
  <c r="AC33" i="33" s="1"/>
  <c r="X20" i="34"/>
  <c r="AC20" i="34" s="1"/>
  <c r="Z32" i="34"/>
  <c r="AD32" i="34" s="1"/>
  <c r="X5" i="12"/>
  <c r="AC5" i="12" s="1"/>
  <c r="Z19" i="12"/>
  <c r="AD19" i="12" s="1"/>
  <c r="X39" i="12"/>
  <c r="AC39" i="12" s="1"/>
  <c r="V50" i="12"/>
  <c r="Y51" i="41" s="1"/>
  <c r="Z12" i="26"/>
  <c r="AD12" i="26" s="1"/>
  <c r="Z34" i="26"/>
  <c r="AD34" i="26" s="1"/>
  <c r="Z46" i="26"/>
  <c r="AD46" i="26" s="1"/>
  <c r="Z7" i="13"/>
  <c r="AD7" i="13" s="1"/>
  <c r="Z37" i="13"/>
  <c r="AD37" i="13" s="1"/>
  <c r="Y10" i="14"/>
  <c r="AH11" i="41" s="1"/>
  <c r="Y21" i="14"/>
  <c r="AH22" i="41" s="1"/>
  <c r="Y32" i="14"/>
  <c r="AH33" i="41" s="1"/>
  <c r="AC54" i="14"/>
  <c r="AG54" i="14" s="1"/>
  <c r="AB15" i="15"/>
  <c r="AF15" i="15" s="1"/>
  <c r="V11" i="17"/>
  <c r="AQ12" i="41" s="1"/>
  <c r="X23" i="17"/>
  <c r="AC23" i="17" s="1"/>
  <c r="Z24" i="18"/>
  <c r="AD24" i="18" s="1"/>
  <c r="V41" i="18"/>
  <c r="AT42" i="41" s="1"/>
  <c r="Z52" i="18"/>
  <c r="AD52" i="18" s="1"/>
  <c r="X40" i="19"/>
  <c r="AC40" i="19" s="1"/>
  <c r="Z51" i="19"/>
  <c r="AD51" i="19" s="1"/>
  <c r="Z20" i="35"/>
  <c r="AD20" i="35" s="1"/>
  <c r="Z49" i="35"/>
  <c r="AD49" i="35" s="1"/>
  <c r="Z27" i="36"/>
  <c r="AD27" i="36" s="1"/>
  <c r="Z8" i="27"/>
  <c r="AD8" i="27" s="1"/>
  <c r="X31" i="27"/>
  <c r="AC31" i="27" s="1"/>
  <c r="V26" i="21"/>
  <c r="BL27" i="41" s="1"/>
  <c r="Z35" i="22"/>
  <c r="AD35" i="22" s="1"/>
  <c r="V44" i="21"/>
  <c r="BL45" i="41" s="1"/>
  <c r="X13" i="22"/>
  <c r="AC13" i="22" s="1"/>
  <c r="Z28" i="22"/>
  <c r="AD28" i="22" s="1"/>
  <c r="AD6" i="23"/>
  <c r="AH6" i="23" s="1"/>
  <c r="Z32" i="23"/>
  <c r="BR33" i="41" s="1"/>
  <c r="Z50" i="23"/>
  <c r="BR51" i="41" s="1"/>
  <c r="X13" i="7"/>
  <c r="AC13" i="7" s="1"/>
  <c r="X28" i="7"/>
  <c r="AC28" i="7" s="1"/>
  <c r="V41" i="7"/>
  <c r="J42" i="41" s="1"/>
  <c r="V54" i="7"/>
  <c r="J55" i="41" s="1"/>
  <c r="V16" i="10"/>
  <c r="M17" i="41" s="1"/>
  <c r="V29" i="10"/>
  <c r="M30" i="41" s="1"/>
  <c r="V42" i="10"/>
  <c r="M43" i="41" s="1"/>
  <c r="V52" i="10"/>
  <c r="M53" i="41" s="1"/>
  <c r="V13" i="11"/>
  <c r="P14" i="41" s="1"/>
  <c r="V26" i="11"/>
  <c r="P27" i="41" s="1"/>
  <c r="V38" i="11"/>
  <c r="P39" i="41" s="1"/>
  <c r="V50" i="11"/>
  <c r="P51" i="41" s="1"/>
  <c r="X12" i="33"/>
  <c r="AC12" i="33" s="1"/>
  <c r="X24" i="33"/>
  <c r="AC24" i="33" s="1"/>
  <c r="V36" i="33"/>
  <c r="S37" i="41" s="1"/>
  <c r="V48" i="33"/>
  <c r="S49" i="41" s="1"/>
  <c r="X8" i="34"/>
  <c r="AC8" i="34" s="1"/>
  <c r="V20" i="34"/>
  <c r="V21" i="41" s="1"/>
  <c r="V32" i="34"/>
  <c r="V33" i="41" s="1"/>
  <c r="V45" i="34"/>
  <c r="V46" i="41" s="1"/>
  <c r="X7" i="12"/>
  <c r="AC7" i="12" s="1"/>
  <c r="V22" i="12"/>
  <c r="Y23" i="41" s="1"/>
  <c r="V36" i="12"/>
  <c r="Y37" i="41" s="1"/>
  <c r="Z46" i="12"/>
  <c r="AD46" i="12" s="1"/>
  <c r="V7" i="26"/>
  <c r="AB8" i="41" s="1"/>
  <c r="V19" i="26"/>
  <c r="AB20" i="41" s="1"/>
  <c r="Z30" i="26"/>
  <c r="AD30" i="26" s="1"/>
  <c r="Z42" i="26"/>
  <c r="AD42" i="26" s="1"/>
  <c r="X51" i="26"/>
  <c r="AC51" i="26" s="1"/>
  <c r="V15" i="13"/>
  <c r="AE16" i="41" s="1"/>
  <c r="X28" i="13"/>
  <c r="AC28" i="13" s="1"/>
  <c r="Z41" i="13"/>
  <c r="AD41" i="13" s="1"/>
  <c r="AA7" i="14"/>
  <c r="AF7" i="14" s="1"/>
  <c r="AA13" i="14"/>
  <c r="AF13" i="14" s="1"/>
  <c r="AC21" i="14"/>
  <c r="AG21" i="14" s="1"/>
  <c r="Y31" i="14"/>
  <c r="AH32" i="41" s="1"/>
  <c r="AA39" i="14"/>
  <c r="AF39" i="14" s="1"/>
  <c r="AA45" i="14"/>
  <c r="AF45" i="14" s="1"/>
  <c r="AA54" i="14"/>
  <c r="AF54" i="14" s="1"/>
  <c r="AB12" i="15"/>
  <c r="AF12" i="15" s="1"/>
  <c r="AB18" i="15"/>
  <c r="AF18" i="15" s="1"/>
  <c r="Z28" i="15"/>
  <c r="AE28" i="15" s="1"/>
  <c r="AB36" i="15"/>
  <c r="AF36" i="15" s="1"/>
  <c r="X43" i="15"/>
  <c r="AK44" i="41" s="1"/>
  <c r="AB51" i="15"/>
  <c r="AF51" i="15" s="1"/>
  <c r="V8" i="17"/>
  <c r="AQ9" i="41" s="1"/>
  <c r="Z28" i="17"/>
  <c r="AD28" i="17" s="1"/>
  <c r="V36" i="17"/>
  <c r="AQ37" i="41" s="1"/>
  <c r="Z44" i="17"/>
  <c r="AD44" i="17" s="1"/>
  <c r="V51" i="17"/>
  <c r="AQ52" i="41" s="1"/>
  <c r="V22" i="18"/>
  <c r="AT23" i="41" s="1"/>
  <c r="X28" i="18"/>
  <c r="AC28" i="18" s="1"/>
  <c r="Z36" i="18"/>
  <c r="AD36" i="18" s="1"/>
  <c r="V44" i="18"/>
  <c r="AT45" i="41" s="1"/>
  <c r="X15" i="19"/>
  <c r="AC15" i="19" s="1"/>
  <c r="Z21" i="19"/>
  <c r="AD21" i="19" s="1"/>
  <c r="Z24" i="34"/>
  <c r="AD24" i="34" s="1"/>
  <c r="Z38" i="7"/>
  <c r="AD38" i="7" s="1"/>
  <c r="Z13" i="18"/>
  <c r="AD13" i="18" s="1"/>
  <c r="V14" i="20"/>
  <c r="BF15" i="41" s="1"/>
  <c r="V45" i="12"/>
  <c r="Y46" i="41" s="1"/>
  <c r="X45" i="34"/>
  <c r="AC45" i="34" s="1"/>
  <c r="AB53" i="23"/>
  <c r="AG53" i="23" s="1"/>
  <c r="Z34" i="11"/>
  <c r="AD34" i="11" s="1"/>
  <c r="X5" i="34"/>
  <c r="AC5" i="34" s="1"/>
  <c r="X24" i="26"/>
  <c r="AC24" i="26" s="1"/>
  <c r="AA36" i="14"/>
  <c r="AF36" i="14" s="1"/>
  <c r="Z32" i="17"/>
  <c r="AD32" i="17" s="1"/>
  <c r="X33" i="19"/>
  <c r="AC33" i="19" s="1"/>
  <c r="X50" i="35"/>
  <c r="AC50" i="35" s="1"/>
  <c r="X33" i="20"/>
  <c r="AC33" i="20" s="1"/>
  <c r="Z6" i="22"/>
  <c r="AD6" i="22" s="1"/>
  <c r="V29" i="7"/>
  <c r="J30" i="41" s="1"/>
  <c r="Z40" i="10"/>
  <c r="AD40" i="10" s="1"/>
  <c r="V46" i="11"/>
  <c r="P47" i="41" s="1"/>
  <c r="Z40" i="33"/>
  <c r="AD40" i="33" s="1"/>
  <c r="X32" i="34"/>
  <c r="AC32" i="34" s="1"/>
  <c r="V24" i="12"/>
  <c r="Y25" i="41" s="1"/>
  <c r="Z8" i="26"/>
  <c r="AD8" i="26" s="1"/>
  <c r="X50" i="26"/>
  <c r="AC50" i="26" s="1"/>
  <c r="Y23" i="14"/>
  <c r="AH24" i="41" s="1"/>
  <c r="AB16" i="15"/>
  <c r="AF16" i="15" s="1"/>
  <c r="X19" i="17"/>
  <c r="AC19" i="17" s="1"/>
  <c r="V6" i="18"/>
  <c r="AT7" i="41" s="1"/>
  <c r="V10" i="19"/>
  <c r="AW11" i="41" s="1"/>
  <c r="V9" i="35"/>
  <c r="AZ10" i="41" s="1"/>
  <c r="Z9" i="36"/>
  <c r="AD9" i="36" s="1"/>
  <c r="Z47" i="20"/>
  <c r="AD47" i="20" s="1"/>
  <c r="X37" i="27"/>
  <c r="AC37" i="27" s="1"/>
  <c r="V40" i="21"/>
  <c r="BL41" i="41" s="1"/>
  <c r="Z14" i="7"/>
  <c r="AD14" i="7" s="1"/>
  <c r="Z6" i="10"/>
  <c r="AD6" i="10" s="1"/>
  <c r="V31" i="10"/>
  <c r="M32" i="41" s="1"/>
  <c r="V29" i="11"/>
  <c r="P30" i="41" s="1"/>
  <c r="X16" i="33"/>
  <c r="AC16" i="33" s="1"/>
  <c r="X13" i="34"/>
  <c r="AC13" i="34" s="1"/>
  <c r="Z37" i="34"/>
  <c r="AD37" i="34" s="1"/>
  <c r="X33" i="12"/>
  <c r="AC33" i="12" s="1"/>
  <c r="X5" i="26"/>
  <c r="AC5" i="26" s="1"/>
  <c r="Z41" i="26"/>
  <c r="AD41" i="26" s="1"/>
  <c r="X22" i="13"/>
  <c r="AC22" i="13" s="1"/>
  <c r="Y15" i="14"/>
  <c r="AH16" i="41" s="1"/>
  <c r="AA49" i="14"/>
  <c r="AF49" i="14" s="1"/>
  <c r="X28" i="15"/>
  <c r="AK29" i="41" s="1"/>
  <c r="V37" i="17"/>
  <c r="AQ38" i="41" s="1"/>
  <c r="X47" i="18"/>
  <c r="AC47" i="18" s="1"/>
  <c r="X45" i="19"/>
  <c r="AC45" i="19" s="1"/>
  <c r="X44" i="35"/>
  <c r="AC44" i="35" s="1"/>
  <c r="X26" i="20"/>
  <c r="AC26" i="20" s="1"/>
  <c r="Z18" i="21"/>
  <c r="AD18" i="21" s="1"/>
  <c r="Z21" i="21"/>
  <c r="AD21" i="21" s="1"/>
  <c r="X54" i="21"/>
  <c r="AC54" i="21" s="1"/>
  <c r="X32" i="22"/>
  <c r="AC32" i="22" s="1"/>
  <c r="Z14" i="23"/>
  <c r="BR15" i="41" s="1"/>
  <c r="AD48" i="23"/>
  <c r="AH48" i="23" s="1"/>
  <c r="Z18" i="7"/>
  <c r="AD18" i="7" s="1"/>
  <c r="Z34" i="7"/>
  <c r="AD34" i="7" s="1"/>
  <c r="Z52" i="7"/>
  <c r="AD52" i="7" s="1"/>
  <c r="V22" i="10"/>
  <c r="M23" i="41" s="1"/>
  <c r="V35" i="10"/>
  <c r="M36" i="41" s="1"/>
  <c r="Z50" i="10"/>
  <c r="AD50" i="10" s="1"/>
  <c r="Z17" i="11"/>
  <c r="AD17" i="11" s="1"/>
  <c r="Z30" i="11"/>
  <c r="AD30" i="11" s="1"/>
  <c r="Z48" i="11"/>
  <c r="AD48" i="11" s="1"/>
  <c r="V16" i="33"/>
  <c r="S17" i="41" s="1"/>
  <c r="X31" i="33"/>
  <c r="AC31" i="33" s="1"/>
  <c r="Z46" i="33"/>
  <c r="AD46" i="33" s="1"/>
  <c r="V13" i="34"/>
  <c r="V14" i="41" s="1"/>
  <c r="X27" i="34"/>
  <c r="AC27" i="34" s="1"/>
  <c r="Z42" i="34"/>
  <c r="AD42" i="34" s="1"/>
  <c r="Z12" i="12"/>
  <c r="AD12" i="12" s="1"/>
  <c r="Z28" i="12"/>
  <c r="AD28" i="12" s="1"/>
  <c r="X45" i="12"/>
  <c r="AC45" i="12" s="1"/>
  <c r="Z10" i="26"/>
  <c r="AD10" i="26" s="1"/>
  <c r="V26" i="26"/>
  <c r="AB27" i="41" s="1"/>
  <c r="X41" i="26"/>
  <c r="AC41" i="26" s="1"/>
  <c r="V54" i="26"/>
  <c r="AB55" i="41" s="1"/>
  <c r="X20" i="13"/>
  <c r="AC20" i="13" s="1"/>
  <c r="V39" i="13"/>
  <c r="AE40" i="41" s="1"/>
  <c r="AC8" i="14"/>
  <c r="AG8" i="14" s="1"/>
  <c r="AA19" i="14"/>
  <c r="AF19" i="14" s="1"/>
  <c r="AC28" i="14"/>
  <c r="AG28" i="14" s="1"/>
  <c r="AC40" i="14"/>
  <c r="AG40" i="14" s="1"/>
  <c r="AA50" i="14"/>
  <c r="AF50" i="14" s="1"/>
  <c r="Z10" i="15"/>
  <c r="AE10" i="15" s="1"/>
  <c r="Z23" i="15"/>
  <c r="AE23" i="15" s="1"/>
  <c r="AB30" i="15"/>
  <c r="AF30" i="15" s="1"/>
  <c r="AB41" i="15"/>
  <c r="AF41" i="15" s="1"/>
  <c r="X53" i="15"/>
  <c r="AK54" i="41" s="1"/>
  <c r="V24" i="17"/>
  <c r="AQ25" i="41" s="1"/>
  <c r="Z33" i="17"/>
  <c r="AD33" i="17" s="1"/>
  <c r="V46" i="17"/>
  <c r="AQ47" i="41" s="1"/>
  <c r="V16" i="18"/>
  <c r="AT17" i="41" s="1"/>
  <c r="V27" i="18"/>
  <c r="AT28" i="41" s="1"/>
  <c r="X39" i="18"/>
  <c r="AC39" i="18" s="1"/>
  <c r="X9" i="19"/>
  <c r="AC9" i="19" s="1"/>
  <c r="X20" i="19"/>
  <c r="AC20" i="19" s="1"/>
  <c r="X31" i="19"/>
  <c r="AC31" i="19" s="1"/>
  <c r="X37" i="19"/>
  <c r="AC37" i="19" s="1"/>
  <c r="Z14" i="35"/>
  <c r="AD14" i="35" s="1"/>
  <c r="V22" i="35"/>
  <c r="AZ23" i="41" s="1"/>
  <c r="Z30" i="35"/>
  <c r="AD30" i="35" s="1"/>
  <c r="Z36" i="35"/>
  <c r="AD36" i="35" s="1"/>
  <c r="V23" i="36"/>
  <c r="BC24" i="41" s="1"/>
  <c r="Z47" i="36"/>
  <c r="AD47" i="36" s="1"/>
  <c r="Z17" i="20"/>
  <c r="AD17" i="20" s="1"/>
  <c r="X27" i="20"/>
  <c r="AC27" i="20" s="1"/>
  <c r="X42" i="20"/>
  <c r="AC42" i="20" s="1"/>
  <c r="X25" i="27"/>
  <c r="AC25" i="27" s="1"/>
  <c r="V33" i="27"/>
  <c r="BI34" i="41" s="1"/>
  <c r="Z46" i="27"/>
  <c r="AD46" i="27" s="1"/>
  <c r="V53" i="27"/>
  <c r="BI54" i="41" s="1"/>
  <c r="Z10" i="21"/>
  <c r="AD10" i="21" s="1"/>
  <c r="Z36" i="21"/>
  <c r="AD36" i="21" s="1"/>
  <c r="V43" i="21"/>
  <c r="BL44" i="41" s="1"/>
  <c r="X12" i="22"/>
  <c r="AC12" i="22" s="1"/>
  <c r="Z19" i="22"/>
  <c r="AD19" i="22" s="1"/>
  <c r="Z51" i="22"/>
  <c r="AD51" i="22" s="1"/>
  <c r="AB9" i="23"/>
  <c r="AG9" i="23" s="1"/>
  <c r="Z26" i="23"/>
  <c r="BR27" i="41" s="1"/>
  <c r="AB37" i="23"/>
  <c r="AG37" i="23" s="1"/>
  <c r="AB26" i="15"/>
  <c r="AF26" i="15" s="1"/>
  <c r="X35" i="15"/>
  <c r="AK36" i="41" s="1"/>
  <c r="Z43" i="15"/>
  <c r="AE43" i="15" s="1"/>
  <c r="AB50" i="15"/>
  <c r="AF50" i="15" s="1"/>
  <c r="V7" i="17"/>
  <c r="AQ8" i="41" s="1"/>
  <c r="X15" i="17"/>
  <c r="AC15" i="17" s="1"/>
  <c r="Z23" i="17"/>
  <c r="AD23" i="17" s="1"/>
  <c r="Z30" i="17"/>
  <c r="AD30" i="17" s="1"/>
  <c r="V39" i="17"/>
  <c r="AQ40" i="41" s="1"/>
  <c r="Z48" i="17"/>
  <c r="AD48" i="17" s="1"/>
  <c r="X6" i="18"/>
  <c r="AC6" i="18" s="1"/>
  <c r="X13" i="18"/>
  <c r="AC13" i="18" s="1"/>
  <c r="V23" i="18"/>
  <c r="AT24" i="41" s="1"/>
  <c r="X31" i="18"/>
  <c r="AC31" i="18" s="1"/>
  <c r="X38" i="18"/>
  <c r="AC38" i="18" s="1"/>
  <c r="Z46" i="18"/>
  <c r="AD46" i="18" s="1"/>
  <c r="X54" i="18"/>
  <c r="AC54" i="18" s="1"/>
  <c r="Z12" i="19"/>
  <c r="AD12" i="19" s="1"/>
  <c r="V21" i="19"/>
  <c r="AW22" i="41" s="1"/>
  <c r="X36" i="19"/>
  <c r="AC36" i="19" s="1"/>
  <c r="V46" i="19"/>
  <c r="AW47" i="41" s="1"/>
  <c r="X52" i="19"/>
  <c r="AC52" i="19" s="1"/>
  <c r="Z9" i="35"/>
  <c r="AD9" i="35" s="1"/>
  <c r="V18" i="35"/>
  <c r="AZ19" i="41" s="1"/>
  <c r="X26" i="35"/>
  <c r="AC26" i="35" s="1"/>
  <c r="Z34" i="35"/>
  <c r="AD34" i="35" s="1"/>
  <c r="Z50" i="35"/>
  <c r="AD50" i="35" s="1"/>
  <c r="X24" i="36"/>
  <c r="AC24" i="36" s="1"/>
  <c r="Z15" i="20"/>
  <c r="AD15" i="20" s="1"/>
  <c r="V45" i="20"/>
  <c r="BF46" i="41" s="1"/>
  <c r="Z11" i="27"/>
  <c r="AD11" i="27" s="1"/>
  <c r="V41" i="27"/>
  <c r="BI42" i="41" s="1"/>
  <c r="X53" i="27"/>
  <c r="AC53" i="27" s="1"/>
  <c r="Z31" i="21"/>
  <c r="AD31" i="21" s="1"/>
  <c r="V50" i="21"/>
  <c r="BL51" i="41" s="1"/>
  <c r="Z42" i="22"/>
  <c r="AD42" i="22" s="1"/>
  <c r="AB12" i="23"/>
  <c r="AG12" i="23" s="1"/>
  <c r="AD23" i="23"/>
  <c r="AH23" i="23" s="1"/>
  <c r="Z35" i="36"/>
  <c r="AD35" i="36" s="1"/>
  <c r="X5" i="20"/>
  <c r="AC5" i="20" s="1"/>
  <c r="X24" i="20"/>
  <c r="AC24" i="20" s="1"/>
  <c r="V36" i="20"/>
  <c r="BF37" i="41" s="1"/>
  <c r="X53" i="20"/>
  <c r="AC53" i="20" s="1"/>
  <c r="Z22" i="27"/>
  <c r="AD22" i="27" s="1"/>
  <c r="X40" i="27"/>
  <c r="AC40" i="27" s="1"/>
  <c r="Z7" i="21"/>
  <c r="AD7" i="21" s="1"/>
  <c r="Z20" i="21"/>
  <c r="AD20" i="21" s="1"/>
  <c r="X37" i="21"/>
  <c r="AC37" i="21" s="1"/>
  <c r="V19" i="22"/>
  <c r="BO20" i="41" s="1"/>
  <c r="X36" i="22"/>
  <c r="AC36" i="22" s="1"/>
  <c r="Z27" i="23"/>
  <c r="BR28" i="41" s="1"/>
  <c r="Z45" i="23"/>
  <c r="BR46" i="41" s="1"/>
  <c r="V52" i="21"/>
  <c r="BL53" i="41" s="1"/>
  <c r="V14" i="22"/>
  <c r="BO15" i="41" s="1"/>
  <c r="Z30" i="22"/>
  <c r="AD30" i="22" s="1"/>
  <c r="Z49" i="22"/>
  <c r="AD49" i="22" s="1"/>
  <c r="Z18" i="23"/>
  <c r="BR19" i="41" s="1"/>
  <c r="Z30" i="23"/>
  <c r="BR31" i="41" s="1"/>
  <c r="AD47" i="23"/>
  <c r="AH47" i="23" s="1"/>
  <c r="V44" i="11"/>
  <c r="P45" i="41" s="1"/>
  <c r="X24" i="7"/>
  <c r="AC24" i="7" s="1"/>
  <c r="X25" i="26"/>
  <c r="AC25" i="26" s="1"/>
  <c r="Z47" i="17"/>
  <c r="AD47" i="17" s="1"/>
  <c r="Z34" i="19"/>
  <c r="AD34" i="19" s="1"/>
  <c r="V22" i="27"/>
  <c r="BI23" i="41" s="1"/>
  <c r="Z43" i="7"/>
  <c r="AD43" i="7" s="1"/>
  <c r="X48" i="11"/>
  <c r="AC48" i="11" s="1"/>
  <c r="V36" i="34"/>
  <c r="V37" i="41" s="1"/>
  <c r="Z13" i="26"/>
  <c r="AD13" i="26" s="1"/>
  <c r="AA24" i="14"/>
  <c r="AF24" i="14" s="1"/>
  <c r="V23" i="17"/>
  <c r="AQ24" i="41" s="1"/>
  <c r="Z23" i="19"/>
  <c r="AD23" i="19" s="1"/>
  <c r="V17" i="36"/>
  <c r="BC18" i="41" s="1"/>
  <c r="X41" i="27"/>
  <c r="AC41" i="27" s="1"/>
  <c r="X20" i="7"/>
  <c r="AC20" i="7" s="1"/>
  <c r="Z34" i="10"/>
  <c r="AD34" i="10" s="1"/>
  <c r="V20" i="33"/>
  <c r="S21" i="41" s="1"/>
  <c r="X42" i="34"/>
  <c r="AC42" i="34" s="1"/>
  <c r="X11" i="26"/>
  <c r="AC11" i="26" s="1"/>
  <c r="V33" i="13"/>
  <c r="AE34" i="41" s="1"/>
  <c r="AA53" i="14"/>
  <c r="AF53" i="14" s="1"/>
  <c r="X22" i="18"/>
  <c r="AC22" i="18" s="1"/>
  <c r="X50" i="19"/>
  <c r="AC50" i="19" s="1"/>
  <c r="X7" i="27"/>
  <c r="AC7" i="27" s="1"/>
  <c r="X26" i="21"/>
  <c r="AC26" i="21" s="1"/>
  <c r="X19" i="22"/>
  <c r="AC19" i="22" s="1"/>
  <c r="AD30" i="23"/>
  <c r="AH30" i="23" s="1"/>
  <c r="Z19" i="7"/>
  <c r="AD19" i="7" s="1"/>
  <c r="V10" i="10"/>
  <c r="M11" i="41" s="1"/>
  <c r="Z39" i="10"/>
  <c r="AD39" i="10" s="1"/>
  <c r="V19" i="11"/>
  <c r="P20" i="41" s="1"/>
  <c r="V54" i="11"/>
  <c r="P55" i="41" s="1"/>
  <c r="V35" i="33"/>
  <c r="S36" i="41" s="1"/>
  <c r="X15" i="34"/>
  <c r="AC15" i="34" s="1"/>
  <c r="V50" i="34"/>
  <c r="V51" i="41" s="1"/>
  <c r="V34" i="12"/>
  <c r="Y35" i="41" s="1"/>
  <c r="V13" i="26"/>
  <c r="AB14" i="41" s="1"/>
  <c r="V45" i="26"/>
  <c r="AB46" i="41" s="1"/>
  <c r="Z25" i="13"/>
  <c r="AD25" i="13" s="1"/>
  <c r="AC9" i="14"/>
  <c r="AG9" i="14" s="1"/>
  <c r="AA32" i="14"/>
  <c r="AF32" i="14" s="1"/>
  <c r="Z44" i="33"/>
  <c r="AD44" i="33" s="1"/>
  <c r="V10" i="27"/>
  <c r="BI11" i="41" s="1"/>
  <c r="Z43" i="18"/>
  <c r="AD43" i="18" s="1"/>
  <c r="X23" i="11"/>
  <c r="AC23" i="11" s="1"/>
  <c r="Z45" i="19"/>
  <c r="AD45" i="19" s="1"/>
  <c r="V42" i="19"/>
  <c r="AW43" i="41" s="1"/>
  <c r="V39" i="10"/>
  <c r="M40" i="41" s="1"/>
  <c r="Z31" i="33"/>
  <c r="AD31" i="33" s="1"/>
  <c r="V17" i="12"/>
  <c r="Y18" i="41" s="1"/>
  <c r="V45" i="13"/>
  <c r="AE46" i="41" s="1"/>
  <c r="X40" i="15"/>
  <c r="AK41" i="41" s="1"/>
  <c r="V6" i="19"/>
  <c r="AW7" i="41" s="1"/>
  <c r="X37" i="35"/>
  <c r="AC37" i="35" s="1"/>
  <c r="Z10" i="20"/>
  <c r="AD10" i="20" s="1"/>
  <c r="X15" i="21"/>
  <c r="AC15" i="21" s="1"/>
  <c r="Z5" i="7"/>
  <c r="AD5" i="7" s="1"/>
  <c r="Z24" i="10"/>
  <c r="AD24" i="10" s="1"/>
  <c r="V31" i="11"/>
  <c r="P32" i="41" s="1"/>
  <c r="X28" i="33"/>
  <c r="AC28" i="33" s="1"/>
  <c r="V8" i="34"/>
  <c r="V9" i="41" s="1"/>
  <c r="Z53" i="34"/>
  <c r="AD53" i="34" s="1"/>
  <c r="V47" i="12"/>
  <c r="Y48" i="41" s="1"/>
  <c r="V27" i="26"/>
  <c r="AB28" i="41" s="1"/>
  <c r="X46" i="13"/>
  <c r="AC46" i="13" s="1"/>
  <c r="AA40" i="14"/>
  <c r="AF40" i="14" s="1"/>
  <c r="Z40" i="15"/>
  <c r="AE40" i="15" s="1"/>
  <c r="Z45" i="17"/>
  <c r="AD45" i="17" s="1"/>
  <c r="X48" i="18"/>
  <c r="AC48" i="18" s="1"/>
  <c r="Z52" i="19"/>
  <c r="AD52" i="19" s="1"/>
  <c r="X30" i="35"/>
  <c r="AC30" i="35" s="1"/>
  <c r="X17" i="20"/>
  <c r="AC17" i="20" s="1"/>
  <c r="V21" i="27"/>
  <c r="BI22" i="41" s="1"/>
  <c r="X28" i="21"/>
  <c r="AC28" i="21" s="1"/>
  <c r="AB17" i="23"/>
  <c r="AG17" i="23" s="1"/>
  <c r="X38" i="7"/>
  <c r="AC38" i="7" s="1"/>
  <c r="Z23" i="10"/>
  <c r="AD23" i="10" s="1"/>
  <c r="Z21" i="11"/>
  <c r="AD21" i="11" s="1"/>
  <c r="V8" i="33"/>
  <c r="S9" i="41" s="1"/>
  <c r="X32" i="33"/>
  <c r="AC32" i="33" s="1"/>
  <c r="X31" i="34"/>
  <c r="AC31" i="34" s="1"/>
  <c r="Z18" i="12"/>
  <c r="AD18" i="12" s="1"/>
  <c r="Z48" i="12"/>
  <c r="AD48" i="12" s="1"/>
  <c r="X33" i="26"/>
  <c r="AC33" i="26" s="1"/>
  <c r="Z5" i="13"/>
  <c r="AD5" i="13" s="1"/>
  <c r="AC7" i="14"/>
  <c r="AG7" i="14" s="1"/>
  <c r="AC30" i="14"/>
  <c r="AG30" i="14" s="1"/>
  <c r="Z13" i="15"/>
  <c r="AE13" i="15" s="1"/>
  <c r="V22" i="17"/>
  <c r="AQ23" i="41" s="1"/>
  <c r="Z38" i="18"/>
  <c r="AD38" i="18" s="1"/>
  <c r="V39" i="19"/>
  <c r="AW40" i="41" s="1"/>
  <c r="X19" i="35"/>
  <c r="AC19" i="35" s="1"/>
  <c r="Z25" i="36"/>
  <c r="AD25" i="36" s="1"/>
  <c r="V20" i="27"/>
  <c r="BI21" i="41" s="1"/>
  <c r="X33" i="22"/>
  <c r="AC33" i="22" s="1"/>
  <c r="X50" i="21"/>
  <c r="AC50" i="21" s="1"/>
  <c r="X27" i="22"/>
  <c r="AC27" i="22" s="1"/>
  <c r="AD12" i="23"/>
  <c r="AH12" i="23" s="1"/>
  <c r="AD44" i="23"/>
  <c r="AH44" i="23" s="1"/>
  <c r="X12" i="7"/>
  <c r="AC12" i="7" s="1"/>
  <c r="Z33" i="7"/>
  <c r="AD33" i="7" s="1"/>
  <c r="Z48" i="7"/>
  <c r="AD48" i="7" s="1"/>
  <c r="Z14" i="10"/>
  <c r="AD14" i="10" s="1"/>
  <c r="Z33" i="10"/>
  <c r="AD33" i="10" s="1"/>
  <c r="Z46" i="10"/>
  <c r="AD46" i="10" s="1"/>
  <c r="Z10" i="11"/>
  <c r="AD10" i="11" s="1"/>
  <c r="Z29" i="11"/>
  <c r="AD29" i="11" s="1"/>
  <c r="Z42" i="11"/>
  <c r="AD42" i="11" s="1"/>
  <c r="X11" i="33"/>
  <c r="AC11" i="33" s="1"/>
  <c r="V29" i="33"/>
  <c r="S30" i="41" s="1"/>
  <c r="X43" i="33"/>
  <c r="AC43" i="33" s="1"/>
  <c r="V7" i="34"/>
  <c r="V8" i="41" s="1"/>
  <c r="V26" i="34"/>
  <c r="V27" i="41" s="1"/>
  <c r="V39" i="34"/>
  <c r="V40" i="41" s="1"/>
  <c r="V6" i="12"/>
  <c r="Y7" i="41" s="1"/>
  <c r="X27" i="12"/>
  <c r="AC27" i="12" s="1"/>
  <c r="X41" i="12"/>
  <c r="AC41" i="12" s="1"/>
  <c r="V6" i="26"/>
  <c r="AB7" i="41" s="1"/>
  <c r="Z23" i="26"/>
  <c r="AD23" i="26" s="1"/>
  <c r="V38" i="26"/>
  <c r="AB39" i="41" s="1"/>
  <c r="V50" i="26"/>
  <c r="AB51" i="41" s="1"/>
  <c r="Z17" i="13"/>
  <c r="AD17" i="13" s="1"/>
  <c r="X36" i="13"/>
  <c r="AC36" i="13" s="1"/>
  <c r="X52" i="13"/>
  <c r="AC52" i="13" s="1"/>
  <c r="AC15" i="14"/>
  <c r="AG15" i="14" s="1"/>
  <c r="AA26" i="14"/>
  <c r="AF26" i="14" s="1"/>
  <c r="Y37" i="14"/>
  <c r="AH38" i="41" s="1"/>
  <c r="Y49" i="14"/>
  <c r="AH50" i="41" s="1"/>
  <c r="AB6" i="15"/>
  <c r="AF6" i="15" s="1"/>
  <c r="Z17" i="15"/>
  <c r="AE17" i="15" s="1"/>
  <c r="AB29" i="15"/>
  <c r="AF29" i="15" s="1"/>
  <c r="AB40" i="15"/>
  <c r="AF40" i="15" s="1"/>
  <c r="X49" i="15"/>
  <c r="AK50" i="41" s="1"/>
  <c r="X10" i="17"/>
  <c r="AC10" i="17" s="1"/>
  <c r="X32" i="17"/>
  <c r="AC32" i="17" s="1"/>
  <c r="X43" i="17"/>
  <c r="AC43" i="17" s="1"/>
  <c r="Z53" i="17"/>
  <c r="AD53" i="17" s="1"/>
  <c r="X24" i="18"/>
  <c r="AC24" i="18" s="1"/>
  <c r="X35" i="18"/>
  <c r="AC35" i="18" s="1"/>
  <c r="X46" i="18"/>
  <c r="AC46" i="18" s="1"/>
  <c r="V19" i="19"/>
  <c r="AW20" i="41" s="1"/>
  <c r="Z28" i="19"/>
  <c r="AD28" i="19" s="1"/>
  <c r="V36" i="19"/>
  <c r="AW37" i="41" s="1"/>
  <c r="X12" i="35"/>
  <c r="AC12" i="35" s="1"/>
  <c r="Z19" i="35"/>
  <c r="AD19" i="35" s="1"/>
  <c r="X29" i="35"/>
  <c r="AC29" i="35" s="1"/>
  <c r="X35" i="35"/>
  <c r="AC35" i="35" s="1"/>
  <c r="X14" i="36"/>
  <c r="AC14" i="36" s="1"/>
  <c r="Z45" i="36"/>
  <c r="AD45" i="36" s="1"/>
  <c r="X16" i="20"/>
  <c r="AC16" i="20" s="1"/>
  <c r="Z23" i="20"/>
  <c r="AD23" i="20" s="1"/>
  <c r="V40" i="20"/>
  <c r="BF41" i="41" s="1"/>
  <c r="V24" i="27"/>
  <c r="BI25" i="41" s="1"/>
  <c r="X30" i="27"/>
  <c r="AC30" i="27" s="1"/>
  <c r="X45" i="27"/>
  <c r="AC45" i="27" s="1"/>
  <c r="Z51" i="27"/>
  <c r="AD51" i="27" s="1"/>
  <c r="X8" i="21"/>
  <c r="AC8" i="21" s="1"/>
  <c r="X34" i="21"/>
  <c r="AC34" i="21" s="1"/>
  <c r="Z41" i="21"/>
  <c r="AD41" i="21" s="1"/>
  <c r="Z9" i="22"/>
  <c r="AD9" i="22" s="1"/>
  <c r="X17" i="22"/>
  <c r="AC17" i="22" s="1"/>
  <c r="X50" i="22"/>
  <c r="AC50" i="22" s="1"/>
  <c r="Z7" i="23"/>
  <c r="BR8" i="41" s="1"/>
  <c r="AD24" i="23"/>
  <c r="AH24" i="23" s="1"/>
  <c r="Z36" i="23"/>
  <c r="BR37" i="41" s="1"/>
  <c r="Z24" i="15"/>
  <c r="AE24" i="15" s="1"/>
  <c r="AB33" i="15"/>
  <c r="AF33" i="15" s="1"/>
  <c r="X42" i="15"/>
  <c r="AK43" i="41" s="1"/>
  <c r="X48" i="15"/>
  <c r="AK49" i="41" s="1"/>
  <c r="V6" i="17"/>
  <c r="AQ7" i="41" s="1"/>
  <c r="V13" i="17"/>
  <c r="AQ14" i="41" s="1"/>
  <c r="V20" i="17"/>
  <c r="AQ21" i="41" s="1"/>
  <c r="Z29" i="17"/>
  <c r="AD29" i="17" s="1"/>
  <c r="V38" i="17"/>
  <c r="AQ39" i="41" s="1"/>
  <c r="V45" i="17"/>
  <c r="AQ46" i="41" s="1"/>
  <c r="V54" i="17"/>
  <c r="AQ55" i="41" s="1"/>
  <c r="X12" i="18"/>
  <c r="AC12" i="18" s="1"/>
  <c r="Z20" i="18"/>
  <c r="AD20" i="18" s="1"/>
  <c r="V30" i="18"/>
  <c r="AT31" i="41" s="1"/>
  <c r="V36" i="18"/>
  <c r="AT37" i="41" s="1"/>
  <c r="X44" i="18"/>
  <c r="AC44" i="18" s="1"/>
  <c r="V53" i="18"/>
  <c r="AT54" i="41" s="1"/>
  <c r="X10" i="19"/>
  <c r="AC10" i="19" s="1"/>
  <c r="X17" i="19"/>
  <c r="AC17" i="19" s="1"/>
  <c r="V27" i="19"/>
  <c r="AW28" i="41" s="1"/>
  <c r="X35" i="19"/>
  <c r="AC35" i="19" s="1"/>
  <c r="X42" i="19"/>
  <c r="AC42" i="19" s="1"/>
  <c r="V51" i="19"/>
  <c r="AW52" i="41" s="1"/>
  <c r="X7" i="35"/>
  <c r="AC7" i="35" s="1"/>
  <c r="Z15" i="35"/>
  <c r="AD15" i="35" s="1"/>
  <c r="V25" i="35"/>
  <c r="AZ26" i="41" s="1"/>
  <c r="X33" i="35"/>
  <c r="AC33" i="35" s="1"/>
  <c r="X39" i="35"/>
  <c r="AC39" i="35" s="1"/>
  <c r="X49" i="35"/>
  <c r="AC49" i="35" s="1"/>
  <c r="Z5" i="36"/>
  <c r="AD5" i="36" s="1"/>
  <c r="V19" i="36"/>
  <c r="BC20" i="41" s="1"/>
  <c r="X36" i="36"/>
  <c r="AC36" i="36" s="1"/>
  <c r="V6" i="20"/>
  <c r="BF7" i="41" s="1"/>
  <c r="V12" i="20"/>
  <c r="BF13" i="41" s="1"/>
  <c r="Z31" i="20"/>
  <c r="AD31" i="20" s="1"/>
  <c r="Z37" i="20"/>
  <c r="AD37" i="20" s="1"/>
  <c r="Z42" i="20"/>
  <c r="AD42" i="20" s="1"/>
  <c r="V50" i="20"/>
  <c r="BF51" i="41" s="1"/>
  <c r="X5" i="27"/>
  <c r="AC5" i="27" s="1"/>
  <c r="X10" i="27"/>
  <c r="AC10" i="27" s="1"/>
  <c r="X16" i="27"/>
  <c r="AC16" i="27" s="1"/>
  <c r="Z34" i="27"/>
  <c r="AD34" i="27" s="1"/>
  <c r="Z39" i="27"/>
  <c r="AD39" i="27" s="1"/>
  <c r="Z45" i="27"/>
  <c r="AD45" i="27" s="1"/>
  <c r="V52" i="27"/>
  <c r="BI53" i="41" s="1"/>
  <c r="X7" i="21"/>
  <c r="AC7" i="21" s="1"/>
  <c r="V12" i="21"/>
  <c r="BL13" i="41" s="1"/>
  <c r="X29" i="21"/>
  <c r="AC29" i="21" s="1"/>
  <c r="X36" i="21"/>
  <c r="AC36" i="21" s="1"/>
  <c r="X41" i="21"/>
  <c r="AC41" i="21" s="1"/>
  <c r="Z48" i="21"/>
  <c r="AD48" i="21" s="1"/>
  <c r="V54" i="21"/>
  <c r="BL55" i="41" s="1"/>
  <c r="X11" i="22"/>
  <c r="AC11" i="22" s="1"/>
  <c r="V25" i="22"/>
  <c r="BO26" i="41" s="1"/>
  <c r="Z48" i="22"/>
  <c r="AD48" i="22" s="1"/>
  <c r="V54" i="22"/>
  <c r="BO55" i="41" s="1"/>
  <c r="AB11" i="23"/>
  <c r="AG11" i="23" s="1"/>
  <c r="AB16" i="23"/>
  <c r="AG16" i="23" s="1"/>
  <c r="AB21" i="23"/>
  <c r="AG21" i="23" s="1"/>
  <c r="AD33" i="23"/>
  <c r="AH33" i="23" s="1"/>
  <c r="AD38" i="23"/>
  <c r="AH38" i="23" s="1"/>
  <c r="V33" i="36"/>
  <c r="BC34" i="41" s="1"/>
  <c r="Z43" i="36"/>
  <c r="AD43" i="36" s="1"/>
  <c r="X54" i="36"/>
  <c r="AC54" i="36" s="1"/>
  <c r="X11" i="20"/>
  <c r="AC11" i="20" s="1"/>
  <c r="V16" i="20"/>
  <c r="BF17" i="41" s="1"/>
  <c r="V23" i="20"/>
  <c r="BF24" i="41" s="1"/>
  <c r="V29" i="20"/>
  <c r="BF30" i="41" s="1"/>
  <c r="V35" i="20"/>
  <c r="BF36" i="41" s="1"/>
  <c r="V42" i="20"/>
  <c r="BF43" i="41" s="1"/>
  <c r="Z46" i="20"/>
  <c r="AD46" i="20" s="1"/>
  <c r="V52" i="20"/>
  <c r="BF53" i="41" s="1"/>
  <c r="X8" i="27"/>
  <c r="AC8" i="27" s="1"/>
  <c r="X14" i="27"/>
  <c r="AC14" i="27" s="1"/>
  <c r="X21" i="27"/>
  <c r="AC21" i="27" s="1"/>
  <c r="V26" i="27"/>
  <c r="BI27" i="41" s="1"/>
  <c r="X33" i="27"/>
  <c r="AC33" i="27" s="1"/>
  <c r="V38" i="27"/>
  <c r="BI39" i="41" s="1"/>
  <c r="V45" i="27"/>
  <c r="BI46" i="41" s="1"/>
  <c r="V50" i="27"/>
  <c r="BI51" i="41" s="1"/>
  <c r="X5" i="21"/>
  <c r="AC5" i="21" s="1"/>
  <c r="X12" i="21"/>
  <c r="AC12" i="21" s="1"/>
  <c r="X18" i="21"/>
  <c r="AC18" i="21" s="1"/>
  <c r="X24" i="21"/>
  <c r="AC24" i="21" s="1"/>
  <c r="X31" i="21"/>
  <c r="AC31" i="21" s="1"/>
  <c r="V36" i="21"/>
  <c r="BL37" i="41" s="1"/>
  <c r="Z10" i="22"/>
  <c r="AD10" i="22" s="1"/>
  <c r="V18" i="22"/>
  <c r="BO19" i="41" s="1"/>
  <c r="V23" i="22"/>
  <c r="BO24" i="41" s="1"/>
  <c r="V30" i="22"/>
  <c r="BO31" i="41" s="1"/>
  <c r="V35" i="22"/>
  <c r="BO36" i="41" s="1"/>
  <c r="V41" i="22"/>
  <c r="BO42" i="41" s="1"/>
  <c r="AD20" i="23"/>
  <c r="AH20" i="23" s="1"/>
  <c r="AD25" i="23"/>
  <c r="AH25" i="23" s="1"/>
  <c r="AD31" i="23"/>
  <c r="AH31" i="23" s="1"/>
  <c r="Z38" i="23"/>
  <c r="BR39" i="41" s="1"/>
  <c r="AD42" i="23"/>
  <c r="AH42" i="23" s="1"/>
  <c r="Z45" i="21"/>
  <c r="AD45" i="21" s="1"/>
  <c r="Z50" i="21"/>
  <c r="AD50" i="21" s="1"/>
  <c r="Z5" i="22"/>
  <c r="AD5" i="22" s="1"/>
  <c r="Z11" i="22"/>
  <c r="AD11" i="22" s="1"/>
  <c r="Z17" i="22"/>
  <c r="AD17" i="22" s="1"/>
  <c r="Z24" i="22"/>
  <c r="AD24" i="22" s="1"/>
  <c r="X29" i="22"/>
  <c r="AC29" i="22" s="1"/>
  <c r="Z36" i="22"/>
  <c r="AD36" i="22" s="1"/>
  <c r="X41" i="22"/>
  <c r="AC41" i="22" s="1"/>
  <c r="X48" i="22"/>
  <c r="AC48" i="22" s="1"/>
  <c r="Z53" i="22"/>
  <c r="AD53" i="22" s="1"/>
  <c r="AD9" i="23"/>
  <c r="AH9" i="23" s="1"/>
  <c r="AD15" i="23"/>
  <c r="AH15" i="23" s="1"/>
  <c r="AD21" i="23"/>
  <c r="AH21" i="23" s="1"/>
  <c r="AD28" i="23"/>
  <c r="AH28" i="23" s="1"/>
  <c r="AB33" i="23"/>
  <c r="AG33" i="23" s="1"/>
  <c r="AD40" i="23"/>
  <c r="AH40" i="23" s="1"/>
  <c r="AB45" i="23"/>
  <c r="AG45" i="23" s="1"/>
  <c r="AD51" i="23"/>
  <c r="AH51" i="23" s="1"/>
  <c r="V28" i="19"/>
  <c r="AW29" i="41" s="1"/>
  <c r="V44" i="35"/>
  <c r="AZ45" i="41" s="1"/>
  <c r="X8" i="36"/>
  <c r="AC8" i="36" s="1"/>
  <c r="X40" i="36"/>
  <c r="AC40" i="36" s="1"/>
  <c r="X7" i="20"/>
  <c r="AC7" i="20" s="1"/>
  <c r="V34" i="20"/>
  <c r="BF35" i="41" s="1"/>
  <c r="V39" i="20"/>
  <c r="BF40" i="41" s="1"/>
  <c r="X51" i="20"/>
  <c r="AC51" i="20" s="1"/>
  <c r="Z6" i="27"/>
  <c r="AD6" i="27" s="1"/>
  <c r="Z28" i="27"/>
  <c r="AD28" i="27" s="1"/>
  <c r="V36" i="27"/>
  <c r="BI37" i="41" s="1"/>
  <c r="V48" i="27"/>
  <c r="BI49" i="41" s="1"/>
  <c r="Z8" i="21"/>
  <c r="AD8" i="21" s="1"/>
  <c r="X13" i="21"/>
  <c r="AC13" i="21" s="1"/>
  <c r="Z37" i="21"/>
  <c r="AD37" i="21" s="1"/>
  <c r="Z42" i="21"/>
  <c r="AD42" i="21" s="1"/>
  <c r="X6" i="22"/>
  <c r="AC6" i="22" s="1"/>
  <c r="Z12" i="22"/>
  <c r="AD12" i="22" s="1"/>
  <c r="V50" i="22"/>
  <c r="BO51" i="41" s="1"/>
  <c r="AB5" i="23"/>
  <c r="AG5" i="23" s="1"/>
  <c r="AD17" i="23"/>
  <c r="AH17" i="23" s="1"/>
  <c r="Z35" i="23"/>
  <c r="BR36" i="41" s="1"/>
  <c r="Z40" i="23"/>
  <c r="BR41" i="41" s="1"/>
  <c r="X46" i="36"/>
  <c r="AC46" i="36" s="1"/>
  <c r="X12" i="20"/>
  <c r="AC12" i="20" s="1"/>
  <c r="X18" i="20"/>
  <c r="AC18" i="20" s="1"/>
  <c r="X31" i="20"/>
  <c r="AC31" i="20" s="1"/>
  <c r="X43" i="20"/>
  <c r="AC43" i="20" s="1"/>
  <c r="V48" i="20"/>
  <c r="BF49" i="41" s="1"/>
  <c r="Z10" i="27"/>
  <c r="AD10" i="27" s="1"/>
  <c r="X15" i="27"/>
  <c r="AC15" i="27" s="1"/>
  <c r="X27" i="27"/>
  <c r="AC27" i="27" s="1"/>
  <c r="X34" i="27"/>
  <c r="AC34" i="27" s="1"/>
  <c r="X46" i="27"/>
  <c r="AC46" i="27" s="1"/>
  <c r="X51" i="27"/>
  <c r="AC51" i="27" s="1"/>
  <c r="Z13" i="21"/>
  <c r="AD13" i="21" s="1"/>
  <c r="X25" i="21"/>
  <c r="AC25" i="21" s="1"/>
  <c r="Z32" i="21"/>
  <c r="AD32" i="21" s="1"/>
  <c r="V12" i="22"/>
  <c r="BO13" i="41" s="1"/>
  <c r="V24" i="22"/>
  <c r="BO25" i="41" s="1"/>
  <c r="X31" i="22"/>
  <c r="AC31" i="22" s="1"/>
  <c r="AD14" i="23"/>
  <c r="AH14" i="23" s="1"/>
  <c r="Z22" i="23"/>
  <c r="BR23" i="41" s="1"/>
  <c r="Z34" i="23"/>
  <c r="BR35" i="41" s="1"/>
  <c r="Z39" i="23"/>
  <c r="BR40" i="41" s="1"/>
  <c r="Z46" i="21"/>
  <c r="AD46" i="21" s="1"/>
  <c r="V7" i="22"/>
  <c r="BO8" i="41" s="1"/>
  <c r="Z18" i="22"/>
  <c r="AD18" i="22" s="1"/>
  <c r="V26" i="22"/>
  <c r="BO27" i="41" s="1"/>
  <c r="Z37" i="22"/>
  <c r="AD37" i="22" s="1"/>
  <c r="Z43" i="22"/>
  <c r="AD43" i="22" s="1"/>
  <c r="Z5" i="23"/>
  <c r="BR6" i="41" s="1"/>
  <c r="Z11" i="23"/>
  <c r="BR12" i="41" s="1"/>
  <c r="AD22" i="23"/>
  <c r="AH22" i="23" s="1"/>
  <c r="AD34" i="23"/>
  <c r="AH34" i="23" s="1"/>
  <c r="AD41" i="23"/>
  <c r="AH41" i="23" s="1"/>
  <c r="Z53" i="23"/>
  <c r="BR54" i="41" s="1"/>
  <c r="V15" i="18"/>
  <c r="AT16" i="41" s="1"/>
  <c r="Z14" i="34"/>
  <c r="AD14" i="34" s="1"/>
  <c r="X52" i="20"/>
  <c r="AC52" i="20" s="1"/>
  <c r="Z22" i="26"/>
  <c r="AD22" i="26" s="1"/>
  <c r="Z34" i="12"/>
  <c r="AD34" i="12" s="1"/>
  <c r="Z46" i="11"/>
  <c r="AD46" i="11" s="1"/>
  <c r="X16" i="34"/>
  <c r="AC16" i="34" s="1"/>
  <c r="AC48" i="14"/>
  <c r="AG48" i="14" s="1"/>
  <c r="Z17" i="36"/>
  <c r="AD17" i="36" s="1"/>
  <c r="V9" i="22"/>
  <c r="BO10" i="41" s="1"/>
  <c r="X45" i="10"/>
  <c r="AC45" i="10" s="1"/>
  <c r="X45" i="33"/>
  <c r="AC45" i="33" s="1"/>
  <c r="V25" i="12"/>
  <c r="Y26" i="41" s="1"/>
  <c r="X54" i="26"/>
  <c r="AC54" i="26" s="1"/>
  <c r="AB21" i="15"/>
  <c r="AF21" i="15" s="1"/>
  <c r="X7" i="18"/>
  <c r="AC7" i="18" s="1"/>
  <c r="V13" i="35"/>
  <c r="AZ14" i="41" s="1"/>
  <c r="Z51" i="20"/>
  <c r="AD51" i="20" s="1"/>
  <c r="V28" i="22"/>
  <c r="BO29" i="41" s="1"/>
  <c r="Z12" i="10"/>
  <c r="AD12" i="10" s="1"/>
  <c r="V34" i="11"/>
  <c r="P35" i="41" s="1"/>
  <c r="X19" i="34"/>
  <c r="AC19" i="34" s="1"/>
  <c r="V38" i="12"/>
  <c r="Y39" i="41" s="1"/>
  <c r="Z45" i="26"/>
  <c r="AD45" i="26" s="1"/>
  <c r="AC18" i="14"/>
  <c r="AG18" i="14" s="1"/>
  <c r="Z9" i="17"/>
  <c r="AD9" i="17" s="1"/>
  <c r="X51" i="18"/>
  <c r="AC51" i="18" s="1"/>
  <c r="X48" i="35"/>
  <c r="AC48" i="35" s="1"/>
  <c r="Z24" i="21"/>
  <c r="AD24" i="21" s="1"/>
  <c r="Z33" i="22"/>
  <c r="AD33" i="22" s="1"/>
  <c r="Z54" i="23"/>
  <c r="BR55" i="41" s="1"/>
  <c r="V40" i="7"/>
  <c r="J41" i="41" s="1"/>
  <c r="V23" i="10"/>
  <c r="M24" i="41" s="1"/>
  <c r="V6" i="11"/>
  <c r="P7" i="41" s="1"/>
  <c r="Z36" i="11"/>
  <c r="AD36" i="11" s="1"/>
  <c r="X18" i="33"/>
  <c r="AC18" i="33" s="1"/>
  <c r="V52" i="33"/>
  <c r="S53" i="41" s="1"/>
  <c r="Z30" i="34"/>
  <c r="AD30" i="34" s="1"/>
  <c r="Z14" i="12"/>
  <c r="AD14" i="12" s="1"/>
  <c r="Z50" i="12"/>
  <c r="AD50" i="12" s="1"/>
  <c r="Z29" i="26"/>
  <c r="AD29" i="26" s="1"/>
  <c r="V7" i="13"/>
  <c r="AE8" i="41" s="1"/>
  <c r="V47" i="13"/>
  <c r="AE48" i="41" s="1"/>
  <c r="AA20" i="14"/>
  <c r="AF20" i="14" s="1"/>
  <c r="V11" i="11"/>
  <c r="P12" i="41" s="1"/>
  <c r="Z6" i="18"/>
  <c r="AD6" i="18" s="1"/>
  <c r="Z50" i="34"/>
  <c r="AD50" i="34" s="1"/>
  <c r="V30" i="35"/>
  <c r="AZ31" i="41" s="1"/>
  <c r="X23" i="10"/>
  <c r="AC23" i="10" s="1"/>
  <c r="X48" i="34"/>
  <c r="AC48" i="34" s="1"/>
  <c r="AC36" i="14"/>
  <c r="AG36" i="14" s="1"/>
  <c r="Z48" i="19"/>
  <c r="AD48" i="19" s="1"/>
  <c r="X10" i="21"/>
  <c r="AC10" i="21" s="1"/>
  <c r="V18" i="11"/>
  <c r="P19" i="41" s="1"/>
  <c r="V14" i="12"/>
  <c r="Y15" i="41" s="1"/>
  <c r="X50" i="13"/>
  <c r="AC50" i="13" s="1"/>
  <c r="Z29" i="18"/>
  <c r="AD29" i="18" s="1"/>
  <c r="V16" i="27"/>
  <c r="BI17" i="41" s="1"/>
  <c r="X38" i="22"/>
  <c r="AC38" i="22" s="1"/>
  <c r="X46" i="7"/>
  <c r="AC46" i="7" s="1"/>
  <c r="V7" i="11"/>
  <c r="P8" i="41" s="1"/>
  <c r="V23" i="33"/>
  <c r="S24" i="41" s="1"/>
  <c r="V38" i="34"/>
  <c r="V39" i="41" s="1"/>
  <c r="V52" i="12"/>
  <c r="Y53" i="41" s="1"/>
  <c r="Z9" i="13"/>
  <c r="AD9" i="13" s="1"/>
  <c r="Y24" i="14"/>
  <c r="AH25" i="41" s="1"/>
  <c r="AC51" i="14"/>
  <c r="AG51" i="14" s="1"/>
  <c r="AB24" i="15"/>
  <c r="AF24" i="15" s="1"/>
  <c r="Z45" i="15"/>
  <c r="AE45" i="15" s="1"/>
  <c r="X26" i="17"/>
  <c r="AC26" i="17" s="1"/>
  <c r="X48" i="17"/>
  <c r="AC48" i="17" s="1"/>
  <c r="X29" i="18"/>
  <c r="AC29" i="18" s="1"/>
  <c r="V13" i="19"/>
  <c r="AW14" i="41" s="1"/>
  <c r="Z32" i="19"/>
  <c r="AD32" i="19" s="1"/>
  <c r="V17" i="35"/>
  <c r="AZ18" i="41" s="1"/>
  <c r="V32" i="35"/>
  <c r="AZ33" i="41" s="1"/>
  <c r="V25" i="36"/>
  <c r="BC26" i="41" s="1"/>
  <c r="V20" i="20"/>
  <c r="BF21" i="41" s="1"/>
  <c r="V18" i="27"/>
  <c r="BI19" i="41" s="1"/>
  <c r="V34" i="27"/>
  <c r="BI35" i="41" s="1"/>
  <c r="Z5" i="21"/>
  <c r="AD5" i="21" s="1"/>
  <c r="V38" i="21"/>
  <c r="BL39" i="41" s="1"/>
  <c r="Z13" i="22"/>
  <c r="AD13" i="22" s="1"/>
  <c r="X54" i="22"/>
  <c r="AC54" i="22" s="1"/>
  <c r="AB27" i="23"/>
  <c r="AG27" i="23" s="1"/>
  <c r="X29" i="15"/>
  <c r="AK30" i="41" s="1"/>
  <c r="AB45" i="15"/>
  <c r="AF45" i="15" s="1"/>
  <c r="X8" i="17"/>
  <c r="AC8" i="17" s="1"/>
  <c r="V26" i="17"/>
  <c r="AQ27" i="41" s="1"/>
  <c r="X41" i="17"/>
  <c r="AC41" i="17" s="1"/>
  <c r="Z8" i="18"/>
  <c r="AD8" i="18" s="1"/>
  <c r="V24" i="18"/>
  <c r="AT25" i="41" s="1"/>
  <c r="V42" i="18"/>
  <c r="AT43" i="41" s="1"/>
  <c r="Z5" i="19"/>
  <c r="AD5" i="19" s="1"/>
  <c r="X23" i="19"/>
  <c r="AC23" i="19" s="1"/>
  <c r="Z38" i="19"/>
  <c r="AD38" i="19" s="1"/>
  <c r="Z53" i="19"/>
  <c r="AD53" i="19" s="1"/>
  <c r="X20" i="35"/>
  <c r="AC20" i="35" s="1"/>
  <c r="V37" i="35"/>
  <c r="AZ38" i="41" s="1"/>
  <c r="V52" i="35"/>
  <c r="AZ53" i="41" s="1"/>
  <c r="V27" i="36"/>
  <c r="BC28" i="41" s="1"/>
  <c r="Z9" i="20"/>
  <c r="AD9" i="20" s="1"/>
  <c r="X35" i="20"/>
  <c r="AC35" i="20" s="1"/>
  <c r="X47" i="20"/>
  <c r="AC47" i="20" s="1"/>
  <c r="V8" i="27"/>
  <c r="BI9" i="41" s="1"/>
  <c r="V30" i="27"/>
  <c r="BI31" i="41" s="1"/>
  <c r="V42" i="27"/>
  <c r="BI43" i="41" s="1"/>
  <c r="Z54" i="27"/>
  <c r="AD54" i="27" s="1"/>
  <c r="Z15" i="21"/>
  <c r="AD15" i="21" s="1"/>
  <c r="V39" i="21"/>
  <c r="BL40" i="41" s="1"/>
  <c r="X51" i="21"/>
  <c r="AC51" i="21" s="1"/>
  <c r="X21" i="22"/>
  <c r="AC21" i="22" s="1"/>
  <c r="X51" i="22"/>
  <c r="AC51" i="22" s="1"/>
  <c r="AD13" i="23"/>
  <c r="AH13" i="23" s="1"/>
  <c r="AB31" i="23"/>
  <c r="AG31" i="23" s="1"/>
  <c r="AB42" i="23"/>
  <c r="AG42" i="23" s="1"/>
  <c r="V49" i="36"/>
  <c r="BC50" i="41" s="1"/>
  <c r="Z13" i="20"/>
  <c r="AD13" i="20" s="1"/>
  <c r="X25" i="20"/>
  <c r="AC25" i="20" s="1"/>
  <c r="X37" i="20"/>
  <c r="AC37" i="20" s="1"/>
  <c r="X49" i="20"/>
  <c r="AC49" i="20" s="1"/>
  <c r="V12" i="27"/>
  <c r="BI13" i="41" s="1"/>
  <c r="Z23" i="27"/>
  <c r="AD23" i="27" s="1"/>
  <c r="Z35" i="27"/>
  <c r="AD35" i="27" s="1"/>
  <c r="X47" i="27"/>
  <c r="AC47" i="27" s="1"/>
  <c r="V10" i="21"/>
  <c r="BL11" i="41" s="1"/>
  <c r="V22" i="21"/>
  <c r="BL23" i="41" s="1"/>
  <c r="Z33" i="21"/>
  <c r="AD33" i="21" s="1"/>
  <c r="X14" i="22"/>
  <c r="AC14" i="22" s="1"/>
  <c r="X25" i="22"/>
  <c r="AC25" i="22" s="1"/>
  <c r="X37" i="22"/>
  <c r="AC37" i="22" s="1"/>
  <c r="Z23" i="23"/>
  <c r="BR24" i="41" s="1"/>
  <c r="AB35" i="23"/>
  <c r="AG35" i="23" s="1"/>
  <c r="X43" i="21"/>
  <c r="AC43" i="21" s="1"/>
  <c r="X53" i="21"/>
  <c r="AC53" i="21" s="1"/>
  <c r="X15" i="22"/>
  <c r="AC15" i="22" s="1"/>
  <c r="V27" i="22"/>
  <c r="BO28" i="41" s="1"/>
  <c r="V39" i="22"/>
  <c r="BO40" i="41" s="1"/>
  <c r="V51" i="22"/>
  <c r="BO52" i="41" s="1"/>
  <c r="Z12" i="23"/>
  <c r="BR13" i="41" s="1"/>
  <c r="Z24" i="23"/>
  <c r="BR25" i="41" s="1"/>
  <c r="Z37" i="23"/>
  <c r="BR38" i="41" s="1"/>
  <c r="Z49" i="23"/>
  <c r="BR50" i="41" s="1"/>
  <c r="Z31" i="23"/>
  <c r="BR32" i="41" s="1"/>
  <c r="AB54" i="23"/>
  <c r="AG54" i="23" s="1"/>
  <c r="X29" i="33"/>
  <c r="AC29" i="33" s="1"/>
  <c r="Z6" i="34"/>
  <c r="AD6" i="34" s="1"/>
  <c r="Z35" i="18"/>
  <c r="AD35" i="18" s="1"/>
  <c r="V19" i="10"/>
  <c r="M20" i="41" s="1"/>
  <c r="V52" i="26"/>
  <c r="AB53" i="41" s="1"/>
  <c r="V5" i="36"/>
  <c r="BC6" i="41" s="1"/>
  <c r="V25" i="7"/>
  <c r="J26" i="41" s="1"/>
  <c r="X5" i="33"/>
  <c r="AC5" i="33" s="1"/>
  <c r="V40" i="12"/>
  <c r="Y41" i="41" s="1"/>
  <c r="Y12" i="14"/>
  <c r="AH13" i="41" s="1"/>
  <c r="Z16" i="15"/>
  <c r="AE16" i="15" s="1"/>
  <c r="Z6" i="17"/>
  <c r="AD6" i="17" s="1"/>
  <c r="X23" i="18"/>
  <c r="AC23" i="18" s="1"/>
  <c r="X26" i="19"/>
  <c r="AC26" i="19" s="1"/>
  <c r="Z25" i="35"/>
  <c r="AD25" i="35" s="1"/>
  <c r="V15" i="20"/>
  <c r="BF16" i="41" s="1"/>
  <c r="V29" i="27"/>
  <c r="BI30" i="41" s="1"/>
  <c r="Z30" i="21"/>
  <c r="AD30" i="21" s="1"/>
  <c r="V49" i="22"/>
  <c r="BO50" i="41" s="1"/>
  <c r="AB39" i="15"/>
  <c r="AF39" i="15" s="1"/>
  <c r="V19" i="17"/>
  <c r="AQ20" i="41" s="1"/>
  <c r="X51" i="17"/>
  <c r="AC51" i="17" s="1"/>
  <c r="Z34" i="18"/>
  <c r="AD34" i="18" s="1"/>
  <c r="X16" i="19"/>
  <c r="AC16" i="19" s="1"/>
  <c r="X48" i="19"/>
  <c r="AC48" i="19" s="1"/>
  <c r="X14" i="35"/>
  <c r="AC14" i="35" s="1"/>
  <c r="Z46" i="35"/>
  <c r="AD46" i="35" s="1"/>
  <c r="V51" i="36"/>
  <c r="BC52" i="41" s="1"/>
  <c r="X41" i="20"/>
  <c r="AC41" i="20" s="1"/>
  <c r="V14" i="27"/>
  <c r="BI15" i="41" s="1"/>
  <c r="V11" i="21"/>
  <c r="BL12" i="41" s="1"/>
  <c r="X47" i="21"/>
  <c r="AC47" i="21" s="1"/>
  <c r="X46" i="22"/>
  <c r="AC46" i="22" s="1"/>
  <c r="Z20" i="23"/>
  <c r="BR21" i="41" s="1"/>
  <c r="V41" i="36"/>
  <c r="BC42" i="41" s="1"/>
  <c r="V22" i="20"/>
  <c r="BF23" i="41" s="1"/>
  <c r="Z45" i="20"/>
  <c r="AD45" i="20" s="1"/>
  <c r="V19" i="27"/>
  <c r="BI20" i="41" s="1"/>
  <c r="V44" i="27"/>
  <c r="BI45" i="41" s="1"/>
  <c r="V16" i="21"/>
  <c r="BL17" i="41" s="1"/>
  <c r="V42" i="21"/>
  <c r="BL43" i="41" s="1"/>
  <c r="V34" i="22"/>
  <c r="BO35" i="41" s="1"/>
  <c r="AB29" i="23"/>
  <c r="AG29" i="23" s="1"/>
  <c r="X49" i="21"/>
  <c r="AC49" i="21" s="1"/>
  <c r="X22" i="22"/>
  <c r="AC22" i="22" s="1"/>
  <c r="X47" i="22"/>
  <c r="AC47" i="22" s="1"/>
  <c r="AB20" i="23"/>
  <c r="AG20" i="23" s="1"/>
  <c r="Z44" i="23"/>
  <c r="BR45" i="41" s="1"/>
  <c r="AA52" i="14"/>
  <c r="AF52" i="14" s="1"/>
  <c r="Z22" i="18"/>
  <c r="AD22" i="18" s="1"/>
  <c r="Z21" i="13"/>
  <c r="AD21" i="13" s="1"/>
  <c r="X8" i="20"/>
  <c r="AC8" i="20" s="1"/>
  <c r="X10" i="11"/>
  <c r="AC10" i="11" s="1"/>
  <c r="V43" i="12"/>
  <c r="Y44" i="41" s="1"/>
  <c r="X39" i="15"/>
  <c r="AK40" i="41" s="1"/>
  <c r="Z26" i="35"/>
  <c r="AD26" i="35" s="1"/>
  <c r="V42" i="22"/>
  <c r="BO43" i="41" s="1"/>
  <c r="V40" i="11"/>
  <c r="P41" i="41" s="1"/>
  <c r="Z44" i="12"/>
  <c r="AD44" i="12" s="1"/>
  <c r="AA27" i="14"/>
  <c r="AF27" i="14" s="1"/>
  <c r="X25" i="19"/>
  <c r="AC25" i="19" s="1"/>
  <c r="X24" i="22"/>
  <c r="AC24" i="22" s="1"/>
  <c r="AB43" i="23"/>
  <c r="AG43" i="23" s="1"/>
  <c r="X11" i="10"/>
  <c r="AC11" i="10" s="1"/>
  <c r="Z23" i="11"/>
  <c r="AD23" i="11" s="1"/>
  <c r="V42" i="33"/>
  <c r="S43" i="41" s="1"/>
  <c r="X51" i="34"/>
  <c r="AC51" i="34" s="1"/>
  <c r="Z17" i="26"/>
  <c r="AD17" i="26" s="1"/>
  <c r="V31" i="13"/>
  <c r="AE32" i="41" s="1"/>
  <c r="AA33" i="14"/>
  <c r="AF33" i="14" s="1"/>
  <c r="AB5" i="15"/>
  <c r="AF5" i="15" s="1"/>
  <c r="AB25" i="15"/>
  <c r="AF25" i="15" s="1"/>
  <c r="AB47" i="15"/>
  <c r="AF47" i="15" s="1"/>
  <c r="V31" i="17"/>
  <c r="AQ32" i="41" s="1"/>
  <c r="Z49" i="17"/>
  <c r="AD49" i="17" s="1"/>
  <c r="V33" i="18"/>
  <c r="AT34" i="41" s="1"/>
  <c r="Z16" i="19"/>
  <c r="AD16" i="19" s="1"/>
  <c r="Z33" i="19"/>
  <c r="AD33" i="19" s="1"/>
  <c r="X18" i="35"/>
  <c r="AC18" i="35" s="1"/>
  <c r="X34" i="35"/>
  <c r="AC34" i="35" s="1"/>
  <c r="V29" i="36"/>
  <c r="BC30" i="41" s="1"/>
  <c r="X21" i="20"/>
  <c r="AC21" i="20" s="1"/>
  <c r="Z21" i="27"/>
  <c r="AD21" i="27" s="1"/>
  <c r="X35" i="27"/>
  <c r="AC35" i="27" s="1"/>
  <c r="V7" i="21"/>
  <c r="BL8" i="41" s="1"/>
  <c r="Z40" i="21"/>
  <c r="AD40" i="21" s="1"/>
  <c r="V15" i="22"/>
  <c r="BO16" i="41" s="1"/>
  <c r="AD5" i="23"/>
  <c r="AH5" i="23" s="1"/>
  <c r="AD29" i="23"/>
  <c r="AH29" i="23" s="1"/>
  <c r="Z31" i="15"/>
  <c r="AE31" i="15" s="1"/>
  <c r="AB46" i="15"/>
  <c r="AF46" i="15" s="1"/>
  <c r="Z10" i="17"/>
  <c r="AD10" i="17" s="1"/>
  <c r="X27" i="17"/>
  <c r="AC27" i="17" s="1"/>
  <c r="Z42" i="17"/>
  <c r="AD42" i="17" s="1"/>
  <c r="V11" i="18"/>
  <c r="AT12" i="41" s="1"/>
  <c r="X25" i="18"/>
  <c r="AC25" i="18" s="1"/>
  <c r="V43" i="18"/>
  <c r="AT44" i="41" s="1"/>
  <c r="V8" i="19"/>
  <c r="AW9" i="41" s="1"/>
  <c r="Z24" i="19"/>
  <c r="AD24" i="19" s="1"/>
  <c r="V40" i="19"/>
  <c r="AW41" i="41" s="1"/>
  <c r="V6" i="35"/>
  <c r="AZ7" i="41" s="1"/>
  <c r="Z22" i="35"/>
  <c r="AD22" i="35" s="1"/>
  <c r="V38" i="35"/>
  <c r="AZ39" i="41" s="1"/>
  <c r="Z54" i="35"/>
  <c r="AD54" i="35" s="1"/>
  <c r="Z29" i="36"/>
  <c r="AD29" i="36" s="1"/>
  <c r="V11" i="20"/>
  <c r="BF12" i="41" s="1"/>
  <c r="X36" i="20"/>
  <c r="AC36" i="20" s="1"/>
  <c r="Z48" i="20"/>
  <c r="AD48" i="20" s="1"/>
  <c r="X9" i="27"/>
  <c r="AC9" i="27" s="1"/>
  <c r="X32" i="27"/>
  <c r="AC32" i="27" s="1"/>
  <c r="X43" i="27"/>
  <c r="AC43" i="27" s="1"/>
  <c r="V6" i="21"/>
  <c r="BL7" i="41" s="1"/>
  <c r="V28" i="21"/>
  <c r="BL29" i="41" s="1"/>
  <c r="X40" i="21"/>
  <c r="AC40" i="21" s="1"/>
  <c r="Z52" i="21"/>
  <c r="AD52" i="21" s="1"/>
  <c r="Z22" i="22"/>
  <c r="AD22" i="22" s="1"/>
  <c r="Z52" i="22"/>
  <c r="AD52" i="22" s="1"/>
  <c r="Z15" i="23"/>
  <c r="BR16" i="41" s="1"/>
  <c r="AD32" i="23"/>
  <c r="AH32" i="23" s="1"/>
  <c r="X30" i="36"/>
  <c r="AC30" i="36" s="1"/>
  <c r="Z51" i="36"/>
  <c r="AD51" i="36" s="1"/>
  <c r="Z14" i="20"/>
  <c r="AD14" i="20" s="1"/>
  <c r="Z26" i="20"/>
  <c r="AD26" i="20" s="1"/>
  <c r="Z39" i="20"/>
  <c r="AD39" i="20" s="1"/>
  <c r="Z50" i="20"/>
  <c r="AD50" i="20" s="1"/>
  <c r="V13" i="27"/>
  <c r="BI14" i="41" s="1"/>
  <c r="V25" i="27"/>
  <c r="BI26" i="41" s="1"/>
  <c r="Z36" i="27"/>
  <c r="AD36" i="27" s="1"/>
  <c r="Z48" i="27"/>
  <c r="AD48" i="27" s="1"/>
  <c r="X11" i="21"/>
  <c r="AC11" i="21" s="1"/>
  <c r="V23" i="21"/>
  <c r="BL24" i="41" s="1"/>
  <c r="V35" i="21"/>
  <c r="BL36" i="41" s="1"/>
  <c r="Z16" i="22"/>
  <c r="AD16" i="22" s="1"/>
  <c r="Z27" i="22"/>
  <c r="AD27" i="22" s="1"/>
  <c r="Z38" i="22"/>
  <c r="AD38" i="22" s="1"/>
  <c r="AB24" i="23"/>
  <c r="AG24" i="23" s="1"/>
  <c r="AD36" i="23"/>
  <c r="AH36" i="23" s="1"/>
  <c r="X44" i="21"/>
  <c r="AC44" i="21" s="1"/>
  <c r="Z54" i="21"/>
  <c r="AD54" i="21" s="1"/>
  <c r="X16" i="22"/>
  <c r="AC16" i="22" s="1"/>
  <c r="X28" i="22"/>
  <c r="AC28" i="22" s="1"/>
  <c r="V40" i="22"/>
  <c r="BO41" i="41" s="1"/>
  <c r="X52" i="22"/>
  <c r="AC52" i="22" s="1"/>
  <c r="AB13" i="23"/>
  <c r="AG13" i="23" s="1"/>
  <c r="AB26" i="23"/>
  <c r="AG26" i="23" s="1"/>
  <c r="AB39" i="23"/>
  <c r="AG39" i="23" s="1"/>
  <c r="AB50" i="23"/>
  <c r="AG50" i="23" s="1"/>
  <c r="AC16" i="14"/>
  <c r="AG16" i="14" s="1"/>
  <c r="X13" i="10"/>
  <c r="AC13" i="10" s="1"/>
  <c r="AB38" i="15"/>
  <c r="AF38" i="15" s="1"/>
  <c r="X52" i="27"/>
  <c r="AC52" i="27" s="1"/>
  <c r="Z24" i="33"/>
  <c r="AD24" i="33" s="1"/>
  <c r="Z25" i="26"/>
  <c r="AD25" i="26" s="1"/>
  <c r="Z40" i="17"/>
  <c r="AD40" i="17" s="1"/>
  <c r="X50" i="36"/>
  <c r="AC50" i="36" s="1"/>
  <c r="V35" i="7"/>
  <c r="J36" i="41" s="1"/>
  <c r="Z28" i="33"/>
  <c r="AD28" i="33" s="1"/>
  <c r="X17" i="26"/>
  <c r="AC17" i="26" s="1"/>
  <c r="AB9" i="15"/>
  <c r="AF9" i="15" s="1"/>
  <c r="V8" i="35"/>
  <c r="AZ9" i="41" s="1"/>
  <c r="V49" i="21"/>
  <c r="BL50" i="41" s="1"/>
  <c r="V7" i="7"/>
  <c r="J8" i="41" s="1"/>
  <c r="Z26" i="10"/>
  <c r="AD26" i="10" s="1"/>
  <c r="X41" i="11"/>
  <c r="AC41" i="11" s="1"/>
  <c r="X53" i="33"/>
  <c r="AC53" i="33" s="1"/>
  <c r="V20" i="12"/>
  <c r="Y21" i="41" s="1"/>
  <c r="Z36" i="26"/>
  <c r="AD36" i="26" s="1"/>
  <c r="Z49" i="13"/>
  <c r="AD49" i="13" s="1"/>
  <c r="Y43" i="14"/>
  <c r="AH44" i="41" s="1"/>
  <c r="X14" i="15"/>
  <c r="AK15" i="41" s="1"/>
  <c r="Z34" i="15"/>
  <c r="AE34" i="15" s="1"/>
  <c r="Z54" i="15"/>
  <c r="AE54" i="15" s="1"/>
  <c r="X37" i="17"/>
  <c r="AC37" i="17" s="1"/>
  <c r="X17" i="18"/>
  <c r="AC17" i="18" s="1"/>
  <c r="X40" i="18"/>
  <c r="AC40" i="18" s="1"/>
  <c r="V24" i="19"/>
  <c r="AW25" i="41" s="1"/>
  <c r="Z39" i="19"/>
  <c r="AD39" i="19" s="1"/>
  <c r="X23" i="35"/>
  <c r="AC23" i="35" s="1"/>
  <c r="Z7" i="36"/>
  <c r="AD7" i="36" s="1"/>
  <c r="Z49" i="36"/>
  <c r="AD49" i="36" s="1"/>
  <c r="Z28" i="20"/>
  <c r="AD28" i="20" s="1"/>
  <c r="Z27" i="27"/>
  <c r="AD27" i="27" s="1"/>
  <c r="Z47" i="27"/>
  <c r="AD47" i="27" s="1"/>
  <c r="V13" i="21"/>
  <c r="BL14" i="41" s="1"/>
  <c r="X7" i="22"/>
  <c r="AC7" i="22" s="1"/>
  <c r="X45" i="22"/>
  <c r="AC45" i="22" s="1"/>
  <c r="AD10" i="23"/>
  <c r="AH10" i="23" s="1"/>
  <c r="X22" i="15"/>
  <c r="AK23" i="41" s="1"/>
  <c r="X36" i="15"/>
  <c r="AK37" i="41" s="1"/>
  <c r="X52" i="15"/>
  <c r="AK53" i="41" s="1"/>
  <c r="Z17" i="17"/>
  <c r="AD17" i="17" s="1"/>
  <c r="V32" i="17"/>
  <c r="AQ33" i="41" s="1"/>
  <c r="V50" i="17"/>
  <c r="AQ51" i="41" s="1"/>
  <c r="V17" i="18"/>
  <c r="AT18" i="41" s="1"/>
  <c r="X32" i="18"/>
  <c r="AC32" i="18" s="1"/>
  <c r="V49" i="18"/>
  <c r="AT50" i="41" s="1"/>
  <c r="V15" i="19"/>
  <c r="AW16" i="41" s="1"/>
  <c r="X29" i="19"/>
  <c r="AC29" i="19" s="1"/>
  <c r="V47" i="19"/>
  <c r="AW48" i="41" s="1"/>
  <c r="X13" i="35"/>
  <c r="AC13" i="35" s="1"/>
  <c r="X27" i="35"/>
  <c r="AC27" i="35" s="1"/>
  <c r="X45" i="35"/>
  <c r="AC45" i="35" s="1"/>
  <c r="Z13" i="36"/>
  <c r="AD13" i="36" s="1"/>
  <c r="V45" i="36"/>
  <c r="BC46" i="41" s="1"/>
  <c r="V28" i="20"/>
  <c r="BF29" i="41" s="1"/>
  <c r="X40" i="20"/>
  <c r="AC40" i="20" s="1"/>
  <c r="Z52" i="20"/>
  <c r="AD52" i="20" s="1"/>
  <c r="Z12" i="27"/>
  <c r="AD12" i="27" s="1"/>
  <c r="V37" i="27"/>
  <c r="BI38" i="41" s="1"/>
  <c r="X49" i="27"/>
  <c r="AC49" i="27" s="1"/>
  <c r="Z9" i="21"/>
  <c r="AD9" i="21" s="1"/>
  <c r="V34" i="21"/>
  <c r="BL35" i="41" s="1"/>
  <c r="V45" i="21"/>
  <c r="BL46" i="41" s="1"/>
  <c r="Z8" i="22"/>
  <c r="AD8" i="22" s="1"/>
  <c r="V44" i="22"/>
  <c r="BO45" i="41" s="1"/>
  <c r="AD7" i="23"/>
  <c r="AH7" i="23" s="1"/>
  <c r="Z19" i="23"/>
  <c r="BR20" i="41" s="1"/>
  <c r="AB36" i="23"/>
  <c r="AG36" i="23" s="1"/>
  <c r="X38" i="36"/>
  <c r="AC38" i="36" s="1"/>
  <c r="Z7" i="20"/>
  <c r="AD7" i="20" s="1"/>
  <c r="Z20" i="20"/>
  <c r="AD20" i="20" s="1"/>
  <c r="Z32" i="20"/>
  <c r="AD32" i="20" s="1"/>
  <c r="X44" i="20"/>
  <c r="AC44" i="20" s="1"/>
  <c r="Z54" i="20"/>
  <c r="AD54" i="20" s="1"/>
  <c r="Z16" i="27"/>
  <c r="AD16" i="27" s="1"/>
  <c r="Z29" i="27"/>
  <c r="AD29" i="27" s="1"/>
  <c r="Z42" i="27"/>
  <c r="AD42" i="27" s="1"/>
  <c r="Z52" i="27"/>
  <c r="AD52" i="27" s="1"/>
  <c r="Z14" i="21"/>
  <c r="AD14" i="21" s="1"/>
  <c r="Z26" i="21"/>
  <c r="AD26" i="21" s="1"/>
  <c r="Z39" i="21"/>
  <c r="AD39" i="21" s="1"/>
  <c r="X20" i="22"/>
  <c r="AC20" i="22" s="1"/>
  <c r="Z32" i="22"/>
  <c r="AD32" i="22" s="1"/>
  <c r="Z16" i="23"/>
  <c r="BR17" i="41" s="1"/>
  <c r="Z28" i="23"/>
  <c r="BR29" i="41" s="1"/>
  <c r="AB40" i="23"/>
  <c r="AG40" i="23" s="1"/>
  <c r="V48" i="21"/>
  <c r="BL49" i="41" s="1"/>
  <c r="V8" i="22"/>
  <c r="BO9" i="41" s="1"/>
  <c r="V20" i="22"/>
  <c r="BO21" i="41" s="1"/>
  <c r="V33" i="22"/>
  <c r="BO34" i="41" s="1"/>
  <c r="V46" i="22"/>
  <c r="BO47" i="41" s="1"/>
  <c r="AB7" i="23"/>
  <c r="AG7" i="23" s="1"/>
  <c r="AB19" i="23"/>
  <c r="AG19" i="23" s="1"/>
  <c r="Z43" i="23"/>
  <c r="BR44" i="41" s="1"/>
  <c r="V47" i="10"/>
  <c r="M48" i="41" s="1"/>
  <c r="V28" i="18"/>
  <c r="AT29" i="41" s="1"/>
  <c r="AD49" i="23"/>
  <c r="AH49" i="23" s="1"/>
  <c r="Z31" i="13"/>
  <c r="AD31" i="13" s="1"/>
  <c r="V17" i="27"/>
  <c r="BI18" i="41" s="1"/>
  <c r="X25" i="34"/>
  <c r="AC25" i="34" s="1"/>
  <c r="V16" i="17"/>
  <c r="AQ17" i="41" s="1"/>
  <c r="Z20" i="22"/>
  <c r="AD20" i="22" s="1"/>
  <c r="Z45" i="10"/>
  <c r="AD45" i="10" s="1"/>
  <c r="V19" i="34"/>
  <c r="V20" i="41" s="1"/>
  <c r="Z48" i="26"/>
  <c r="AD48" i="26" s="1"/>
  <c r="Y44" i="14"/>
  <c r="AH45" i="41" s="1"/>
  <c r="X38" i="15"/>
  <c r="AK39" i="41" s="1"/>
  <c r="Z39" i="17"/>
  <c r="AD39" i="17" s="1"/>
  <c r="Z41" i="18"/>
  <c r="AD41" i="18" s="1"/>
  <c r="V10" i="35"/>
  <c r="AZ11" i="41" s="1"/>
  <c r="X12" i="36"/>
  <c r="AC12" i="36" s="1"/>
  <c r="V30" i="20"/>
  <c r="BF31" i="41" s="1"/>
  <c r="X50" i="27"/>
  <c r="AC50" i="27" s="1"/>
  <c r="X8" i="22"/>
  <c r="AC8" i="22" s="1"/>
  <c r="Z13" i="23"/>
  <c r="BR14" i="41" s="1"/>
  <c r="X23" i="15"/>
  <c r="AK24" i="41" s="1"/>
  <c r="Z53" i="15"/>
  <c r="AE53" i="15" s="1"/>
  <c r="Z36" i="17"/>
  <c r="AD36" i="17" s="1"/>
  <c r="X19" i="18"/>
  <c r="AC19" i="18" s="1"/>
  <c r="X50" i="18"/>
  <c r="AC50" i="18" s="1"/>
  <c r="V34" i="19"/>
  <c r="AW35" i="41" s="1"/>
  <c r="V31" i="35"/>
  <c r="AZ32" i="41" s="1"/>
  <c r="X16" i="36"/>
  <c r="AC16" i="36" s="1"/>
  <c r="X29" i="20"/>
  <c r="AC29" i="20" s="1"/>
  <c r="V54" i="20"/>
  <c r="BF55" i="41" s="1"/>
  <c r="X38" i="27"/>
  <c r="AC38" i="27" s="1"/>
  <c r="Z50" i="27"/>
  <c r="AD50" i="27" s="1"/>
  <c r="X35" i="21"/>
  <c r="AC35" i="21" s="1"/>
  <c r="V10" i="22"/>
  <c r="BO11" i="41" s="1"/>
  <c r="Z10" i="23"/>
  <c r="BR11" i="41" s="1"/>
  <c r="AD37" i="23"/>
  <c r="AH37" i="23" s="1"/>
  <c r="V10" i="20"/>
  <c r="BF11" i="41" s="1"/>
  <c r="Z33" i="20"/>
  <c r="AD33" i="20" s="1"/>
  <c r="V6" i="27"/>
  <c r="BI7" i="41" s="1"/>
  <c r="V32" i="27"/>
  <c r="BI33" i="41" s="1"/>
  <c r="V54" i="27"/>
  <c r="BI55" i="41" s="1"/>
  <c r="V29" i="21"/>
  <c r="BL30" i="41" s="1"/>
  <c r="Z21" i="22"/>
  <c r="AD21" i="22" s="1"/>
  <c r="AB18" i="23"/>
  <c r="AG18" i="23" s="1"/>
  <c r="AB41" i="23"/>
  <c r="AG41" i="23" s="1"/>
  <c r="X9" i="22"/>
  <c r="AC9" i="22" s="1"/>
  <c r="X35" i="22"/>
  <c r="AC35" i="22" s="1"/>
  <c r="AD8" i="23"/>
  <c r="AH8" i="23" s="1"/>
  <c r="AB32" i="23"/>
  <c r="AG32" i="23" s="1"/>
  <c r="CN9" i="1"/>
  <c r="CR9" i="1" s="1"/>
  <c r="CJ9" i="1"/>
  <c r="G9" i="41" s="1"/>
  <c r="CJ7" i="1"/>
  <c r="G7" i="41" s="1"/>
  <c r="CN7" i="1"/>
  <c r="CR7" i="1" s="1"/>
  <c r="CL9" i="1"/>
  <c r="CQ9" i="1" s="1"/>
  <c r="CJ6" i="1"/>
  <c r="G6" i="41" s="1"/>
  <c r="O8" i="38"/>
  <c r="G8" i="38"/>
  <c r="I8" i="38"/>
  <c r="D54" i="23"/>
  <c r="C54" i="23"/>
  <c r="D53" i="23"/>
  <c r="C53" i="23"/>
  <c r="BQ53" i="25"/>
  <c r="D52" i="23"/>
  <c r="C52" i="23"/>
  <c r="D51" i="23"/>
  <c r="C51" i="23"/>
  <c r="BQ51" i="25"/>
  <c r="D50" i="23"/>
  <c r="C50" i="23"/>
  <c r="D49" i="23"/>
  <c r="C49" i="23"/>
  <c r="BQ49" i="25"/>
  <c r="D48" i="23"/>
  <c r="C48" i="23"/>
  <c r="D47" i="23"/>
  <c r="C47" i="23"/>
  <c r="D46" i="23"/>
  <c r="C46" i="23"/>
  <c r="D45" i="23"/>
  <c r="C45" i="23"/>
  <c r="BQ45" i="25"/>
  <c r="D44" i="23"/>
  <c r="C44" i="23"/>
  <c r="D43" i="23"/>
  <c r="C43" i="23"/>
  <c r="BQ43" i="25"/>
  <c r="D42" i="23"/>
  <c r="C42" i="23"/>
  <c r="D41" i="23"/>
  <c r="C41" i="23"/>
  <c r="BQ41" i="25"/>
  <c r="D40" i="23"/>
  <c r="C40" i="23"/>
  <c r="D39" i="23"/>
  <c r="C39" i="23"/>
  <c r="D38" i="23"/>
  <c r="C38" i="23"/>
  <c r="D37" i="23"/>
  <c r="C37" i="23"/>
  <c r="D36" i="23"/>
  <c r="C36" i="23"/>
  <c r="D35" i="23"/>
  <c r="C35" i="23"/>
  <c r="BQ35" i="25"/>
  <c r="D34" i="23"/>
  <c r="C34" i="23"/>
  <c r="D33" i="23"/>
  <c r="C33" i="23"/>
  <c r="D32" i="23"/>
  <c r="C32" i="23"/>
  <c r="D31" i="23"/>
  <c r="C31" i="23"/>
  <c r="D30" i="23"/>
  <c r="C30" i="23"/>
  <c r="D29" i="23"/>
  <c r="C29" i="23"/>
  <c r="D28" i="23"/>
  <c r="C28" i="23"/>
  <c r="D27" i="23"/>
  <c r="C27" i="23"/>
  <c r="BQ27" i="25"/>
  <c r="D26" i="23"/>
  <c r="C26" i="23"/>
  <c r="D25" i="23"/>
  <c r="C25" i="23"/>
  <c r="D24" i="23"/>
  <c r="C24" i="23"/>
  <c r="BQ24" i="25"/>
  <c r="D23" i="23"/>
  <c r="C23" i="23"/>
  <c r="D22" i="23"/>
  <c r="C22" i="23"/>
  <c r="D21" i="23"/>
  <c r="C21" i="23"/>
  <c r="D20" i="23"/>
  <c r="C20" i="23"/>
  <c r="D19" i="23"/>
  <c r="C19" i="23"/>
  <c r="BQ19" i="25"/>
  <c r="D18" i="23"/>
  <c r="C18" i="23"/>
  <c r="D17" i="23"/>
  <c r="C17" i="23"/>
  <c r="D16" i="23"/>
  <c r="C16" i="23"/>
  <c r="D15" i="23"/>
  <c r="C15" i="23"/>
  <c r="D14" i="23"/>
  <c r="C14" i="23"/>
  <c r="D13" i="23"/>
  <c r="C13" i="23"/>
  <c r="D12" i="23"/>
  <c r="C12" i="23"/>
  <c r="D11" i="23"/>
  <c r="C11" i="23"/>
  <c r="D10" i="23"/>
  <c r="C10" i="23"/>
  <c r="D9" i="23"/>
  <c r="C9" i="23"/>
  <c r="D8" i="23"/>
  <c r="C8" i="23"/>
  <c r="D7" i="23"/>
  <c r="C7" i="23"/>
  <c r="BQ7" i="25"/>
  <c r="D6" i="23"/>
  <c r="C6" i="23"/>
  <c r="D5" i="23"/>
  <c r="C5" i="23"/>
  <c r="BN55" i="25"/>
  <c r="D54" i="22"/>
  <c r="C54" i="22"/>
  <c r="D53" i="22"/>
  <c r="C53" i="22"/>
  <c r="BN53" i="25"/>
  <c r="D52" i="22"/>
  <c r="C52" i="22"/>
  <c r="D51" i="22"/>
  <c r="C51" i="22"/>
  <c r="D50" i="22"/>
  <c r="C50" i="22"/>
  <c r="D49" i="22"/>
  <c r="C49" i="22"/>
  <c r="D48" i="22"/>
  <c r="C48" i="22"/>
  <c r="D47" i="22"/>
  <c r="C47" i="22"/>
  <c r="D46" i="22"/>
  <c r="C46" i="22"/>
  <c r="D45" i="22"/>
  <c r="C45" i="22"/>
  <c r="D44" i="22"/>
  <c r="C44" i="22"/>
  <c r="D43" i="22"/>
  <c r="C43" i="22"/>
  <c r="D42" i="22"/>
  <c r="C42" i="22"/>
  <c r="D41" i="22"/>
  <c r="C41" i="22"/>
  <c r="D40" i="22"/>
  <c r="C40" i="22"/>
  <c r="D39" i="22"/>
  <c r="C39" i="22"/>
  <c r="BN39" i="25"/>
  <c r="D38" i="22"/>
  <c r="C38" i="22"/>
  <c r="D37" i="22"/>
  <c r="C37" i="22"/>
  <c r="D36" i="22"/>
  <c r="C36" i="22"/>
  <c r="D35" i="22"/>
  <c r="C35" i="22"/>
  <c r="D34" i="22"/>
  <c r="C34" i="22"/>
  <c r="D33" i="22"/>
  <c r="C33" i="22"/>
  <c r="D32" i="22"/>
  <c r="C32" i="22"/>
  <c r="D31" i="22"/>
  <c r="C31" i="22"/>
  <c r="BN31" i="25"/>
  <c r="D30" i="22"/>
  <c r="C30" i="22"/>
  <c r="BN30" i="25"/>
  <c r="D29" i="22"/>
  <c r="C29" i="22"/>
  <c r="D28" i="22"/>
  <c r="C28" i="22"/>
  <c r="D27" i="22"/>
  <c r="C27" i="22"/>
  <c r="D26" i="22"/>
  <c r="C26" i="22"/>
  <c r="D25" i="22"/>
  <c r="C25" i="22"/>
  <c r="D24" i="22"/>
  <c r="C24" i="22"/>
  <c r="BN24" i="25"/>
  <c r="D23" i="22"/>
  <c r="C23" i="22"/>
  <c r="D22" i="22"/>
  <c r="C22" i="22"/>
  <c r="D21" i="22"/>
  <c r="C21" i="22"/>
  <c r="D20" i="22"/>
  <c r="C20" i="22"/>
  <c r="D19" i="22"/>
  <c r="C19" i="22"/>
  <c r="D18" i="22"/>
  <c r="C18" i="22"/>
  <c r="D17" i="22"/>
  <c r="C17" i="22"/>
  <c r="D16" i="22"/>
  <c r="C16" i="22"/>
  <c r="BN16" i="25"/>
  <c r="D15" i="22"/>
  <c r="C15" i="22"/>
  <c r="D14" i="22"/>
  <c r="C14" i="22"/>
  <c r="BN14" i="25"/>
  <c r="D13" i="22"/>
  <c r="C13" i="22"/>
  <c r="D12" i="22"/>
  <c r="C12" i="22"/>
  <c r="D11" i="22"/>
  <c r="C11" i="22"/>
  <c r="D10" i="22"/>
  <c r="C10" i="22"/>
  <c r="D9" i="22"/>
  <c r="C9" i="22"/>
  <c r="BN9" i="25"/>
  <c r="D8" i="22"/>
  <c r="C8" i="22"/>
  <c r="D7" i="22"/>
  <c r="C7" i="22"/>
  <c r="D6" i="22"/>
  <c r="C6" i="22"/>
  <c r="D5" i="22"/>
  <c r="C5" i="22"/>
  <c r="D54" i="21"/>
  <c r="C54" i="21"/>
  <c r="D53" i="21"/>
  <c r="C53" i="21"/>
  <c r="BK53" i="25"/>
  <c r="D52" i="21"/>
  <c r="C52" i="21"/>
  <c r="BK52" i="25"/>
  <c r="D51" i="21"/>
  <c r="C51" i="21"/>
  <c r="D50" i="21"/>
  <c r="C50" i="21"/>
  <c r="D49" i="21"/>
  <c r="C49" i="21"/>
  <c r="D48" i="21"/>
  <c r="C48" i="21"/>
  <c r="BK48" i="25"/>
  <c r="D47" i="21"/>
  <c r="C47" i="21"/>
  <c r="D46" i="21"/>
  <c r="C46" i="21"/>
  <c r="D45" i="21"/>
  <c r="C45" i="21"/>
  <c r="D44" i="21"/>
  <c r="C44" i="21"/>
  <c r="BK44" i="25"/>
  <c r="D43" i="21"/>
  <c r="C43" i="21"/>
  <c r="D42" i="21"/>
  <c r="C42" i="21"/>
  <c r="D41" i="21"/>
  <c r="C41" i="21"/>
  <c r="BK41" i="25"/>
  <c r="D40" i="21"/>
  <c r="C40" i="21"/>
  <c r="D39" i="21"/>
  <c r="C39" i="21"/>
  <c r="D38" i="21"/>
  <c r="C38" i="21"/>
  <c r="BK38" i="25"/>
  <c r="D37" i="21"/>
  <c r="C37" i="21"/>
  <c r="D36" i="21"/>
  <c r="C36" i="21"/>
  <c r="BK36" i="25"/>
  <c r="D35" i="21"/>
  <c r="C35" i="21"/>
  <c r="D34" i="21"/>
  <c r="C34" i="21"/>
  <c r="D33" i="21"/>
  <c r="C33" i="21"/>
  <c r="D32" i="21"/>
  <c r="C32" i="21"/>
  <c r="D31" i="21"/>
  <c r="C31" i="21"/>
  <c r="D30" i="21"/>
  <c r="C30" i="21"/>
  <c r="D29" i="21"/>
  <c r="C29" i="21"/>
  <c r="BK29" i="25"/>
  <c r="D28" i="21"/>
  <c r="C28" i="21"/>
  <c r="BK28" i="25"/>
  <c r="D27" i="21"/>
  <c r="C27" i="21"/>
  <c r="D26" i="21"/>
  <c r="C26" i="21"/>
  <c r="D25" i="21"/>
  <c r="C25" i="21"/>
  <c r="BK25" i="25"/>
  <c r="D24" i="21"/>
  <c r="C24" i="21"/>
  <c r="BK24" i="25"/>
  <c r="D23" i="21"/>
  <c r="C23" i="21"/>
  <c r="D22" i="21"/>
  <c r="C22" i="21"/>
  <c r="BK22" i="25"/>
  <c r="D21" i="21"/>
  <c r="C21" i="21"/>
  <c r="D20" i="21"/>
  <c r="C20" i="21"/>
  <c r="BK20" i="25"/>
  <c r="D19" i="21"/>
  <c r="C19" i="21"/>
  <c r="D18" i="21"/>
  <c r="C18" i="21"/>
  <c r="BK18" i="25"/>
  <c r="D17" i="21"/>
  <c r="C17" i="21"/>
  <c r="D16" i="21"/>
  <c r="C16" i="21"/>
  <c r="D15" i="21"/>
  <c r="C15" i="21"/>
  <c r="D14" i="21"/>
  <c r="C14" i="21"/>
  <c r="BK14" i="25"/>
  <c r="D13" i="21"/>
  <c r="C13" i="21"/>
  <c r="D12" i="21"/>
  <c r="C12" i="21"/>
  <c r="D11" i="21"/>
  <c r="C11" i="21"/>
  <c r="D10" i="21"/>
  <c r="C10" i="21"/>
  <c r="D9" i="21"/>
  <c r="C9" i="21"/>
  <c r="D8" i="21"/>
  <c r="C8" i="21"/>
  <c r="D7" i="21"/>
  <c r="C7" i="21"/>
  <c r="D6" i="21"/>
  <c r="C6" i="21"/>
  <c r="D5" i="21"/>
  <c r="C5" i="21"/>
  <c r="D54" i="27"/>
  <c r="C54" i="27"/>
  <c r="D53" i="27"/>
  <c r="C53" i="27"/>
  <c r="D52" i="27"/>
  <c r="C52" i="27"/>
  <c r="BH52" i="25"/>
  <c r="D51" i="27"/>
  <c r="C51" i="27"/>
  <c r="D50" i="27"/>
  <c r="C50" i="27"/>
  <c r="D49" i="27"/>
  <c r="C49" i="27"/>
  <c r="D48" i="27"/>
  <c r="C48" i="27"/>
  <c r="BH48" i="25"/>
  <c r="D47" i="27"/>
  <c r="C47" i="27"/>
  <c r="D46" i="27"/>
  <c r="C46" i="27"/>
  <c r="D45" i="27"/>
  <c r="C45" i="27"/>
  <c r="BH45" i="25"/>
  <c r="D44" i="27"/>
  <c r="C44" i="27"/>
  <c r="D43" i="27"/>
  <c r="C43" i="27"/>
  <c r="D42" i="27"/>
  <c r="C42" i="27"/>
  <c r="D41" i="27"/>
  <c r="C41" i="27"/>
  <c r="D40" i="27"/>
  <c r="C40" i="27"/>
  <c r="D39" i="27"/>
  <c r="C39" i="27"/>
  <c r="D38" i="27"/>
  <c r="C38" i="27"/>
  <c r="D37" i="27"/>
  <c r="C37" i="27"/>
  <c r="D36" i="27"/>
  <c r="C36" i="27"/>
  <c r="D35" i="27"/>
  <c r="C35" i="27"/>
  <c r="BH35" i="25"/>
  <c r="D34" i="27"/>
  <c r="C34" i="27"/>
  <c r="D33" i="27"/>
  <c r="C33" i="27"/>
  <c r="BH33" i="25"/>
  <c r="D32" i="27"/>
  <c r="C32" i="27"/>
  <c r="D31" i="27"/>
  <c r="C31" i="27"/>
  <c r="D30" i="27"/>
  <c r="C30" i="27"/>
  <c r="D29" i="27"/>
  <c r="C29" i="27"/>
  <c r="BH29" i="25"/>
  <c r="D28" i="27"/>
  <c r="C28" i="27"/>
  <c r="D27" i="27"/>
  <c r="C27" i="27"/>
  <c r="BH27" i="25"/>
  <c r="D26" i="27"/>
  <c r="C26" i="27"/>
  <c r="D25" i="27"/>
  <c r="C25" i="27"/>
  <c r="D24" i="27"/>
  <c r="C24" i="27"/>
  <c r="D23" i="27"/>
  <c r="C23" i="27"/>
  <c r="D22" i="27"/>
  <c r="C22" i="27"/>
  <c r="D21" i="27"/>
  <c r="C21" i="27"/>
  <c r="BH21" i="25"/>
  <c r="D20" i="27"/>
  <c r="C20" i="27"/>
  <c r="D19" i="27"/>
  <c r="C19" i="27"/>
  <c r="D18" i="27"/>
  <c r="C18" i="27"/>
  <c r="D17" i="27"/>
  <c r="C17" i="27"/>
  <c r="D16" i="27"/>
  <c r="C16" i="27"/>
  <c r="D15" i="27"/>
  <c r="C15" i="27"/>
  <c r="BH15" i="25"/>
  <c r="D14" i="27"/>
  <c r="C14" i="27"/>
  <c r="BH14" i="25"/>
  <c r="D13" i="27"/>
  <c r="C13" i="27"/>
  <c r="D12" i="27"/>
  <c r="C12" i="27"/>
  <c r="D11" i="27"/>
  <c r="C11" i="27"/>
  <c r="D10" i="27"/>
  <c r="C10" i="27"/>
  <c r="BH10" i="25"/>
  <c r="D9" i="27"/>
  <c r="C9" i="27"/>
  <c r="BH9" i="25"/>
  <c r="D8" i="27"/>
  <c r="C8" i="27"/>
  <c r="BH8" i="25"/>
  <c r="D7" i="27"/>
  <c r="C7" i="27"/>
  <c r="D6" i="27"/>
  <c r="C6" i="27"/>
  <c r="BH6" i="25"/>
  <c r="D5" i="27"/>
  <c r="C5" i="27"/>
  <c r="D54" i="20"/>
  <c r="C54" i="20"/>
  <c r="D53" i="20"/>
  <c r="C53" i="20"/>
  <c r="BE53" i="25"/>
  <c r="D52" i="20"/>
  <c r="C52" i="20"/>
  <c r="D51" i="20"/>
  <c r="C51" i="20"/>
  <c r="BE51" i="25"/>
  <c r="D50" i="20"/>
  <c r="C50" i="20"/>
  <c r="D49" i="20"/>
  <c r="C49" i="20"/>
  <c r="D48" i="20"/>
  <c r="C48" i="20"/>
  <c r="D47" i="20"/>
  <c r="C47" i="20"/>
  <c r="BE47" i="25"/>
  <c r="D46" i="20"/>
  <c r="C46" i="20"/>
  <c r="D45" i="20"/>
  <c r="C45" i="20"/>
  <c r="D44" i="20"/>
  <c r="C44" i="20"/>
  <c r="D43" i="20"/>
  <c r="C43" i="20"/>
  <c r="D42" i="20"/>
  <c r="C42" i="20"/>
  <c r="BE42" i="25"/>
  <c r="D41" i="20"/>
  <c r="C41" i="20"/>
  <c r="D40" i="20"/>
  <c r="C40" i="20"/>
  <c r="D39" i="20"/>
  <c r="C39" i="20"/>
  <c r="D38" i="20"/>
  <c r="C38" i="20"/>
  <c r="D37" i="20"/>
  <c r="C37" i="20"/>
  <c r="D36" i="20"/>
  <c r="C36" i="20"/>
  <c r="BE36" i="25"/>
  <c r="D35" i="20"/>
  <c r="C35" i="20"/>
  <c r="D34" i="20"/>
  <c r="C34" i="20"/>
  <c r="D33" i="20"/>
  <c r="C33" i="20"/>
  <c r="D32" i="20"/>
  <c r="C32" i="20"/>
  <c r="D31" i="20"/>
  <c r="C31" i="20"/>
  <c r="D30" i="20"/>
  <c r="C30" i="20"/>
  <c r="BE30" i="25"/>
  <c r="D29" i="20"/>
  <c r="C29" i="20"/>
  <c r="D28" i="20"/>
  <c r="C28" i="20"/>
  <c r="BE28" i="25"/>
  <c r="D27" i="20"/>
  <c r="C27" i="20"/>
  <c r="D26" i="20"/>
  <c r="C26" i="20"/>
  <c r="BE26" i="25"/>
  <c r="D25" i="20"/>
  <c r="C25" i="20"/>
  <c r="D24" i="20"/>
  <c r="C24" i="20"/>
  <c r="BE24" i="25"/>
  <c r="D23" i="20"/>
  <c r="C23" i="20"/>
  <c r="D22" i="20"/>
  <c r="C22" i="20"/>
  <c r="D21" i="20"/>
  <c r="C21" i="20"/>
  <c r="D20" i="20"/>
  <c r="C20" i="20"/>
  <c r="D19" i="20"/>
  <c r="C19" i="20"/>
  <c r="D18" i="20"/>
  <c r="C18" i="20"/>
  <c r="BE18" i="25"/>
  <c r="D17" i="20"/>
  <c r="C17" i="20"/>
  <c r="D16" i="20"/>
  <c r="C16" i="20"/>
  <c r="BE16" i="25"/>
  <c r="D15" i="20"/>
  <c r="C15" i="20"/>
  <c r="D14" i="20"/>
  <c r="C14" i="20"/>
  <c r="BE14" i="25"/>
  <c r="D13" i="20"/>
  <c r="C13" i="20"/>
  <c r="D12" i="20"/>
  <c r="C12" i="20"/>
  <c r="BE12" i="25"/>
  <c r="D11" i="20"/>
  <c r="C11" i="20"/>
  <c r="D10" i="20"/>
  <c r="C10" i="20"/>
  <c r="BE10" i="25"/>
  <c r="D9" i="20"/>
  <c r="C9" i="20"/>
  <c r="D8" i="20"/>
  <c r="C8" i="20"/>
  <c r="BE8" i="25"/>
  <c r="D7" i="20"/>
  <c r="C7" i="20"/>
  <c r="D6" i="20"/>
  <c r="C6" i="20"/>
  <c r="BE6" i="25"/>
  <c r="U43" i="44" s="1"/>
  <c r="D5" i="20"/>
  <c r="C5" i="20"/>
  <c r="D54" i="36"/>
  <c r="C54" i="36"/>
  <c r="BB54" i="25"/>
  <c r="D53" i="36"/>
  <c r="C53" i="36"/>
  <c r="D52" i="36"/>
  <c r="C52" i="36"/>
  <c r="BB52" i="25"/>
  <c r="D51" i="36"/>
  <c r="C51" i="36"/>
  <c r="D50" i="36"/>
  <c r="C50" i="36"/>
  <c r="BB50" i="25"/>
  <c r="D49" i="36"/>
  <c r="C49" i="36"/>
  <c r="BB49" i="25"/>
  <c r="D48" i="36"/>
  <c r="C48" i="36"/>
  <c r="D47" i="36"/>
  <c r="C47" i="36"/>
  <c r="BB47" i="25"/>
  <c r="D46" i="36"/>
  <c r="C46" i="36"/>
  <c r="D45" i="36"/>
  <c r="C45" i="36"/>
  <c r="BB45" i="25"/>
  <c r="D44" i="36"/>
  <c r="C44" i="36"/>
  <c r="D43" i="36"/>
  <c r="C43" i="36"/>
  <c r="D42" i="36"/>
  <c r="C42" i="36"/>
  <c r="D41" i="36"/>
  <c r="C41" i="36"/>
  <c r="D40" i="36"/>
  <c r="C40" i="36"/>
  <c r="D39" i="36"/>
  <c r="C39" i="36"/>
  <c r="D38" i="36"/>
  <c r="C38" i="36"/>
  <c r="D37" i="36"/>
  <c r="C37" i="36"/>
  <c r="BB37" i="25"/>
  <c r="D36" i="36"/>
  <c r="C36" i="36"/>
  <c r="D35" i="36"/>
  <c r="C35" i="36"/>
  <c r="BB35" i="25"/>
  <c r="D34" i="36"/>
  <c r="C34" i="36"/>
  <c r="D33" i="36"/>
  <c r="C33" i="36"/>
  <c r="BB33" i="25"/>
  <c r="D32" i="36"/>
  <c r="C32" i="36"/>
  <c r="D31" i="36"/>
  <c r="C31" i="36"/>
  <c r="BB31" i="25"/>
  <c r="D30" i="36"/>
  <c r="C30" i="36"/>
  <c r="BB30" i="25"/>
  <c r="D29" i="36"/>
  <c r="C29" i="36"/>
  <c r="BB29" i="25"/>
  <c r="D28" i="36"/>
  <c r="C28" i="36"/>
  <c r="D27" i="36"/>
  <c r="C27" i="36"/>
  <c r="BB27" i="25"/>
  <c r="D26" i="36"/>
  <c r="C26" i="36"/>
  <c r="D25" i="36"/>
  <c r="C25" i="36"/>
  <c r="BB25" i="25"/>
  <c r="D24" i="36"/>
  <c r="C24" i="36"/>
  <c r="D23" i="36"/>
  <c r="C23" i="36"/>
  <c r="D22" i="36"/>
  <c r="C22" i="36"/>
  <c r="D21" i="36"/>
  <c r="C21" i="36"/>
  <c r="BB21" i="25"/>
  <c r="D20" i="36"/>
  <c r="C20" i="36"/>
  <c r="D19" i="36"/>
  <c r="C19" i="36"/>
  <c r="BB19" i="25"/>
  <c r="D18" i="36"/>
  <c r="C18" i="36"/>
  <c r="D17" i="36"/>
  <c r="C17" i="36"/>
  <c r="BB17" i="25"/>
  <c r="D16" i="36"/>
  <c r="C16" i="36"/>
  <c r="D15" i="36"/>
  <c r="C15" i="36"/>
  <c r="D14" i="36"/>
  <c r="C14" i="36"/>
  <c r="D13" i="36"/>
  <c r="C13" i="36"/>
  <c r="BB13" i="25"/>
  <c r="D12" i="36"/>
  <c r="C12" i="36"/>
  <c r="D11" i="36"/>
  <c r="C11" i="36"/>
  <c r="BB11" i="25"/>
  <c r="D10" i="36"/>
  <c r="C10" i="36"/>
  <c r="D9" i="36"/>
  <c r="C9" i="36"/>
  <c r="BB9" i="25"/>
  <c r="D8" i="36"/>
  <c r="C8" i="36"/>
  <c r="BB8" i="25"/>
  <c r="D7" i="36"/>
  <c r="C7" i="36"/>
  <c r="BB7" i="25"/>
  <c r="D6" i="36"/>
  <c r="C6" i="36"/>
  <c r="BB6" i="25"/>
  <c r="U42" i="44" s="1"/>
  <c r="D5" i="36"/>
  <c r="C5" i="36"/>
  <c r="D54" i="35"/>
  <c r="C54" i="35"/>
  <c r="D53" i="35"/>
  <c r="C53" i="35"/>
  <c r="AY53" i="25"/>
  <c r="D52" i="35"/>
  <c r="C52" i="35"/>
  <c r="AY52" i="25"/>
  <c r="D51" i="35"/>
  <c r="C51" i="35"/>
  <c r="D50" i="35"/>
  <c r="C50" i="35"/>
  <c r="D49" i="35"/>
  <c r="C49" i="35"/>
  <c r="AY49" i="25"/>
  <c r="D48" i="35"/>
  <c r="C48" i="35"/>
  <c r="AY48" i="25"/>
  <c r="D47" i="35"/>
  <c r="C47" i="35"/>
  <c r="D46" i="35"/>
  <c r="C46" i="35"/>
  <c r="D45" i="35"/>
  <c r="C45" i="35"/>
  <c r="AY45" i="25"/>
  <c r="D44" i="35"/>
  <c r="C44" i="35"/>
  <c r="AY44" i="25"/>
  <c r="D43" i="35"/>
  <c r="C43" i="35"/>
  <c r="AY43" i="25"/>
  <c r="D42" i="35"/>
  <c r="C42" i="35"/>
  <c r="D41" i="35"/>
  <c r="C41" i="35"/>
  <c r="D40" i="35"/>
  <c r="C40" i="35"/>
  <c r="D39" i="35"/>
  <c r="C39" i="35"/>
  <c r="D38" i="35"/>
  <c r="C38" i="35"/>
  <c r="D37" i="35"/>
  <c r="C37" i="35"/>
  <c r="D36" i="35"/>
  <c r="C36" i="35"/>
  <c r="D35" i="35"/>
  <c r="C35" i="35"/>
  <c r="AY35" i="25"/>
  <c r="D34" i="35"/>
  <c r="C34" i="35"/>
  <c r="D33" i="35"/>
  <c r="C33" i="35"/>
  <c r="AY33" i="25"/>
  <c r="D32" i="35"/>
  <c r="C32" i="35"/>
  <c r="AY32" i="25"/>
  <c r="D31" i="35"/>
  <c r="C31" i="35"/>
  <c r="D30" i="35"/>
  <c r="C30" i="35"/>
  <c r="D29" i="35"/>
  <c r="C29" i="35"/>
  <c r="D28" i="35"/>
  <c r="C28" i="35"/>
  <c r="AY28" i="25"/>
  <c r="D27" i="35"/>
  <c r="C27" i="35"/>
  <c r="AY27" i="25"/>
  <c r="D26" i="35"/>
  <c r="C26" i="35"/>
  <c r="D25" i="35"/>
  <c r="C25" i="35"/>
  <c r="AY25" i="25"/>
  <c r="D24" i="35"/>
  <c r="C24" i="35"/>
  <c r="D23" i="35"/>
  <c r="C23" i="35"/>
  <c r="D22" i="35"/>
  <c r="C22" i="35"/>
  <c r="D21" i="35"/>
  <c r="C21" i="35"/>
  <c r="AY21" i="25"/>
  <c r="D20" i="35"/>
  <c r="C20" i="35"/>
  <c r="D19" i="35"/>
  <c r="C19" i="35"/>
  <c r="AY19" i="25"/>
  <c r="D18" i="35"/>
  <c r="C18" i="35"/>
  <c r="D17" i="35"/>
  <c r="C17" i="35"/>
  <c r="D16" i="35"/>
  <c r="C16" i="35"/>
  <c r="D15" i="35"/>
  <c r="C15" i="35"/>
  <c r="AY15" i="25"/>
  <c r="D14" i="35"/>
  <c r="C14" i="35"/>
  <c r="D13" i="35"/>
  <c r="C13" i="35"/>
  <c r="AY13" i="25"/>
  <c r="D12" i="35"/>
  <c r="C12" i="35"/>
  <c r="D11" i="35"/>
  <c r="C11" i="35"/>
  <c r="AY11" i="25"/>
  <c r="D10" i="35"/>
  <c r="C10" i="35"/>
  <c r="D9" i="35"/>
  <c r="C9" i="35"/>
  <c r="D8" i="35"/>
  <c r="C8" i="35"/>
  <c r="D7" i="35"/>
  <c r="C7" i="35"/>
  <c r="AY7" i="25"/>
  <c r="D6" i="35"/>
  <c r="C6" i="35"/>
  <c r="D5" i="35"/>
  <c r="C5" i="35"/>
  <c r="D54" i="19"/>
  <c r="C54" i="19"/>
  <c r="D53" i="19"/>
  <c r="C53" i="19"/>
  <c r="AV53" i="25"/>
  <c r="D52" i="19"/>
  <c r="C52" i="19"/>
  <c r="AV52" i="25"/>
  <c r="D51" i="19"/>
  <c r="C51" i="19"/>
  <c r="D50" i="19"/>
  <c r="C50" i="19"/>
  <c r="D49" i="19"/>
  <c r="C49" i="19"/>
  <c r="D48" i="19"/>
  <c r="C48" i="19"/>
  <c r="D47" i="19"/>
  <c r="C47" i="19"/>
  <c r="D46" i="19"/>
  <c r="C46" i="19"/>
  <c r="AV46" i="25"/>
  <c r="D45" i="19"/>
  <c r="C45" i="19"/>
  <c r="D44" i="19"/>
  <c r="C44" i="19"/>
  <c r="D43" i="19"/>
  <c r="C43" i="19"/>
  <c r="D42" i="19"/>
  <c r="C42" i="19"/>
  <c r="AV42" i="25"/>
  <c r="D41" i="19"/>
  <c r="C41" i="19"/>
  <c r="D40" i="19"/>
  <c r="C40" i="19"/>
  <c r="AV40" i="25"/>
  <c r="D39" i="19"/>
  <c r="C39" i="19"/>
  <c r="D38" i="19"/>
  <c r="C38" i="19"/>
  <c r="D37" i="19"/>
  <c r="C37" i="19"/>
  <c r="D36" i="19"/>
  <c r="C36" i="19"/>
  <c r="D35" i="19"/>
  <c r="C35" i="19"/>
  <c r="D34" i="19"/>
  <c r="C34" i="19"/>
  <c r="D33" i="19"/>
  <c r="C33" i="19"/>
  <c r="AV33" i="25"/>
  <c r="D32" i="19"/>
  <c r="C32" i="19"/>
  <c r="AV32" i="25"/>
  <c r="D31" i="19"/>
  <c r="C31" i="19"/>
  <c r="D30" i="19"/>
  <c r="C30" i="19"/>
  <c r="D29" i="19"/>
  <c r="C29" i="19"/>
  <c r="D28" i="19"/>
  <c r="C28" i="19"/>
  <c r="D27" i="19"/>
  <c r="C27" i="19"/>
  <c r="D26" i="19"/>
  <c r="C26" i="19"/>
  <c r="D25" i="19"/>
  <c r="C25" i="19"/>
  <c r="D24" i="19"/>
  <c r="C24" i="19"/>
  <c r="AV24" i="25"/>
  <c r="D23" i="19"/>
  <c r="C23" i="19"/>
  <c r="AV23" i="25"/>
  <c r="D22" i="19"/>
  <c r="C22" i="19"/>
  <c r="AV22" i="25"/>
  <c r="D21" i="19"/>
  <c r="C21" i="19"/>
  <c r="AV21" i="25"/>
  <c r="D20" i="19"/>
  <c r="C20" i="19"/>
  <c r="D19" i="19"/>
  <c r="C19" i="19"/>
  <c r="D18" i="19"/>
  <c r="C18" i="19"/>
  <c r="D17" i="19"/>
  <c r="C17" i="19"/>
  <c r="AV17" i="25"/>
  <c r="D16" i="19"/>
  <c r="C16" i="19"/>
  <c r="D15" i="19"/>
  <c r="C15" i="19"/>
  <c r="AV15" i="25"/>
  <c r="D14" i="19"/>
  <c r="C14" i="19"/>
  <c r="D13" i="19"/>
  <c r="C13" i="19"/>
  <c r="AV13" i="25"/>
  <c r="D12" i="19"/>
  <c r="C12" i="19"/>
  <c r="D11" i="19"/>
  <c r="C11" i="19"/>
  <c r="AV11" i="25"/>
  <c r="D10" i="19"/>
  <c r="C10" i="19"/>
  <c r="D9" i="19"/>
  <c r="C9" i="19"/>
  <c r="AV9" i="25"/>
  <c r="D8" i="19"/>
  <c r="C8" i="19"/>
  <c r="D7" i="19"/>
  <c r="C7" i="19"/>
  <c r="AV7" i="25"/>
  <c r="D6" i="19"/>
  <c r="C6" i="19"/>
  <c r="D5" i="19"/>
  <c r="C5" i="19"/>
  <c r="D54" i="18"/>
  <c r="C54" i="18"/>
  <c r="AS54" i="25"/>
  <c r="D53" i="18"/>
  <c r="C53" i="18"/>
  <c r="AS53" i="25"/>
  <c r="D52" i="18"/>
  <c r="C52" i="18"/>
  <c r="D51" i="18"/>
  <c r="C51" i="18"/>
  <c r="D50" i="18"/>
  <c r="C50" i="18"/>
  <c r="D49" i="18"/>
  <c r="C49" i="18"/>
  <c r="D48" i="18"/>
  <c r="C48" i="18"/>
  <c r="AS48" i="25"/>
  <c r="D47" i="18"/>
  <c r="C47" i="18"/>
  <c r="D46" i="18"/>
  <c r="C46" i="18"/>
  <c r="AS46" i="25"/>
  <c r="D45" i="18"/>
  <c r="C45" i="18"/>
  <c r="D44" i="18"/>
  <c r="C44" i="18"/>
  <c r="AS44" i="25"/>
  <c r="D43" i="18"/>
  <c r="C43" i="18"/>
  <c r="D42" i="18"/>
  <c r="C42" i="18"/>
  <c r="AS42" i="25"/>
  <c r="D41" i="18"/>
  <c r="C41" i="18"/>
  <c r="D40" i="18"/>
  <c r="C40" i="18"/>
  <c r="AS40" i="25"/>
  <c r="D39" i="18"/>
  <c r="C39" i="18"/>
  <c r="D38" i="18"/>
  <c r="C38" i="18"/>
  <c r="D37" i="18"/>
  <c r="C37" i="18"/>
  <c r="D36" i="18"/>
  <c r="C36" i="18"/>
  <c r="D35" i="18"/>
  <c r="C35" i="18"/>
  <c r="D34" i="18"/>
  <c r="C34" i="18"/>
  <c r="AS34" i="25"/>
  <c r="D33" i="18"/>
  <c r="C33" i="18"/>
  <c r="D32" i="18"/>
  <c r="C32" i="18"/>
  <c r="D31" i="18"/>
  <c r="C31" i="18"/>
  <c r="D30" i="18"/>
  <c r="C30" i="18"/>
  <c r="AS30" i="25"/>
  <c r="D29" i="18"/>
  <c r="C29" i="18"/>
  <c r="AS29" i="25"/>
  <c r="D28" i="18"/>
  <c r="C28" i="18"/>
  <c r="D27" i="18"/>
  <c r="C27" i="18"/>
  <c r="D26" i="18"/>
  <c r="C26" i="18"/>
  <c r="AS26" i="25"/>
  <c r="D25" i="18"/>
  <c r="C25" i="18"/>
  <c r="AS25" i="25"/>
  <c r="D24" i="18"/>
  <c r="C24" i="18"/>
  <c r="D23" i="18"/>
  <c r="C23" i="18"/>
  <c r="D22" i="18"/>
  <c r="C22" i="18"/>
  <c r="AS22" i="25"/>
  <c r="D21" i="18"/>
  <c r="C21" i="18"/>
  <c r="D20" i="18"/>
  <c r="C20" i="18"/>
  <c r="AS20" i="25"/>
  <c r="D19" i="18"/>
  <c r="C19" i="18"/>
  <c r="D18" i="18"/>
  <c r="C18" i="18"/>
  <c r="AS18" i="25"/>
  <c r="D17" i="18"/>
  <c r="C17" i="18"/>
  <c r="D16" i="18"/>
  <c r="C16" i="18"/>
  <c r="AS16" i="25"/>
  <c r="D15" i="18"/>
  <c r="C15" i="18"/>
  <c r="D14" i="18"/>
  <c r="C14" i="18"/>
  <c r="AS14" i="25"/>
  <c r="D13" i="18"/>
  <c r="C13" i="18"/>
  <c r="D12" i="18"/>
  <c r="C12" i="18"/>
  <c r="D11" i="18"/>
  <c r="C11" i="18"/>
  <c r="AS11" i="25"/>
  <c r="D10" i="18"/>
  <c r="C10" i="18"/>
  <c r="D9" i="18"/>
  <c r="C9" i="18"/>
  <c r="AS9" i="25"/>
  <c r="D8" i="18"/>
  <c r="C8" i="18"/>
  <c r="D7" i="18"/>
  <c r="C7" i="18"/>
  <c r="AS7" i="25"/>
  <c r="D6" i="18"/>
  <c r="C6" i="18"/>
  <c r="D5" i="18"/>
  <c r="C5" i="18"/>
  <c r="D54" i="17"/>
  <c r="C54" i="17"/>
  <c r="AP54" i="25"/>
  <c r="D53" i="17"/>
  <c r="C53" i="17"/>
  <c r="AP53" i="25"/>
  <c r="D52" i="17"/>
  <c r="C52" i="17"/>
  <c r="AP52" i="25"/>
  <c r="D51" i="17"/>
  <c r="C51" i="17"/>
  <c r="D50" i="17"/>
  <c r="C50" i="17"/>
  <c r="AP50" i="25"/>
  <c r="D49" i="17"/>
  <c r="C49" i="17"/>
  <c r="D48" i="17"/>
  <c r="C48" i="17"/>
  <c r="AP48" i="25"/>
  <c r="D47" i="17"/>
  <c r="C47" i="17"/>
  <c r="D46" i="17"/>
  <c r="C46" i="17"/>
  <c r="D45" i="17"/>
  <c r="C45" i="17"/>
  <c r="D44" i="17"/>
  <c r="C44" i="17"/>
  <c r="D43" i="17"/>
  <c r="C43" i="17"/>
  <c r="D42" i="17"/>
  <c r="C42" i="17"/>
  <c r="AP42" i="25"/>
  <c r="D41" i="17"/>
  <c r="C41" i="17"/>
  <c r="AP41" i="25"/>
  <c r="D40" i="17"/>
  <c r="C40" i="17"/>
  <c r="AP40" i="25"/>
  <c r="D39" i="17"/>
  <c r="C39" i="17"/>
  <c r="D38" i="17"/>
  <c r="C38" i="17"/>
  <c r="D37" i="17"/>
  <c r="C37" i="17"/>
  <c r="D36" i="17"/>
  <c r="C36" i="17"/>
  <c r="AP36" i="25"/>
  <c r="D35" i="17"/>
  <c r="C35" i="17"/>
  <c r="D34" i="17"/>
  <c r="C34" i="17"/>
  <c r="D33" i="17"/>
  <c r="C33" i="17"/>
  <c r="AP33" i="25"/>
  <c r="D32" i="17"/>
  <c r="C32" i="17"/>
  <c r="D31" i="17"/>
  <c r="C31" i="17"/>
  <c r="D30" i="17"/>
  <c r="C30" i="17"/>
  <c r="D29" i="17"/>
  <c r="C29" i="17"/>
  <c r="AP29" i="25"/>
  <c r="D28" i="17"/>
  <c r="C28" i="17"/>
  <c r="D27" i="17"/>
  <c r="C27" i="17"/>
  <c r="D26" i="17"/>
  <c r="C26" i="17"/>
  <c r="D25" i="17"/>
  <c r="C25" i="17"/>
  <c r="AP25" i="25"/>
  <c r="D24" i="17"/>
  <c r="C24" i="17"/>
  <c r="D23" i="17"/>
  <c r="C23" i="17"/>
  <c r="D22" i="17"/>
  <c r="C22" i="17"/>
  <c r="AP22" i="25"/>
  <c r="D21" i="17"/>
  <c r="C21" i="17"/>
  <c r="AP21" i="25"/>
  <c r="D20" i="17"/>
  <c r="C20" i="17"/>
  <c r="D19" i="17"/>
  <c r="C19" i="17"/>
  <c r="D18" i="17"/>
  <c r="C18" i="17"/>
  <c r="AP18" i="25"/>
  <c r="D17" i="17"/>
  <c r="C17" i="17"/>
  <c r="AP17" i="25"/>
  <c r="D16" i="17"/>
  <c r="C16" i="17"/>
  <c r="D15" i="17"/>
  <c r="C15" i="17"/>
  <c r="D14" i="17"/>
  <c r="C14" i="17"/>
  <c r="D13" i="17"/>
  <c r="C13" i="17"/>
  <c r="AP13" i="25"/>
  <c r="D12" i="17"/>
  <c r="C12" i="17"/>
  <c r="D11" i="17"/>
  <c r="C11" i="17"/>
  <c r="D10" i="17"/>
  <c r="C10" i="17"/>
  <c r="AP10" i="25"/>
  <c r="D9" i="17"/>
  <c r="C9" i="17"/>
  <c r="AP9" i="25"/>
  <c r="D8" i="17"/>
  <c r="C8" i="17"/>
  <c r="D7" i="17"/>
  <c r="C7" i="17"/>
  <c r="D6" i="17"/>
  <c r="C6" i="17"/>
  <c r="D5" i="17"/>
  <c r="C5" i="17"/>
  <c r="D55" i="16"/>
  <c r="C55" i="16"/>
  <c r="AM54" i="25"/>
  <c r="D54" i="16"/>
  <c r="C54" i="16"/>
  <c r="AM53" i="25"/>
  <c r="D53" i="16"/>
  <c r="C53" i="16"/>
  <c r="AM52" i="25"/>
  <c r="D52" i="16"/>
  <c r="C52" i="16"/>
  <c r="D51" i="16"/>
  <c r="C51" i="16"/>
  <c r="D50" i="16"/>
  <c r="C50" i="16"/>
  <c r="AM49" i="25"/>
  <c r="D49" i="16"/>
  <c r="C49" i="16"/>
  <c r="AM48" i="25"/>
  <c r="D48" i="16"/>
  <c r="C48" i="16"/>
  <c r="AM47" i="25"/>
  <c r="D47" i="16"/>
  <c r="C47" i="16"/>
  <c r="D46" i="16"/>
  <c r="C46" i="16"/>
  <c r="AM45" i="25"/>
  <c r="D45" i="16"/>
  <c r="C45" i="16"/>
  <c r="D44" i="16"/>
  <c r="C44" i="16"/>
  <c r="D43" i="16"/>
  <c r="C43" i="16"/>
  <c r="D42" i="16"/>
  <c r="C42" i="16"/>
  <c r="AM41" i="25"/>
  <c r="D41" i="16"/>
  <c r="C41" i="16"/>
  <c r="D40" i="16"/>
  <c r="C40" i="16"/>
  <c r="AM39" i="25"/>
  <c r="D39" i="16"/>
  <c r="C39" i="16"/>
  <c r="D38" i="16"/>
  <c r="C38" i="16"/>
  <c r="AM37" i="25"/>
  <c r="D37" i="16"/>
  <c r="C37" i="16"/>
  <c r="D36" i="16"/>
  <c r="C36" i="16"/>
  <c r="D35" i="16"/>
  <c r="C35" i="16"/>
  <c r="D34" i="16"/>
  <c r="C34" i="16"/>
  <c r="D33" i="16"/>
  <c r="C33" i="16"/>
  <c r="D32" i="16"/>
  <c r="C32" i="16"/>
  <c r="D31" i="16"/>
  <c r="C31" i="16"/>
  <c r="AM30" i="25"/>
  <c r="D30" i="16"/>
  <c r="C30" i="16"/>
  <c r="D29" i="16"/>
  <c r="C29" i="16"/>
  <c r="D28" i="16"/>
  <c r="C28" i="16"/>
  <c r="AM27" i="25"/>
  <c r="D27" i="16"/>
  <c r="C27" i="16"/>
  <c r="AM26" i="25"/>
  <c r="D26" i="16"/>
  <c r="C26" i="16"/>
  <c r="D25" i="16"/>
  <c r="C25" i="16"/>
  <c r="D24" i="16"/>
  <c r="C24" i="16"/>
  <c r="D23" i="16"/>
  <c r="C23" i="16"/>
  <c r="D22" i="16"/>
  <c r="C22" i="16"/>
  <c r="D21" i="16"/>
  <c r="C21" i="16"/>
  <c r="AM20" i="25"/>
  <c r="D20" i="16"/>
  <c r="C20" i="16"/>
  <c r="D19" i="16"/>
  <c r="C19" i="16"/>
  <c r="AM18" i="25"/>
  <c r="D18" i="16"/>
  <c r="C18" i="16"/>
  <c r="D17" i="16"/>
  <c r="C17" i="16"/>
  <c r="D16" i="16"/>
  <c r="C16" i="16"/>
  <c r="D15" i="16"/>
  <c r="C15" i="16"/>
  <c r="AM14" i="25"/>
  <c r="D14" i="16"/>
  <c r="C14" i="16"/>
  <c r="D13" i="16"/>
  <c r="C13" i="16"/>
  <c r="AM12" i="25"/>
  <c r="D12" i="16"/>
  <c r="C12" i="16"/>
  <c r="D11" i="16"/>
  <c r="C11" i="16"/>
  <c r="AM10" i="25"/>
  <c r="D10" i="16"/>
  <c r="C10" i="16"/>
  <c r="D9" i="16"/>
  <c r="C9" i="16"/>
  <c r="AM8" i="25"/>
  <c r="D8" i="16"/>
  <c r="C8" i="16"/>
  <c r="D7" i="16"/>
  <c r="C7" i="16"/>
  <c r="AM6" i="25"/>
  <c r="U37" i="44" s="1"/>
  <c r="D6" i="16"/>
  <c r="C6" i="16"/>
  <c r="U44" i="44" l="1"/>
  <c r="U46" i="44"/>
  <c r="CT41" i="16"/>
  <c r="CT25" i="16"/>
  <c r="CT49" i="16"/>
  <c r="CU49" i="16" s="1"/>
  <c r="CV49" i="16" s="1"/>
  <c r="CO49" i="16" s="1"/>
  <c r="AO49" i="41" s="1"/>
  <c r="CS49" i="16"/>
  <c r="CT9" i="16"/>
  <c r="CS9" i="16"/>
  <c r="CS48" i="16"/>
  <c r="CT48" i="16"/>
  <c r="CU48" i="16" s="1"/>
  <c r="CV48" i="16" s="1"/>
  <c r="CO48" i="16" s="1"/>
  <c r="AO48" i="41" s="1"/>
  <c r="CS40" i="16"/>
  <c r="CT40" i="16"/>
  <c r="CS16" i="16"/>
  <c r="CT16" i="16"/>
  <c r="CT17" i="16"/>
  <c r="CS17" i="16"/>
  <c r="AF33" i="36"/>
  <c r="CT6" i="16"/>
  <c r="CS6" i="16"/>
  <c r="CT51" i="16"/>
  <c r="CU51" i="16" s="1"/>
  <c r="CV51" i="16" s="1"/>
  <c r="CO51" i="16" s="1"/>
  <c r="AO51" i="41" s="1"/>
  <c r="CS51" i="16"/>
  <c r="CT43" i="16"/>
  <c r="CU43" i="16" s="1"/>
  <c r="CV43" i="16" s="1"/>
  <c r="CO43" i="16" s="1"/>
  <c r="AO43" i="41" s="1"/>
  <c r="CS43" i="16"/>
  <c r="CS35" i="16"/>
  <c r="CT35" i="16"/>
  <c r="CS27" i="16"/>
  <c r="CT27" i="16"/>
  <c r="CS19" i="16"/>
  <c r="CT19" i="16"/>
  <c r="CS11" i="16"/>
  <c r="CT11" i="16"/>
  <c r="CS50" i="16"/>
  <c r="CT50" i="16"/>
  <c r="CU50" i="16" s="1"/>
  <c r="CV50" i="16" s="1"/>
  <c r="CO50" i="16" s="1"/>
  <c r="AO50" i="41" s="1"/>
  <c r="CS42" i="16"/>
  <c r="CT42" i="16"/>
  <c r="CS34" i="16"/>
  <c r="CT34" i="16"/>
  <c r="CT26" i="16"/>
  <c r="CS26" i="16"/>
  <c r="CT18" i="16"/>
  <c r="CS18" i="16"/>
  <c r="CT10" i="16"/>
  <c r="CS10" i="16"/>
  <c r="CS7" i="16"/>
  <c r="CT7" i="16"/>
  <c r="CS53" i="16"/>
  <c r="CT53" i="16"/>
  <c r="CU53" i="16" s="1"/>
  <c r="CV53" i="16" s="1"/>
  <c r="CO53" i="16" s="1"/>
  <c r="AO53" i="41" s="1"/>
  <c r="CT45" i="16"/>
  <c r="CU45" i="16" s="1"/>
  <c r="CV45" i="16" s="1"/>
  <c r="CO45" i="16" s="1"/>
  <c r="AO45" i="41" s="1"/>
  <c r="CS45" i="16"/>
  <c r="CS37" i="16"/>
  <c r="CT37" i="16"/>
  <c r="CT29" i="16"/>
  <c r="CS29" i="16"/>
  <c r="CS21" i="16"/>
  <c r="CT21" i="16"/>
  <c r="CT13" i="16"/>
  <c r="CS13" i="16"/>
  <c r="CT52" i="16"/>
  <c r="CU52" i="16" s="1"/>
  <c r="CV52" i="16" s="1"/>
  <c r="CO52" i="16" s="1"/>
  <c r="AO52" i="41" s="1"/>
  <c r="CS52" i="16"/>
  <c r="CT44" i="16"/>
  <c r="CU44" i="16" s="1"/>
  <c r="CV44" i="16" s="1"/>
  <c r="CO44" i="16" s="1"/>
  <c r="AO44" i="41" s="1"/>
  <c r="CS44" i="16"/>
  <c r="CS41" i="16"/>
  <c r="CT36" i="16"/>
  <c r="CS36" i="16"/>
  <c r="CT28" i="16"/>
  <c r="CS28" i="16"/>
  <c r="CS25" i="16"/>
  <c r="CS20" i="16"/>
  <c r="CT20" i="16"/>
  <c r="CS12" i="16"/>
  <c r="CT12" i="16"/>
  <c r="CS33" i="16"/>
  <c r="CT33" i="16"/>
  <c r="CT32" i="16"/>
  <c r="CS32" i="16"/>
  <c r="CS24" i="16"/>
  <c r="CT24" i="16"/>
  <c r="AE39" i="12"/>
  <c r="AE34" i="36"/>
  <c r="CS8" i="16"/>
  <c r="CT8" i="16"/>
  <c r="CS55" i="16"/>
  <c r="CT55" i="16"/>
  <c r="CS47" i="16"/>
  <c r="CT47" i="16"/>
  <c r="CU47" i="16" s="1"/>
  <c r="CV47" i="16" s="1"/>
  <c r="CO47" i="16" s="1"/>
  <c r="AO47" i="41" s="1"/>
  <c r="CS39" i="16"/>
  <c r="CT39" i="16"/>
  <c r="CS31" i="16"/>
  <c r="CT31" i="16"/>
  <c r="CT23" i="16"/>
  <c r="CS23" i="16"/>
  <c r="CS15" i="16"/>
  <c r="CT15" i="16"/>
  <c r="CU15" i="16" s="1"/>
  <c r="CV15" i="16" s="1"/>
  <c r="CO15" i="16" s="1"/>
  <c r="AO15" i="41" s="1"/>
  <c r="CT54" i="16"/>
  <c r="CU54" i="16" s="1"/>
  <c r="CV54" i="16" s="1"/>
  <c r="CO54" i="16" s="1"/>
  <c r="AO54" i="41" s="1"/>
  <c r="CS54" i="16"/>
  <c r="CT46" i="16"/>
  <c r="CU46" i="16" s="1"/>
  <c r="CV46" i="16" s="1"/>
  <c r="CO46" i="16" s="1"/>
  <c r="AO46" i="41" s="1"/>
  <c r="CS46" i="16"/>
  <c r="CT38" i="16"/>
  <c r="CS38" i="16"/>
  <c r="CS30" i="16"/>
  <c r="CT30" i="16"/>
  <c r="CS22" i="16"/>
  <c r="CT22" i="16"/>
  <c r="CS14" i="16"/>
  <c r="CT14" i="16"/>
  <c r="AJ41" i="23"/>
  <c r="AI41" i="23"/>
  <c r="AE35" i="21"/>
  <c r="AF35" i="21"/>
  <c r="AE50" i="18"/>
  <c r="AF50" i="18"/>
  <c r="AG50" i="18" s="1"/>
  <c r="AH50" i="18" s="1"/>
  <c r="AA50" i="18" s="1"/>
  <c r="AU51" i="41" s="1"/>
  <c r="AE25" i="34"/>
  <c r="AF25" i="34"/>
  <c r="AG25" i="34" s="1"/>
  <c r="AI36" i="23"/>
  <c r="AJ36" i="23"/>
  <c r="AF49" i="27"/>
  <c r="AG49" i="27" s="1"/>
  <c r="AH49" i="27" s="1"/>
  <c r="AA49" i="27" s="1"/>
  <c r="BJ50" i="41" s="1"/>
  <c r="AE49" i="27"/>
  <c r="AF45" i="35"/>
  <c r="AG45" i="35" s="1"/>
  <c r="AH45" i="35" s="1"/>
  <c r="AA45" i="35" s="1"/>
  <c r="BA46" i="41" s="1"/>
  <c r="AE45" i="35"/>
  <c r="AF45" i="22"/>
  <c r="AG45" i="22" s="1"/>
  <c r="AH45" i="22" s="1"/>
  <c r="AA45" i="22" s="1"/>
  <c r="BP46" i="41" s="1"/>
  <c r="AE45" i="22"/>
  <c r="AE23" i="35"/>
  <c r="AF23" i="35"/>
  <c r="AI39" i="23"/>
  <c r="AJ39" i="23"/>
  <c r="AF32" i="27"/>
  <c r="AE32" i="27"/>
  <c r="AE24" i="22"/>
  <c r="AF24" i="22"/>
  <c r="AG24" i="22" s="1"/>
  <c r="AH24" i="22" s="1"/>
  <c r="AA24" i="22" s="1"/>
  <c r="BP25" i="41" s="1"/>
  <c r="AF47" i="22"/>
  <c r="AG47" i="22" s="1"/>
  <c r="AH47" i="22" s="1"/>
  <c r="AA47" i="22" s="1"/>
  <c r="BP48" i="41" s="1"/>
  <c r="AE47" i="22"/>
  <c r="AF51" i="17"/>
  <c r="AG51" i="17" s="1"/>
  <c r="AH51" i="17" s="1"/>
  <c r="AA51" i="17" s="1"/>
  <c r="AR52" i="41" s="1"/>
  <c r="AE51" i="17"/>
  <c r="AE26" i="19"/>
  <c r="AF26" i="19"/>
  <c r="AF53" i="21"/>
  <c r="AG53" i="21" s="1"/>
  <c r="AH53" i="21" s="1"/>
  <c r="AA53" i="21" s="1"/>
  <c r="BM54" i="41" s="1"/>
  <c r="AE53" i="21"/>
  <c r="AJ31" i="23"/>
  <c r="AI31" i="23"/>
  <c r="AE35" i="20"/>
  <c r="AF35" i="20"/>
  <c r="AF23" i="19"/>
  <c r="AE23" i="19"/>
  <c r="AF38" i="22"/>
  <c r="AG38" i="22" s="1"/>
  <c r="AH38" i="22" s="1"/>
  <c r="AA38" i="22" s="1"/>
  <c r="BP39" i="41" s="1"/>
  <c r="AE38" i="22"/>
  <c r="AE45" i="10"/>
  <c r="AF45" i="10"/>
  <c r="AG45" i="10" s="1"/>
  <c r="AF52" i="20"/>
  <c r="AG52" i="20" s="1"/>
  <c r="AH52" i="20" s="1"/>
  <c r="AA52" i="20" s="1"/>
  <c r="BG53" i="41" s="1"/>
  <c r="AE52" i="20"/>
  <c r="AF27" i="27"/>
  <c r="AE27" i="27"/>
  <c r="AF46" i="36"/>
  <c r="AG46" i="36" s="1"/>
  <c r="AH46" i="36" s="1"/>
  <c r="AA46" i="36" s="1"/>
  <c r="BD47" i="41" s="1"/>
  <c r="AE46" i="36"/>
  <c r="AE40" i="36"/>
  <c r="AF40" i="36"/>
  <c r="AF29" i="22"/>
  <c r="AE29" i="22"/>
  <c r="AE24" i="21"/>
  <c r="AF24" i="21"/>
  <c r="AE39" i="35"/>
  <c r="AF39" i="35"/>
  <c r="AF44" i="18"/>
  <c r="AG44" i="18" s="1"/>
  <c r="AH44" i="18" s="1"/>
  <c r="AA44" i="18" s="1"/>
  <c r="AU45" i="41" s="1"/>
  <c r="AE44" i="18"/>
  <c r="AF12" i="18"/>
  <c r="AE12" i="18"/>
  <c r="AE17" i="22"/>
  <c r="AF17" i="22"/>
  <c r="AG17" i="22" s="1"/>
  <c r="AH17" i="22" s="1"/>
  <c r="AA17" i="22" s="1"/>
  <c r="BP18" i="41" s="1"/>
  <c r="AE11" i="33"/>
  <c r="AF11" i="33"/>
  <c r="AG11" i="33" s="1"/>
  <c r="AF31" i="34"/>
  <c r="AE31" i="34"/>
  <c r="AE48" i="18"/>
  <c r="AF48" i="18"/>
  <c r="AG48" i="18" s="1"/>
  <c r="AH48" i="18" s="1"/>
  <c r="AA48" i="18" s="1"/>
  <c r="AU49" i="41" s="1"/>
  <c r="AE23" i="11"/>
  <c r="AF23" i="11"/>
  <c r="AG23" i="11" s="1"/>
  <c r="AI53" i="14"/>
  <c r="AJ53" i="14" s="1"/>
  <c r="AH53" i="14"/>
  <c r="AE24" i="7"/>
  <c r="AF24" i="7"/>
  <c r="AG24" i="7" s="1"/>
  <c r="AE40" i="27"/>
  <c r="AF40" i="27"/>
  <c r="AI12" i="23"/>
  <c r="AJ12" i="23"/>
  <c r="AF26" i="35"/>
  <c r="AE26" i="35"/>
  <c r="AE31" i="19"/>
  <c r="AF31" i="19"/>
  <c r="AG23" i="15"/>
  <c r="AH23" i="15"/>
  <c r="AF20" i="13"/>
  <c r="AE20" i="13"/>
  <c r="AE33" i="12"/>
  <c r="AF33" i="12"/>
  <c r="AE24" i="26"/>
  <c r="AF24" i="26"/>
  <c r="AE45" i="34"/>
  <c r="AF45" i="34"/>
  <c r="AG45" i="34" s="1"/>
  <c r="AH45" i="14"/>
  <c r="AI45" i="14"/>
  <c r="AJ45" i="14" s="1"/>
  <c r="AF24" i="33"/>
  <c r="AE24" i="33"/>
  <c r="AF23" i="17"/>
  <c r="AE23" i="17"/>
  <c r="AF10" i="33"/>
  <c r="AE10" i="33"/>
  <c r="AF52" i="12"/>
  <c r="AG52" i="12" s="1"/>
  <c r="AE52" i="12"/>
  <c r="AE18" i="13"/>
  <c r="AF18" i="13"/>
  <c r="AG18" i="13" s="1"/>
  <c r="AE36" i="34"/>
  <c r="AF36" i="34"/>
  <c r="AG36" i="34" s="1"/>
  <c r="AF36" i="35"/>
  <c r="AE36" i="35"/>
  <c r="AE37" i="11"/>
  <c r="AF37" i="11"/>
  <c r="AG37" i="11" s="1"/>
  <c r="AE32" i="20"/>
  <c r="AF32" i="20"/>
  <c r="AH18" i="14"/>
  <c r="AI18" i="14"/>
  <c r="AJ18" i="14" s="1"/>
  <c r="AE19" i="12"/>
  <c r="AF19" i="12"/>
  <c r="AE32" i="26"/>
  <c r="AF32" i="26"/>
  <c r="AE52" i="26"/>
  <c r="AF52" i="26"/>
  <c r="AG52" i="26" s="1"/>
  <c r="AE26" i="27"/>
  <c r="AF26" i="27"/>
  <c r="AE52" i="17"/>
  <c r="AF52" i="17"/>
  <c r="AG52" i="17" s="1"/>
  <c r="AH52" i="17" s="1"/>
  <c r="AA52" i="17" s="1"/>
  <c r="AR53" i="41" s="1"/>
  <c r="AF44" i="13"/>
  <c r="AG44" i="13" s="1"/>
  <c r="AE44" i="13"/>
  <c r="AE28" i="26"/>
  <c r="AF28" i="26"/>
  <c r="AF9" i="11"/>
  <c r="AE9" i="11"/>
  <c r="AE23" i="22"/>
  <c r="AF23" i="22"/>
  <c r="AG23" i="22" s="1"/>
  <c r="AH23" i="22" s="1"/>
  <c r="AA23" i="22" s="1"/>
  <c r="BP24" i="41" s="1"/>
  <c r="AE10" i="10"/>
  <c r="AF10" i="10"/>
  <c r="AG10" i="10" s="1"/>
  <c r="AE50" i="20"/>
  <c r="AF50" i="20"/>
  <c r="AG50" i="20" s="1"/>
  <c r="AH50" i="20" s="1"/>
  <c r="AA50" i="20" s="1"/>
  <c r="BG51" i="41" s="1"/>
  <c r="AF42" i="13"/>
  <c r="AG42" i="13" s="1"/>
  <c r="AE42" i="13"/>
  <c r="AF12" i="26"/>
  <c r="AE12" i="26"/>
  <c r="AE52" i="34"/>
  <c r="AF52" i="34"/>
  <c r="AG52" i="34" s="1"/>
  <c r="AE6" i="36"/>
  <c r="AF6" i="36"/>
  <c r="AE25" i="17"/>
  <c r="AF25" i="17"/>
  <c r="AF6" i="13"/>
  <c r="AE6" i="13"/>
  <c r="AE42" i="35"/>
  <c r="AF42" i="35"/>
  <c r="AG42" i="35" s="1"/>
  <c r="AH42" i="35" s="1"/>
  <c r="AA42" i="35" s="1"/>
  <c r="BA43" i="41" s="1"/>
  <c r="AF7" i="11"/>
  <c r="AE7" i="11"/>
  <c r="AE37" i="12"/>
  <c r="AF37" i="12"/>
  <c r="AF34" i="34"/>
  <c r="AE34" i="34"/>
  <c r="AE37" i="33"/>
  <c r="AF37" i="33"/>
  <c r="AG37" i="33" s="1"/>
  <c r="AE15" i="11"/>
  <c r="AF15" i="11"/>
  <c r="AG15" i="11" s="1"/>
  <c r="AF18" i="10"/>
  <c r="AE18" i="10"/>
  <c r="AF14" i="7"/>
  <c r="AG14" i="7" s="1"/>
  <c r="AE14" i="7"/>
  <c r="AF27" i="21"/>
  <c r="AE27" i="21"/>
  <c r="AH23" i="14"/>
  <c r="AI23" i="14"/>
  <c r="AJ23" i="14" s="1"/>
  <c r="AE36" i="11"/>
  <c r="AF36" i="11"/>
  <c r="AG36" i="11" s="1"/>
  <c r="AE54" i="20"/>
  <c r="AF54" i="20"/>
  <c r="AF15" i="35"/>
  <c r="AE15" i="35"/>
  <c r="AE44" i="12"/>
  <c r="AF44" i="12"/>
  <c r="AG44" i="12" s="1"/>
  <c r="AF36" i="17"/>
  <c r="AE36" i="17"/>
  <c r="AE11" i="34"/>
  <c r="AF11" i="34"/>
  <c r="AG11" i="34" s="1"/>
  <c r="AE18" i="34"/>
  <c r="AF18" i="34"/>
  <c r="AG18" i="34" s="1"/>
  <c r="AF50" i="10"/>
  <c r="AG50" i="10" s="1"/>
  <c r="AE50" i="10"/>
  <c r="AJ52" i="23"/>
  <c r="AK52" i="23" s="1"/>
  <c r="AL52" i="23" s="1"/>
  <c r="AE52" i="23" s="1"/>
  <c r="BS53" i="41" s="1"/>
  <c r="AI52" i="23"/>
  <c r="AE26" i="36"/>
  <c r="AF26" i="36"/>
  <c r="AE11" i="35"/>
  <c r="AF11" i="35"/>
  <c r="AF35" i="17"/>
  <c r="AE35" i="17"/>
  <c r="AF35" i="33"/>
  <c r="AE35" i="33"/>
  <c r="AE16" i="11"/>
  <c r="AF16" i="11"/>
  <c r="AG16" i="11" s="1"/>
  <c r="AF7" i="10"/>
  <c r="AE7" i="10"/>
  <c r="AF16" i="17"/>
  <c r="AE16" i="17"/>
  <c r="AE7" i="34"/>
  <c r="AF7" i="34"/>
  <c r="AH18" i="15"/>
  <c r="AG18" i="15"/>
  <c r="AF38" i="12"/>
  <c r="AE38" i="12"/>
  <c r="AE50" i="17"/>
  <c r="AF50" i="17"/>
  <c r="AG50" i="17" s="1"/>
  <c r="AH50" i="17" s="1"/>
  <c r="AA50" i="17" s="1"/>
  <c r="AR51" i="41" s="1"/>
  <c r="AE53" i="34"/>
  <c r="AF53" i="34"/>
  <c r="AG53" i="34" s="1"/>
  <c r="AF5" i="7"/>
  <c r="AE5" i="7"/>
  <c r="AF48" i="33"/>
  <c r="AG48" i="33" s="1"/>
  <c r="AE48" i="33"/>
  <c r="AE10" i="26"/>
  <c r="AF10" i="26"/>
  <c r="AE46" i="11"/>
  <c r="AF46" i="11"/>
  <c r="AG46" i="11" s="1"/>
  <c r="CS18" i="1"/>
  <c r="CT18" i="1"/>
  <c r="CT50" i="1"/>
  <c r="CU50" i="1" s="1"/>
  <c r="CS50" i="1"/>
  <c r="CS32" i="1"/>
  <c r="CT32" i="1"/>
  <c r="AF14" i="10"/>
  <c r="AG14" i="10" s="1"/>
  <c r="AE14" i="10"/>
  <c r="AF14" i="26"/>
  <c r="AG14" i="26" s="1"/>
  <c r="AE14" i="26"/>
  <c r="AF32" i="35"/>
  <c r="AE32" i="35"/>
  <c r="CT42" i="1"/>
  <c r="CS42" i="1"/>
  <c r="AF46" i="10"/>
  <c r="AG46" i="10" s="1"/>
  <c r="AE46" i="10"/>
  <c r="AF46" i="26"/>
  <c r="AG46" i="26" s="1"/>
  <c r="AE46" i="26"/>
  <c r="CT14" i="1"/>
  <c r="CS14" i="1"/>
  <c r="AF8" i="12"/>
  <c r="AE8" i="12"/>
  <c r="AF34" i="12"/>
  <c r="AE34" i="12"/>
  <c r="AF49" i="13"/>
  <c r="AG49" i="13" s="1"/>
  <c r="AE49" i="13"/>
  <c r="AE46" i="19"/>
  <c r="AF46" i="19"/>
  <c r="AG46" i="19" s="1"/>
  <c r="AH46" i="19" s="1"/>
  <c r="AA46" i="19" s="1"/>
  <c r="AX47" i="41" s="1"/>
  <c r="AF34" i="22"/>
  <c r="AE34" i="22"/>
  <c r="CT37" i="1"/>
  <c r="CS37" i="1"/>
  <c r="AE22" i="34"/>
  <c r="AF22" i="34"/>
  <c r="AH14" i="14"/>
  <c r="AI14" i="14"/>
  <c r="AJ14" i="14" s="1"/>
  <c r="AF9" i="36"/>
  <c r="AE9" i="36"/>
  <c r="AI38" i="23"/>
  <c r="AJ38" i="23"/>
  <c r="AE7" i="36"/>
  <c r="AF7" i="36"/>
  <c r="AE30" i="21"/>
  <c r="AF30" i="21"/>
  <c r="AE38" i="20"/>
  <c r="AF38" i="20"/>
  <c r="AE38" i="21"/>
  <c r="AF38" i="21"/>
  <c r="AE19" i="18"/>
  <c r="AF19" i="18"/>
  <c r="AE37" i="17"/>
  <c r="AF37" i="17"/>
  <c r="AF53" i="33"/>
  <c r="AG53" i="33" s="1"/>
  <c r="AE53" i="33"/>
  <c r="AE28" i="22"/>
  <c r="AF28" i="22"/>
  <c r="AF25" i="19"/>
  <c r="AE25" i="19"/>
  <c r="AH52" i="14"/>
  <c r="AI52" i="14"/>
  <c r="AJ52" i="14" s="1"/>
  <c r="AF46" i="22"/>
  <c r="AG46" i="22" s="1"/>
  <c r="AH46" i="22" s="1"/>
  <c r="AA46" i="22" s="1"/>
  <c r="BP47" i="41" s="1"/>
  <c r="AE46" i="22"/>
  <c r="AF48" i="19"/>
  <c r="AG48" i="19" s="1"/>
  <c r="AH48" i="19" s="1"/>
  <c r="AA48" i="19" s="1"/>
  <c r="AX49" i="41" s="1"/>
  <c r="AE48" i="19"/>
  <c r="AF23" i="18"/>
  <c r="AE23" i="18"/>
  <c r="AE43" i="21"/>
  <c r="AF43" i="21"/>
  <c r="AG43" i="21" s="1"/>
  <c r="AH43" i="21" s="1"/>
  <c r="AA43" i="21" s="1"/>
  <c r="BM44" i="41" s="1"/>
  <c r="AF54" i="26"/>
  <c r="AE54" i="26"/>
  <c r="AE51" i="27"/>
  <c r="AF51" i="27"/>
  <c r="AG51" i="27" s="1"/>
  <c r="AH51" i="27" s="1"/>
  <c r="AA51" i="27" s="1"/>
  <c r="BJ52" i="41" s="1"/>
  <c r="AF31" i="20"/>
  <c r="AE31" i="20"/>
  <c r="AF8" i="36"/>
  <c r="AE8" i="36"/>
  <c r="AF21" i="27"/>
  <c r="AE21" i="27"/>
  <c r="AE17" i="19"/>
  <c r="AF17" i="19"/>
  <c r="AE12" i="35"/>
  <c r="AF12" i="35"/>
  <c r="AF43" i="17"/>
  <c r="AG43" i="17" s="1"/>
  <c r="AH43" i="17" s="1"/>
  <c r="AA43" i="17" s="1"/>
  <c r="AR44" i="41" s="1"/>
  <c r="AE43" i="17"/>
  <c r="AF52" i="13"/>
  <c r="AG52" i="13" s="1"/>
  <c r="AE52" i="13"/>
  <c r="AF12" i="7"/>
  <c r="AG12" i="7" s="1"/>
  <c r="AE12" i="7"/>
  <c r="AF50" i="21"/>
  <c r="AG50" i="21" s="1"/>
  <c r="AH50" i="21" s="1"/>
  <c r="AA50" i="21" s="1"/>
  <c r="BM51" i="41" s="1"/>
  <c r="AE50" i="21"/>
  <c r="AH13" i="15"/>
  <c r="AG13" i="15"/>
  <c r="AF32" i="33"/>
  <c r="AE32" i="33"/>
  <c r="AF17" i="20"/>
  <c r="AE17" i="20"/>
  <c r="AF15" i="21"/>
  <c r="AE15" i="21"/>
  <c r="AJ37" i="23"/>
  <c r="AI37" i="23"/>
  <c r="AH10" i="15"/>
  <c r="AG10" i="15"/>
  <c r="AF27" i="34"/>
  <c r="AG27" i="34" s="1"/>
  <c r="AE27" i="34"/>
  <c r="AF26" i="20"/>
  <c r="AE26" i="20"/>
  <c r="AF32" i="34"/>
  <c r="AG32" i="34" s="1"/>
  <c r="AE32" i="34"/>
  <c r="AE5" i="34"/>
  <c r="AF5" i="34"/>
  <c r="AI39" i="14"/>
  <c r="AJ39" i="14" s="1"/>
  <c r="AH39" i="14"/>
  <c r="AF51" i="26"/>
  <c r="AG51" i="26" s="1"/>
  <c r="AE51" i="26"/>
  <c r="AE8" i="34"/>
  <c r="AF8" i="34"/>
  <c r="AF13" i="7"/>
  <c r="AE13" i="7"/>
  <c r="AE35" i="11"/>
  <c r="AF35" i="11"/>
  <c r="AG35" i="11" s="1"/>
  <c r="AF36" i="12"/>
  <c r="AG36" i="12" s="1"/>
  <c r="AE36" i="12"/>
  <c r="AF44" i="22"/>
  <c r="AG44" i="22" s="1"/>
  <c r="AH44" i="22" s="1"/>
  <c r="AA44" i="22" s="1"/>
  <c r="BP45" i="41" s="1"/>
  <c r="AE44" i="22"/>
  <c r="AF36" i="26"/>
  <c r="AE36" i="26"/>
  <c r="AF54" i="11"/>
  <c r="AE54" i="11"/>
  <c r="AF43" i="12"/>
  <c r="AG43" i="12" s="1"/>
  <c r="AE43" i="12"/>
  <c r="AE25" i="35"/>
  <c r="AF25" i="35"/>
  <c r="AG25" i="35" s="1"/>
  <c r="AH25" i="35" s="1"/>
  <c r="AA25" i="35" s="1"/>
  <c r="BA26" i="41" s="1"/>
  <c r="AE54" i="10"/>
  <c r="AF54" i="10"/>
  <c r="AF9" i="18"/>
  <c r="AE9" i="18"/>
  <c r="AF11" i="19"/>
  <c r="AE11" i="19"/>
  <c r="AF30" i="18"/>
  <c r="AE30" i="18"/>
  <c r="AE15" i="20"/>
  <c r="AF15" i="20"/>
  <c r="AG15" i="20" s="1"/>
  <c r="AH15" i="20" s="1"/>
  <c r="AA15" i="20" s="1"/>
  <c r="BG16" i="41" s="1"/>
  <c r="AF15" i="10"/>
  <c r="AE15" i="10"/>
  <c r="AF22" i="12"/>
  <c r="AE22" i="12"/>
  <c r="AF53" i="35"/>
  <c r="AG53" i="35" s="1"/>
  <c r="AH53" i="35" s="1"/>
  <c r="AA53" i="35" s="1"/>
  <c r="BA54" i="41" s="1"/>
  <c r="AE53" i="35"/>
  <c r="AF9" i="17"/>
  <c r="AE9" i="17"/>
  <c r="AJ28" i="23"/>
  <c r="AI28" i="23"/>
  <c r="AE39" i="21"/>
  <c r="AF39" i="21"/>
  <c r="AH39" i="15"/>
  <c r="AG39" i="15"/>
  <c r="AF21" i="26"/>
  <c r="AE21" i="26"/>
  <c r="AF25" i="12"/>
  <c r="AG25" i="12" s="1"/>
  <c r="AE25" i="12"/>
  <c r="AF28" i="11"/>
  <c r="AE28" i="11"/>
  <c r="AF30" i="7"/>
  <c r="AE30" i="7"/>
  <c r="AI10" i="23"/>
  <c r="AJ10" i="23"/>
  <c r="AE33" i="17"/>
  <c r="AF33" i="17"/>
  <c r="AF16" i="13"/>
  <c r="AE16" i="13"/>
  <c r="AE35" i="34"/>
  <c r="AF35" i="34"/>
  <c r="AE6" i="35"/>
  <c r="AF6" i="35"/>
  <c r="AE29" i="26"/>
  <c r="AF29" i="26"/>
  <c r="AE39" i="33"/>
  <c r="AF39" i="33"/>
  <c r="AG39" i="33" s="1"/>
  <c r="AE32" i="36"/>
  <c r="AF32" i="36"/>
  <c r="AF44" i="36"/>
  <c r="AG44" i="36" s="1"/>
  <c r="AH44" i="36" s="1"/>
  <c r="AA44" i="36" s="1"/>
  <c r="BD45" i="41" s="1"/>
  <c r="AE44" i="36"/>
  <c r="AF53" i="12"/>
  <c r="AG53" i="12" s="1"/>
  <c r="AE53" i="12"/>
  <c r="AF28" i="34"/>
  <c r="AE28" i="34"/>
  <c r="AE8" i="11"/>
  <c r="AF8" i="11"/>
  <c r="AG8" i="11" s="1"/>
  <c r="AG29" i="15"/>
  <c r="AH29" i="15"/>
  <c r="AI16" i="14"/>
  <c r="AJ16" i="14" s="1"/>
  <c r="AH16" i="14"/>
  <c r="AF35" i="12"/>
  <c r="AE35" i="12"/>
  <c r="AF32" i="10"/>
  <c r="AE32" i="10"/>
  <c r="AE10" i="35"/>
  <c r="AF10" i="35"/>
  <c r="AE13" i="17"/>
  <c r="AF13" i="17"/>
  <c r="AE40" i="13"/>
  <c r="AF40" i="13"/>
  <c r="AE17" i="33"/>
  <c r="AF17" i="33"/>
  <c r="AG17" i="33" s="1"/>
  <c r="AF34" i="10"/>
  <c r="AE34" i="10"/>
  <c r="AI44" i="23"/>
  <c r="AJ44" i="23"/>
  <c r="AK44" i="23" s="1"/>
  <c r="AL44" i="23" s="1"/>
  <c r="AE44" i="23" s="1"/>
  <c r="BS45" i="41" s="1"/>
  <c r="AF54" i="35"/>
  <c r="AE54" i="35"/>
  <c r="AH42" i="14"/>
  <c r="AI42" i="14"/>
  <c r="AJ42" i="14" s="1"/>
  <c r="AE52" i="10"/>
  <c r="AF52" i="10"/>
  <c r="AG52" i="10" s="1"/>
  <c r="AF11" i="17"/>
  <c r="AE11" i="17"/>
  <c r="AF29" i="11"/>
  <c r="AE29" i="11"/>
  <c r="AE52" i="11"/>
  <c r="AF52" i="11"/>
  <c r="AG52" i="11" s="1"/>
  <c r="AE33" i="21"/>
  <c r="AF33" i="21"/>
  <c r="AH47" i="14"/>
  <c r="AI47" i="14"/>
  <c r="AJ47" i="14" s="1"/>
  <c r="AE39" i="34"/>
  <c r="AF39" i="34"/>
  <c r="AE36" i="10"/>
  <c r="AF36" i="10"/>
  <c r="AG36" i="10" s="1"/>
  <c r="AG33" i="15"/>
  <c r="AH33" i="15"/>
  <c r="AF10" i="36"/>
  <c r="AE10" i="36"/>
  <c r="AH52" i="15"/>
  <c r="AI52" i="15" s="1"/>
  <c r="AG52" i="15"/>
  <c r="AE29" i="12"/>
  <c r="AF29" i="12"/>
  <c r="AF47" i="10"/>
  <c r="AG47" i="10" s="1"/>
  <c r="AE47" i="10"/>
  <c r="AE42" i="17"/>
  <c r="AF42" i="17"/>
  <c r="AG42" i="17" s="1"/>
  <c r="AH42" i="17" s="1"/>
  <c r="AA42" i="17" s="1"/>
  <c r="AR43" i="41" s="1"/>
  <c r="AE42" i="12"/>
  <c r="AF42" i="12"/>
  <c r="AG42" i="12" s="1"/>
  <c r="AF36" i="7"/>
  <c r="AE36" i="7"/>
  <c r="AE42" i="10"/>
  <c r="AF42" i="10"/>
  <c r="AG42" i="10" s="1"/>
  <c r="CS23" i="1"/>
  <c r="CT23" i="1"/>
  <c r="CS55" i="1"/>
  <c r="CT55" i="1"/>
  <c r="AI22" i="14"/>
  <c r="AJ22" i="14" s="1"/>
  <c r="AH22" i="14"/>
  <c r="AE38" i="26"/>
  <c r="AF38" i="26"/>
  <c r="CT48" i="1"/>
  <c r="CS48" i="1"/>
  <c r="AE30" i="10"/>
  <c r="AF30" i="10"/>
  <c r="AG30" i="10" s="1"/>
  <c r="AF6" i="34"/>
  <c r="AG6" i="34" s="1"/>
  <c r="AE6" i="34"/>
  <c r="AE29" i="13"/>
  <c r="AF29" i="13"/>
  <c r="AG29" i="13" s="1"/>
  <c r="AG6" i="15"/>
  <c r="AH6" i="15"/>
  <c r="AF5" i="36"/>
  <c r="AE5" i="36"/>
  <c r="CT15" i="1"/>
  <c r="CS15" i="1"/>
  <c r="AE5" i="13"/>
  <c r="AF5" i="13"/>
  <c r="AI30" i="14"/>
  <c r="AJ30" i="14" s="1"/>
  <c r="AH30" i="14"/>
  <c r="AE34" i="18"/>
  <c r="AF34" i="18"/>
  <c r="CS51" i="1"/>
  <c r="CT51" i="1"/>
  <c r="CU51" i="1" s="1"/>
  <c r="AE22" i="10"/>
  <c r="AF22" i="10"/>
  <c r="AG22" i="10" s="1"/>
  <c r="AF13" i="13"/>
  <c r="AE13" i="13"/>
  <c r="AH6" i="14"/>
  <c r="AI6" i="14"/>
  <c r="AJ6" i="14" s="1"/>
  <c r="AF39" i="36"/>
  <c r="AE39" i="36"/>
  <c r="CT33" i="1"/>
  <c r="CS33" i="1"/>
  <c r="AE27" i="13"/>
  <c r="AF27" i="13"/>
  <c r="AF18" i="22"/>
  <c r="AE18" i="22"/>
  <c r="AF31" i="36"/>
  <c r="AE31" i="36"/>
  <c r="CT7" i="1"/>
  <c r="CS7" i="1"/>
  <c r="AF9" i="22"/>
  <c r="AG9" i="22" s="1"/>
  <c r="AH9" i="22" s="1"/>
  <c r="AA9" i="22" s="1"/>
  <c r="BP10" i="41" s="1"/>
  <c r="AE9" i="22"/>
  <c r="AG53" i="15"/>
  <c r="AH53" i="15"/>
  <c r="AI53" i="15" s="1"/>
  <c r="AE50" i="27"/>
  <c r="AF50" i="27"/>
  <c r="AG50" i="27" s="1"/>
  <c r="AH50" i="27" s="1"/>
  <c r="AA50" i="27" s="1"/>
  <c r="BJ51" i="41" s="1"/>
  <c r="AJ19" i="23"/>
  <c r="AI19" i="23"/>
  <c r="AF44" i="20"/>
  <c r="AG44" i="20" s="1"/>
  <c r="AH44" i="20" s="1"/>
  <c r="AA44" i="20" s="1"/>
  <c r="BG45" i="41" s="1"/>
  <c r="AE44" i="20"/>
  <c r="AE38" i="36"/>
  <c r="AF38" i="36"/>
  <c r="AE32" i="18"/>
  <c r="AF32" i="18"/>
  <c r="AF40" i="18"/>
  <c r="AE40" i="18"/>
  <c r="AG34" i="15"/>
  <c r="AH34" i="15"/>
  <c r="AF50" i="36"/>
  <c r="AG50" i="36" s="1"/>
  <c r="AH50" i="36" s="1"/>
  <c r="AA50" i="36" s="1"/>
  <c r="BD51" i="41" s="1"/>
  <c r="AE50" i="36"/>
  <c r="AF52" i="27"/>
  <c r="AG52" i="27" s="1"/>
  <c r="AH52" i="27" s="1"/>
  <c r="AA52" i="27" s="1"/>
  <c r="BJ53" i="41" s="1"/>
  <c r="AE52" i="27"/>
  <c r="AJ50" i="23"/>
  <c r="AK50" i="23" s="1"/>
  <c r="AL50" i="23" s="1"/>
  <c r="AE50" i="23" s="1"/>
  <c r="BS51" i="41" s="1"/>
  <c r="AI50" i="23"/>
  <c r="AF52" i="22"/>
  <c r="AG52" i="22" s="1"/>
  <c r="AH52" i="22" s="1"/>
  <c r="AA52" i="22" s="1"/>
  <c r="BP53" i="41" s="1"/>
  <c r="AE52" i="22"/>
  <c r="AE43" i="27"/>
  <c r="AF43" i="27"/>
  <c r="AF36" i="20"/>
  <c r="AE36" i="20"/>
  <c r="AE18" i="35"/>
  <c r="AF18" i="35"/>
  <c r="AE51" i="34"/>
  <c r="AF51" i="34"/>
  <c r="AG51" i="34" s="1"/>
  <c r="AJ43" i="23"/>
  <c r="AK43" i="23" s="1"/>
  <c r="AL43" i="23" s="1"/>
  <c r="AE43" i="23" s="1"/>
  <c r="BS44" i="41" s="1"/>
  <c r="AI43" i="23"/>
  <c r="AJ20" i="23"/>
  <c r="AI20" i="23"/>
  <c r="AI29" i="23"/>
  <c r="AJ29" i="23"/>
  <c r="AG16" i="15"/>
  <c r="AH16" i="15"/>
  <c r="AF15" i="22"/>
  <c r="AG15" i="22" s="1"/>
  <c r="AH15" i="22" s="1"/>
  <c r="AA15" i="22" s="1"/>
  <c r="BP16" i="41" s="1"/>
  <c r="AE15" i="22"/>
  <c r="AF37" i="20"/>
  <c r="AE37" i="20"/>
  <c r="AI42" i="23"/>
  <c r="AJ42" i="23"/>
  <c r="AK42" i="23" s="1"/>
  <c r="AL42" i="23" s="1"/>
  <c r="AE42" i="23" s="1"/>
  <c r="BS43" i="41" s="1"/>
  <c r="AF21" i="22"/>
  <c r="AE21" i="22"/>
  <c r="AF47" i="20"/>
  <c r="AG47" i="20" s="1"/>
  <c r="AH47" i="20" s="1"/>
  <c r="AA47" i="20" s="1"/>
  <c r="BG48" i="41" s="1"/>
  <c r="AE47" i="20"/>
  <c r="AF8" i="17"/>
  <c r="AE8" i="17"/>
  <c r="AF54" i="22"/>
  <c r="AE54" i="22"/>
  <c r="AF29" i="18"/>
  <c r="AE29" i="18"/>
  <c r="AF46" i="7"/>
  <c r="AG46" i="7" s="1"/>
  <c r="AE46" i="7"/>
  <c r="AE50" i="13"/>
  <c r="AF50" i="13"/>
  <c r="AG50" i="13" s="1"/>
  <c r="AH20" i="14"/>
  <c r="AI20" i="14"/>
  <c r="AE18" i="33"/>
  <c r="AF18" i="33"/>
  <c r="AF48" i="35"/>
  <c r="AG48" i="35" s="1"/>
  <c r="AH48" i="35" s="1"/>
  <c r="AA48" i="35" s="1"/>
  <c r="BA49" i="41" s="1"/>
  <c r="AE48" i="35"/>
  <c r="AE7" i="18"/>
  <c r="AF7" i="18"/>
  <c r="AE45" i="33"/>
  <c r="AF45" i="33"/>
  <c r="AG45" i="33" s="1"/>
  <c r="AE31" i="22"/>
  <c r="AF31" i="22"/>
  <c r="AF25" i="21"/>
  <c r="AE25" i="21"/>
  <c r="AF34" i="27"/>
  <c r="AE34" i="27"/>
  <c r="AF12" i="20"/>
  <c r="AG12" i="20" s="1"/>
  <c r="AH12" i="20" s="1"/>
  <c r="AA12" i="20" s="1"/>
  <c r="BG13" i="41" s="1"/>
  <c r="AE12" i="20"/>
  <c r="AE6" i="22"/>
  <c r="AF6" i="22"/>
  <c r="AE7" i="20"/>
  <c r="AF7" i="20"/>
  <c r="AJ33" i="23"/>
  <c r="AI33" i="23"/>
  <c r="AF31" i="21"/>
  <c r="AG31" i="21" s="1"/>
  <c r="AH31" i="21" s="1"/>
  <c r="AA31" i="21" s="1"/>
  <c r="BM32" i="41" s="1"/>
  <c r="AE31" i="21"/>
  <c r="AF5" i="21"/>
  <c r="AE5" i="21"/>
  <c r="AF33" i="27"/>
  <c r="AE33" i="27"/>
  <c r="AE8" i="27"/>
  <c r="AF8" i="27"/>
  <c r="AE11" i="20"/>
  <c r="AF11" i="20"/>
  <c r="AJ11" i="23"/>
  <c r="AI11" i="23"/>
  <c r="AE11" i="22"/>
  <c r="AF11" i="22"/>
  <c r="AF36" i="21"/>
  <c r="AE36" i="21"/>
  <c r="AF16" i="27"/>
  <c r="AE16" i="27"/>
  <c r="AF49" i="35"/>
  <c r="AG49" i="35" s="1"/>
  <c r="AH49" i="35" s="1"/>
  <c r="AA49" i="35" s="1"/>
  <c r="BA50" i="41" s="1"/>
  <c r="AE49" i="35"/>
  <c r="AE35" i="19"/>
  <c r="AF35" i="19"/>
  <c r="AG24" i="15"/>
  <c r="AH24" i="15"/>
  <c r="AF50" i="22"/>
  <c r="AG50" i="22" s="1"/>
  <c r="AH50" i="22" s="1"/>
  <c r="AA50" i="22" s="1"/>
  <c r="BP51" i="41" s="1"/>
  <c r="AE50" i="22"/>
  <c r="AE34" i="21"/>
  <c r="AF34" i="21"/>
  <c r="AE30" i="27"/>
  <c r="AF30" i="27"/>
  <c r="AF16" i="20"/>
  <c r="AE16" i="20"/>
  <c r="AE29" i="35"/>
  <c r="AF29" i="35"/>
  <c r="AE24" i="18"/>
  <c r="AF24" i="18"/>
  <c r="AE10" i="17"/>
  <c r="AF10" i="17"/>
  <c r="AG17" i="15"/>
  <c r="AH17" i="15"/>
  <c r="AI26" i="14"/>
  <c r="AJ26" i="14" s="1"/>
  <c r="AH26" i="14"/>
  <c r="AE28" i="21"/>
  <c r="AF28" i="21"/>
  <c r="AH40" i="14"/>
  <c r="AI40" i="14"/>
  <c r="AF37" i="35"/>
  <c r="AE37" i="35"/>
  <c r="AF15" i="34"/>
  <c r="AG15" i="34" s="1"/>
  <c r="AE15" i="34"/>
  <c r="AE19" i="22"/>
  <c r="AF19" i="22"/>
  <c r="AG19" i="22" s="1"/>
  <c r="AH19" i="22" s="1"/>
  <c r="AA19" i="22" s="1"/>
  <c r="BP20" i="41" s="1"/>
  <c r="AE22" i="18"/>
  <c r="AF22" i="18"/>
  <c r="AE42" i="34"/>
  <c r="AF42" i="34"/>
  <c r="AG42" i="34" s="1"/>
  <c r="AE41" i="27"/>
  <c r="AF41" i="27"/>
  <c r="AI24" i="14"/>
  <c r="AJ24" i="14" s="1"/>
  <c r="AH24" i="14"/>
  <c r="AF25" i="26"/>
  <c r="AE25" i="26"/>
  <c r="AE36" i="22"/>
  <c r="AF36" i="22"/>
  <c r="AE52" i="19"/>
  <c r="AF52" i="19"/>
  <c r="AG52" i="19" s="1"/>
  <c r="AH52" i="19" s="1"/>
  <c r="AA52" i="19" s="1"/>
  <c r="AX53" i="41" s="1"/>
  <c r="AE31" i="18"/>
  <c r="AF31" i="18"/>
  <c r="AE15" i="17"/>
  <c r="AF15" i="17"/>
  <c r="AJ9" i="23"/>
  <c r="AK9" i="23" s="1"/>
  <c r="AL9" i="23" s="1"/>
  <c r="AE9" i="23" s="1"/>
  <c r="BS10" i="41" s="1"/>
  <c r="AI9" i="23"/>
  <c r="AF27" i="20"/>
  <c r="AE27" i="20"/>
  <c r="AF37" i="19"/>
  <c r="AE37" i="19"/>
  <c r="AE39" i="18"/>
  <c r="AF39" i="18"/>
  <c r="AF45" i="19"/>
  <c r="AG45" i="19" s="1"/>
  <c r="AH45" i="19" s="1"/>
  <c r="AA45" i="19" s="1"/>
  <c r="AX46" i="41" s="1"/>
  <c r="AE45" i="19"/>
  <c r="AI49" i="14"/>
  <c r="AJ49" i="14" s="1"/>
  <c r="AH49" i="14"/>
  <c r="AF5" i="26"/>
  <c r="AE5" i="26"/>
  <c r="AE16" i="33"/>
  <c r="AF16" i="33"/>
  <c r="AF19" i="17"/>
  <c r="AE19" i="17"/>
  <c r="AE33" i="20"/>
  <c r="AF33" i="20"/>
  <c r="AI36" i="14"/>
  <c r="AJ36" i="14" s="1"/>
  <c r="AH36" i="14"/>
  <c r="AI53" i="23"/>
  <c r="AJ53" i="23"/>
  <c r="AK53" i="23" s="1"/>
  <c r="AL53" i="23" s="1"/>
  <c r="AE53" i="23" s="1"/>
  <c r="BS54" i="41" s="1"/>
  <c r="AE15" i="19"/>
  <c r="AF15" i="19"/>
  <c r="AI54" i="14"/>
  <c r="AH54" i="14"/>
  <c r="AF28" i="13"/>
  <c r="AE28" i="13"/>
  <c r="AE5" i="12"/>
  <c r="AF5" i="12"/>
  <c r="AF21" i="33"/>
  <c r="AG21" i="33" s="1"/>
  <c r="AE21" i="33"/>
  <c r="AF42" i="27"/>
  <c r="AG42" i="27" s="1"/>
  <c r="AH42" i="27" s="1"/>
  <c r="AA42" i="27" s="1"/>
  <c r="BJ43" i="41" s="1"/>
  <c r="AE42" i="27"/>
  <c r="AE22" i="36"/>
  <c r="AF22" i="36"/>
  <c r="AF41" i="19"/>
  <c r="AE41" i="19"/>
  <c r="AF43" i="34"/>
  <c r="AG43" i="34" s="1"/>
  <c r="AE43" i="34"/>
  <c r="AF34" i="7"/>
  <c r="AG34" i="7" s="1"/>
  <c r="AE34" i="7"/>
  <c r="AH8" i="15"/>
  <c r="AG8" i="15"/>
  <c r="AE48" i="13"/>
  <c r="AF48" i="13"/>
  <c r="AG48" i="13" s="1"/>
  <c r="AF16" i="26"/>
  <c r="AE16" i="26"/>
  <c r="AE27" i="33"/>
  <c r="AF27" i="33"/>
  <c r="AE48" i="36"/>
  <c r="AF48" i="36"/>
  <c r="AG48" i="36" s="1"/>
  <c r="AH48" i="36" s="1"/>
  <c r="AA48" i="36" s="1"/>
  <c r="BD49" i="41" s="1"/>
  <c r="AF47" i="19"/>
  <c r="AG47" i="19" s="1"/>
  <c r="AH47" i="19" s="1"/>
  <c r="AA47" i="19" s="1"/>
  <c r="AX48" i="41" s="1"/>
  <c r="AE47" i="19"/>
  <c r="AE29" i="17"/>
  <c r="AF29" i="17"/>
  <c r="AH35" i="14"/>
  <c r="AI35" i="14"/>
  <c r="AE23" i="33"/>
  <c r="AF23" i="33"/>
  <c r="AF52" i="7"/>
  <c r="AG52" i="7" s="1"/>
  <c r="AE52" i="7"/>
  <c r="AE22" i="35"/>
  <c r="AF22" i="35"/>
  <c r="AG21" i="15"/>
  <c r="AH21" i="15"/>
  <c r="AE8" i="10"/>
  <c r="AF8" i="10"/>
  <c r="AH29" i="14"/>
  <c r="AI29" i="14"/>
  <c r="AF26" i="34"/>
  <c r="AE26" i="34"/>
  <c r="AE17" i="35"/>
  <c r="AF17" i="35"/>
  <c r="AF48" i="10"/>
  <c r="AG48" i="10" s="1"/>
  <c r="AE48" i="10"/>
  <c r="AE7" i="17"/>
  <c r="AF7" i="17"/>
  <c r="AE12" i="11"/>
  <c r="AF12" i="11"/>
  <c r="AF44" i="19"/>
  <c r="AG44" i="19" s="1"/>
  <c r="AH44" i="19" s="1"/>
  <c r="AA44" i="19" s="1"/>
  <c r="AX45" i="41" s="1"/>
  <c r="AE44" i="19"/>
  <c r="AF41" i="18"/>
  <c r="AE41" i="18"/>
  <c r="AF13" i="20"/>
  <c r="AG13" i="20" s="1"/>
  <c r="AH13" i="20" s="1"/>
  <c r="AA13" i="20" s="1"/>
  <c r="BG14" i="41" s="1"/>
  <c r="AE13" i="20"/>
  <c r="AF45" i="18"/>
  <c r="AG45" i="18" s="1"/>
  <c r="AH45" i="18" s="1"/>
  <c r="AA45" i="18" s="1"/>
  <c r="AU46" i="41" s="1"/>
  <c r="AE45" i="18"/>
  <c r="AE47" i="17"/>
  <c r="AF47" i="17"/>
  <c r="AG47" i="17" s="1"/>
  <c r="AH47" i="17" s="1"/>
  <c r="AA47" i="17" s="1"/>
  <c r="AR48" i="41" s="1"/>
  <c r="AE21" i="17"/>
  <c r="AF21" i="17"/>
  <c r="AH49" i="15"/>
  <c r="AI49" i="15" s="1"/>
  <c r="AG49" i="15"/>
  <c r="AG25" i="15"/>
  <c r="AH25" i="15"/>
  <c r="AJ8" i="23"/>
  <c r="AK8" i="23" s="1"/>
  <c r="AL8" i="23" s="1"/>
  <c r="AE8" i="23" s="1"/>
  <c r="BS9" i="41" s="1"/>
  <c r="AI8" i="23"/>
  <c r="AF9" i="21"/>
  <c r="AE9" i="21"/>
  <c r="AE18" i="36"/>
  <c r="AF18" i="36"/>
  <c r="AH50" i="15"/>
  <c r="AI50" i="15" s="1"/>
  <c r="AG50" i="15"/>
  <c r="AF12" i="13"/>
  <c r="AG12" i="13" s="1"/>
  <c r="AE12" i="13"/>
  <c r="AE34" i="26"/>
  <c r="AF34" i="26"/>
  <c r="AE9" i="26"/>
  <c r="AF9" i="26"/>
  <c r="AF11" i="12"/>
  <c r="AE11" i="12"/>
  <c r="AF40" i="11"/>
  <c r="AE40" i="11"/>
  <c r="AE44" i="10"/>
  <c r="AF44" i="10"/>
  <c r="AG44" i="10" s="1"/>
  <c r="AE45" i="7"/>
  <c r="AF45" i="7"/>
  <c r="AG45" i="7" s="1"/>
  <c r="AF13" i="27"/>
  <c r="AE13" i="27"/>
  <c r="AE52" i="35"/>
  <c r="AF52" i="35"/>
  <c r="AG52" i="35" s="1"/>
  <c r="AH52" i="35" s="1"/>
  <c r="AA52" i="35" s="1"/>
  <c r="BA53" i="41" s="1"/>
  <c r="AE54" i="19"/>
  <c r="AF54" i="19"/>
  <c r="AF5" i="19"/>
  <c r="AE5" i="19"/>
  <c r="AF27" i="18"/>
  <c r="AE27" i="18"/>
  <c r="AE49" i="26"/>
  <c r="AF49" i="26"/>
  <c r="AG49" i="26" s="1"/>
  <c r="AF13" i="11"/>
  <c r="AE13" i="11"/>
  <c r="AF16" i="10"/>
  <c r="AG16" i="10" s="1"/>
  <c r="AE16" i="10"/>
  <c r="AF39" i="22"/>
  <c r="AG39" i="22" s="1"/>
  <c r="AH39" i="22" s="1"/>
  <c r="AA39" i="22" s="1"/>
  <c r="BP40" i="41" s="1"/>
  <c r="AE39" i="22"/>
  <c r="AE49" i="17"/>
  <c r="AF49" i="17"/>
  <c r="AG49" i="17" s="1"/>
  <c r="AH49" i="17" s="1"/>
  <c r="AA49" i="17" s="1"/>
  <c r="AR50" i="41" s="1"/>
  <c r="AG26" i="15"/>
  <c r="AH26" i="15"/>
  <c r="AF18" i="26"/>
  <c r="AE18" i="26"/>
  <c r="AE50" i="33"/>
  <c r="AF50" i="33"/>
  <c r="AG50" i="33" s="1"/>
  <c r="AE20" i="21"/>
  <c r="AF20" i="21"/>
  <c r="AE12" i="19"/>
  <c r="AF12" i="19"/>
  <c r="AH5" i="15"/>
  <c r="AG5" i="15"/>
  <c r="AE34" i="13"/>
  <c r="AF34" i="13"/>
  <c r="AE28" i="12"/>
  <c r="AF28" i="12"/>
  <c r="AG28" i="12" s="1"/>
  <c r="AE53" i="11"/>
  <c r="AF53" i="11"/>
  <c r="AG53" i="11" s="1"/>
  <c r="AF26" i="13"/>
  <c r="AE26" i="13"/>
  <c r="AF43" i="26"/>
  <c r="AG43" i="26" s="1"/>
  <c r="AE43" i="26"/>
  <c r="AE26" i="7"/>
  <c r="AF26" i="7"/>
  <c r="AF50" i="11"/>
  <c r="AG50" i="11" s="1"/>
  <c r="AE50" i="11"/>
  <c r="AE13" i="12"/>
  <c r="AF13" i="12"/>
  <c r="AF15" i="26"/>
  <c r="AE15" i="26"/>
  <c r="AF40" i="34"/>
  <c r="AG40" i="34" s="1"/>
  <c r="AE40" i="34"/>
  <c r="AF44" i="33"/>
  <c r="AG44" i="33" s="1"/>
  <c r="AE44" i="33"/>
  <c r="AE24" i="10"/>
  <c r="AF24" i="10"/>
  <c r="AE17" i="27"/>
  <c r="AF17" i="27"/>
  <c r="AE20" i="36"/>
  <c r="AF20" i="36"/>
  <c r="AE9" i="35"/>
  <c r="AF9" i="35"/>
  <c r="AE18" i="17"/>
  <c r="AF18" i="17"/>
  <c r="AH28" i="14"/>
  <c r="AI28" i="14"/>
  <c r="AF54" i="13"/>
  <c r="AE54" i="13"/>
  <c r="AF53" i="26"/>
  <c r="AG53" i="26" s="1"/>
  <c r="AE53" i="26"/>
  <c r="AE15" i="12"/>
  <c r="AF15" i="12"/>
  <c r="AE42" i="11"/>
  <c r="AF42" i="11"/>
  <c r="AG42" i="11" s="1"/>
  <c r="AF19" i="11"/>
  <c r="AE19" i="11"/>
  <c r="AE43" i="22"/>
  <c r="AF43" i="22"/>
  <c r="AG43" i="22" s="1"/>
  <c r="AH43" i="22" s="1"/>
  <c r="AA43" i="22" s="1"/>
  <c r="BP44" i="41" s="1"/>
  <c r="AE18" i="27"/>
  <c r="AF18" i="27"/>
  <c r="AF52" i="36"/>
  <c r="AG52" i="36" s="1"/>
  <c r="AH52" i="36" s="1"/>
  <c r="AA52" i="36" s="1"/>
  <c r="BD53" i="41" s="1"/>
  <c r="AE52" i="36"/>
  <c r="AF53" i="17"/>
  <c r="AG53" i="17" s="1"/>
  <c r="AH53" i="17" s="1"/>
  <c r="AA53" i="17" s="1"/>
  <c r="AR54" i="41" s="1"/>
  <c r="AE53" i="17"/>
  <c r="AG36" i="15"/>
  <c r="AH36" i="15"/>
  <c r="AE10" i="13"/>
  <c r="AF10" i="13"/>
  <c r="AE23" i="26"/>
  <c r="AF23" i="26"/>
  <c r="AE54" i="33"/>
  <c r="AF54" i="33"/>
  <c r="AE43" i="11"/>
  <c r="AF43" i="11"/>
  <c r="AG43" i="11" s="1"/>
  <c r="AE17" i="10"/>
  <c r="AF17" i="10"/>
  <c r="AF28" i="19"/>
  <c r="AE28" i="19"/>
  <c r="AE19" i="26"/>
  <c r="AF19" i="26"/>
  <c r="AE33" i="34"/>
  <c r="AF33" i="34"/>
  <c r="AE5" i="11"/>
  <c r="AF5" i="11"/>
  <c r="AE48" i="7"/>
  <c r="AF48" i="7"/>
  <c r="AG48" i="7" s="1"/>
  <c r="AF40" i="22"/>
  <c r="AE40" i="22"/>
  <c r="AE46" i="35"/>
  <c r="AF46" i="35"/>
  <c r="AG46" i="35" s="1"/>
  <c r="AH46" i="35" s="1"/>
  <c r="AA46" i="35" s="1"/>
  <c r="BA47" i="41" s="1"/>
  <c r="AE45" i="17"/>
  <c r="AF45" i="17"/>
  <c r="AG45" i="17" s="1"/>
  <c r="AH45" i="17" s="1"/>
  <c r="AA45" i="17" s="1"/>
  <c r="AR46" i="41" s="1"/>
  <c r="AF35" i="26"/>
  <c r="AE35" i="26"/>
  <c r="AF30" i="12"/>
  <c r="AE30" i="12"/>
  <c r="AE49" i="34"/>
  <c r="AF49" i="34"/>
  <c r="AG49" i="34" s="1"/>
  <c r="AF40" i="33"/>
  <c r="AG40" i="33" s="1"/>
  <c r="AE40" i="33"/>
  <c r="AF33" i="11"/>
  <c r="AG33" i="11" s="1"/>
  <c r="AE33" i="11"/>
  <c r="AE33" i="7"/>
  <c r="AF33" i="7"/>
  <c r="AG33" i="7" s="1"/>
  <c r="AE21" i="18"/>
  <c r="AF21" i="18"/>
  <c r="AF5" i="18"/>
  <c r="AE5" i="18"/>
  <c r="AE42" i="33"/>
  <c r="AF42" i="33"/>
  <c r="AG42" i="33" s="1"/>
  <c r="AE39" i="27"/>
  <c r="AF39" i="27"/>
  <c r="AH15" i="14"/>
  <c r="AI15" i="14"/>
  <c r="AF52" i="21"/>
  <c r="AG52" i="21" s="1"/>
  <c r="AH52" i="21" s="1"/>
  <c r="AA52" i="21" s="1"/>
  <c r="BM53" i="41" s="1"/>
  <c r="AE52" i="21"/>
  <c r="AF53" i="18"/>
  <c r="AG53" i="18" s="1"/>
  <c r="AH53" i="18" s="1"/>
  <c r="AA53" i="18" s="1"/>
  <c r="AU54" i="41" s="1"/>
  <c r="AE53" i="18"/>
  <c r="AH9" i="14"/>
  <c r="AI9" i="14"/>
  <c r="AE51" i="33"/>
  <c r="AF51" i="33"/>
  <c r="AG51" i="33" s="1"/>
  <c r="AE44" i="11"/>
  <c r="AF44" i="11"/>
  <c r="AG44" i="11" s="1"/>
  <c r="AF35" i="10"/>
  <c r="AG35" i="10" s="1"/>
  <c r="AE35" i="10"/>
  <c r="AF34" i="20"/>
  <c r="AG34" i="20" s="1"/>
  <c r="AH34" i="20" s="1"/>
  <c r="AA34" i="20" s="1"/>
  <c r="BG35" i="41" s="1"/>
  <c r="AE34" i="20"/>
  <c r="AF54" i="34"/>
  <c r="AE54" i="34"/>
  <c r="AF53" i="22"/>
  <c r="AG53" i="22" s="1"/>
  <c r="AH53" i="22" s="1"/>
  <c r="AA53" i="22" s="1"/>
  <c r="BP54" i="41" s="1"/>
  <c r="AE53" i="22"/>
  <c r="AF48" i="20"/>
  <c r="AG48" i="20" s="1"/>
  <c r="AH48" i="20" s="1"/>
  <c r="AA48" i="20" s="1"/>
  <c r="BG49" i="41" s="1"/>
  <c r="AE48" i="20"/>
  <c r="AF48" i="21"/>
  <c r="AG48" i="21" s="1"/>
  <c r="AH48" i="21" s="1"/>
  <c r="AA48" i="21" s="1"/>
  <c r="BM49" i="41" s="1"/>
  <c r="AE48" i="21"/>
  <c r="AE23" i="34"/>
  <c r="AF23" i="34"/>
  <c r="AE26" i="33"/>
  <c r="AF26" i="33"/>
  <c r="AG7" i="15"/>
  <c r="AH7" i="15"/>
  <c r="AF9" i="33"/>
  <c r="AG9" i="33" s="1"/>
  <c r="AE9" i="33"/>
  <c r="AE54" i="7"/>
  <c r="AF54" i="7"/>
  <c r="AG48" i="15"/>
  <c r="AH48" i="15"/>
  <c r="AI48" i="15" s="1"/>
  <c r="AE30" i="11"/>
  <c r="AF30" i="11"/>
  <c r="AE19" i="7"/>
  <c r="AF19" i="7"/>
  <c r="AF32" i="12"/>
  <c r="AG32" i="12" s="1"/>
  <c r="AE32" i="12"/>
  <c r="AE42" i="18"/>
  <c r="AF42" i="18"/>
  <c r="AG42" i="18" s="1"/>
  <c r="AH42" i="18" s="1"/>
  <c r="AA42" i="18" s="1"/>
  <c r="AU43" i="41" s="1"/>
  <c r="CT12" i="1"/>
  <c r="CS12" i="1"/>
  <c r="AE21" i="13"/>
  <c r="AF21" i="13"/>
  <c r="AE17" i="36"/>
  <c r="AF17" i="36"/>
  <c r="AE22" i="21"/>
  <c r="AF22" i="21"/>
  <c r="CT6" i="1"/>
  <c r="CS6" i="1"/>
  <c r="CT38" i="1"/>
  <c r="CS38" i="1"/>
  <c r="CS16" i="1"/>
  <c r="CT16" i="1"/>
  <c r="AF43" i="7"/>
  <c r="AG43" i="7" s="1"/>
  <c r="AE43" i="7"/>
  <c r="AF6" i="11"/>
  <c r="AE6" i="11"/>
  <c r="AE30" i="33"/>
  <c r="AF30" i="33"/>
  <c r="AF33" i="13"/>
  <c r="AG33" i="13" s="1"/>
  <c r="AE33" i="13"/>
  <c r="AF10" i="18"/>
  <c r="AE10" i="18"/>
  <c r="CT47" i="1"/>
  <c r="CS47" i="1"/>
  <c r="CT26" i="1"/>
  <c r="CS26" i="1"/>
  <c r="AE38" i="11"/>
  <c r="AF38" i="11"/>
  <c r="AF18" i="12"/>
  <c r="AE18" i="12"/>
  <c r="AF30" i="26"/>
  <c r="AE30" i="26"/>
  <c r="AE9" i="13"/>
  <c r="AF9" i="13"/>
  <c r="AE39" i="13"/>
  <c r="AF39" i="13"/>
  <c r="AF30" i="17"/>
  <c r="AE30" i="17"/>
  <c r="AF29" i="36"/>
  <c r="AE29" i="36"/>
  <c r="AF51" i="36"/>
  <c r="AG51" i="36" s="1"/>
  <c r="AH51" i="36" s="1"/>
  <c r="AA51" i="36" s="1"/>
  <c r="BD52" i="41" s="1"/>
  <c r="AE51" i="36"/>
  <c r="CT40" i="1"/>
  <c r="CS40" i="1"/>
  <c r="CT19" i="1"/>
  <c r="CS19" i="1"/>
  <c r="AF14" i="11"/>
  <c r="AG14" i="11" s="1"/>
  <c r="AE14" i="11"/>
  <c r="AF22" i="33"/>
  <c r="AG22" i="33" s="1"/>
  <c r="AE22" i="33"/>
  <c r="AE17" i="13"/>
  <c r="AF17" i="13"/>
  <c r="AF47" i="13"/>
  <c r="AG47" i="13" s="1"/>
  <c r="AE47" i="13"/>
  <c r="AE47" i="36"/>
  <c r="AF47" i="36"/>
  <c r="AG47" i="36" s="1"/>
  <c r="AH47" i="36" s="1"/>
  <c r="AA47" i="36" s="1"/>
  <c r="BD48" i="41" s="1"/>
  <c r="AF46" i="21"/>
  <c r="AG46" i="21" s="1"/>
  <c r="AH46" i="21" s="1"/>
  <c r="AA46" i="21" s="1"/>
  <c r="BM47" i="41" s="1"/>
  <c r="AE46" i="21"/>
  <c r="CT41" i="1"/>
  <c r="CS41" i="1"/>
  <c r="CS25" i="1"/>
  <c r="CT25" i="1"/>
  <c r="CS8" i="1"/>
  <c r="CT8" i="1"/>
  <c r="AF31" i="7"/>
  <c r="AG31" i="7" s="1"/>
  <c r="AE31" i="7"/>
  <c r="AE6" i="10"/>
  <c r="AF6" i="10"/>
  <c r="AE6" i="33"/>
  <c r="AF6" i="33"/>
  <c r="AE26" i="12"/>
  <c r="AF26" i="12"/>
  <c r="AE11" i="13"/>
  <c r="AF11" i="13"/>
  <c r="AF43" i="13"/>
  <c r="AG43" i="13" s="1"/>
  <c r="AE43" i="13"/>
  <c r="AH46" i="14"/>
  <c r="AI46" i="14"/>
  <c r="AJ46" i="14" s="1"/>
  <c r="AH46" i="15"/>
  <c r="AG46" i="15"/>
  <c r="AE18" i="18"/>
  <c r="AF18" i="18"/>
  <c r="AF22" i="20"/>
  <c r="AE22" i="20"/>
  <c r="AF40" i="35"/>
  <c r="AE40" i="35"/>
  <c r="AF15" i="36"/>
  <c r="AE15" i="36"/>
  <c r="AE35" i="36"/>
  <c r="AF35" i="36"/>
  <c r="AF14" i="21"/>
  <c r="AG14" i="21" s="1"/>
  <c r="AH14" i="21" s="1"/>
  <c r="AA14" i="21" s="1"/>
  <c r="BM15" i="41" s="1"/>
  <c r="AE14" i="21"/>
  <c r="AE28" i="27"/>
  <c r="AF28" i="27"/>
  <c r="AF10" i="22"/>
  <c r="AG10" i="22" s="1"/>
  <c r="AH10" i="22" s="1"/>
  <c r="AA10" i="22" s="1"/>
  <c r="BP11" i="41" s="1"/>
  <c r="AE10" i="22"/>
  <c r="AJ14" i="23"/>
  <c r="AK14" i="23" s="1"/>
  <c r="AL14" i="23" s="1"/>
  <c r="AE14" i="23" s="1"/>
  <c r="BS15" i="41" s="1"/>
  <c r="AI14" i="23"/>
  <c r="AJ32" i="23"/>
  <c r="AI32" i="23"/>
  <c r="AF29" i="20"/>
  <c r="AG29" i="20" s="1"/>
  <c r="AH29" i="20" s="1"/>
  <c r="AA29" i="20" s="1"/>
  <c r="BG30" i="41" s="1"/>
  <c r="AE29" i="20"/>
  <c r="AI7" i="23"/>
  <c r="AJ7" i="23"/>
  <c r="AE40" i="20"/>
  <c r="AF40" i="20"/>
  <c r="AE29" i="19"/>
  <c r="AF29" i="19"/>
  <c r="AE17" i="18"/>
  <c r="AF17" i="18"/>
  <c r="AE17" i="26"/>
  <c r="AF17" i="26"/>
  <c r="AF44" i="21"/>
  <c r="AG44" i="21" s="1"/>
  <c r="AH44" i="21" s="1"/>
  <c r="AA44" i="21" s="1"/>
  <c r="BM45" i="41" s="1"/>
  <c r="AE44" i="21"/>
  <c r="AF11" i="21"/>
  <c r="AE11" i="21"/>
  <c r="AF40" i="21"/>
  <c r="AG40" i="21" s="1"/>
  <c r="AH40" i="21" s="1"/>
  <c r="AA40" i="21" s="1"/>
  <c r="BM41" i="41" s="1"/>
  <c r="AE40" i="21"/>
  <c r="AG31" i="15"/>
  <c r="AH31" i="15"/>
  <c r="AE21" i="20"/>
  <c r="AF21" i="20"/>
  <c r="AI33" i="14"/>
  <c r="AJ33" i="14" s="1"/>
  <c r="AH33" i="14"/>
  <c r="AE14" i="35"/>
  <c r="AF14" i="35"/>
  <c r="AG14" i="35" s="1"/>
  <c r="AH14" i="35" s="1"/>
  <c r="AA14" i="35" s="1"/>
  <c r="BA15" i="41" s="1"/>
  <c r="AF37" i="22"/>
  <c r="AG37" i="22" s="1"/>
  <c r="AH37" i="22" s="1"/>
  <c r="AA37" i="22" s="1"/>
  <c r="BP38" i="41" s="1"/>
  <c r="AE37" i="22"/>
  <c r="AE25" i="20"/>
  <c r="AF25" i="20"/>
  <c r="AF51" i="21"/>
  <c r="AG51" i="21" s="1"/>
  <c r="AH51" i="21" s="1"/>
  <c r="AA51" i="21" s="1"/>
  <c r="BM52" i="41" s="1"/>
  <c r="AE51" i="21"/>
  <c r="AE48" i="17"/>
  <c r="AF48" i="17"/>
  <c r="AG48" i="17" s="1"/>
  <c r="AH48" i="17" s="1"/>
  <c r="AA48" i="17" s="1"/>
  <c r="AR49" i="41" s="1"/>
  <c r="AE51" i="18"/>
  <c r="AF51" i="18"/>
  <c r="AG51" i="18" s="1"/>
  <c r="AH51" i="18" s="1"/>
  <c r="AA51" i="18" s="1"/>
  <c r="AU52" i="41" s="1"/>
  <c r="AE16" i="34"/>
  <c r="AF16" i="34"/>
  <c r="AE43" i="20"/>
  <c r="AF43" i="20"/>
  <c r="AG43" i="20" s="1"/>
  <c r="AH43" i="20" s="1"/>
  <c r="AA43" i="20" s="1"/>
  <c r="BG44" i="41" s="1"/>
  <c r="AI5" i="23"/>
  <c r="AJ5" i="23"/>
  <c r="AF51" i="20"/>
  <c r="AG51" i="20" s="1"/>
  <c r="AH51" i="20" s="1"/>
  <c r="AA51" i="20" s="1"/>
  <c r="BG52" i="41" s="1"/>
  <c r="AE51" i="20"/>
  <c r="AE54" i="36"/>
  <c r="AF54" i="36"/>
  <c r="AF29" i="21"/>
  <c r="AE29" i="21"/>
  <c r="AE10" i="27"/>
  <c r="AF10" i="27"/>
  <c r="AF36" i="36"/>
  <c r="AE36" i="36"/>
  <c r="AF7" i="35"/>
  <c r="AE7" i="35"/>
  <c r="AF8" i="21"/>
  <c r="AE8" i="21"/>
  <c r="AE41" i="12"/>
  <c r="AF41" i="12"/>
  <c r="AF27" i="22"/>
  <c r="AE27" i="22"/>
  <c r="AE46" i="13"/>
  <c r="AF46" i="13"/>
  <c r="AG46" i="13" s="1"/>
  <c r="AI32" i="14"/>
  <c r="AJ32" i="14" s="1"/>
  <c r="AH32" i="14"/>
  <c r="AE26" i="21"/>
  <c r="AF26" i="21"/>
  <c r="AE24" i="20"/>
  <c r="AF24" i="20"/>
  <c r="AE53" i="27"/>
  <c r="AF53" i="27"/>
  <c r="AG53" i="27" s="1"/>
  <c r="AH53" i="27" s="1"/>
  <c r="AA53" i="27" s="1"/>
  <c r="BJ54" i="41" s="1"/>
  <c r="AE54" i="18"/>
  <c r="AF54" i="18"/>
  <c r="AE31" i="33"/>
  <c r="AF31" i="33"/>
  <c r="AE47" i="18"/>
  <c r="AF47" i="18"/>
  <c r="AG47" i="18" s="1"/>
  <c r="AH47" i="18" s="1"/>
  <c r="AA47" i="18" s="1"/>
  <c r="AU48" i="41" s="1"/>
  <c r="AF50" i="35"/>
  <c r="AG50" i="35" s="1"/>
  <c r="AH50" i="35" s="1"/>
  <c r="AA50" i="35" s="1"/>
  <c r="BA51" i="41" s="1"/>
  <c r="AE50" i="35"/>
  <c r="AH28" i="15"/>
  <c r="AG28" i="15"/>
  <c r="AI13" i="14"/>
  <c r="AH13" i="14"/>
  <c r="AF28" i="7"/>
  <c r="AG28" i="7" s="1"/>
  <c r="AE28" i="7"/>
  <c r="AE40" i="19"/>
  <c r="AF40" i="19"/>
  <c r="AE22" i="27"/>
  <c r="AF22" i="27"/>
  <c r="AF32" i="11"/>
  <c r="AE32" i="11"/>
  <c r="AF41" i="33"/>
  <c r="AG41" i="33" s="1"/>
  <c r="AE41" i="33"/>
  <c r="AE22" i="7"/>
  <c r="AF22" i="7"/>
  <c r="AG22" i="7" s="1"/>
  <c r="AI25" i="14"/>
  <c r="AJ25" i="14" s="1"/>
  <c r="AH25" i="14"/>
  <c r="AE15" i="33"/>
  <c r="AF15" i="33"/>
  <c r="AH35" i="15"/>
  <c r="AG35" i="15"/>
  <c r="AE18" i="19"/>
  <c r="AF18" i="19"/>
  <c r="AE13" i="26"/>
  <c r="AF13" i="26"/>
  <c r="AF42" i="7"/>
  <c r="AG42" i="7" s="1"/>
  <c r="AE42" i="7"/>
  <c r="AE53" i="7"/>
  <c r="AF53" i="7"/>
  <c r="AG53" i="7" s="1"/>
  <c r="AH43" i="14"/>
  <c r="AI43" i="14"/>
  <c r="AJ43" i="14" s="1"/>
  <c r="AE40" i="17"/>
  <c r="AF40" i="17"/>
  <c r="AG44" i="15"/>
  <c r="AH44" i="15"/>
  <c r="AI44" i="15" s="1"/>
  <c r="AE54" i="27"/>
  <c r="AF54" i="27"/>
  <c r="AE34" i="11"/>
  <c r="AF34" i="11"/>
  <c r="AE37" i="10"/>
  <c r="AF37" i="10"/>
  <c r="AF23" i="21"/>
  <c r="AG23" i="21" s="1"/>
  <c r="AH23" i="21" s="1"/>
  <c r="AA23" i="21" s="1"/>
  <c r="BM24" i="41" s="1"/>
  <c r="AE23" i="21"/>
  <c r="AH17" i="14"/>
  <c r="AI17" i="14"/>
  <c r="AF44" i="26"/>
  <c r="AG44" i="26" s="1"/>
  <c r="AE44" i="26"/>
  <c r="AE33" i="10"/>
  <c r="AF33" i="10"/>
  <c r="AE21" i="19"/>
  <c r="AF21" i="19"/>
  <c r="AE44" i="17"/>
  <c r="AF44" i="17"/>
  <c r="AG44" i="17" s="1"/>
  <c r="AH44" i="17" s="1"/>
  <c r="AA44" i="17" s="1"/>
  <c r="AR45" i="41" s="1"/>
  <c r="AG20" i="15"/>
  <c r="AH20" i="15"/>
  <c r="AF40" i="12"/>
  <c r="AG40" i="12" s="1"/>
  <c r="AE40" i="12"/>
  <c r="AF21" i="35"/>
  <c r="AE21" i="35"/>
  <c r="AE19" i="19"/>
  <c r="AF19" i="19"/>
  <c r="AE34" i="19"/>
  <c r="AF34" i="19"/>
  <c r="AF8" i="26"/>
  <c r="AE8" i="26"/>
  <c r="AE9" i="12"/>
  <c r="AF9" i="12"/>
  <c r="AF9" i="34"/>
  <c r="AG9" i="34" s="1"/>
  <c r="AE9" i="34"/>
  <c r="AF43" i="10"/>
  <c r="AG43" i="10" s="1"/>
  <c r="AE43" i="10"/>
  <c r="AF44" i="7"/>
  <c r="AG44" i="7" s="1"/>
  <c r="AE44" i="7"/>
  <c r="AI34" i="23"/>
  <c r="AJ34" i="23"/>
  <c r="AF45" i="21"/>
  <c r="AG45" i="21" s="1"/>
  <c r="AH45" i="21" s="1"/>
  <c r="AA45" i="21" s="1"/>
  <c r="BM46" i="41" s="1"/>
  <c r="AE45" i="21"/>
  <c r="AE12" i="17"/>
  <c r="AF12" i="17"/>
  <c r="AF6" i="12"/>
  <c r="AE6" i="12"/>
  <c r="AE28" i="36"/>
  <c r="AF28" i="36"/>
  <c r="AF20" i="17"/>
  <c r="AE20" i="17"/>
  <c r="AF19" i="21"/>
  <c r="AG19" i="21" s="1"/>
  <c r="AH19" i="21" s="1"/>
  <c r="AA19" i="21" s="1"/>
  <c r="BM20" i="41" s="1"/>
  <c r="AE19" i="21"/>
  <c r="AF31" i="35"/>
  <c r="AE31" i="35"/>
  <c r="AF32" i="13"/>
  <c r="AE32" i="13"/>
  <c r="AF28" i="35"/>
  <c r="AE28" i="35"/>
  <c r="AE6" i="27"/>
  <c r="AF6" i="27"/>
  <c r="AF17" i="7"/>
  <c r="AG17" i="7" s="1"/>
  <c r="AE17" i="7"/>
  <c r="AF41" i="7"/>
  <c r="AG41" i="7" s="1"/>
  <c r="AE41" i="7"/>
  <c r="AE41" i="35"/>
  <c r="AF41" i="35"/>
  <c r="AE44" i="34"/>
  <c r="AF44" i="34"/>
  <c r="AG44" i="34" s="1"/>
  <c r="AE41" i="10"/>
  <c r="AF41" i="10"/>
  <c r="AE43" i="35"/>
  <c r="AF43" i="35"/>
  <c r="AG43" i="35" s="1"/>
  <c r="AH43" i="35" s="1"/>
  <c r="AA43" i="35" s="1"/>
  <c r="BA44" i="41" s="1"/>
  <c r="AE37" i="26"/>
  <c r="AF37" i="26"/>
  <c r="AE26" i="26"/>
  <c r="AF26" i="26"/>
  <c r="AE20" i="33"/>
  <c r="AF20" i="33"/>
  <c r="AI10" i="14"/>
  <c r="AJ10" i="14" s="1"/>
  <c r="AH10" i="14"/>
  <c r="AF20" i="18"/>
  <c r="AE20" i="18"/>
  <c r="AF39" i="11"/>
  <c r="AE39" i="11"/>
  <c r="AF12" i="34"/>
  <c r="AE12" i="34"/>
  <c r="AF24" i="19"/>
  <c r="AE24" i="19"/>
  <c r="AE8" i="7"/>
  <c r="AF8" i="7"/>
  <c r="CT28" i="1"/>
  <c r="CS28" i="1"/>
  <c r="AF23" i="13"/>
  <c r="AE23" i="13"/>
  <c r="AE27" i="7"/>
  <c r="AF27" i="7"/>
  <c r="AE24" i="12"/>
  <c r="AF24" i="12"/>
  <c r="AE46" i="34"/>
  <c r="AF46" i="34"/>
  <c r="AG46" i="34" s="1"/>
  <c r="CT54" i="1"/>
  <c r="CU54" i="1" s="1"/>
  <c r="CS54" i="1"/>
  <c r="CS11" i="1"/>
  <c r="CT11" i="1"/>
  <c r="AF6" i="17"/>
  <c r="AE6" i="17"/>
  <c r="CT20" i="1"/>
  <c r="CS20" i="1"/>
  <c r="AE41" i="13"/>
  <c r="AF41" i="13"/>
  <c r="AF16" i="35"/>
  <c r="AE16" i="35"/>
  <c r="CS35" i="1"/>
  <c r="CT35" i="1"/>
  <c r="AG14" i="15"/>
  <c r="AH14" i="15"/>
  <c r="AI14" i="15" s="1"/>
  <c r="CS53" i="1"/>
  <c r="CT53" i="1"/>
  <c r="CU53" i="1" s="1"/>
  <c r="CS21" i="1"/>
  <c r="CT21" i="1"/>
  <c r="AE15" i="7"/>
  <c r="AF15" i="7"/>
  <c r="AF22" i="11"/>
  <c r="AE22" i="11"/>
  <c r="AF10" i="12"/>
  <c r="AE10" i="12"/>
  <c r="AE35" i="13"/>
  <c r="AF35" i="13"/>
  <c r="AF38" i="19"/>
  <c r="AE38" i="19"/>
  <c r="AF43" i="36"/>
  <c r="AG43" i="36" s="1"/>
  <c r="AH43" i="36" s="1"/>
  <c r="AA43" i="36" s="1"/>
  <c r="BD44" i="41" s="1"/>
  <c r="AE43" i="36"/>
  <c r="AF22" i="17"/>
  <c r="AE22" i="17"/>
  <c r="AE8" i="35"/>
  <c r="AF8" i="35"/>
  <c r="AF53" i="36"/>
  <c r="AG53" i="36" s="1"/>
  <c r="AH53" i="36" s="1"/>
  <c r="AA53" i="36" s="1"/>
  <c r="BD54" i="41" s="1"/>
  <c r="AE53" i="36"/>
  <c r="AI18" i="23"/>
  <c r="AJ18" i="23"/>
  <c r="AE16" i="36"/>
  <c r="AF16" i="36"/>
  <c r="AF12" i="36"/>
  <c r="AE12" i="36"/>
  <c r="AE27" i="35"/>
  <c r="AF27" i="35"/>
  <c r="AE7" i="22"/>
  <c r="AF7" i="22"/>
  <c r="AE13" i="10"/>
  <c r="AF13" i="10"/>
  <c r="AJ26" i="23"/>
  <c r="AI26" i="23"/>
  <c r="AE9" i="27"/>
  <c r="AF9" i="27"/>
  <c r="AE27" i="17"/>
  <c r="AF27" i="17"/>
  <c r="AE10" i="11"/>
  <c r="AF10" i="11"/>
  <c r="AE22" i="22"/>
  <c r="AF22" i="22"/>
  <c r="AF41" i="20"/>
  <c r="AE41" i="20"/>
  <c r="AF29" i="33"/>
  <c r="AG29" i="33" s="1"/>
  <c r="AE29" i="33"/>
  <c r="AF25" i="22"/>
  <c r="AE25" i="22"/>
  <c r="AF20" i="35"/>
  <c r="AE20" i="35"/>
  <c r="AF41" i="17"/>
  <c r="AE41" i="17"/>
  <c r="AE26" i="17"/>
  <c r="AF26" i="17"/>
  <c r="AE48" i="34"/>
  <c r="AF48" i="34"/>
  <c r="AG48" i="34" s="1"/>
  <c r="AF19" i="34"/>
  <c r="AE19" i="34"/>
  <c r="AE15" i="27"/>
  <c r="AF15" i="27"/>
  <c r="AJ45" i="23"/>
  <c r="AK45" i="23" s="1"/>
  <c r="AL45" i="23" s="1"/>
  <c r="AE45" i="23" s="1"/>
  <c r="BS46" i="41" s="1"/>
  <c r="AI45" i="23"/>
  <c r="AE48" i="22"/>
  <c r="AF48" i="22"/>
  <c r="AG48" i="22" s="1"/>
  <c r="AH48" i="22" s="1"/>
  <c r="AA48" i="22" s="1"/>
  <c r="BP49" i="41" s="1"/>
  <c r="AE18" i="21"/>
  <c r="AF18" i="21"/>
  <c r="AJ21" i="23"/>
  <c r="AK21" i="23" s="1"/>
  <c r="AL21" i="23" s="1"/>
  <c r="AE21" i="23" s="1"/>
  <c r="BS22" i="41" s="1"/>
  <c r="AI21" i="23"/>
  <c r="AF5" i="27"/>
  <c r="AE5" i="27"/>
  <c r="AF33" i="35"/>
  <c r="AE33" i="35"/>
  <c r="AF14" i="36"/>
  <c r="AG14" i="36" s="1"/>
  <c r="AH14" i="36" s="1"/>
  <c r="AA14" i="36" s="1"/>
  <c r="BD15" i="41" s="1"/>
  <c r="AE14" i="36"/>
  <c r="AE46" i="18"/>
  <c r="AF46" i="18"/>
  <c r="AG46" i="18" s="1"/>
  <c r="AH46" i="18" s="1"/>
  <c r="AA46" i="18" s="1"/>
  <c r="AU47" i="41" s="1"/>
  <c r="AF27" i="12"/>
  <c r="AG27" i="12" s="1"/>
  <c r="AE27" i="12"/>
  <c r="AE19" i="35"/>
  <c r="AF19" i="35"/>
  <c r="AF33" i="26"/>
  <c r="AE33" i="26"/>
  <c r="AE38" i="7"/>
  <c r="AF38" i="7"/>
  <c r="AE28" i="33"/>
  <c r="AF28" i="33"/>
  <c r="AE7" i="27"/>
  <c r="AF7" i="27"/>
  <c r="AF37" i="21"/>
  <c r="AG37" i="21" s="1"/>
  <c r="AH37" i="21" s="1"/>
  <c r="AA37" i="21" s="1"/>
  <c r="BM38" i="41" s="1"/>
  <c r="AE37" i="21"/>
  <c r="AF5" i="20"/>
  <c r="AE5" i="20"/>
  <c r="AF24" i="36"/>
  <c r="AE24" i="36"/>
  <c r="AF36" i="19"/>
  <c r="AE36" i="19"/>
  <c r="AF13" i="18"/>
  <c r="AE13" i="18"/>
  <c r="AF25" i="27"/>
  <c r="AE25" i="27"/>
  <c r="AE20" i="19"/>
  <c r="AF20" i="19"/>
  <c r="AH19" i="14"/>
  <c r="AI19" i="14"/>
  <c r="AJ19" i="14" s="1"/>
  <c r="AF45" i="12"/>
  <c r="AG45" i="12" s="1"/>
  <c r="AE45" i="12"/>
  <c r="AE32" i="22"/>
  <c r="AF32" i="22"/>
  <c r="AE22" i="13"/>
  <c r="AF22" i="13"/>
  <c r="AF37" i="27"/>
  <c r="AE37" i="27"/>
  <c r="AF33" i="19"/>
  <c r="AE33" i="19"/>
  <c r="AI7" i="14"/>
  <c r="AJ7" i="14" s="1"/>
  <c r="AH7" i="14"/>
  <c r="AF7" i="12"/>
  <c r="AG7" i="12" s="1"/>
  <c r="AE7" i="12"/>
  <c r="AE12" i="33"/>
  <c r="AF12" i="33"/>
  <c r="AE20" i="34"/>
  <c r="AF20" i="34"/>
  <c r="AE30" i="22"/>
  <c r="AF30" i="22"/>
  <c r="AG30" i="22" s="1"/>
  <c r="AH30" i="22" s="1"/>
  <c r="AA30" i="22" s="1"/>
  <c r="BP31" i="41" s="1"/>
  <c r="AF24" i="34"/>
  <c r="AE24" i="34"/>
  <c r="AE33" i="18"/>
  <c r="AF33" i="18"/>
  <c r="AI48" i="23"/>
  <c r="AJ48" i="23"/>
  <c r="AK48" i="23" s="1"/>
  <c r="AL48" i="23" s="1"/>
  <c r="AE48" i="23" s="1"/>
  <c r="BS49" i="41" s="1"/>
  <c r="AF7" i="33"/>
  <c r="AE7" i="33"/>
  <c r="AF12" i="12"/>
  <c r="AG12" i="12" s="1"/>
  <c r="AE12" i="12"/>
  <c r="AF46" i="12"/>
  <c r="AG46" i="12" s="1"/>
  <c r="AE46" i="12"/>
  <c r="AF16" i="18"/>
  <c r="AE16" i="18"/>
  <c r="AF31" i="12"/>
  <c r="AG31" i="12" s="1"/>
  <c r="AE31" i="12"/>
  <c r="AE34" i="17"/>
  <c r="AF34" i="17"/>
  <c r="AH37" i="15"/>
  <c r="AG37" i="15"/>
  <c r="AE19" i="27"/>
  <c r="AF19" i="27"/>
  <c r="AF47" i="26"/>
  <c r="AG47" i="26" s="1"/>
  <c r="AE47" i="26"/>
  <c r="AE49" i="12"/>
  <c r="AF49" i="12"/>
  <c r="AG49" i="12" s="1"/>
  <c r="AH19" i="15"/>
  <c r="AG19" i="15"/>
  <c r="AI12" i="14"/>
  <c r="AJ12" i="14" s="1"/>
  <c r="AH12" i="14"/>
  <c r="AF39" i="26"/>
  <c r="AE39" i="26"/>
  <c r="AE25" i="11"/>
  <c r="AF25" i="11"/>
  <c r="AF10" i="7"/>
  <c r="AG10" i="7" s="1"/>
  <c r="AE10" i="7"/>
  <c r="AF32" i="21"/>
  <c r="AE32" i="21"/>
  <c r="AE39" i="17"/>
  <c r="AF39" i="17"/>
  <c r="AG15" i="15"/>
  <c r="AH15" i="15"/>
  <c r="AF7" i="26"/>
  <c r="AG7" i="26" s="1"/>
  <c r="AE7" i="26"/>
  <c r="AF28" i="10"/>
  <c r="AG28" i="10" s="1"/>
  <c r="AE28" i="10"/>
  <c r="AF23" i="20"/>
  <c r="AE23" i="20"/>
  <c r="AH47" i="15"/>
  <c r="AG47" i="15"/>
  <c r="AJ49" i="23"/>
  <c r="AK49" i="23" s="1"/>
  <c r="AL49" i="23" s="1"/>
  <c r="AE49" i="23" s="1"/>
  <c r="BS50" i="41" s="1"/>
  <c r="AI49" i="23"/>
  <c r="AE9" i="10"/>
  <c r="AF9" i="10"/>
  <c r="AI48" i="14"/>
  <c r="AJ48" i="14" s="1"/>
  <c r="AH48" i="14"/>
  <c r="AF27" i="26"/>
  <c r="AE27" i="26"/>
  <c r="AE12" i="10"/>
  <c r="AF12" i="10"/>
  <c r="AI15" i="23"/>
  <c r="AJ15" i="23"/>
  <c r="AF31" i="11"/>
  <c r="AE31" i="11"/>
  <c r="AF42" i="21"/>
  <c r="AG42" i="21" s="1"/>
  <c r="AH42" i="21" s="1"/>
  <c r="AA42" i="21" s="1"/>
  <c r="BM43" i="41" s="1"/>
  <c r="AE42" i="21"/>
  <c r="AF14" i="18"/>
  <c r="AG14" i="18" s="1"/>
  <c r="AH14" i="18" s="1"/>
  <c r="AA14" i="18" s="1"/>
  <c r="AU15" i="41" s="1"/>
  <c r="AE14" i="18"/>
  <c r="AF45" i="26"/>
  <c r="AG45" i="26" s="1"/>
  <c r="AE45" i="26"/>
  <c r="AF26" i="11"/>
  <c r="AE26" i="11"/>
  <c r="AE40" i="7"/>
  <c r="AF40" i="7"/>
  <c r="AE28" i="20"/>
  <c r="AF28" i="20"/>
  <c r="AF42" i="26"/>
  <c r="AG42" i="26" s="1"/>
  <c r="AE42" i="26"/>
  <c r="AF50" i="12"/>
  <c r="AG50" i="12" s="1"/>
  <c r="AE50" i="12"/>
  <c r="AE19" i="20"/>
  <c r="AF19" i="20"/>
  <c r="AE19" i="10"/>
  <c r="AF19" i="10"/>
  <c r="AE32" i="19"/>
  <c r="AF32" i="19"/>
  <c r="AG32" i="15"/>
  <c r="AH32" i="15"/>
  <c r="AE11" i="11"/>
  <c r="AF11" i="11"/>
  <c r="AE39" i="19"/>
  <c r="AF39" i="19"/>
  <c r="AE14" i="12"/>
  <c r="AF14" i="12"/>
  <c r="AG14" i="12" s="1"/>
  <c r="AF54" i="12"/>
  <c r="AE54" i="12"/>
  <c r="AE38" i="13"/>
  <c r="AF38" i="13"/>
  <c r="AE32" i="7"/>
  <c r="AF32" i="7"/>
  <c r="AF47" i="35"/>
  <c r="AG47" i="35" s="1"/>
  <c r="AH47" i="35" s="1"/>
  <c r="AA47" i="35" s="1"/>
  <c r="BA48" i="41" s="1"/>
  <c r="AE47" i="35"/>
  <c r="AE30" i="13"/>
  <c r="AF30" i="13"/>
  <c r="AF36" i="18"/>
  <c r="AE36" i="18"/>
  <c r="AF18" i="7"/>
  <c r="AG18" i="7" s="1"/>
  <c r="AE18" i="7"/>
  <c r="AE21" i="12"/>
  <c r="AF21" i="12"/>
  <c r="AE12" i="27"/>
  <c r="AF12" i="27"/>
  <c r="AE25" i="13"/>
  <c r="AF25" i="13"/>
  <c r="AE53" i="13"/>
  <c r="AF53" i="13"/>
  <c r="AG53" i="13" s="1"/>
  <c r="CT27" i="1"/>
  <c r="CS27" i="1"/>
  <c r="CT36" i="1"/>
  <c r="CS36" i="1"/>
  <c r="AF38" i="34"/>
  <c r="AE38" i="34"/>
  <c r="AF25" i="36"/>
  <c r="AE25" i="36"/>
  <c r="AE46" i="20"/>
  <c r="AF46" i="20"/>
  <c r="AG46" i="20" s="1"/>
  <c r="AH46" i="20" s="1"/>
  <c r="AA46" i="20" s="1"/>
  <c r="BG47" i="41" s="1"/>
  <c r="CS30" i="1"/>
  <c r="CT30" i="1"/>
  <c r="AE14" i="34"/>
  <c r="AF14" i="34"/>
  <c r="AG14" i="34" s="1"/>
  <c r="AE6" i="26"/>
  <c r="AF6" i="26"/>
  <c r="AH30" i="15"/>
  <c r="AG30" i="15"/>
  <c r="CS49" i="1"/>
  <c r="CT49" i="1"/>
  <c r="CU49" i="1" s="1"/>
  <c r="CT17" i="1"/>
  <c r="CU17" i="1" s="1"/>
  <c r="CS17" i="1"/>
  <c r="AE11" i="36"/>
  <c r="AF11" i="36"/>
  <c r="AF20" i="27"/>
  <c r="AE20" i="27"/>
  <c r="AF26" i="18"/>
  <c r="AE26" i="18"/>
  <c r="AF14" i="20"/>
  <c r="AG14" i="20" s="1"/>
  <c r="AH14" i="20" s="1"/>
  <c r="AA14" i="20" s="1"/>
  <c r="BG15" i="41" s="1"/>
  <c r="AE14" i="20"/>
  <c r="AI6" i="23"/>
  <c r="AJ6" i="23"/>
  <c r="AF45" i="36"/>
  <c r="AG45" i="36" s="1"/>
  <c r="AH45" i="36" s="1"/>
  <c r="AA45" i="36" s="1"/>
  <c r="BD46" i="41" s="1"/>
  <c r="AE45" i="36"/>
  <c r="AE6" i="20"/>
  <c r="AF6" i="20"/>
  <c r="AE6" i="21"/>
  <c r="AF6" i="21"/>
  <c r="AI30" i="23"/>
  <c r="AJ30" i="23"/>
  <c r="CT9" i="1"/>
  <c r="CS9" i="1"/>
  <c r="AE35" i="22"/>
  <c r="AF35" i="22"/>
  <c r="AG35" i="22" s="1"/>
  <c r="AH35" i="22" s="1"/>
  <c r="AA35" i="22" s="1"/>
  <c r="BP36" i="41" s="1"/>
  <c r="AE38" i="27"/>
  <c r="AF38" i="27"/>
  <c r="AF8" i="22"/>
  <c r="AE8" i="22"/>
  <c r="AI40" i="23"/>
  <c r="AJ40" i="23"/>
  <c r="AE20" i="22"/>
  <c r="AF20" i="22"/>
  <c r="AF13" i="35"/>
  <c r="AE13" i="35"/>
  <c r="AG54" i="15"/>
  <c r="AH54" i="15"/>
  <c r="AE41" i="11"/>
  <c r="AF41" i="11"/>
  <c r="AJ13" i="23"/>
  <c r="AI13" i="23"/>
  <c r="AF16" i="22"/>
  <c r="AE16" i="22"/>
  <c r="AI24" i="23"/>
  <c r="AJ24" i="23"/>
  <c r="AE30" i="36"/>
  <c r="AF30" i="36"/>
  <c r="AE25" i="18"/>
  <c r="AF25" i="18"/>
  <c r="AE35" i="27"/>
  <c r="AF35" i="27"/>
  <c r="AE34" i="35"/>
  <c r="AF34" i="35"/>
  <c r="AF11" i="10"/>
  <c r="AE11" i="10"/>
  <c r="AI27" i="14"/>
  <c r="AJ27" i="14" s="1"/>
  <c r="AH27" i="14"/>
  <c r="AF8" i="20"/>
  <c r="AE8" i="20"/>
  <c r="AE49" i="21"/>
  <c r="AF49" i="21"/>
  <c r="AG49" i="21" s="1"/>
  <c r="AH49" i="21" s="1"/>
  <c r="AA49" i="21" s="1"/>
  <c r="BM50" i="41" s="1"/>
  <c r="AF47" i="21"/>
  <c r="AG47" i="21" s="1"/>
  <c r="AH47" i="21" s="1"/>
  <c r="AA47" i="21" s="1"/>
  <c r="BM48" i="41" s="1"/>
  <c r="AE47" i="21"/>
  <c r="AE16" i="19"/>
  <c r="AF16" i="19"/>
  <c r="AE5" i="33"/>
  <c r="AF5" i="33"/>
  <c r="AJ54" i="23"/>
  <c r="AI54" i="23"/>
  <c r="AI35" i="23"/>
  <c r="AJ35" i="23"/>
  <c r="AF14" i="22"/>
  <c r="AG14" i="22" s="1"/>
  <c r="AH14" i="22" s="1"/>
  <c r="AA14" i="22" s="1"/>
  <c r="BP15" i="41" s="1"/>
  <c r="AE14" i="22"/>
  <c r="AE47" i="27"/>
  <c r="AF47" i="27"/>
  <c r="AE49" i="20"/>
  <c r="AF49" i="20"/>
  <c r="AG49" i="20" s="1"/>
  <c r="AH49" i="20" s="1"/>
  <c r="AA49" i="20" s="1"/>
  <c r="BG50" i="41" s="1"/>
  <c r="AE51" i="22"/>
  <c r="AF51" i="22"/>
  <c r="AG51" i="22" s="1"/>
  <c r="AH51" i="22" s="1"/>
  <c r="AA51" i="22" s="1"/>
  <c r="BP52" i="41" s="1"/>
  <c r="AJ27" i="23"/>
  <c r="AI27" i="23"/>
  <c r="AG45" i="15"/>
  <c r="AH45" i="15"/>
  <c r="AF10" i="21"/>
  <c r="AE10" i="21"/>
  <c r="AF23" i="10"/>
  <c r="AE23" i="10"/>
  <c r="AE46" i="27"/>
  <c r="AF46" i="27"/>
  <c r="AG46" i="27" s="1"/>
  <c r="AH46" i="27" s="1"/>
  <c r="AA46" i="27" s="1"/>
  <c r="BJ47" i="41" s="1"/>
  <c r="AE18" i="20"/>
  <c r="AF18" i="20"/>
  <c r="AF13" i="21"/>
  <c r="AE13" i="21"/>
  <c r="AF41" i="22"/>
  <c r="AE41" i="22"/>
  <c r="AF12" i="21"/>
  <c r="AE12" i="21"/>
  <c r="AE14" i="27"/>
  <c r="AF14" i="27"/>
  <c r="AI16" i="23"/>
  <c r="AJ16" i="23"/>
  <c r="AE41" i="21"/>
  <c r="AF41" i="21"/>
  <c r="AE7" i="21"/>
  <c r="AF7" i="21"/>
  <c r="AF42" i="19"/>
  <c r="AG42" i="19" s="1"/>
  <c r="AH42" i="19" s="1"/>
  <c r="AA42" i="19" s="1"/>
  <c r="AX43" i="41" s="1"/>
  <c r="AE42" i="19"/>
  <c r="AE10" i="19"/>
  <c r="AF10" i="19"/>
  <c r="AE45" i="27"/>
  <c r="AF45" i="27"/>
  <c r="AF35" i="35"/>
  <c r="AE35" i="35"/>
  <c r="AE35" i="18"/>
  <c r="AF35" i="18"/>
  <c r="AF32" i="17"/>
  <c r="AE32" i="17"/>
  <c r="AF36" i="13"/>
  <c r="AE36" i="13"/>
  <c r="AF43" i="33"/>
  <c r="AG43" i="33" s="1"/>
  <c r="AE43" i="33"/>
  <c r="AE33" i="22"/>
  <c r="AF33" i="22"/>
  <c r="AG33" i="22" s="1"/>
  <c r="AH33" i="22" s="1"/>
  <c r="AA33" i="22" s="1"/>
  <c r="BP34" i="41" s="1"/>
  <c r="AJ17" i="23"/>
  <c r="AI17" i="23"/>
  <c r="AF30" i="35"/>
  <c r="AE30" i="35"/>
  <c r="AG40" i="15"/>
  <c r="AH40" i="15"/>
  <c r="AF50" i="19"/>
  <c r="AG50" i="19" s="1"/>
  <c r="AH50" i="19" s="1"/>
  <c r="AA50" i="19" s="1"/>
  <c r="AX51" i="41" s="1"/>
  <c r="AE50" i="19"/>
  <c r="AF11" i="26"/>
  <c r="AE11" i="26"/>
  <c r="AF20" i="7"/>
  <c r="AE20" i="7"/>
  <c r="AF48" i="11"/>
  <c r="AG48" i="11" s="1"/>
  <c r="AE48" i="11"/>
  <c r="AF53" i="20"/>
  <c r="AG53" i="20" s="1"/>
  <c r="AH53" i="20" s="1"/>
  <c r="AA53" i="20" s="1"/>
  <c r="BG54" i="41" s="1"/>
  <c r="AE53" i="20"/>
  <c r="AE38" i="18"/>
  <c r="AF38" i="18"/>
  <c r="AE6" i="18"/>
  <c r="AF6" i="18"/>
  <c r="AG43" i="15"/>
  <c r="AH43" i="15"/>
  <c r="AI43" i="15" s="1"/>
  <c r="AE12" i="22"/>
  <c r="AF12" i="22"/>
  <c r="AE42" i="20"/>
  <c r="AF42" i="20"/>
  <c r="AG42" i="20" s="1"/>
  <c r="AH42" i="20" s="1"/>
  <c r="AA42" i="20" s="1"/>
  <c r="BG43" i="41" s="1"/>
  <c r="AF9" i="19"/>
  <c r="AE9" i="19"/>
  <c r="AI50" i="14"/>
  <c r="AJ50" i="14" s="1"/>
  <c r="AH50" i="14"/>
  <c r="AF41" i="26"/>
  <c r="AE41" i="26"/>
  <c r="AE54" i="21"/>
  <c r="AF54" i="21"/>
  <c r="AE44" i="35"/>
  <c r="AF44" i="35"/>
  <c r="AG44" i="35" s="1"/>
  <c r="AH44" i="35" s="1"/>
  <c r="AA44" i="35" s="1"/>
  <c r="BA45" i="41" s="1"/>
  <c r="AE13" i="34"/>
  <c r="AF13" i="34"/>
  <c r="AF50" i="26"/>
  <c r="AG50" i="26" s="1"/>
  <c r="AE50" i="26"/>
  <c r="AE28" i="18"/>
  <c r="AF28" i="18"/>
  <c r="AE13" i="22"/>
  <c r="AF13" i="22"/>
  <c r="AG13" i="22" s="1"/>
  <c r="AH13" i="22" s="1"/>
  <c r="AA13" i="22" s="1"/>
  <c r="BP14" i="41" s="1"/>
  <c r="AF31" i="27"/>
  <c r="AE31" i="27"/>
  <c r="AE33" i="33"/>
  <c r="AF33" i="33"/>
  <c r="AG33" i="33" s="1"/>
  <c r="AG9" i="15"/>
  <c r="AH9" i="15"/>
  <c r="AF34" i="33"/>
  <c r="AE34" i="33"/>
  <c r="AH51" i="15"/>
  <c r="AI51" i="15" s="1"/>
  <c r="AG51" i="15"/>
  <c r="AE20" i="12"/>
  <c r="AF20" i="12"/>
  <c r="AG20" i="12" s="1"/>
  <c r="AF10" i="20"/>
  <c r="AE10" i="20"/>
  <c r="AE17" i="21"/>
  <c r="AF17" i="21"/>
  <c r="AF45" i="20"/>
  <c r="AG45" i="20" s="1"/>
  <c r="AH45" i="20" s="1"/>
  <c r="AA45" i="20" s="1"/>
  <c r="BG46" i="41" s="1"/>
  <c r="AE45" i="20"/>
  <c r="AE17" i="12"/>
  <c r="AF17" i="12"/>
  <c r="AG17" i="12" s="1"/>
  <c r="AE31" i="17"/>
  <c r="AF31" i="17"/>
  <c r="AG11" i="15"/>
  <c r="AH11" i="15"/>
  <c r="AF24" i="17"/>
  <c r="AE24" i="17"/>
  <c r="AH41" i="14"/>
  <c r="AI41" i="14"/>
  <c r="AJ41" i="14" s="1"/>
  <c r="AF8" i="13"/>
  <c r="AE8" i="13"/>
  <c r="AE48" i="12"/>
  <c r="AF48" i="12"/>
  <c r="AG48" i="12" s="1"/>
  <c r="AF37" i="34"/>
  <c r="AE37" i="34"/>
  <c r="AF17" i="34"/>
  <c r="AE17" i="34"/>
  <c r="AF51" i="10"/>
  <c r="AG51" i="10" s="1"/>
  <c r="AE51" i="10"/>
  <c r="AE51" i="35"/>
  <c r="AF51" i="35"/>
  <c r="AG51" i="35" s="1"/>
  <c r="AH51" i="35" s="1"/>
  <c r="AA51" i="35" s="1"/>
  <c r="BA52" i="41" s="1"/>
  <c r="AE16" i="21"/>
  <c r="AF16" i="21"/>
  <c r="AE21" i="21"/>
  <c r="AF21" i="21"/>
  <c r="AE53" i="19"/>
  <c r="AF53" i="19"/>
  <c r="AG53" i="19" s="1"/>
  <c r="AH53" i="19" s="1"/>
  <c r="AA53" i="19" s="1"/>
  <c r="AX54" i="41" s="1"/>
  <c r="AE18" i="11"/>
  <c r="AF18" i="11"/>
  <c r="AG18" i="11" s="1"/>
  <c r="AF34" i="36"/>
  <c r="AF28" i="17"/>
  <c r="AE28" i="17"/>
  <c r="AI23" i="23"/>
  <c r="AJ23" i="23"/>
  <c r="AE42" i="36"/>
  <c r="AF42" i="36"/>
  <c r="AG42" i="36" s="1"/>
  <c r="AH42" i="36" s="1"/>
  <c r="AA42" i="36" s="1"/>
  <c r="BD43" i="41" s="1"/>
  <c r="AE40" i="26"/>
  <c r="AF40" i="26"/>
  <c r="AE41" i="34"/>
  <c r="AF41" i="34"/>
  <c r="AF47" i="11"/>
  <c r="AG47" i="11" s="1"/>
  <c r="AE47" i="11"/>
  <c r="AE21" i="11"/>
  <c r="AF21" i="11"/>
  <c r="AE49" i="10"/>
  <c r="AF49" i="10"/>
  <c r="AG49" i="10" s="1"/>
  <c r="AF25" i="10"/>
  <c r="AG25" i="10" s="1"/>
  <c r="AE25" i="10"/>
  <c r="AF51" i="7"/>
  <c r="AG51" i="7" s="1"/>
  <c r="AE51" i="7"/>
  <c r="AJ47" i="23"/>
  <c r="AK47" i="23" s="1"/>
  <c r="AL47" i="23" s="1"/>
  <c r="AE47" i="23" s="1"/>
  <c r="BS48" i="41" s="1"/>
  <c r="AI47" i="23"/>
  <c r="AF37" i="18"/>
  <c r="AE37" i="18"/>
  <c r="AI5" i="14"/>
  <c r="AH5" i="14"/>
  <c r="AE47" i="12"/>
  <c r="AF47" i="12"/>
  <c r="AG47" i="12" s="1"/>
  <c r="AF20" i="11"/>
  <c r="AG20" i="11" s="1"/>
  <c r="AE20" i="11"/>
  <c r="AE21" i="10"/>
  <c r="AF21" i="10"/>
  <c r="AE37" i="7"/>
  <c r="AF37" i="7"/>
  <c r="AE51" i="19"/>
  <c r="AF51" i="19"/>
  <c r="AG51" i="19" s="1"/>
  <c r="AH51" i="19" s="1"/>
  <c r="AA51" i="19" s="1"/>
  <c r="AX52" i="41" s="1"/>
  <c r="AF52" i="18"/>
  <c r="AG52" i="18" s="1"/>
  <c r="AH52" i="18" s="1"/>
  <c r="AA52" i="18" s="1"/>
  <c r="AU53" i="41" s="1"/>
  <c r="AE52" i="18"/>
  <c r="AE14" i="13"/>
  <c r="AF14" i="13"/>
  <c r="AG14" i="13" s="1"/>
  <c r="AE5" i="22"/>
  <c r="AF5" i="22"/>
  <c r="AE29" i="27"/>
  <c r="AF29" i="27"/>
  <c r="AF54" i="17"/>
  <c r="AE54" i="17"/>
  <c r="AH8" i="14"/>
  <c r="AI8" i="14"/>
  <c r="AF20" i="26"/>
  <c r="AE20" i="26"/>
  <c r="AF13" i="33"/>
  <c r="AG13" i="33" s="1"/>
  <c r="AE13" i="33"/>
  <c r="AE49" i="7"/>
  <c r="AF49" i="7"/>
  <c r="AG49" i="7" s="1"/>
  <c r="AH12" i="15"/>
  <c r="AG12" i="15"/>
  <c r="AI21" i="14"/>
  <c r="AH21" i="14"/>
  <c r="AF29" i="34"/>
  <c r="AE29" i="34"/>
  <c r="AF49" i="19"/>
  <c r="AG49" i="19" s="1"/>
  <c r="AH49" i="19" s="1"/>
  <c r="AA49" i="19" s="1"/>
  <c r="AX50" i="41" s="1"/>
  <c r="AE49" i="19"/>
  <c r="AF48" i="26"/>
  <c r="AG48" i="26" s="1"/>
  <c r="AE48" i="26"/>
  <c r="AF26" i="10"/>
  <c r="AG26" i="10" s="1"/>
  <c r="AE26" i="10"/>
  <c r="AF23" i="12"/>
  <c r="AG23" i="12" s="1"/>
  <c r="AE23" i="12"/>
  <c r="AE47" i="34"/>
  <c r="AF47" i="34"/>
  <c r="AG47" i="34" s="1"/>
  <c r="AE21" i="34"/>
  <c r="AF21" i="34"/>
  <c r="AE49" i="33"/>
  <c r="AF49" i="33"/>
  <c r="AG49" i="33" s="1"/>
  <c r="AE25" i="33"/>
  <c r="AF25" i="33"/>
  <c r="AE51" i="11"/>
  <c r="AF51" i="11"/>
  <c r="AG51" i="11" s="1"/>
  <c r="AF27" i="11"/>
  <c r="AG27" i="11" s="1"/>
  <c r="AE27" i="11"/>
  <c r="AE53" i="10"/>
  <c r="AF53" i="10"/>
  <c r="AG53" i="10" s="1"/>
  <c r="AF31" i="10"/>
  <c r="AG31" i="10" s="1"/>
  <c r="AE31" i="10"/>
  <c r="AE5" i="10"/>
  <c r="AF5" i="10"/>
  <c r="AF29" i="7"/>
  <c r="AG29" i="7" s="1"/>
  <c r="AE29" i="7"/>
  <c r="AJ51" i="23"/>
  <c r="AK51" i="23" s="1"/>
  <c r="AL51" i="23" s="1"/>
  <c r="AE51" i="23" s="1"/>
  <c r="BS52" i="41" s="1"/>
  <c r="AI51" i="23"/>
  <c r="AJ25" i="23"/>
  <c r="AI25" i="23"/>
  <c r="AE43" i="18"/>
  <c r="AF43" i="18"/>
  <c r="AG43" i="18" s="1"/>
  <c r="AH43" i="18" s="1"/>
  <c r="AA43" i="18" s="1"/>
  <c r="AU44" i="41" s="1"/>
  <c r="AH34" i="14"/>
  <c r="AI34" i="14"/>
  <c r="AJ34" i="14" s="1"/>
  <c r="AI11" i="14"/>
  <c r="AH11" i="14"/>
  <c r="AF51" i="12"/>
  <c r="AG51" i="12" s="1"/>
  <c r="AE51" i="12"/>
  <c r="AE24" i="11"/>
  <c r="AF24" i="11"/>
  <c r="AF27" i="10"/>
  <c r="AG27" i="10" s="1"/>
  <c r="AE27" i="10"/>
  <c r="AE23" i="27"/>
  <c r="AF23" i="27"/>
  <c r="AE5" i="35"/>
  <c r="AF5" i="35"/>
  <c r="AE7" i="19"/>
  <c r="AF7" i="19"/>
  <c r="AF8" i="18"/>
  <c r="AE8" i="18"/>
  <c r="AG41" i="15"/>
  <c r="AH41" i="15"/>
  <c r="AF10" i="34"/>
  <c r="AE10" i="34"/>
  <c r="AF48" i="27"/>
  <c r="AG48" i="27" s="1"/>
  <c r="AH48" i="27" s="1"/>
  <c r="AA48" i="27" s="1"/>
  <c r="BJ49" i="41" s="1"/>
  <c r="AE48" i="27"/>
  <c r="AE15" i="18"/>
  <c r="AF15" i="18"/>
  <c r="AI31" i="14"/>
  <c r="AJ31" i="14" s="1"/>
  <c r="AH31" i="14"/>
  <c r="AE31" i="26"/>
  <c r="AF31" i="26"/>
  <c r="AE36" i="33"/>
  <c r="AF36" i="33"/>
  <c r="AE17" i="11"/>
  <c r="AF17" i="11"/>
  <c r="AE17" i="17"/>
  <c r="AF17" i="17"/>
  <c r="AF39" i="12"/>
  <c r="AG39" i="12" s="1"/>
  <c r="AE24" i="13"/>
  <c r="AF24" i="13"/>
  <c r="AG24" i="13" s="1"/>
  <c r="AF39" i="10"/>
  <c r="AE39" i="10"/>
  <c r="AF21" i="7"/>
  <c r="AE21" i="7"/>
  <c r="AF24" i="27"/>
  <c r="AE24" i="27"/>
  <c r="AF9" i="20"/>
  <c r="AE9" i="20"/>
  <c r="AF27" i="19"/>
  <c r="AE27" i="19"/>
  <c r="AF49" i="18"/>
  <c r="AG49" i="18" s="1"/>
  <c r="AH49" i="18" s="1"/>
  <c r="AA49" i="18" s="1"/>
  <c r="AU50" i="41" s="1"/>
  <c r="AE49" i="18"/>
  <c r="AE5" i="17"/>
  <c r="AF5" i="17"/>
  <c r="AH27" i="15"/>
  <c r="AG27" i="15"/>
  <c r="AF47" i="33"/>
  <c r="AG47" i="33" s="1"/>
  <c r="AE47" i="33"/>
  <c r="AF29" i="10"/>
  <c r="AE29" i="10"/>
  <c r="AE6" i="7"/>
  <c r="AF6" i="7"/>
  <c r="AE13" i="19"/>
  <c r="AF13" i="19"/>
  <c r="AI37" i="14"/>
  <c r="AH37" i="14"/>
  <c r="AE50" i="34"/>
  <c r="AF50" i="34"/>
  <c r="AG50" i="34" s="1"/>
  <c r="AE39" i="20"/>
  <c r="AF39" i="20"/>
  <c r="AE49" i="22"/>
  <c r="AF49" i="22"/>
  <c r="AG49" i="22" s="1"/>
  <c r="AH49" i="22" s="1"/>
  <c r="AA49" i="22" s="1"/>
  <c r="BP50" i="41" s="1"/>
  <c r="AF38" i="35"/>
  <c r="AE38" i="35"/>
  <c r="AF52" i="33"/>
  <c r="AG52" i="33" s="1"/>
  <c r="AE52" i="33"/>
  <c r="AE8" i="33"/>
  <c r="AF8" i="33"/>
  <c r="AG8" i="33" s="1"/>
  <c r="AE50" i="7"/>
  <c r="AF50" i="7"/>
  <c r="AG50" i="7" s="1"/>
  <c r="AE16" i="7"/>
  <c r="AF16" i="7"/>
  <c r="AG16" i="7" s="1"/>
  <c r="AF8" i="19"/>
  <c r="AE8" i="19"/>
  <c r="AG42" i="15"/>
  <c r="AH42" i="15"/>
  <c r="AI42" i="15" s="1"/>
  <c r="AI51" i="14"/>
  <c r="AJ51" i="14" s="1"/>
  <c r="AH51" i="14"/>
  <c r="AF49" i="11"/>
  <c r="AG49" i="11" s="1"/>
  <c r="AE49" i="11"/>
  <c r="AF40" i="10"/>
  <c r="AE40" i="10"/>
  <c r="AF25" i="7"/>
  <c r="AE25" i="7"/>
  <c r="AF43" i="19"/>
  <c r="AG43" i="19" s="1"/>
  <c r="AH43" i="19" s="1"/>
  <c r="AA43" i="19" s="1"/>
  <c r="AX44" i="41" s="1"/>
  <c r="AE43" i="19"/>
  <c r="AF19" i="33"/>
  <c r="AE19" i="33"/>
  <c r="AF20" i="20"/>
  <c r="AE20" i="20"/>
  <c r="AF9" i="7"/>
  <c r="AE9" i="7"/>
  <c r="AF11" i="27"/>
  <c r="AE11" i="27"/>
  <c r="AI44" i="14"/>
  <c r="AJ44" i="14" s="1"/>
  <c r="AH44" i="14"/>
  <c r="AE45" i="11"/>
  <c r="AF45" i="11"/>
  <c r="AG45" i="11" s="1"/>
  <c r="AE11" i="18"/>
  <c r="AF11" i="18"/>
  <c r="AE20" i="10"/>
  <c r="AF20" i="10"/>
  <c r="AG20" i="10" s="1"/>
  <c r="CS44" i="1"/>
  <c r="CT44" i="1"/>
  <c r="CT39" i="1"/>
  <c r="CS39" i="1"/>
  <c r="AF19" i="36"/>
  <c r="AE19" i="36"/>
  <c r="CT34" i="1"/>
  <c r="CS34" i="1"/>
  <c r="AE30" i="34"/>
  <c r="AF30" i="34"/>
  <c r="AI38" i="14"/>
  <c r="AJ38" i="14" s="1"/>
  <c r="AH38" i="14"/>
  <c r="AF14" i="19"/>
  <c r="AG14" i="19" s="1"/>
  <c r="AH14" i="19" s="1"/>
  <c r="AA14" i="19" s="1"/>
  <c r="AX15" i="41" s="1"/>
  <c r="AE14" i="19"/>
  <c r="CS43" i="1"/>
  <c r="CT43" i="1"/>
  <c r="CT22" i="1"/>
  <c r="CS22" i="1"/>
  <c r="AE7" i="7"/>
  <c r="AF7" i="7"/>
  <c r="AF35" i="7"/>
  <c r="AE35" i="7"/>
  <c r="AE14" i="33"/>
  <c r="AF14" i="33"/>
  <c r="AG14" i="33" s="1"/>
  <c r="AE31" i="13"/>
  <c r="AF31" i="13"/>
  <c r="AG31" i="13" s="1"/>
  <c r="AG22" i="15"/>
  <c r="AH22" i="15"/>
  <c r="AI22" i="15" s="1"/>
  <c r="AE46" i="17"/>
  <c r="AF46" i="17"/>
  <c r="AG46" i="17" s="1"/>
  <c r="AH46" i="17" s="1"/>
  <c r="AA46" i="17" s="1"/>
  <c r="AR47" i="41" s="1"/>
  <c r="CS52" i="1"/>
  <c r="CT52" i="1"/>
  <c r="CU52" i="1" s="1"/>
  <c r="CS31" i="1"/>
  <c r="CT31" i="1"/>
  <c r="CT10" i="1"/>
  <c r="CS10" i="1"/>
  <c r="AE23" i="7"/>
  <c r="AF23" i="7"/>
  <c r="AG23" i="7" s="1"/>
  <c r="AE46" i="33"/>
  <c r="AF46" i="33"/>
  <c r="AG46" i="33" s="1"/>
  <c r="AE7" i="13"/>
  <c r="AF7" i="13"/>
  <c r="AG7" i="13" s="1"/>
  <c r="AE37" i="13"/>
  <c r="AF37" i="13"/>
  <c r="AG37" i="13" s="1"/>
  <c r="AF14" i="17"/>
  <c r="AG14" i="17" s="1"/>
  <c r="AH14" i="17" s="1"/>
  <c r="AA14" i="17" s="1"/>
  <c r="AR15" i="41" s="1"/>
  <c r="AE14" i="17"/>
  <c r="AF22" i="19"/>
  <c r="AE22" i="19"/>
  <c r="AF27" i="36"/>
  <c r="AE27" i="36"/>
  <c r="AE49" i="36"/>
  <c r="AF49" i="36"/>
  <c r="AG49" i="36" s="1"/>
  <c r="AH49" i="36" s="1"/>
  <c r="AA49" i="36" s="1"/>
  <c r="BD50" i="41" s="1"/>
  <c r="CT46" i="1"/>
  <c r="CS46" i="1"/>
  <c r="CT24" i="1"/>
  <c r="CS24" i="1"/>
  <c r="AE11" i="7"/>
  <c r="AF11" i="7"/>
  <c r="AG11" i="7" s="1"/>
  <c r="AF39" i="7"/>
  <c r="AE39" i="7"/>
  <c r="AF16" i="12"/>
  <c r="AE16" i="12"/>
  <c r="AF15" i="13"/>
  <c r="AE15" i="13"/>
  <c r="AF45" i="13"/>
  <c r="AG45" i="13" s="1"/>
  <c r="AE45" i="13"/>
  <c r="AE6" i="19"/>
  <c r="AF6" i="19"/>
  <c r="AE21" i="36"/>
  <c r="AF21" i="36"/>
  <c r="AF41" i="36"/>
  <c r="AE41" i="36"/>
  <c r="CS45" i="1"/>
  <c r="CT45" i="1"/>
  <c r="CS29" i="1"/>
  <c r="CT29" i="1"/>
  <c r="CS13" i="1"/>
  <c r="CT13" i="1"/>
  <c r="AF47" i="7"/>
  <c r="AG47" i="7" s="1"/>
  <c r="AE47" i="7"/>
  <c r="AE38" i="10"/>
  <c r="AF38" i="10"/>
  <c r="AG38" i="10" s="1"/>
  <c r="AE38" i="33"/>
  <c r="AF38" i="33"/>
  <c r="AG38" i="33" s="1"/>
  <c r="AF22" i="26"/>
  <c r="AE22" i="26"/>
  <c r="AF19" i="13"/>
  <c r="AE19" i="13"/>
  <c r="AF51" i="13"/>
  <c r="AG51" i="13" s="1"/>
  <c r="AE51" i="13"/>
  <c r="AF38" i="17"/>
  <c r="AE38" i="17"/>
  <c r="AE24" i="35"/>
  <c r="AF24" i="35"/>
  <c r="AF13" i="36"/>
  <c r="AE13" i="36"/>
  <c r="AF36" i="27"/>
  <c r="AE36" i="27"/>
  <c r="AG38" i="15"/>
  <c r="AH38" i="15"/>
  <c r="AI38" i="15" s="1"/>
  <c r="AE30" i="19"/>
  <c r="AF30" i="19"/>
  <c r="AF23" i="36"/>
  <c r="AE23" i="36"/>
  <c r="AE33" i="36"/>
  <c r="AF30" i="20"/>
  <c r="AE30" i="20"/>
  <c r="AE44" i="27"/>
  <c r="AF44" i="27"/>
  <c r="AG44" i="27" s="1"/>
  <c r="AH44" i="27" s="1"/>
  <c r="AA44" i="27" s="1"/>
  <c r="BJ45" i="41" s="1"/>
  <c r="AI22" i="23"/>
  <c r="AJ22" i="23"/>
  <c r="AF37" i="36"/>
  <c r="AE37" i="36"/>
  <c r="AE26" i="22"/>
  <c r="AF26" i="22"/>
  <c r="AE42" i="22"/>
  <c r="AF42" i="22"/>
  <c r="AG42" i="22" s="1"/>
  <c r="AH42" i="22" s="1"/>
  <c r="AA42" i="22" s="1"/>
  <c r="BP43" i="41" s="1"/>
  <c r="AJ46" i="23"/>
  <c r="AK46" i="23" s="1"/>
  <c r="AL46" i="23" s="1"/>
  <c r="AE46" i="23" s="1"/>
  <c r="BS47" i="41" s="1"/>
  <c r="AI46" i="23"/>
  <c r="AM43" i="25"/>
  <c r="AP47" i="25"/>
  <c r="AS13" i="25"/>
  <c r="AS19" i="25"/>
  <c r="AV50" i="25"/>
  <c r="AY14" i="25"/>
  <c r="AY40" i="25"/>
  <c r="BB38" i="25"/>
  <c r="BH18" i="25"/>
  <c r="AM31" i="25"/>
  <c r="AM36" i="25"/>
  <c r="AM44" i="25"/>
  <c r="AM21" i="25"/>
  <c r="AM22" i="25"/>
  <c r="AM50" i="25"/>
  <c r="AM55" i="25"/>
  <c r="AP14" i="25"/>
  <c r="AP32" i="25"/>
  <c r="AP38" i="25"/>
  <c r="AP44" i="25"/>
  <c r="AS38" i="25"/>
  <c r="AS50" i="25"/>
  <c r="AM23" i="25"/>
  <c r="AM34" i="25"/>
  <c r="AM38" i="25"/>
  <c r="AM40" i="25"/>
  <c r="AP12" i="25"/>
  <c r="AP46" i="25"/>
  <c r="AS10" i="25"/>
  <c r="AS27" i="25"/>
  <c r="AV8" i="25"/>
  <c r="AV27" i="25"/>
  <c r="AV39" i="25"/>
  <c r="AV45" i="25"/>
  <c r="AY20" i="25"/>
  <c r="AY31" i="25"/>
  <c r="AY42" i="25"/>
  <c r="BB18" i="25"/>
  <c r="BE49" i="25"/>
  <c r="BH7" i="25"/>
  <c r="BH25" i="25"/>
  <c r="BK16" i="25"/>
  <c r="AM24" i="25"/>
  <c r="AM32" i="25"/>
  <c r="AP55" i="25"/>
  <c r="AS28" i="25"/>
  <c r="AV48" i="25"/>
  <c r="AV55" i="25"/>
  <c r="AY36" i="25"/>
  <c r="BE27" i="25"/>
  <c r="BH22" i="25"/>
  <c r="AP19" i="25"/>
  <c r="AP26" i="25"/>
  <c r="AS36" i="25"/>
  <c r="AS37" i="25"/>
  <c r="AS52" i="25"/>
  <c r="AV10" i="25"/>
  <c r="AV20" i="25"/>
  <c r="AV28" i="25"/>
  <c r="AY41" i="25"/>
  <c r="AY47" i="25"/>
  <c r="AY50" i="25"/>
  <c r="BH16" i="25"/>
  <c r="AV19" i="25"/>
  <c r="AV54" i="25"/>
  <c r="AY9" i="25"/>
  <c r="AY17" i="25"/>
  <c r="AY39" i="25"/>
  <c r="BB26" i="25"/>
  <c r="BB48" i="25"/>
  <c r="BE22" i="25"/>
  <c r="BH38" i="25"/>
  <c r="BQ25" i="25"/>
  <c r="AM15" i="25"/>
  <c r="AM46" i="25"/>
  <c r="AP11" i="25"/>
  <c r="AP35" i="25"/>
  <c r="AP51" i="25"/>
  <c r="AS24" i="25"/>
  <c r="AV18" i="25"/>
  <c r="AV34" i="25"/>
  <c r="AV38" i="25"/>
  <c r="AV44" i="25"/>
  <c r="AY26" i="25"/>
  <c r="BE21" i="25"/>
  <c r="BH41" i="25"/>
  <c r="BN8" i="25"/>
  <c r="BN15" i="25"/>
  <c r="AM11" i="25"/>
  <c r="AP8" i="25"/>
  <c r="AP27" i="25"/>
  <c r="AP28" i="25"/>
  <c r="AP30" i="25"/>
  <c r="AP34" i="25"/>
  <c r="AP43" i="25"/>
  <c r="AS23" i="25"/>
  <c r="AS31" i="25"/>
  <c r="AS32" i="25"/>
  <c r="AS33" i="25"/>
  <c r="AS39" i="25"/>
  <c r="AS45" i="25"/>
  <c r="AS49" i="25"/>
  <c r="AS51" i="25"/>
  <c r="AM9" i="25"/>
  <c r="AM13" i="25"/>
  <c r="AM16" i="25"/>
  <c r="AM25" i="25"/>
  <c r="AM28" i="25"/>
  <c r="AM29" i="25"/>
  <c r="AM33" i="25"/>
  <c r="AM35" i="25"/>
  <c r="AM51" i="25"/>
  <c r="AP7" i="25"/>
  <c r="AP15" i="25"/>
  <c r="AP16" i="25"/>
  <c r="AP20" i="25"/>
  <c r="AP24" i="25"/>
  <c r="AP31" i="25"/>
  <c r="AP37" i="25"/>
  <c r="AP49" i="25"/>
  <c r="AS15" i="25"/>
  <c r="AS17" i="25"/>
  <c r="AS21" i="25"/>
  <c r="AS43" i="25"/>
  <c r="AS55" i="25"/>
  <c r="AV25" i="25"/>
  <c r="AV29" i="25"/>
  <c r="AV36" i="25"/>
  <c r="AV37" i="25"/>
  <c r="AV43" i="25"/>
  <c r="AV51" i="25"/>
  <c r="BB34" i="25"/>
  <c r="BE20" i="25"/>
  <c r="BE25" i="25"/>
  <c r="BE35" i="25"/>
  <c r="BE44" i="25"/>
  <c r="BH13" i="25"/>
  <c r="BH17" i="25"/>
  <c r="BH23" i="25"/>
  <c r="BH47" i="25"/>
  <c r="BK26" i="25"/>
  <c r="AM7" i="25"/>
  <c r="AM17" i="25"/>
  <c r="AM42" i="25"/>
  <c r="AP23" i="25"/>
  <c r="AS35" i="25"/>
  <c r="AS41" i="25"/>
  <c r="AS47" i="25"/>
  <c r="AV49" i="25"/>
  <c r="BE50" i="25"/>
  <c r="BE55" i="25"/>
  <c r="BH37" i="25"/>
  <c r="BK13" i="25"/>
  <c r="BN11" i="25"/>
  <c r="BQ17" i="25"/>
  <c r="AM19" i="25"/>
  <c r="AP39" i="25"/>
  <c r="AP45" i="25"/>
  <c r="AS8" i="25"/>
  <c r="AS12" i="25"/>
  <c r="AV12" i="25"/>
  <c r="AV14" i="25"/>
  <c r="AV16" i="25"/>
  <c r="AV26" i="25"/>
  <c r="AV30" i="25"/>
  <c r="AV31" i="25"/>
  <c r="AV35" i="25"/>
  <c r="AV41" i="25"/>
  <c r="AV47" i="25"/>
  <c r="AY10" i="25"/>
  <c r="AY12" i="25"/>
  <c r="AY16" i="25"/>
  <c r="AY22" i="25"/>
  <c r="AY23" i="25"/>
  <c r="AY24" i="25"/>
  <c r="AY34" i="25"/>
  <c r="BB12" i="25"/>
  <c r="BB23" i="25"/>
  <c r="BB53" i="25"/>
  <c r="BE31" i="25"/>
  <c r="BE40" i="25"/>
  <c r="BE45" i="25"/>
  <c r="BH12" i="25"/>
  <c r="BH28" i="25"/>
  <c r="BH39" i="25"/>
  <c r="BH50" i="25"/>
  <c r="BK39" i="25"/>
  <c r="BB41" i="25"/>
  <c r="BE54" i="25"/>
  <c r="BH24" i="25"/>
  <c r="BH49" i="25"/>
  <c r="BK10" i="25"/>
  <c r="BK35" i="25"/>
  <c r="BK40" i="25"/>
  <c r="BN51" i="25"/>
  <c r="BN54" i="25"/>
  <c r="BQ9" i="25"/>
  <c r="BQ52" i="25"/>
  <c r="AY8" i="25"/>
  <c r="AY18" i="25"/>
  <c r="AY29" i="25"/>
  <c r="AY30" i="25"/>
  <c r="AY37" i="25"/>
  <c r="AY38" i="25"/>
  <c r="AY46" i="25"/>
  <c r="BB15" i="25"/>
  <c r="BB16" i="25"/>
  <c r="BB24" i="25"/>
  <c r="BB32" i="25"/>
  <c r="BB36" i="25"/>
  <c r="BB42" i="25"/>
  <c r="BE19" i="25"/>
  <c r="BE23" i="25"/>
  <c r="BE32" i="25"/>
  <c r="BE46" i="25"/>
  <c r="BH26" i="25"/>
  <c r="BH31" i="25"/>
  <c r="BH46" i="25"/>
  <c r="BH53" i="25"/>
  <c r="BH54" i="25"/>
  <c r="BK6" i="25"/>
  <c r="BK19" i="25"/>
  <c r="BN23" i="25"/>
  <c r="BN38" i="25"/>
  <c r="BQ21" i="25"/>
  <c r="BQ30" i="25"/>
  <c r="BQ38" i="25"/>
  <c r="BQ54" i="25"/>
  <c r="BB39" i="25"/>
  <c r="BB40" i="25"/>
  <c r="BB43" i="25"/>
  <c r="BB51" i="25"/>
  <c r="BE29" i="25"/>
  <c r="BE34" i="25"/>
  <c r="BE37" i="25"/>
  <c r="BE38" i="25"/>
  <c r="BE43" i="25"/>
  <c r="BE48" i="25"/>
  <c r="BH11" i="25"/>
  <c r="BH30" i="25"/>
  <c r="BH32" i="25"/>
  <c r="BH42" i="25"/>
  <c r="BK9" i="25"/>
  <c r="BK15" i="25"/>
  <c r="BK17" i="25"/>
  <c r="BK27" i="25"/>
  <c r="BK45" i="25"/>
  <c r="BK46" i="25"/>
  <c r="BN12" i="25"/>
  <c r="BN18" i="25"/>
  <c r="BN21" i="25"/>
  <c r="BN37" i="25"/>
  <c r="BN42" i="25"/>
  <c r="BN49" i="25"/>
  <c r="BN50" i="25"/>
  <c r="BQ18" i="25"/>
  <c r="BQ40" i="25"/>
  <c r="BK37" i="25"/>
  <c r="BN13" i="25"/>
  <c r="BN22" i="25"/>
  <c r="BN43" i="25"/>
  <c r="AY51" i="25"/>
  <c r="AY54" i="25"/>
  <c r="AY55" i="25"/>
  <c r="BB10" i="25"/>
  <c r="BB14" i="25"/>
  <c r="BB20" i="25"/>
  <c r="BB22" i="25"/>
  <c r="BB28" i="25"/>
  <c r="BB44" i="25"/>
  <c r="BB46" i="25"/>
  <c r="BB55" i="25"/>
  <c r="BE7" i="25"/>
  <c r="BE9" i="25"/>
  <c r="BE11" i="25"/>
  <c r="BE13" i="25"/>
  <c r="BE15" i="25"/>
  <c r="BE17" i="25"/>
  <c r="BE33" i="25"/>
  <c r="BE39" i="25"/>
  <c r="BE41" i="25"/>
  <c r="BE52" i="25"/>
  <c r="BH19" i="25"/>
  <c r="BH20" i="25"/>
  <c r="BH34" i="25"/>
  <c r="BH55" i="25"/>
  <c r="BK8" i="25"/>
  <c r="BK11" i="25"/>
  <c r="BK12" i="25"/>
  <c r="BK21" i="25"/>
  <c r="BK30" i="25"/>
  <c r="BK31" i="25"/>
  <c r="BK32" i="25"/>
  <c r="BK33" i="25"/>
  <c r="BK43" i="25"/>
  <c r="BK51" i="25"/>
  <c r="BK55" i="25"/>
  <c r="BN35" i="25"/>
  <c r="BN44" i="25"/>
  <c r="BN45" i="25"/>
  <c r="BQ10" i="25"/>
  <c r="BQ14" i="25"/>
  <c r="BQ37" i="25"/>
  <c r="BQ46" i="25"/>
  <c r="BH36" i="25"/>
  <c r="BH40" i="25"/>
  <c r="BH43" i="25"/>
  <c r="BH44" i="25"/>
  <c r="BH51" i="25"/>
  <c r="BK7" i="25"/>
  <c r="BK23" i="25"/>
  <c r="BK34" i="25"/>
  <c r="BK42" i="25"/>
  <c r="BK47" i="25"/>
  <c r="BK49" i="25"/>
  <c r="BK50" i="25"/>
  <c r="BN10" i="25"/>
  <c r="BN27" i="25"/>
  <c r="BN34" i="25"/>
  <c r="BN36" i="25"/>
  <c r="BQ8" i="25"/>
  <c r="BQ15" i="25"/>
  <c r="BQ23" i="25"/>
  <c r="BQ28" i="25"/>
  <c r="BQ29" i="25"/>
  <c r="BQ47" i="25"/>
  <c r="BN19" i="25"/>
  <c r="BN25" i="25"/>
  <c r="BN26" i="25"/>
  <c r="BN29" i="25"/>
  <c r="BN40" i="25"/>
  <c r="BN41" i="25"/>
  <c r="BQ11" i="25"/>
  <c r="BQ12" i="25"/>
  <c r="BQ13" i="25"/>
  <c r="BQ20" i="25"/>
  <c r="BQ22" i="25"/>
  <c r="BQ34" i="25"/>
  <c r="BQ36" i="25"/>
  <c r="BQ39" i="25"/>
  <c r="BN46" i="25"/>
  <c r="BN47" i="25"/>
  <c r="BQ31" i="25"/>
  <c r="BQ55" i="25"/>
  <c r="BQ32" i="25"/>
  <c r="BQ44" i="25"/>
  <c r="BK54" i="25"/>
  <c r="BN7" i="25"/>
  <c r="BN17" i="25"/>
  <c r="BN20" i="25"/>
  <c r="BN28" i="25"/>
  <c r="BN32" i="25"/>
  <c r="BN33" i="25"/>
  <c r="BN48" i="25"/>
  <c r="BN52" i="25"/>
  <c r="BQ16" i="25"/>
  <c r="BQ26" i="25"/>
  <c r="BQ33" i="25"/>
  <c r="BQ42" i="25"/>
  <c r="BQ48" i="25"/>
  <c r="BQ50" i="25"/>
  <c r="BQ6" i="25"/>
  <c r="U48" i="44" s="1"/>
  <c r="BN6" i="25"/>
  <c r="U47" i="44" s="1"/>
  <c r="AY6" i="25"/>
  <c r="U41" i="44" s="1"/>
  <c r="AV6" i="25"/>
  <c r="U40" i="44" s="1"/>
  <c r="AS6" i="25"/>
  <c r="U39" i="44" s="1"/>
  <c r="AP6" i="25"/>
  <c r="U38" i="44" s="1"/>
  <c r="AG36" i="21" l="1"/>
  <c r="AH36" i="21" s="1"/>
  <c r="AA36" i="21" s="1"/>
  <c r="BM37" i="41" s="1"/>
  <c r="AG45" i="27"/>
  <c r="AH45" i="27" s="1"/>
  <c r="AA45" i="27" s="1"/>
  <c r="BJ46" i="41" s="1"/>
  <c r="AG14" i="27"/>
  <c r="AH14" i="27" s="1"/>
  <c r="AA14" i="27" s="1"/>
  <c r="BJ15" i="41" s="1"/>
  <c r="AG47" i="27"/>
  <c r="AH47" i="27" s="1"/>
  <c r="AA47" i="27" s="1"/>
  <c r="BJ48" i="41" s="1"/>
  <c r="AG43" i="27"/>
  <c r="AH43" i="27" s="1"/>
  <c r="AA43" i="27" s="1"/>
  <c r="BJ44" i="41" s="1"/>
  <c r="AG36" i="20"/>
  <c r="AH36" i="20" s="1"/>
  <c r="AA36" i="20" s="1"/>
  <c r="BG37" i="41" s="1"/>
  <c r="AG17" i="20"/>
  <c r="AH17" i="20" s="1"/>
  <c r="AA17" i="20" s="1"/>
  <c r="BG18" i="41" s="1"/>
  <c r="AG25" i="20"/>
  <c r="AH25" i="20" s="1"/>
  <c r="AA25" i="20" s="1"/>
  <c r="BG26" i="41" s="1"/>
  <c r="AG38" i="20"/>
  <c r="AH38" i="20" s="1"/>
  <c r="AA38" i="20" s="1"/>
  <c r="BG39" i="41" s="1"/>
  <c r="AG35" i="20"/>
  <c r="AH35" i="20" s="1"/>
  <c r="AA35" i="20" s="1"/>
  <c r="BG36" i="41" s="1"/>
  <c r="AG16" i="20"/>
  <c r="AH16" i="20" s="1"/>
  <c r="AA16" i="20" s="1"/>
  <c r="BG17" i="41" s="1"/>
  <c r="AG17" i="19"/>
  <c r="AH17" i="19" s="1"/>
  <c r="AA17" i="19" s="1"/>
  <c r="AX18" i="41" s="1"/>
  <c r="AG28" i="19"/>
  <c r="AH28" i="19" s="1"/>
  <c r="AA28" i="19" s="1"/>
  <c r="AX29" i="41" s="1"/>
  <c r="AG41" i="19"/>
  <c r="AH41" i="19" s="1"/>
  <c r="AA41" i="19" s="1"/>
  <c r="AX42" i="41" s="1"/>
  <c r="AG38" i="17"/>
  <c r="AH38" i="17" s="1"/>
  <c r="AA38" i="17" s="1"/>
  <c r="AR39" i="41" s="1"/>
  <c r="AI47" i="15"/>
  <c r="AI12" i="15"/>
  <c r="AI23" i="15"/>
  <c r="AI45" i="15"/>
  <c r="AI46" i="15"/>
  <c r="CU46" i="1"/>
  <c r="CU15" i="1"/>
  <c r="CU19" i="1"/>
  <c r="CU48" i="1"/>
  <c r="CU47" i="1"/>
  <c r="CU45" i="1"/>
  <c r="CU44" i="1"/>
  <c r="AK40" i="23"/>
  <c r="AL40" i="23" s="1"/>
  <c r="AE40" i="23" s="1"/>
  <c r="BS41" i="41" s="1"/>
  <c r="AG30" i="21"/>
  <c r="AH30" i="21" s="1"/>
  <c r="AA30" i="21" s="1"/>
  <c r="BM31" i="41" s="1"/>
  <c r="AG17" i="21"/>
  <c r="AH17" i="21" s="1"/>
  <c r="AA17" i="21" s="1"/>
  <c r="BM18" i="41" s="1"/>
  <c r="AG41" i="21"/>
  <c r="AH41" i="21" s="1"/>
  <c r="AA41" i="21" s="1"/>
  <c r="BM42" i="41" s="1"/>
  <c r="AG30" i="19"/>
  <c r="AH30" i="19" s="1"/>
  <c r="AA30" i="19" s="1"/>
  <c r="AX31" i="41" s="1"/>
  <c r="AG23" i="20"/>
  <c r="AH23" i="20" s="1"/>
  <c r="AA23" i="20" s="1"/>
  <c r="BG24" i="41" s="1"/>
  <c r="AG32" i="21"/>
  <c r="AH32" i="21" s="1"/>
  <c r="AA32" i="21" s="1"/>
  <c r="BM33" i="41" s="1"/>
  <c r="AG33" i="19"/>
  <c r="AH33" i="19" s="1"/>
  <c r="AA33" i="19" s="1"/>
  <c r="AX34" i="41" s="1"/>
  <c r="AG36" i="19"/>
  <c r="AH36" i="19" s="1"/>
  <c r="AA36" i="19" s="1"/>
  <c r="AX37" i="41" s="1"/>
  <c r="AG41" i="17"/>
  <c r="AH41" i="17" s="1"/>
  <c r="AA41" i="17" s="1"/>
  <c r="AR42" i="41" s="1"/>
  <c r="AG25" i="22"/>
  <c r="AH25" i="22" s="1"/>
  <c r="AA25" i="22" s="1"/>
  <c r="BP26" i="41" s="1"/>
  <c r="AG41" i="20"/>
  <c r="AH41" i="20" s="1"/>
  <c r="AA41" i="20" s="1"/>
  <c r="BG42" i="41" s="1"/>
  <c r="AK26" i="23"/>
  <c r="AL26" i="23" s="1"/>
  <c r="AE26" i="23" s="1"/>
  <c r="BS27" i="41" s="1"/>
  <c r="AG22" i="17"/>
  <c r="AH22" i="17" s="1"/>
  <c r="AA22" i="17" s="1"/>
  <c r="AR23" i="41" s="1"/>
  <c r="AG38" i="19"/>
  <c r="AH38" i="19" s="1"/>
  <c r="AA38" i="19" s="1"/>
  <c r="AX39" i="41" s="1"/>
  <c r="AG6" i="17"/>
  <c r="AH6" i="17" s="1"/>
  <c r="AA6" i="17" s="1"/>
  <c r="AR7" i="41" s="1"/>
  <c r="AG24" i="19"/>
  <c r="AH24" i="19" s="1"/>
  <c r="AA24" i="19" s="1"/>
  <c r="AX25" i="41" s="1"/>
  <c r="AG20" i="17"/>
  <c r="AH20" i="17" s="1"/>
  <c r="AA20" i="17" s="1"/>
  <c r="AR21" i="41" s="1"/>
  <c r="AG27" i="22"/>
  <c r="AH27" i="22" s="1"/>
  <c r="AA27" i="22" s="1"/>
  <c r="BP28" i="41" s="1"/>
  <c r="AG8" i="21"/>
  <c r="AH8" i="21" s="1"/>
  <c r="AA8" i="21" s="1"/>
  <c r="BM9" i="41" s="1"/>
  <c r="AG29" i="21"/>
  <c r="AH29" i="21" s="1"/>
  <c r="AA29" i="21" s="1"/>
  <c r="BM30" i="41" s="1"/>
  <c r="AG11" i="21"/>
  <c r="AH11" i="21" s="1"/>
  <c r="AA11" i="21" s="1"/>
  <c r="BM12" i="41" s="1"/>
  <c r="AK32" i="23"/>
  <c r="AL32" i="23" s="1"/>
  <c r="AE32" i="23" s="1"/>
  <c r="BS33" i="41" s="1"/>
  <c r="AG22" i="20"/>
  <c r="AH22" i="20" s="1"/>
  <c r="AA22" i="20" s="1"/>
  <c r="BG23" i="41" s="1"/>
  <c r="AG30" i="17"/>
  <c r="AH30" i="17" s="1"/>
  <c r="AA30" i="17" s="1"/>
  <c r="AR31" i="41" s="1"/>
  <c r="AG40" i="22"/>
  <c r="AH40" i="22" s="1"/>
  <c r="AA40" i="22" s="1"/>
  <c r="BP41" i="41" s="1"/>
  <c r="AG5" i="19"/>
  <c r="AH5" i="19" s="1"/>
  <c r="AA5" i="19" s="1"/>
  <c r="AX6" i="41" s="1"/>
  <c r="AG9" i="21"/>
  <c r="AH9" i="21" s="1"/>
  <c r="AA9" i="21" s="1"/>
  <c r="BM10" i="41" s="1"/>
  <c r="AG19" i="17"/>
  <c r="AH19" i="17" s="1"/>
  <c r="AA19" i="17" s="1"/>
  <c r="AR20" i="41" s="1"/>
  <c r="AG37" i="19"/>
  <c r="AH37" i="19" s="1"/>
  <c r="AA37" i="19" s="1"/>
  <c r="AX38" i="41" s="1"/>
  <c r="AG27" i="20"/>
  <c r="AH27" i="20" s="1"/>
  <c r="AA27" i="20" s="1"/>
  <c r="BG28" i="41" s="1"/>
  <c r="AK11" i="23"/>
  <c r="AL11" i="23" s="1"/>
  <c r="AE11" i="23" s="1"/>
  <c r="BS12" i="41" s="1"/>
  <c r="AK33" i="23"/>
  <c r="AL33" i="23" s="1"/>
  <c r="AE33" i="23" s="1"/>
  <c r="BS34" i="41" s="1"/>
  <c r="AG25" i="21"/>
  <c r="AH25" i="21" s="1"/>
  <c r="AA25" i="21" s="1"/>
  <c r="BM26" i="41" s="1"/>
  <c r="AG8" i="17"/>
  <c r="AH8" i="17" s="1"/>
  <c r="AA8" i="17" s="1"/>
  <c r="AR9" i="41" s="1"/>
  <c r="AG21" i="22"/>
  <c r="AH21" i="22" s="1"/>
  <c r="AA21" i="22" s="1"/>
  <c r="BP22" i="41" s="1"/>
  <c r="AG37" i="20"/>
  <c r="AH37" i="20" s="1"/>
  <c r="AA37" i="20" s="1"/>
  <c r="BG38" i="41" s="1"/>
  <c r="AK20" i="23"/>
  <c r="AL20" i="23" s="1"/>
  <c r="AE20" i="23" s="1"/>
  <c r="BS21" i="41" s="1"/>
  <c r="AK19" i="23"/>
  <c r="AL19" i="23" s="1"/>
  <c r="AE19" i="23" s="1"/>
  <c r="BS20" i="41" s="1"/>
  <c r="AG33" i="21"/>
  <c r="AH33" i="21" s="1"/>
  <c r="AA33" i="21" s="1"/>
  <c r="BM34" i="41" s="1"/>
  <c r="AG13" i="17"/>
  <c r="AH13" i="17" s="1"/>
  <c r="AA13" i="17" s="1"/>
  <c r="AR14" i="41" s="1"/>
  <c r="AG33" i="17"/>
  <c r="AH33" i="17" s="1"/>
  <c r="AA33" i="17" s="1"/>
  <c r="AR34" i="41" s="1"/>
  <c r="AG39" i="21"/>
  <c r="AH39" i="21" s="1"/>
  <c r="AA39" i="21" s="1"/>
  <c r="BM40" i="41" s="1"/>
  <c r="AG28" i="22"/>
  <c r="AH28" i="22" s="1"/>
  <c r="AA28" i="22" s="1"/>
  <c r="BP29" i="41" s="1"/>
  <c r="AG38" i="21"/>
  <c r="AH38" i="21" s="1"/>
  <c r="AA38" i="21" s="1"/>
  <c r="BM39" i="41" s="1"/>
  <c r="AG32" i="20"/>
  <c r="AH32" i="20" s="1"/>
  <c r="AA32" i="20" s="1"/>
  <c r="BG33" i="41" s="1"/>
  <c r="AG13" i="19"/>
  <c r="AH13" i="19" s="1"/>
  <c r="AA13" i="19" s="1"/>
  <c r="AX14" i="41" s="1"/>
  <c r="AK25" i="23"/>
  <c r="AL25" i="23" s="1"/>
  <c r="AE25" i="23" s="1"/>
  <c r="BS26" i="41" s="1"/>
  <c r="AG28" i="17"/>
  <c r="AH28" i="17" s="1"/>
  <c r="AA28" i="17" s="1"/>
  <c r="AR29" i="41" s="1"/>
  <c r="AG21" i="21"/>
  <c r="AH21" i="21" s="1"/>
  <c r="AA21" i="21" s="1"/>
  <c r="BM22" i="41" s="1"/>
  <c r="AG16" i="21"/>
  <c r="AH16" i="21" s="1"/>
  <c r="AA16" i="21" s="1"/>
  <c r="BM17" i="41" s="1"/>
  <c r="AG31" i="17"/>
  <c r="AH31" i="17" s="1"/>
  <c r="AA31" i="17" s="1"/>
  <c r="AR32" i="41" s="1"/>
  <c r="AG12" i="22"/>
  <c r="AH12" i="22" s="1"/>
  <c r="AA12" i="22" s="1"/>
  <c r="BP13" i="41" s="1"/>
  <c r="AG10" i="19"/>
  <c r="AH10" i="19" s="1"/>
  <c r="AA10" i="19" s="1"/>
  <c r="AX11" i="41" s="1"/>
  <c r="AK16" i="23"/>
  <c r="AL16" i="23" s="1"/>
  <c r="AE16" i="23" s="1"/>
  <c r="BS17" i="41" s="1"/>
  <c r="AK35" i="23"/>
  <c r="AL35" i="23" s="1"/>
  <c r="AE35" i="23" s="1"/>
  <c r="BS36" i="41" s="1"/>
  <c r="AG16" i="19"/>
  <c r="AH16" i="19" s="1"/>
  <c r="AA16" i="19" s="1"/>
  <c r="AX17" i="41" s="1"/>
  <c r="AK24" i="23"/>
  <c r="AL24" i="23" s="1"/>
  <c r="AE24" i="23" s="1"/>
  <c r="BS25" i="41" s="1"/>
  <c r="AG20" i="22"/>
  <c r="AH20" i="22" s="1"/>
  <c r="AA20" i="22" s="1"/>
  <c r="BP21" i="41" s="1"/>
  <c r="AG31" i="19"/>
  <c r="AH31" i="19" s="1"/>
  <c r="AA31" i="19" s="1"/>
  <c r="AX32" i="41" s="1"/>
  <c r="AG26" i="19"/>
  <c r="AH26" i="19" s="1"/>
  <c r="AA26" i="19" s="1"/>
  <c r="AX27" i="41" s="1"/>
  <c r="AG30" i="20"/>
  <c r="AH30" i="20" s="1"/>
  <c r="AA30" i="20" s="1"/>
  <c r="BG31" i="41" s="1"/>
  <c r="AG39" i="20"/>
  <c r="AH39" i="20" s="1"/>
  <c r="AA39" i="20" s="1"/>
  <c r="BG40" i="41" s="1"/>
  <c r="AG18" i="20"/>
  <c r="AH18" i="20" s="1"/>
  <c r="AA18" i="20" s="1"/>
  <c r="BG19" i="41" s="1"/>
  <c r="AG21" i="36"/>
  <c r="AH21" i="36" s="1"/>
  <c r="AA21" i="36" s="1"/>
  <c r="BD22" i="41" s="1"/>
  <c r="AG15" i="36"/>
  <c r="AH15" i="36" s="1"/>
  <c r="AA15" i="36" s="1"/>
  <c r="BD16" i="41" s="1"/>
  <c r="AG37" i="36"/>
  <c r="AH37" i="36" s="1"/>
  <c r="AA37" i="36" s="1"/>
  <c r="BD38" i="41" s="1"/>
  <c r="AG30" i="36"/>
  <c r="AH30" i="36" s="1"/>
  <c r="AA30" i="36" s="1"/>
  <c r="BD31" i="41" s="1"/>
  <c r="AG25" i="36"/>
  <c r="AH25" i="36" s="1"/>
  <c r="AA25" i="36" s="1"/>
  <c r="BD26" i="41" s="1"/>
  <c r="AG24" i="36"/>
  <c r="AH24" i="36" s="1"/>
  <c r="AA24" i="36" s="1"/>
  <c r="BD25" i="41" s="1"/>
  <c r="AG12" i="36"/>
  <c r="AH12" i="36" s="1"/>
  <c r="AA12" i="36" s="1"/>
  <c r="BD13" i="41" s="1"/>
  <c r="AG36" i="36"/>
  <c r="AH36" i="36" s="1"/>
  <c r="AA36" i="36" s="1"/>
  <c r="BD37" i="41" s="1"/>
  <c r="AG29" i="36"/>
  <c r="AH29" i="36" s="1"/>
  <c r="AA29" i="36" s="1"/>
  <c r="BD30" i="41" s="1"/>
  <c r="AG32" i="36"/>
  <c r="AH32" i="36" s="1"/>
  <c r="AA32" i="36" s="1"/>
  <c r="BD33" i="41" s="1"/>
  <c r="AG11" i="18"/>
  <c r="AH11" i="18" s="1"/>
  <c r="AA11" i="18" s="1"/>
  <c r="AU12" i="41" s="1"/>
  <c r="AG8" i="18"/>
  <c r="AH8" i="18" s="1"/>
  <c r="AA8" i="18" s="1"/>
  <c r="AU9" i="41" s="1"/>
  <c r="AG37" i="18"/>
  <c r="AH37" i="18" s="1"/>
  <c r="AA37" i="18" s="1"/>
  <c r="AU38" i="41" s="1"/>
  <c r="AG28" i="18"/>
  <c r="AH28" i="18" s="1"/>
  <c r="AA28" i="18" s="1"/>
  <c r="AU29" i="41" s="1"/>
  <c r="AG38" i="18"/>
  <c r="AH38" i="18" s="1"/>
  <c r="AA38" i="18" s="1"/>
  <c r="AU39" i="41" s="1"/>
  <c r="AG35" i="18"/>
  <c r="AH35" i="18" s="1"/>
  <c r="AA35" i="18" s="1"/>
  <c r="AU36" i="41" s="1"/>
  <c r="AG25" i="18"/>
  <c r="AH25" i="18" s="1"/>
  <c r="AA25" i="18" s="1"/>
  <c r="AU26" i="41" s="1"/>
  <c r="AG26" i="18"/>
  <c r="AH26" i="18" s="1"/>
  <c r="AA26" i="18" s="1"/>
  <c r="AU27" i="41" s="1"/>
  <c r="AG36" i="18"/>
  <c r="AH36" i="18" s="1"/>
  <c r="AA36" i="18" s="1"/>
  <c r="AU37" i="41" s="1"/>
  <c r="AG16" i="18"/>
  <c r="AH16" i="18" s="1"/>
  <c r="AA16" i="18" s="1"/>
  <c r="AU17" i="41" s="1"/>
  <c r="AG13" i="18"/>
  <c r="AH13" i="18" s="1"/>
  <c r="AA13" i="18" s="1"/>
  <c r="AU14" i="41" s="1"/>
  <c r="AG20" i="18"/>
  <c r="AH20" i="18" s="1"/>
  <c r="AA20" i="18" s="1"/>
  <c r="AU21" i="41" s="1"/>
  <c r="AG10" i="18"/>
  <c r="AH10" i="18" s="1"/>
  <c r="AA10" i="18" s="1"/>
  <c r="AU11" i="41" s="1"/>
  <c r="AG5" i="18"/>
  <c r="AH5" i="18" s="1"/>
  <c r="AA5" i="18" s="1"/>
  <c r="AU6" i="41" s="1"/>
  <c r="AG27" i="18"/>
  <c r="AH27" i="18" s="1"/>
  <c r="AA27" i="18" s="1"/>
  <c r="AU28" i="41" s="1"/>
  <c r="AG41" i="18"/>
  <c r="AH41" i="18" s="1"/>
  <c r="AA41" i="18" s="1"/>
  <c r="AU42" i="41" s="1"/>
  <c r="AG29" i="18"/>
  <c r="AH29" i="18" s="1"/>
  <c r="AA29" i="18" s="1"/>
  <c r="AU30" i="41" s="1"/>
  <c r="AG40" i="18"/>
  <c r="AH40" i="18" s="1"/>
  <c r="AA40" i="18" s="1"/>
  <c r="AU41" i="41" s="1"/>
  <c r="AG34" i="18"/>
  <c r="AH34" i="18" s="1"/>
  <c r="AA34" i="18" s="1"/>
  <c r="AU35" i="41" s="1"/>
  <c r="AG19" i="18"/>
  <c r="AH19" i="18" s="1"/>
  <c r="AA19" i="18" s="1"/>
  <c r="AU20" i="41" s="1"/>
  <c r="AG37" i="17"/>
  <c r="AH37" i="17" s="1"/>
  <c r="AA37" i="17" s="1"/>
  <c r="AR38" i="41" s="1"/>
  <c r="CU29" i="16"/>
  <c r="CV29" i="16" s="1"/>
  <c r="CO29" i="16" s="1"/>
  <c r="AO29" i="41" s="1"/>
  <c r="CU18" i="16"/>
  <c r="CV18" i="16" s="1"/>
  <c r="CO18" i="16" s="1"/>
  <c r="AO18" i="41" s="1"/>
  <c r="AK10" i="23"/>
  <c r="AL10" i="23" s="1"/>
  <c r="AE10" i="23" s="1"/>
  <c r="BS11" i="41" s="1"/>
  <c r="AK38" i="23"/>
  <c r="AL38" i="23" s="1"/>
  <c r="AE38" i="23" s="1"/>
  <c r="BS39" i="41" s="1"/>
  <c r="AK12" i="23"/>
  <c r="AL12" i="23" s="1"/>
  <c r="AE12" i="23" s="1"/>
  <c r="BS13" i="41" s="1"/>
  <c r="AG24" i="21"/>
  <c r="AH24" i="21" s="1"/>
  <c r="AA24" i="21" s="1"/>
  <c r="BM25" i="41" s="1"/>
  <c r="AG26" i="36"/>
  <c r="AH26" i="36" s="1"/>
  <c r="AA26" i="36" s="1"/>
  <c r="BD27" i="41" s="1"/>
  <c r="AG40" i="36"/>
  <c r="AH40" i="36" s="1"/>
  <c r="AA40" i="36" s="1"/>
  <c r="BD41" i="41" s="1"/>
  <c r="AG25" i="17"/>
  <c r="AH25" i="17" s="1"/>
  <c r="AA25" i="17" s="1"/>
  <c r="AR26" i="41" s="1"/>
  <c r="CU38" i="16"/>
  <c r="CV38" i="16" s="1"/>
  <c r="CO38" i="16" s="1"/>
  <c r="AO38" i="41" s="1"/>
  <c r="CU23" i="16"/>
  <c r="CV23" i="16" s="1"/>
  <c r="CO23" i="16" s="1"/>
  <c r="AO23" i="41" s="1"/>
  <c r="CU32" i="16"/>
  <c r="CV32" i="16" s="1"/>
  <c r="CO32" i="16" s="1"/>
  <c r="AO32" i="41" s="1"/>
  <c r="CU13" i="16"/>
  <c r="CV13" i="16" s="1"/>
  <c r="CO13" i="16" s="1"/>
  <c r="AO13" i="41" s="1"/>
  <c r="CU10" i="16"/>
  <c r="CV10" i="16" s="1"/>
  <c r="CO10" i="16" s="1"/>
  <c r="AO10" i="41" s="1"/>
  <c r="CU26" i="16"/>
  <c r="CV26" i="16" s="1"/>
  <c r="CO26" i="16" s="1"/>
  <c r="AO26" i="41" s="1"/>
  <c r="AG38" i="35"/>
  <c r="AH38" i="35" s="1"/>
  <c r="AA38" i="35" s="1"/>
  <c r="BA39" i="41" s="1"/>
  <c r="AJ37" i="14"/>
  <c r="AJ8" i="14"/>
  <c r="AG30" i="35"/>
  <c r="AH30" i="35" s="1"/>
  <c r="AA30" i="35" s="1"/>
  <c r="BA31" i="41" s="1"/>
  <c r="AG35" i="35"/>
  <c r="AH35" i="35" s="1"/>
  <c r="AA35" i="35" s="1"/>
  <c r="BA36" i="41" s="1"/>
  <c r="AG13" i="35"/>
  <c r="AH13" i="35" s="1"/>
  <c r="AA13" i="35" s="1"/>
  <c r="BA14" i="41" s="1"/>
  <c r="AG25" i="13"/>
  <c r="AG21" i="12"/>
  <c r="AG30" i="13"/>
  <c r="AG38" i="13"/>
  <c r="AI32" i="15"/>
  <c r="AI15" i="15"/>
  <c r="AG25" i="11"/>
  <c r="AG22" i="13"/>
  <c r="AG19" i="35"/>
  <c r="AH19" i="35" s="1"/>
  <c r="AA19" i="35" s="1"/>
  <c r="BA20" i="41" s="1"/>
  <c r="AG10" i="11"/>
  <c r="AG27" i="35"/>
  <c r="AH27" i="35" s="1"/>
  <c r="AA27" i="35" s="1"/>
  <c r="BA28" i="41" s="1"/>
  <c r="AG8" i="35"/>
  <c r="AH8" i="35" s="1"/>
  <c r="AA8" i="35" s="1"/>
  <c r="BA9" i="41" s="1"/>
  <c r="AG35" i="13"/>
  <c r="AG41" i="13"/>
  <c r="AG41" i="35"/>
  <c r="AH41" i="35" s="1"/>
  <c r="AA41" i="35" s="1"/>
  <c r="BA42" i="41" s="1"/>
  <c r="AG9" i="12"/>
  <c r="AI20" i="15"/>
  <c r="AG34" i="11"/>
  <c r="AG41" i="12"/>
  <c r="AG16" i="34"/>
  <c r="AI31" i="15"/>
  <c r="AG26" i="12"/>
  <c r="AG38" i="11"/>
  <c r="AI7" i="15"/>
  <c r="AI36" i="15"/>
  <c r="AG15" i="12"/>
  <c r="AG9" i="35"/>
  <c r="AH9" i="35" s="1"/>
  <c r="AA9" i="35" s="1"/>
  <c r="BA10" i="41" s="1"/>
  <c r="AG13" i="12"/>
  <c r="AI26" i="15"/>
  <c r="AI25" i="15"/>
  <c r="AG12" i="11"/>
  <c r="AG17" i="35"/>
  <c r="AH17" i="35" s="1"/>
  <c r="AA17" i="35" s="1"/>
  <c r="BA18" i="41" s="1"/>
  <c r="AI21" i="15"/>
  <c r="AG22" i="35"/>
  <c r="AH22" i="35" s="1"/>
  <c r="AA22" i="35" s="1"/>
  <c r="BA23" i="41" s="1"/>
  <c r="AI17" i="15"/>
  <c r="AG29" i="35"/>
  <c r="AH29" i="35" s="1"/>
  <c r="AA29" i="35" s="1"/>
  <c r="BA30" i="41" s="1"/>
  <c r="AI24" i="15"/>
  <c r="AI16" i="15"/>
  <c r="AG18" i="35"/>
  <c r="AH18" i="35" s="1"/>
  <c r="AA18" i="35" s="1"/>
  <c r="BA19" i="41" s="1"/>
  <c r="AI34" i="15"/>
  <c r="AG35" i="12"/>
  <c r="AG28" i="34"/>
  <c r="AG30" i="7"/>
  <c r="AG22" i="12"/>
  <c r="AG34" i="12"/>
  <c r="AG8" i="12"/>
  <c r="AG32" i="35"/>
  <c r="AH32" i="35" s="1"/>
  <c r="AA32" i="35" s="1"/>
  <c r="BA33" i="41" s="1"/>
  <c r="AG38" i="12"/>
  <c r="AG15" i="35"/>
  <c r="AH15" i="35" s="1"/>
  <c r="AA15" i="35" s="1"/>
  <c r="BA16" i="41" s="1"/>
  <c r="AG36" i="35"/>
  <c r="AH36" i="35" s="1"/>
  <c r="AA36" i="35" s="1"/>
  <c r="BA37" i="41" s="1"/>
  <c r="AG26" i="35"/>
  <c r="AH26" i="35" s="1"/>
  <c r="AA26" i="35" s="1"/>
  <c r="BA27" i="41" s="1"/>
  <c r="CU16" i="16"/>
  <c r="CV16" i="16" s="1"/>
  <c r="CO16" i="16" s="1"/>
  <c r="AO16" i="41" s="1"/>
  <c r="CU40" i="16"/>
  <c r="CV40" i="16" s="1"/>
  <c r="CO40" i="16" s="1"/>
  <c r="AO40" i="41" s="1"/>
  <c r="CU25" i="16"/>
  <c r="CV25" i="16" s="1"/>
  <c r="CO25" i="16" s="1"/>
  <c r="AO25" i="41" s="1"/>
  <c r="AK39" i="23"/>
  <c r="AL39" i="23" s="1"/>
  <c r="AE39" i="23" s="1"/>
  <c r="BS40" i="41" s="1"/>
  <c r="AK36" i="23"/>
  <c r="AL36" i="23" s="1"/>
  <c r="AE36" i="23" s="1"/>
  <c r="BS37" i="41" s="1"/>
  <c r="AG35" i="21"/>
  <c r="AH35" i="21" s="1"/>
  <c r="AA35" i="21" s="1"/>
  <c r="BM36" i="41" s="1"/>
  <c r="AG33" i="36"/>
  <c r="AH33" i="36" s="1"/>
  <c r="AA33" i="36" s="1"/>
  <c r="BD34" i="41" s="1"/>
  <c r="AG36" i="27"/>
  <c r="AH36" i="27" s="1"/>
  <c r="AA36" i="27" s="1"/>
  <c r="BJ37" i="41" s="1"/>
  <c r="AG24" i="27"/>
  <c r="AH24" i="27" s="1"/>
  <c r="AA24" i="27" s="1"/>
  <c r="BJ25" i="41" s="1"/>
  <c r="AG27" i="27"/>
  <c r="AH27" i="27" s="1"/>
  <c r="AA27" i="27" s="1"/>
  <c r="BJ28" i="41" s="1"/>
  <c r="AK22" i="23"/>
  <c r="AL22" i="23" s="1"/>
  <c r="AE22" i="23" s="1"/>
  <c r="BS23" i="41" s="1"/>
  <c r="AK23" i="23"/>
  <c r="AL23" i="23" s="1"/>
  <c r="AE23" i="23" s="1"/>
  <c r="BS24" i="41" s="1"/>
  <c r="AK17" i="23"/>
  <c r="AL17" i="23" s="1"/>
  <c r="AE17" i="23" s="1"/>
  <c r="BS18" i="41" s="1"/>
  <c r="AK27" i="23"/>
  <c r="AL27" i="23" s="1"/>
  <c r="AE27" i="23" s="1"/>
  <c r="BS28" i="41" s="1"/>
  <c r="AK13" i="23"/>
  <c r="AL13" i="23" s="1"/>
  <c r="AE13" i="23" s="1"/>
  <c r="BS14" i="41" s="1"/>
  <c r="AK30" i="23"/>
  <c r="AL30" i="23" s="1"/>
  <c r="AE30" i="23" s="1"/>
  <c r="BS31" i="41" s="1"/>
  <c r="AK6" i="23"/>
  <c r="AL6" i="23" s="1"/>
  <c r="AE6" i="23" s="1"/>
  <c r="BS7" i="41" s="1"/>
  <c r="AK15" i="23"/>
  <c r="AL15" i="23" s="1"/>
  <c r="AE15" i="23" s="1"/>
  <c r="BS16" i="41" s="1"/>
  <c r="AK18" i="23"/>
  <c r="AL18" i="23" s="1"/>
  <c r="AE18" i="23" s="1"/>
  <c r="BS19" i="41" s="1"/>
  <c r="AK34" i="23"/>
  <c r="AL34" i="23" s="1"/>
  <c r="AE34" i="23" s="1"/>
  <c r="BS35" i="41" s="1"/>
  <c r="AK5" i="23"/>
  <c r="AL5" i="23" s="1"/>
  <c r="AE5" i="23" s="1"/>
  <c r="BS6" i="41" s="1"/>
  <c r="AK29" i="23"/>
  <c r="AL29" i="23" s="1"/>
  <c r="AE29" i="23" s="1"/>
  <c r="BS30" i="41" s="1"/>
  <c r="AK28" i="23"/>
  <c r="AL28" i="23" s="1"/>
  <c r="AE28" i="23" s="1"/>
  <c r="BS29" i="41" s="1"/>
  <c r="AK37" i="23"/>
  <c r="AL37" i="23" s="1"/>
  <c r="AE37" i="23" s="1"/>
  <c r="BS38" i="41" s="1"/>
  <c r="AK31" i="23"/>
  <c r="AL31" i="23" s="1"/>
  <c r="AE31" i="23" s="1"/>
  <c r="BS32" i="41" s="1"/>
  <c r="AK41" i="23"/>
  <c r="AL41" i="23" s="1"/>
  <c r="AE41" i="23" s="1"/>
  <c r="BS42" i="41" s="1"/>
  <c r="AG26" i="22"/>
  <c r="AH26" i="22" s="1"/>
  <c r="AA26" i="22" s="1"/>
  <c r="BP27" i="41" s="1"/>
  <c r="AG41" i="22"/>
  <c r="AH41" i="22" s="1"/>
  <c r="AA41" i="22" s="1"/>
  <c r="BP42" i="41" s="1"/>
  <c r="AG16" i="22"/>
  <c r="AH16" i="22" s="1"/>
  <c r="AA16" i="22" s="1"/>
  <c r="BP17" i="41" s="1"/>
  <c r="AG8" i="22"/>
  <c r="AH8" i="22" s="1"/>
  <c r="AA8" i="22" s="1"/>
  <c r="BP9" i="41" s="1"/>
  <c r="AG32" i="22"/>
  <c r="AH32" i="22" s="1"/>
  <c r="AA32" i="22" s="1"/>
  <c r="BP33" i="41" s="1"/>
  <c r="AG22" i="22"/>
  <c r="AH22" i="22" s="1"/>
  <c r="AA22" i="22" s="1"/>
  <c r="BP23" i="41" s="1"/>
  <c r="AG36" i="22"/>
  <c r="AH36" i="22" s="1"/>
  <c r="AA36" i="22" s="1"/>
  <c r="BP37" i="41" s="1"/>
  <c r="AG11" i="22"/>
  <c r="AH11" i="22" s="1"/>
  <c r="AA11" i="22" s="1"/>
  <c r="BP12" i="41" s="1"/>
  <c r="AG6" i="22"/>
  <c r="AH6" i="22" s="1"/>
  <c r="AA6" i="22" s="1"/>
  <c r="BP7" i="41" s="1"/>
  <c r="AG31" i="22"/>
  <c r="AH31" i="22" s="1"/>
  <c r="AA31" i="22" s="1"/>
  <c r="BP32" i="41" s="1"/>
  <c r="AG18" i="22"/>
  <c r="AH18" i="22" s="1"/>
  <c r="AA18" i="22" s="1"/>
  <c r="BP19" i="41" s="1"/>
  <c r="AG34" i="22"/>
  <c r="AH34" i="22" s="1"/>
  <c r="AA34" i="22" s="1"/>
  <c r="BP35" i="41" s="1"/>
  <c r="AG29" i="22"/>
  <c r="AH29" i="22" s="1"/>
  <c r="AA29" i="22" s="1"/>
  <c r="BP30" i="41" s="1"/>
  <c r="AG12" i="21"/>
  <c r="AH12" i="21" s="1"/>
  <c r="AA12" i="21" s="1"/>
  <c r="BM13" i="41" s="1"/>
  <c r="AG13" i="21"/>
  <c r="AH13" i="21" s="1"/>
  <c r="AA13" i="21" s="1"/>
  <c r="BM14" i="41" s="1"/>
  <c r="AG10" i="21"/>
  <c r="AH10" i="21" s="1"/>
  <c r="AA10" i="21" s="1"/>
  <c r="BM11" i="41" s="1"/>
  <c r="AG18" i="21"/>
  <c r="AH18" i="21" s="1"/>
  <c r="AA18" i="21" s="1"/>
  <c r="BM19" i="41" s="1"/>
  <c r="AG26" i="21"/>
  <c r="AH26" i="21" s="1"/>
  <c r="AA26" i="21" s="1"/>
  <c r="BM27" i="41" s="1"/>
  <c r="AG22" i="21"/>
  <c r="AH22" i="21" s="1"/>
  <c r="AA22" i="21" s="1"/>
  <c r="BM23" i="41" s="1"/>
  <c r="AG20" i="21"/>
  <c r="AH20" i="21" s="1"/>
  <c r="AA20" i="21" s="1"/>
  <c r="BM21" i="41" s="1"/>
  <c r="AG28" i="21"/>
  <c r="AH28" i="21" s="1"/>
  <c r="AA28" i="21" s="1"/>
  <c r="BM29" i="41" s="1"/>
  <c r="AG34" i="21"/>
  <c r="AH34" i="21" s="1"/>
  <c r="AA34" i="21" s="1"/>
  <c r="BM35" i="41" s="1"/>
  <c r="AG15" i="21"/>
  <c r="AH15" i="21" s="1"/>
  <c r="AA15" i="21" s="1"/>
  <c r="BM16" i="41" s="1"/>
  <c r="AG27" i="21"/>
  <c r="AH27" i="21" s="1"/>
  <c r="AA27" i="21" s="1"/>
  <c r="BM28" i="41" s="1"/>
  <c r="AG35" i="27"/>
  <c r="AH35" i="27" s="1"/>
  <c r="AA35" i="27" s="1"/>
  <c r="BJ36" i="41" s="1"/>
  <c r="AG38" i="27"/>
  <c r="AH38" i="27" s="1"/>
  <c r="AA38" i="27" s="1"/>
  <c r="BJ39" i="41" s="1"/>
  <c r="AG20" i="27"/>
  <c r="AH20" i="27" s="1"/>
  <c r="AA20" i="27" s="1"/>
  <c r="BJ21" i="41" s="1"/>
  <c r="AG37" i="27"/>
  <c r="AH37" i="27" s="1"/>
  <c r="AA37" i="27" s="1"/>
  <c r="BJ38" i="41" s="1"/>
  <c r="AG25" i="27"/>
  <c r="AH25" i="27" s="1"/>
  <c r="AA25" i="27" s="1"/>
  <c r="BJ26" i="41" s="1"/>
  <c r="AG13" i="27"/>
  <c r="AH13" i="27" s="1"/>
  <c r="AA13" i="27" s="1"/>
  <c r="BJ14" i="41" s="1"/>
  <c r="AG16" i="27"/>
  <c r="AH16" i="27" s="1"/>
  <c r="AA16" i="27" s="1"/>
  <c r="BJ17" i="41" s="1"/>
  <c r="AG33" i="27"/>
  <c r="AH33" i="27" s="1"/>
  <c r="AA33" i="27" s="1"/>
  <c r="BJ34" i="41" s="1"/>
  <c r="AG34" i="27"/>
  <c r="AH34" i="27" s="1"/>
  <c r="AA34" i="27" s="1"/>
  <c r="BJ35" i="41" s="1"/>
  <c r="AG26" i="27"/>
  <c r="AH26" i="27" s="1"/>
  <c r="AA26" i="27" s="1"/>
  <c r="BJ27" i="41" s="1"/>
  <c r="AG40" i="27"/>
  <c r="AH40" i="27" s="1"/>
  <c r="AA40" i="27" s="1"/>
  <c r="BJ41" i="41" s="1"/>
  <c r="AG11" i="27"/>
  <c r="AH11" i="27" s="1"/>
  <c r="AA11" i="27" s="1"/>
  <c r="BJ12" i="41" s="1"/>
  <c r="AG23" i="27"/>
  <c r="AH23" i="27" s="1"/>
  <c r="AA23" i="27" s="1"/>
  <c r="BJ24" i="41" s="1"/>
  <c r="AG29" i="27"/>
  <c r="AH29" i="27" s="1"/>
  <c r="AA29" i="27" s="1"/>
  <c r="BJ30" i="41" s="1"/>
  <c r="AG31" i="27"/>
  <c r="AH31" i="27" s="1"/>
  <c r="AA31" i="27" s="1"/>
  <c r="BJ32" i="41" s="1"/>
  <c r="AG12" i="27"/>
  <c r="AH12" i="27" s="1"/>
  <c r="AA12" i="27" s="1"/>
  <c r="BJ13" i="41" s="1"/>
  <c r="AG19" i="27"/>
  <c r="AH19" i="27" s="1"/>
  <c r="AA19" i="27" s="1"/>
  <c r="BJ20" i="41" s="1"/>
  <c r="AG7" i="27"/>
  <c r="AH7" i="27" s="1"/>
  <c r="AA7" i="27" s="1"/>
  <c r="BJ8" i="41" s="1"/>
  <c r="AG15" i="27"/>
  <c r="AH15" i="27" s="1"/>
  <c r="AA15" i="27" s="1"/>
  <c r="BJ16" i="41" s="1"/>
  <c r="AG9" i="27"/>
  <c r="AH9" i="27" s="1"/>
  <c r="AA9" i="27" s="1"/>
  <c r="BJ10" i="41" s="1"/>
  <c r="AG22" i="27"/>
  <c r="AH22" i="27" s="1"/>
  <c r="AA22" i="27" s="1"/>
  <c r="BJ23" i="41" s="1"/>
  <c r="AG10" i="27"/>
  <c r="AH10" i="27" s="1"/>
  <c r="AA10" i="27" s="1"/>
  <c r="BJ11" i="41" s="1"/>
  <c r="AG28" i="27"/>
  <c r="AH28" i="27" s="1"/>
  <c r="AA28" i="27" s="1"/>
  <c r="BJ29" i="41" s="1"/>
  <c r="AG39" i="27"/>
  <c r="AH39" i="27" s="1"/>
  <c r="AA39" i="27" s="1"/>
  <c r="BJ40" i="41" s="1"/>
  <c r="AG18" i="27"/>
  <c r="AH18" i="27" s="1"/>
  <c r="AA18" i="27" s="1"/>
  <c r="BJ19" i="41" s="1"/>
  <c r="AG17" i="27"/>
  <c r="AH17" i="27" s="1"/>
  <c r="AA17" i="27" s="1"/>
  <c r="BJ18" i="41" s="1"/>
  <c r="AG41" i="27"/>
  <c r="AH41" i="27" s="1"/>
  <c r="AA41" i="27" s="1"/>
  <c r="BJ42" i="41" s="1"/>
  <c r="AG30" i="27"/>
  <c r="AH30" i="27" s="1"/>
  <c r="AA30" i="27" s="1"/>
  <c r="BJ31" i="41" s="1"/>
  <c r="AG8" i="27"/>
  <c r="AH8" i="27" s="1"/>
  <c r="AA8" i="27" s="1"/>
  <c r="BJ9" i="41" s="1"/>
  <c r="AG21" i="27"/>
  <c r="AH21" i="27" s="1"/>
  <c r="AA21" i="27" s="1"/>
  <c r="BJ22" i="41" s="1"/>
  <c r="AG32" i="27"/>
  <c r="AH32" i="27" s="1"/>
  <c r="AA32" i="27" s="1"/>
  <c r="BJ33" i="41" s="1"/>
  <c r="AG20" i="20"/>
  <c r="AH20" i="20" s="1"/>
  <c r="AA20" i="20" s="1"/>
  <c r="BG21" i="41" s="1"/>
  <c r="AG9" i="20"/>
  <c r="AH9" i="20" s="1"/>
  <c r="AA9" i="20" s="1"/>
  <c r="BG10" i="41" s="1"/>
  <c r="AG10" i="20"/>
  <c r="AH10" i="20" s="1"/>
  <c r="AA10" i="20" s="1"/>
  <c r="BG11" i="41" s="1"/>
  <c r="AG8" i="20"/>
  <c r="AH8" i="20" s="1"/>
  <c r="AA8" i="20" s="1"/>
  <c r="BG9" i="41" s="1"/>
  <c r="AG19" i="20"/>
  <c r="AH19" i="20" s="1"/>
  <c r="AA19" i="20" s="1"/>
  <c r="BG20" i="41" s="1"/>
  <c r="AG28" i="20"/>
  <c r="AH28" i="20" s="1"/>
  <c r="AA28" i="20" s="1"/>
  <c r="BG29" i="41" s="1"/>
  <c r="AG24" i="20"/>
  <c r="AH24" i="20" s="1"/>
  <c r="AA24" i="20" s="1"/>
  <c r="BG25" i="41" s="1"/>
  <c r="AG21" i="20"/>
  <c r="AH21" i="20" s="1"/>
  <c r="AA21" i="20" s="1"/>
  <c r="BG22" i="41" s="1"/>
  <c r="AG40" i="20"/>
  <c r="AH40" i="20" s="1"/>
  <c r="AA40" i="20" s="1"/>
  <c r="BG41" i="41" s="1"/>
  <c r="AG33" i="20"/>
  <c r="AH33" i="20" s="1"/>
  <c r="AA33" i="20" s="1"/>
  <c r="BG34" i="41" s="1"/>
  <c r="AG11" i="20"/>
  <c r="AH11" i="20" s="1"/>
  <c r="AA11" i="20" s="1"/>
  <c r="BG12" i="41" s="1"/>
  <c r="AG26" i="20"/>
  <c r="AH26" i="20" s="1"/>
  <c r="AA26" i="20" s="1"/>
  <c r="BG27" i="41" s="1"/>
  <c r="AG31" i="20"/>
  <c r="AH31" i="20" s="1"/>
  <c r="AA31" i="20" s="1"/>
  <c r="BG32" i="41" s="1"/>
  <c r="AG23" i="36"/>
  <c r="AH23" i="36" s="1"/>
  <c r="AA23" i="36" s="1"/>
  <c r="BD24" i="41" s="1"/>
  <c r="AG13" i="36"/>
  <c r="AH13" i="36" s="1"/>
  <c r="AA13" i="36" s="1"/>
  <c r="BD14" i="41" s="1"/>
  <c r="AG41" i="36"/>
  <c r="AH41" i="36" s="1"/>
  <c r="AA41" i="36" s="1"/>
  <c r="BD42" i="41" s="1"/>
  <c r="AG27" i="36"/>
  <c r="AH27" i="36" s="1"/>
  <c r="AA27" i="36" s="1"/>
  <c r="BD28" i="41" s="1"/>
  <c r="AG19" i="36"/>
  <c r="AH19" i="36" s="1"/>
  <c r="AA19" i="36" s="1"/>
  <c r="BD20" i="41" s="1"/>
  <c r="AG34" i="36"/>
  <c r="AH34" i="36" s="1"/>
  <c r="AA34" i="36" s="1"/>
  <c r="BD35" i="41" s="1"/>
  <c r="AG11" i="36"/>
  <c r="AH11" i="36" s="1"/>
  <c r="AA11" i="36" s="1"/>
  <c r="BD12" i="41" s="1"/>
  <c r="AG16" i="36"/>
  <c r="AH16" i="36" s="1"/>
  <c r="AA16" i="36" s="1"/>
  <c r="BD17" i="41" s="1"/>
  <c r="AG28" i="36"/>
  <c r="AH28" i="36" s="1"/>
  <c r="AA28" i="36" s="1"/>
  <c r="BD29" i="41" s="1"/>
  <c r="AG35" i="36"/>
  <c r="AH35" i="36" s="1"/>
  <c r="AA35" i="36" s="1"/>
  <c r="BD36" i="41" s="1"/>
  <c r="AG17" i="36"/>
  <c r="AH17" i="36" s="1"/>
  <c r="AA17" i="36" s="1"/>
  <c r="BD18" i="41" s="1"/>
  <c r="AG20" i="36"/>
  <c r="AH20" i="36" s="1"/>
  <c r="AA20" i="36" s="1"/>
  <c r="BD21" i="41" s="1"/>
  <c r="AG18" i="36"/>
  <c r="AH18" i="36" s="1"/>
  <c r="AA18" i="36" s="1"/>
  <c r="BD19" i="41" s="1"/>
  <c r="AG22" i="36"/>
  <c r="AH22" i="36" s="1"/>
  <c r="AA22" i="36" s="1"/>
  <c r="BD23" i="41" s="1"/>
  <c r="AG38" i="36"/>
  <c r="AH38" i="36" s="1"/>
  <c r="AA38" i="36" s="1"/>
  <c r="BD39" i="41" s="1"/>
  <c r="AG31" i="36"/>
  <c r="AH31" i="36" s="1"/>
  <c r="AA31" i="36" s="1"/>
  <c r="BD32" i="41" s="1"/>
  <c r="AG39" i="36"/>
  <c r="AH39" i="36" s="1"/>
  <c r="AA39" i="36" s="1"/>
  <c r="BD40" i="41" s="1"/>
  <c r="AG10" i="36"/>
  <c r="AH10" i="36" s="1"/>
  <c r="AA10" i="36" s="1"/>
  <c r="BD11" i="41" s="1"/>
  <c r="AG8" i="36"/>
  <c r="AH8" i="36" s="1"/>
  <c r="AA8" i="36" s="1"/>
  <c r="BD9" i="41" s="1"/>
  <c r="AG9" i="36"/>
  <c r="AH9" i="36" s="1"/>
  <c r="AA9" i="36" s="1"/>
  <c r="BD10" i="41" s="1"/>
  <c r="AG24" i="35"/>
  <c r="AH24" i="35" s="1"/>
  <c r="AA24" i="35" s="1"/>
  <c r="BA25" i="41" s="1"/>
  <c r="AG34" i="35"/>
  <c r="AH34" i="35" s="1"/>
  <c r="AA34" i="35" s="1"/>
  <c r="BA35" i="41" s="1"/>
  <c r="AG33" i="35"/>
  <c r="AH33" i="35" s="1"/>
  <c r="AA33" i="35" s="1"/>
  <c r="BA34" i="41" s="1"/>
  <c r="AG20" i="35"/>
  <c r="AH20" i="35" s="1"/>
  <c r="AA20" i="35" s="1"/>
  <c r="BA21" i="41" s="1"/>
  <c r="AG16" i="35"/>
  <c r="AH16" i="35" s="1"/>
  <c r="AA16" i="35" s="1"/>
  <c r="BA17" i="41" s="1"/>
  <c r="AG28" i="35"/>
  <c r="AH28" i="35" s="1"/>
  <c r="AA28" i="35" s="1"/>
  <c r="BA29" i="41" s="1"/>
  <c r="AG31" i="35"/>
  <c r="AH31" i="35" s="1"/>
  <c r="AA31" i="35" s="1"/>
  <c r="BA32" i="41" s="1"/>
  <c r="AG21" i="35"/>
  <c r="AH21" i="35" s="1"/>
  <c r="AA21" i="35" s="1"/>
  <c r="BA22" i="41" s="1"/>
  <c r="AG40" i="35"/>
  <c r="AH40" i="35" s="1"/>
  <c r="AA40" i="35" s="1"/>
  <c r="BA41" i="41" s="1"/>
  <c r="AG37" i="35"/>
  <c r="AH37" i="35" s="1"/>
  <c r="AA37" i="35" s="1"/>
  <c r="BA38" i="41" s="1"/>
  <c r="AG10" i="35"/>
  <c r="AH10" i="35" s="1"/>
  <c r="AA10" i="35" s="1"/>
  <c r="BA11" i="41" s="1"/>
  <c r="AG12" i="35"/>
  <c r="AH12" i="35" s="1"/>
  <c r="AA12" i="35" s="1"/>
  <c r="BA13" i="41" s="1"/>
  <c r="AG11" i="35"/>
  <c r="AH11" i="35" s="1"/>
  <c r="AA11" i="35" s="1"/>
  <c r="BA12" i="41" s="1"/>
  <c r="AG39" i="35"/>
  <c r="AH39" i="35" s="1"/>
  <c r="AA39" i="35" s="1"/>
  <c r="BA40" i="41" s="1"/>
  <c r="AG23" i="35"/>
  <c r="AH23" i="35" s="1"/>
  <c r="AA23" i="35" s="1"/>
  <c r="BA24" i="41" s="1"/>
  <c r="AG22" i="19"/>
  <c r="AH22" i="19" s="1"/>
  <c r="AA22" i="19" s="1"/>
  <c r="AX23" i="41" s="1"/>
  <c r="AG8" i="19"/>
  <c r="AH8" i="19" s="1"/>
  <c r="AA8" i="19" s="1"/>
  <c r="AX9" i="41" s="1"/>
  <c r="AG27" i="19"/>
  <c r="AH27" i="19" s="1"/>
  <c r="AA27" i="19" s="1"/>
  <c r="AX28" i="41" s="1"/>
  <c r="AG9" i="19"/>
  <c r="AH9" i="19" s="1"/>
  <c r="AA9" i="19" s="1"/>
  <c r="AX10" i="41" s="1"/>
  <c r="AG39" i="19"/>
  <c r="AH39" i="19" s="1"/>
  <c r="AA39" i="19" s="1"/>
  <c r="AX40" i="41" s="1"/>
  <c r="AG32" i="19"/>
  <c r="AH32" i="19" s="1"/>
  <c r="AA32" i="19" s="1"/>
  <c r="AX33" i="41" s="1"/>
  <c r="AG20" i="19"/>
  <c r="AH20" i="19" s="1"/>
  <c r="AA20" i="19" s="1"/>
  <c r="AX21" i="41" s="1"/>
  <c r="AG34" i="19"/>
  <c r="AH34" i="19" s="1"/>
  <c r="AA34" i="19" s="1"/>
  <c r="AX35" i="41" s="1"/>
  <c r="AG19" i="19"/>
  <c r="AH19" i="19" s="1"/>
  <c r="AA19" i="19" s="1"/>
  <c r="AX20" i="41" s="1"/>
  <c r="AG21" i="19"/>
  <c r="AH21" i="19" s="1"/>
  <c r="AA21" i="19" s="1"/>
  <c r="AX22" i="41" s="1"/>
  <c r="AG18" i="19"/>
  <c r="AH18" i="19" s="1"/>
  <c r="AA18" i="19" s="1"/>
  <c r="AX19" i="41" s="1"/>
  <c r="AG40" i="19"/>
  <c r="AH40" i="19" s="1"/>
  <c r="AA40" i="19" s="1"/>
  <c r="AX41" i="41" s="1"/>
  <c r="AG29" i="19"/>
  <c r="AH29" i="19" s="1"/>
  <c r="AA29" i="19" s="1"/>
  <c r="AX30" i="41" s="1"/>
  <c r="AG12" i="19"/>
  <c r="AH12" i="19" s="1"/>
  <c r="AA12" i="19" s="1"/>
  <c r="AX13" i="41" s="1"/>
  <c r="AG15" i="19"/>
  <c r="AH15" i="19" s="1"/>
  <c r="AA15" i="19" s="1"/>
  <c r="AX16" i="41" s="1"/>
  <c r="AG35" i="19"/>
  <c r="AH35" i="19" s="1"/>
  <c r="AA35" i="19" s="1"/>
  <c r="AX36" i="41" s="1"/>
  <c r="AG11" i="19"/>
  <c r="AH11" i="19" s="1"/>
  <c r="AA11" i="19" s="1"/>
  <c r="AX12" i="41" s="1"/>
  <c r="AG25" i="19"/>
  <c r="AH25" i="19" s="1"/>
  <c r="AA25" i="19" s="1"/>
  <c r="AX26" i="41" s="1"/>
  <c r="AG23" i="19"/>
  <c r="AH23" i="19" s="1"/>
  <c r="AA23" i="19" s="1"/>
  <c r="AX24" i="41" s="1"/>
  <c r="AG15" i="18"/>
  <c r="AH15" i="18" s="1"/>
  <c r="AA15" i="18" s="1"/>
  <c r="AU16" i="41" s="1"/>
  <c r="AG33" i="18"/>
  <c r="AH33" i="18" s="1"/>
  <c r="AA33" i="18" s="1"/>
  <c r="AU34" i="41" s="1"/>
  <c r="AG17" i="18"/>
  <c r="AH17" i="18" s="1"/>
  <c r="AA17" i="18" s="1"/>
  <c r="AU18" i="41" s="1"/>
  <c r="AG18" i="18"/>
  <c r="AH18" i="18" s="1"/>
  <c r="AA18" i="18" s="1"/>
  <c r="AU19" i="41" s="1"/>
  <c r="AG21" i="18"/>
  <c r="AH21" i="18" s="1"/>
  <c r="AA21" i="18" s="1"/>
  <c r="AU22" i="41" s="1"/>
  <c r="AG39" i="18"/>
  <c r="AH39" i="18" s="1"/>
  <c r="AA39" i="18" s="1"/>
  <c r="AU40" i="41" s="1"/>
  <c r="AG31" i="18"/>
  <c r="AH31" i="18" s="1"/>
  <c r="AA31" i="18" s="1"/>
  <c r="AU32" i="41" s="1"/>
  <c r="AG22" i="18"/>
  <c r="AH22" i="18" s="1"/>
  <c r="AA22" i="18" s="1"/>
  <c r="AU23" i="41" s="1"/>
  <c r="AG24" i="18"/>
  <c r="AH24" i="18" s="1"/>
  <c r="AA24" i="18" s="1"/>
  <c r="AU25" i="41" s="1"/>
  <c r="AG7" i="18"/>
  <c r="AH7" i="18" s="1"/>
  <c r="AA7" i="18" s="1"/>
  <c r="AU8" i="41" s="1"/>
  <c r="AG32" i="18"/>
  <c r="AH32" i="18" s="1"/>
  <c r="AA32" i="18" s="1"/>
  <c r="AU33" i="41" s="1"/>
  <c r="AG30" i="18"/>
  <c r="AH30" i="18" s="1"/>
  <c r="AA30" i="18" s="1"/>
  <c r="AU31" i="41" s="1"/>
  <c r="AG9" i="18"/>
  <c r="AH9" i="18" s="1"/>
  <c r="AA9" i="18" s="1"/>
  <c r="AU10" i="41" s="1"/>
  <c r="AG23" i="18"/>
  <c r="AH23" i="18" s="1"/>
  <c r="AA23" i="18" s="1"/>
  <c r="AU24" i="41" s="1"/>
  <c r="AG12" i="18"/>
  <c r="AH12" i="18" s="1"/>
  <c r="AA12" i="18" s="1"/>
  <c r="AU13" i="41" s="1"/>
  <c r="AG17" i="17"/>
  <c r="AH17" i="17" s="1"/>
  <c r="AA17" i="17" s="1"/>
  <c r="AR18" i="41" s="1"/>
  <c r="AG24" i="17"/>
  <c r="AH24" i="17" s="1"/>
  <c r="AA24" i="17" s="1"/>
  <c r="AR25" i="41" s="1"/>
  <c r="AG32" i="17"/>
  <c r="AH32" i="17" s="1"/>
  <c r="AA32" i="17" s="1"/>
  <c r="AR33" i="41" s="1"/>
  <c r="AG39" i="17"/>
  <c r="AH39" i="17" s="1"/>
  <c r="AA39" i="17" s="1"/>
  <c r="AR40" i="41" s="1"/>
  <c r="AG34" i="17"/>
  <c r="AH34" i="17" s="1"/>
  <c r="AA34" i="17" s="1"/>
  <c r="AR35" i="41" s="1"/>
  <c r="AG26" i="17"/>
  <c r="AH26" i="17" s="1"/>
  <c r="AA26" i="17" s="1"/>
  <c r="AR27" i="41" s="1"/>
  <c r="AG27" i="17"/>
  <c r="AH27" i="17" s="1"/>
  <c r="AA27" i="17" s="1"/>
  <c r="AR28" i="41" s="1"/>
  <c r="AG12" i="17"/>
  <c r="AH12" i="17" s="1"/>
  <c r="AA12" i="17" s="1"/>
  <c r="AR13" i="41" s="1"/>
  <c r="AG40" i="17"/>
  <c r="AH40" i="17" s="1"/>
  <c r="AA40" i="17" s="1"/>
  <c r="AR41" i="41" s="1"/>
  <c r="AG18" i="17"/>
  <c r="AH18" i="17" s="1"/>
  <c r="AA18" i="17" s="1"/>
  <c r="AR19" i="41" s="1"/>
  <c r="AG21" i="17"/>
  <c r="AH21" i="17" s="1"/>
  <c r="AA21" i="17" s="1"/>
  <c r="AR22" i="41" s="1"/>
  <c r="AG7" i="17"/>
  <c r="AH7" i="17" s="1"/>
  <c r="AA7" i="17" s="1"/>
  <c r="AR8" i="41" s="1"/>
  <c r="AG29" i="17"/>
  <c r="AH29" i="17" s="1"/>
  <c r="AA29" i="17" s="1"/>
  <c r="AR30" i="41" s="1"/>
  <c r="AG15" i="17"/>
  <c r="AH15" i="17" s="1"/>
  <c r="AA15" i="17" s="1"/>
  <c r="AR16" i="41" s="1"/>
  <c r="AG10" i="17"/>
  <c r="AH10" i="17" s="1"/>
  <c r="AA10" i="17" s="1"/>
  <c r="AR11" i="41" s="1"/>
  <c r="AG11" i="17"/>
  <c r="AH11" i="17" s="1"/>
  <c r="AA11" i="17" s="1"/>
  <c r="AR12" i="41" s="1"/>
  <c r="AG9" i="17"/>
  <c r="AH9" i="17" s="1"/>
  <c r="AA9" i="17" s="1"/>
  <c r="AR10" i="41" s="1"/>
  <c r="AG16" i="17"/>
  <c r="AH16" i="17" s="1"/>
  <c r="AA16" i="17" s="1"/>
  <c r="AR17" i="41" s="1"/>
  <c r="AG35" i="17"/>
  <c r="AH35" i="17" s="1"/>
  <c r="AA35" i="17" s="1"/>
  <c r="AR36" i="41" s="1"/>
  <c r="AG36" i="17"/>
  <c r="AH36" i="17" s="1"/>
  <c r="AA36" i="17" s="1"/>
  <c r="AR37" i="41" s="1"/>
  <c r="AG23" i="17"/>
  <c r="AH23" i="17" s="1"/>
  <c r="AA23" i="17" s="1"/>
  <c r="AR24" i="41" s="1"/>
  <c r="CU14" i="16"/>
  <c r="CV14" i="16" s="1"/>
  <c r="CO14" i="16" s="1"/>
  <c r="AO14" i="41" s="1"/>
  <c r="CU22" i="16"/>
  <c r="CV22" i="16" s="1"/>
  <c r="CO22" i="16" s="1"/>
  <c r="AO22" i="41" s="1"/>
  <c r="CU30" i="16"/>
  <c r="CV30" i="16" s="1"/>
  <c r="CO30" i="16" s="1"/>
  <c r="AO30" i="41" s="1"/>
  <c r="CU31" i="16"/>
  <c r="CV31" i="16" s="1"/>
  <c r="CO31" i="16" s="1"/>
  <c r="AO31" i="41" s="1"/>
  <c r="CU39" i="16"/>
  <c r="CV39" i="16" s="1"/>
  <c r="CO39" i="16" s="1"/>
  <c r="AO39" i="41" s="1"/>
  <c r="CU24" i="16"/>
  <c r="CV24" i="16" s="1"/>
  <c r="CO24" i="16" s="1"/>
  <c r="AO24" i="41" s="1"/>
  <c r="CU33" i="16"/>
  <c r="CV33" i="16" s="1"/>
  <c r="CO33" i="16" s="1"/>
  <c r="AO33" i="41" s="1"/>
  <c r="CU12" i="16"/>
  <c r="CV12" i="16" s="1"/>
  <c r="CO12" i="16" s="1"/>
  <c r="AO12" i="41" s="1"/>
  <c r="CU20" i="16"/>
  <c r="CV20" i="16" s="1"/>
  <c r="CO20" i="16" s="1"/>
  <c r="AO20" i="41" s="1"/>
  <c r="CU28" i="16"/>
  <c r="CV28" i="16" s="1"/>
  <c r="CO28" i="16" s="1"/>
  <c r="AO28" i="41" s="1"/>
  <c r="CU36" i="16"/>
  <c r="CV36" i="16" s="1"/>
  <c r="CO36" i="16" s="1"/>
  <c r="AO36" i="41" s="1"/>
  <c r="CU21" i="16"/>
  <c r="CV21" i="16" s="1"/>
  <c r="CO21" i="16" s="1"/>
  <c r="AO21" i="41" s="1"/>
  <c r="CU37" i="16"/>
  <c r="CV37" i="16" s="1"/>
  <c r="CO37" i="16" s="1"/>
  <c r="AO37" i="41" s="1"/>
  <c r="CU34" i="16"/>
  <c r="CV34" i="16" s="1"/>
  <c r="CO34" i="16" s="1"/>
  <c r="AO34" i="41" s="1"/>
  <c r="CU42" i="16"/>
  <c r="CV42" i="16" s="1"/>
  <c r="CO42" i="16" s="1"/>
  <c r="AO42" i="41" s="1"/>
  <c r="CU11" i="16"/>
  <c r="CV11" i="16" s="1"/>
  <c r="CO11" i="16" s="1"/>
  <c r="AO11" i="41" s="1"/>
  <c r="CU19" i="16"/>
  <c r="CV19" i="16" s="1"/>
  <c r="CO19" i="16" s="1"/>
  <c r="AO19" i="41" s="1"/>
  <c r="CU27" i="16"/>
  <c r="CV27" i="16" s="1"/>
  <c r="CO27" i="16" s="1"/>
  <c r="AO27" i="41" s="1"/>
  <c r="CU35" i="16"/>
  <c r="CV35" i="16" s="1"/>
  <c r="CO35" i="16" s="1"/>
  <c r="AO35" i="41" s="1"/>
  <c r="CU17" i="16"/>
  <c r="CV17" i="16" s="1"/>
  <c r="CO17" i="16" s="1"/>
  <c r="AO17" i="41" s="1"/>
  <c r="CU9" i="16"/>
  <c r="CV9" i="16" s="1"/>
  <c r="CO9" i="16" s="1"/>
  <c r="AO9" i="41" s="1"/>
  <c r="CU41" i="16"/>
  <c r="CV41" i="16" s="1"/>
  <c r="CO41" i="16" s="1"/>
  <c r="AO41" i="41" s="1"/>
  <c r="AI27" i="15"/>
  <c r="AI41" i="15"/>
  <c r="AI39" i="15"/>
  <c r="AI10" i="15"/>
  <c r="AI13" i="15"/>
  <c r="AI18" i="15"/>
  <c r="AI11" i="15"/>
  <c r="AI9" i="15"/>
  <c r="AI40" i="15"/>
  <c r="AI30" i="15"/>
  <c r="AI19" i="15"/>
  <c r="AI37" i="15"/>
  <c r="AI35" i="15"/>
  <c r="AI28" i="15"/>
  <c r="AI5" i="15"/>
  <c r="AI8" i="15"/>
  <c r="AI6" i="15"/>
  <c r="AI33" i="15"/>
  <c r="AI29" i="15"/>
  <c r="AJ17" i="14"/>
  <c r="AJ9" i="14"/>
  <c r="AJ15" i="14"/>
  <c r="AJ28" i="14"/>
  <c r="AJ29" i="14"/>
  <c r="AJ35" i="14"/>
  <c r="AJ40" i="14"/>
  <c r="AJ20" i="14"/>
  <c r="AJ11" i="14"/>
  <c r="AJ21" i="14"/>
  <c r="AJ13" i="14"/>
  <c r="AG19" i="13"/>
  <c r="AG15" i="13"/>
  <c r="AG8" i="13"/>
  <c r="AG36" i="13"/>
  <c r="AG11" i="13"/>
  <c r="AG17" i="13"/>
  <c r="AG39" i="13"/>
  <c r="AG21" i="13"/>
  <c r="AG10" i="13"/>
  <c r="AG34" i="13"/>
  <c r="AG13" i="13"/>
  <c r="AG16" i="13"/>
  <c r="AG6" i="13"/>
  <c r="AG20" i="13"/>
  <c r="AG23" i="13"/>
  <c r="AG32" i="13"/>
  <c r="AG26" i="13"/>
  <c r="AG28" i="13"/>
  <c r="AG27" i="13"/>
  <c r="AG40" i="13"/>
  <c r="AG16" i="12"/>
  <c r="AG24" i="12"/>
  <c r="AG10" i="12"/>
  <c r="AG18" i="12"/>
  <c r="AG30" i="12"/>
  <c r="AG11" i="12"/>
  <c r="AG29" i="12"/>
  <c r="AG37" i="12"/>
  <c r="AG19" i="12"/>
  <c r="AG33" i="12"/>
  <c r="AG21" i="34"/>
  <c r="AG41" i="34"/>
  <c r="AG17" i="34"/>
  <c r="AG37" i="34"/>
  <c r="AG20" i="34"/>
  <c r="AG23" i="34"/>
  <c r="AG33" i="34"/>
  <c r="AG34" i="34"/>
  <c r="AG31" i="34"/>
  <c r="AG30" i="34"/>
  <c r="AG10" i="34"/>
  <c r="AG29" i="34"/>
  <c r="AG13" i="34"/>
  <c r="AG38" i="34"/>
  <c r="AG24" i="34"/>
  <c r="AG19" i="34"/>
  <c r="AG12" i="34"/>
  <c r="AG26" i="34"/>
  <c r="AG39" i="34"/>
  <c r="AG35" i="34"/>
  <c r="AG8" i="34"/>
  <c r="AG22" i="34"/>
  <c r="AG19" i="33"/>
  <c r="AG36" i="33"/>
  <c r="AG25" i="33"/>
  <c r="AG34" i="33"/>
  <c r="AG12" i="33"/>
  <c r="AG28" i="33"/>
  <c r="AG20" i="33"/>
  <c r="AG15" i="33"/>
  <c r="AG31" i="33"/>
  <c r="AG6" i="33"/>
  <c r="AG30" i="33"/>
  <c r="AG26" i="33"/>
  <c r="AG23" i="33"/>
  <c r="AG27" i="33"/>
  <c r="AG16" i="33"/>
  <c r="AG18" i="33"/>
  <c r="AG32" i="33"/>
  <c r="AG35" i="33"/>
  <c r="AG10" i="33"/>
  <c r="AG24" i="33"/>
  <c r="AG17" i="11"/>
  <c r="AG24" i="11"/>
  <c r="AG21" i="11"/>
  <c r="AG11" i="11"/>
  <c r="AG30" i="11"/>
  <c r="AG29" i="11"/>
  <c r="AG28" i="11"/>
  <c r="AG9" i="11"/>
  <c r="AG41" i="11"/>
  <c r="AG26" i="11"/>
  <c r="AG31" i="11"/>
  <c r="AG22" i="11"/>
  <c r="AG39" i="11"/>
  <c r="AG32" i="11"/>
  <c r="AG6" i="11"/>
  <c r="AG19" i="11"/>
  <c r="AG13" i="11"/>
  <c r="AG40" i="11"/>
  <c r="AG40" i="10"/>
  <c r="AG29" i="10"/>
  <c r="AG39" i="10"/>
  <c r="AG21" i="10"/>
  <c r="AG23" i="10"/>
  <c r="AG11" i="10"/>
  <c r="AG19" i="10"/>
  <c r="AG12" i="10"/>
  <c r="AG9" i="10"/>
  <c r="AG13" i="10"/>
  <c r="AG41" i="10"/>
  <c r="AG33" i="10"/>
  <c r="AG37" i="10"/>
  <c r="AG6" i="10"/>
  <c r="AG17" i="10"/>
  <c r="AG24" i="10"/>
  <c r="AG8" i="10"/>
  <c r="AG34" i="10"/>
  <c r="AG32" i="10"/>
  <c r="AG15" i="10"/>
  <c r="AG7" i="10"/>
  <c r="AG18" i="10"/>
  <c r="AG39" i="7"/>
  <c r="AG35" i="7"/>
  <c r="AG9" i="7"/>
  <c r="AG25" i="7"/>
  <c r="AG21" i="7"/>
  <c r="AG37" i="7"/>
  <c r="AG20" i="7"/>
  <c r="AG32" i="7"/>
  <c r="AG40" i="7"/>
  <c r="AG38" i="7"/>
  <c r="AG15" i="7"/>
  <c r="AG27" i="7"/>
  <c r="AG8" i="7"/>
  <c r="AG19" i="7"/>
  <c r="AG26" i="7"/>
  <c r="AG36" i="7"/>
  <c r="AG13" i="7"/>
  <c r="CU24" i="1"/>
  <c r="CU10" i="1"/>
  <c r="CU34" i="1"/>
  <c r="CU39" i="1"/>
  <c r="CU9" i="1"/>
  <c r="CU11" i="1"/>
  <c r="CU25" i="1"/>
  <c r="CU16" i="1"/>
  <c r="CU36" i="1"/>
  <c r="CU27" i="1"/>
  <c r="CU41" i="1"/>
  <c r="CU40" i="1"/>
  <c r="CU26" i="1"/>
  <c r="CU38" i="1"/>
  <c r="CU23" i="1"/>
  <c r="CU32" i="1"/>
  <c r="CU30" i="1"/>
  <c r="CU21" i="1"/>
  <c r="CU33" i="1"/>
  <c r="CU37" i="1"/>
  <c r="CU13" i="1"/>
  <c r="CU20" i="1"/>
  <c r="CU28" i="1"/>
  <c r="CU18" i="1"/>
  <c r="AG10" i="26"/>
  <c r="AG28" i="26"/>
  <c r="AG32" i="26"/>
  <c r="AG24" i="26"/>
  <c r="CU12" i="1"/>
  <c r="AG19" i="26"/>
  <c r="AG23" i="26"/>
  <c r="AG13" i="26"/>
  <c r="AG17" i="26"/>
  <c r="AG9" i="26"/>
  <c r="AG34" i="26"/>
  <c r="CU22" i="1"/>
  <c r="AG11" i="26"/>
  <c r="CU35" i="1"/>
  <c r="AG26" i="26"/>
  <c r="AG37" i="26"/>
  <c r="AG31" i="26"/>
  <c r="AG21" i="26"/>
  <c r="AG22" i="26"/>
  <c r="AG40" i="26"/>
  <c r="AG41" i="26"/>
  <c r="AG36" i="26"/>
  <c r="AG12" i="26"/>
  <c r="AG20" i="26"/>
  <c r="AG27" i="26"/>
  <c r="AG39" i="26"/>
  <c r="AG33" i="26"/>
  <c r="AG8" i="26"/>
  <c r="AG30" i="26"/>
  <c r="AG35" i="26"/>
  <c r="AG15" i="26"/>
  <c r="AG18" i="26"/>
  <c r="AG16" i="26"/>
  <c r="AG25" i="26"/>
  <c r="AG38" i="26"/>
  <c r="AG29" i="26"/>
  <c r="CU14" i="1"/>
  <c r="CU42" i="1"/>
  <c r="CU29" i="1"/>
  <c r="CU31" i="1"/>
  <c r="CU43" i="1"/>
  <c r="AK7" i="23"/>
  <c r="AL7" i="23" s="1"/>
  <c r="AE7" i="23" s="1"/>
  <c r="BS8" i="41" s="1"/>
  <c r="AG7" i="22"/>
  <c r="AH7" i="22" s="1"/>
  <c r="AA7" i="22" s="1"/>
  <c r="BP8" i="41" s="1"/>
  <c r="AG7" i="21"/>
  <c r="AH7" i="21" s="1"/>
  <c r="AA7" i="21" s="1"/>
  <c r="BM8" i="41" s="1"/>
  <c r="AG6" i="21"/>
  <c r="AH6" i="21" s="1"/>
  <c r="AA6" i="21" s="1"/>
  <c r="BM7" i="41" s="1"/>
  <c r="AG6" i="27"/>
  <c r="AH6" i="27" s="1"/>
  <c r="AA6" i="27" s="1"/>
  <c r="BJ7" i="41" s="1"/>
  <c r="AG6" i="36"/>
  <c r="AH6" i="36" s="1"/>
  <c r="AA6" i="36" s="1"/>
  <c r="BD7" i="41" s="1"/>
  <c r="AG7" i="36"/>
  <c r="AH7" i="36" s="1"/>
  <c r="AA7" i="36" s="1"/>
  <c r="BD8" i="41" s="1"/>
  <c r="AG7" i="35"/>
  <c r="AH7" i="35" s="1"/>
  <c r="AA7" i="35" s="1"/>
  <c r="BA8" i="41" s="1"/>
  <c r="AG6" i="19"/>
  <c r="AH6" i="19" s="1"/>
  <c r="AA6" i="19" s="1"/>
  <c r="AX7" i="41" s="1"/>
  <c r="AG7" i="19"/>
  <c r="AH7" i="19" s="1"/>
  <c r="AA7" i="19" s="1"/>
  <c r="AX8" i="41" s="1"/>
  <c r="AG6" i="18"/>
  <c r="AH6" i="18" s="1"/>
  <c r="AA6" i="18" s="1"/>
  <c r="AU7" i="41" s="1"/>
  <c r="CU8" i="16"/>
  <c r="CV8" i="16" s="1"/>
  <c r="CO8" i="16" s="1"/>
  <c r="AO8" i="41" s="1"/>
  <c r="CU7" i="16"/>
  <c r="CV7" i="16" s="1"/>
  <c r="CO7" i="16" s="1"/>
  <c r="AO7" i="41" s="1"/>
  <c r="AG9" i="13"/>
  <c r="AG6" i="12"/>
  <c r="AG7" i="34"/>
  <c r="AG7" i="7"/>
  <c r="AG7" i="20"/>
  <c r="AH7" i="20" s="1"/>
  <c r="AA7" i="20" s="1"/>
  <c r="BG8" i="41" s="1"/>
  <c r="AG5" i="34"/>
  <c r="AG5" i="26"/>
  <c r="AG6" i="20"/>
  <c r="AH6" i="20" s="1"/>
  <c r="AA6" i="20" s="1"/>
  <c r="BG7" i="41" s="1"/>
  <c r="CU6" i="16"/>
  <c r="CV6" i="16" s="1"/>
  <c r="CO6" i="16" s="1"/>
  <c r="AO6" i="41" s="1"/>
  <c r="AG5" i="33"/>
  <c r="AG5" i="10"/>
  <c r="AG5" i="22"/>
  <c r="AH5" i="22" s="1"/>
  <c r="AA5" i="22" s="1"/>
  <c r="BP6" i="41" s="1"/>
  <c r="AG5" i="7"/>
  <c r="AG6" i="35"/>
  <c r="AH6" i="35" s="1"/>
  <c r="AA6" i="35" s="1"/>
  <c r="AK54" i="23"/>
  <c r="AL54" i="23" s="1"/>
  <c r="AE54" i="23" s="1"/>
  <c r="BS55" i="41" s="1"/>
  <c r="AG54" i="7"/>
  <c r="AG54" i="34"/>
  <c r="AG54" i="19"/>
  <c r="AH54" i="19" s="1"/>
  <c r="AA54" i="19" s="1"/>
  <c r="AX55" i="41" s="1"/>
  <c r="AG54" i="17"/>
  <c r="AH54" i="17" s="1"/>
  <c r="AA54" i="17" s="1"/>
  <c r="AR55" i="41" s="1"/>
  <c r="AG54" i="13"/>
  <c r="AJ54" i="14"/>
  <c r="CU7" i="1"/>
  <c r="AG5" i="21"/>
  <c r="AH5" i="21" s="1"/>
  <c r="AA5" i="21" s="1"/>
  <c r="BM6" i="41" s="1"/>
  <c r="AG5" i="20"/>
  <c r="AH5" i="20" s="1"/>
  <c r="AA5" i="20" s="1"/>
  <c r="BG6" i="41" s="1"/>
  <c r="AG5" i="36"/>
  <c r="AH5" i="36" s="1"/>
  <c r="AA5" i="36" s="1"/>
  <c r="BD6" i="41" s="1"/>
  <c r="AG5" i="35"/>
  <c r="AH5" i="35" s="1"/>
  <c r="AA5" i="35" s="1"/>
  <c r="BA6" i="41" s="1"/>
  <c r="AG5" i="17"/>
  <c r="AH5" i="17" s="1"/>
  <c r="AA5" i="17" s="1"/>
  <c r="AR6" i="41" s="1"/>
  <c r="AG5" i="27"/>
  <c r="AH5" i="27" s="1"/>
  <c r="AA5" i="27" s="1"/>
  <c r="BJ6" i="41" s="1"/>
  <c r="AG54" i="27"/>
  <c r="AH54" i="27" s="1"/>
  <c r="AA54" i="27" s="1"/>
  <c r="BJ55" i="41" s="1"/>
  <c r="AG54" i="18"/>
  <c r="AH54" i="18" s="1"/>
  <c r="AA54" i="18" s="1"/>
  <c r="AG54" i="35"/>
  <c r="AH54" i="35" s="1"/>
  <c r="AA54" i="35" s="1"/>
  <c r="BA55" i="41" s="1"/>
  <c r="AG7" i="33"/>
  <c r="AG5" i="11"/>
  <c r="AG54" i="11"/>
  <c r="CU55" i="16"/>
  <c r="CV55" i="16" s="1"/>
  <c r="CO55" i="16" s="1"/>
  <c r="AO55" i="41" s="1"/>
  <c r="AJ5" i="14"/>
  <c r="AG5" i="13"/>
  <c r="AG6" i="7"/>
  <c r="AG5" i="12"/>
  <c r="AG7" i="11"/>
  <c r="AG6" i="26"/>
  <c r="AG54" i="36"/>
  <c r="AH54" i="36" s="1"/>
  <c r="AA54" i="36" s="1"/>
  <c r="BD55" i="41" s="1"/>
  <c r="CU8" i="1"/>
  <c r="CU6" i="1"/>
  <c r="CU55" i="1"/>
  <c r="AG54" i="10"/>
  <c r="AG54" i="26"/>
  <c r="AG54" i="12"/>
  <c r="AG54" i="21"/>
  <c r="AH54" i="21" s="1"/>
  <c r="AA54" i="21" s="1"/>
  <c r="BM55" i="41" s="1"/>
  <c r="AI54" i="15"/>
  <c r="AG54" i="33"/>
  <c r="AG54" i="22"/>
  <c r="AH54" i="22" s="1"/>
  <c r="AA54" i="22" s="1"/>
  <c r="BP55" i="41" s="1"/>
  <c r="AG54" i="20"/>
  <c r="AH54" i="20" s="1"/>
  <c r="AA54" i="20" s="1"/>
  <c r="BG55" i="41" s="1"/>
  <c r="BA19" i="25"/>
  <c r="AU18" i="25"/>
  <c r="BP33" i="25"/>
  <c r="BP32" i="25"/>
  <c r="BG37" i="25"/>
  <c r="BG30" i="25"/>
  <c r="BP10" i="25"/>
  <c r="BS49" i="25"/>
  <c r="BS39" i="25"/>
  <c r="BS21" i="25"/>
  <c r="BS22" i="25"/>
  <c r="BS43" i="25"/>
  <c r="BP11" i="25"/>
  <c r="AO51" i="25"/>
  <c r="AO50" i="25"/>
  <c r="AO52" i="25"/>
  <c r="AO15" i="25"/>
  <c r="BJ41" i="25"/>
  <c r="BG14" i="25"/>
  <c r="BA15" i="25"/>
  <c r="BA26" i="25"/>
  <c r="AU52" i="25"/>
  <c r="AU51" i="25"/>
  <c r="BS14" i="25"/>
  <c r="BS50" i="25"/>
  <c r="BS23" i="25"/>
  <c r="BP18" i="25"/>
  <c r="BP31" i="25"/>
  <c r="BM51" i="25"/>
  <c r="BM47" i="25"/>
  <c r="BA53" i="25"/>
  <c r="BA20" i="25"/>
  <c r="BA12" i="25"/>
  <c r="AU45" i="25"/>
  <c r="AU28" i="25"/>
  <c r="AU15" i="25"/>
  <c r="AU43" i="25"/>
  <c r="AU53" i="25"/>
  <c r="AR19" i="25"/>
  <c r="AR53" i="25"/>
  <c r="AR50" i="25"/>
  <c r="AR13" i="25"/>
  <c r="AO32" i="25"/>
  <c r="DC55" i="1"/>
  <c r="DE53" i="1"/>
  <c r="DA53" i="1"/>
  <c r="CW53" i="1"/>
  <c r="DC52" i="1"/>
  <c r="CY51" i="1"/>
  <c r="DA50" i="1"/>
  <c r="DA49" i="1"/>
  <c r="DF48" i="1"/>
  <c r="DB48" i="1"/>
  <c r="DF45" i="1"/>
  <c r="CX45" i="1"/>
  <c r="CZ42" i="1"/>
  <c r="DD41" i="1"/>
  <c r="CZ41" i="1"/>
  <c r="DD40" i="1"/>
  <c r="DD38" i="1"/>
  <c r="CY38" i="1"/>
  <c r="CX38" i="1"/>
  <c r="DF35" i="1"/>
  <c r="DA35" i="1"/>
  <c r="CX35" i="1"/>
  <c r="CW32" i="1"/>
  <c r="DA31" i="1"/>
  <c r="CY31" i="1"/>
  <c r="DE29" i="1"/>
  <c r="DA29" i="1"/>
  <c r="CW29" i="1"/>
  <c r="CY28" i="1"/>
  <c r="DF25" i="1"/>
  <c r="DE24" i="1"/>
  <c r="CZ23" i="1"/>
  <c r="CZ22" i="1"/>
  <c r="CY22" i="1"/>
  <c r="CY20" i="1"/>
  <c r="DD18" i="1"/>
  <c r="CY18" i="1"/>
  <c r="CX17" i="1"/>
  <c r="DA16" i="1"/>
  <c r="CX16" i="1"/>
  <c r="DF15" i="1"/>
  <c r="DC14" i="1"/>
  <c r="DA14" i="1"/>
  <c r="CW14" i="1"/>
  <c r="DE13" i="1"/>
  <c r="DB13" i="1"/>
  <c r="CZ13" i="1"/>
  <c r="DE12" i="1"/>
  <c r="DB12" i="1"/>
  <c r="DE10" i="1"/>
  <c r="DF9" i="1"/>
  <c r="DD9" i="1"/>
  <c r="DF8" i="1"/>
  <c r="DE7" i="1"/>
  <c r="DA7" i="1"/>
  <c r="CW7" i="1"/>
  <c r="BP13" i="25" l="1"/>
  <c r="BJ10" i="25"/>
  <c r="BG41" i="25"/>
  <c r="BG26" i="25"/>
  <c r="BD37" i="25"/>
  <c r="BA33" i="25"/>
  <c r="BA35" i="25"/>
  <c r="BA27" i="25"/>
  <c r="BA32" i="25"/>
  <c r="BA11" i="25"/>
  <c r="BA9" i="25"/>
  <c r="AX14" i="25"/>
  <c r="AX22" i="25"/>
  <c r="AX29" i="25"/>
  <c r="AX37" i="25"/>
  <c r="AU19" i="25"/>
  <c r="AU32" i="25"/>
  <c r="AO18" i="25"/>
  <c r="AO16" i="25"/>
  <c r="AO11" i="25"/>
  <c r="AO17" i="25"/>
  <c r="AO13" i="25"/>
  <c r="BP7" i="25"/>
  <c r="BJ8" i="25"/>
  <c r="BS20" i="25"/>
  <c r="BD22" i="25"/>
  <c r="BD41" i="25"/>
  <c r="AU29" i="25"/>
  <c r="AU23" i="25"/>
  <c r="BP12" i="25"/>
  <c r="BP9" i="25"/>
  <c r="BJ9" i="25"/>
  <c r="BA34" i="25"/>
  <c r="AO14" i="25"/>
  <c r="AO42" i="25"/>
  <c r="BS28" i="25"/>
  <c r="BJ40" i="25"/>
  <c r="BJ11" i="25"/>
  <c r="BG11" i="25"/>
  <c r="BD40" i="25"/>
  <c r="BP8" i="25"/>
  <c r="BA8" i="25"/>
  <c r="AX7" i="25"/>
  <c r="AX8" i="25"/>
  <c r="AU55" i="25"/>
  <c r="AU55" i="41"/>
  <c r="BA7" i="25"/>
  <c r="BA7" i="41"/>
  <c r="BS10" i="25"/>
  <c r="BS54" i="25"/>
  <c r="BS35" i="25"/>
  <c r="BS53" i="25"/>
  <c r="BS40" i="25"/>
  <c r="BS36" i="25"/>
  <c r="BP34" i="25"/>
  <c r="BM20" i="25"/>
  <c r="BM49" i="25"/>
  <c r="BM33" i="25"/>
  <c r="BJ7" i="25"/>
  <c r="BJ24" i="25"/>
  <c r="BJ33" i="25"/>
  <c r="BJ42" i="25"/>
  <c r="BJ6" i="25"/>
  <c r="BG10" i="25"/>
  <c r="BG40" i="25"/>
  <c r="BG36" i="25"/>
  <c r="BG27" i="25"/>
  <c r="BG23" i="25"/>
  <c r="BG7" i="25"/>
  <c r="BG45" i="25"/>
  <c r="BD12" i="25"/>
  <c r="BD55" i="25"/>
  <c r="BD36" i="25"/>
  <c r="BD21" i="25"/>
  <c r="BD25" i="25"/>
  <c r="BD39" i="25"/>
  <c r="BA16" i="25"/>
  <c r="BA55" i="25"/>
  <c r="AX27" i="25"/>
  <c r="AX48" i="25"/>
  <c r="AX55" i="25"/>
  <c r="AX32" i="25"/>
  <c r="AX40" i="25"/>
  <c r="AU40" i="25"/>
  <c r="AU50" i="25"/>
  <c r="AU22" i="25"/>
  <c r="AU26" i="25"/>
  <c r="AU54" i="25"/>
  <c r="AO49" i="25"/>
  <c r="AO35" i="25"/>
  <c r="AO47" i="25"/>
  <c r="AO55" i="25"/>
  <c r="AO19" i="25"/>
  <c r="CZ6" i="1"/>
  <c r="DD6" i="1"/>
  <c r="DB17" i="1"/>
  <c r="CZ11" i="1"/>
  <c r="DE28" i="1"/>
  <c r="DD34" i="1"/>
  <c r="DA36" i="1"/>
  <c r="DC47" i="1"/>
  <c r="DD55" i="1"/>
  <c r="DF13" i="1"/>
  <c r="DF49" i="1"/>
  <c r="CZ51" i="1"/>
  <c r="DA20" i="1"/>
  <c r="DB29" i="1"/>
  <c r="DE31" i="1"/>
  <c r="CW45" i="1"/>
  <c r="DD46" i="1"/>
  <c r="CZ47" i="1"/>
  <c r="CX25" i="1"/>
  <c r="DD29" i="1"/>
  <c r="DB53" i="1"/>
  <c r="CX21" i="1"/>
  <c r="DD21" i="1"/>
  <c r="DB43" i="1"/>
  <c r="CW49" i="1"/>
  <c r="DE49" i="1"/>
  <c r="DC51" i="1"/>
  <c r="BG15" i="25"/>
  <c r="CY41" i="1"/>
  <c r="DB44" i="1"/>
  <c r="CZ54" i="1"/>
  <c r="AO36" i="25"/>
  <c r="BP23" i="25"/>
  <c r="BP40" i="25"/>
  <c r="BP6" i="25"/>
  <c r="AU31" i="25"/>
  <c r="AX23" i="25"/>
  <c r="BD26" i="25"/>
  <c r="BA54" i="25"/>
  <c r="AO12" i="25"/>
  <c r="DE16" i="1"/>
  <c r="DA44" i="1"/>
  <c r="DD47" i="1"/>
  <c r="CX29" i="1"/>
  <c r="DB36" i="1"/>
  <c r="DE39" i="1"/>
  <c r="AU12" i="25"/>
  <c r="BD46" i="25"/>
  <c r="DC12" i="1"/>
  <c r="DF21" i="1"/>
  <c r="CY23" i="1"/>
  <c r="DA10" i="1"/>
  <c r="CY16" i="1"/>
  <c r="DA17" i="1"/>
  <c r="DF17" i="1"/>
  <c r="DD19" i="1"/>
  <c r="CZ24" i="1"/>
  <c r="CZ27" i="1"/>
  <c r="DD27" i="1"/>
  <c r="CW30" i="1"/>
  <c r="DB32" i="1"/>
  <c r="DF32" i="1"/>
  <c r="CY33" i="1"/>
  <c r="CZ34" i="1"/>
  <c r="DB35" i="1"/>
  <c r="DA41" i="1"/>
  <c r="DD43" i="1"/>
  <c r="CY47" i="1"/>
  <c r="CZ50" i="1"/>
  <c r="DB52" i="1"/>
  <c r="DF53" i="1"/>
  <c r="BG13" i="25"/>
  <c r="BJ34" i="25"/>
  <c r="BM10" i="25"/>
  <c r="DE6" i="1"/>
  <c r="DA9" i="1"/>
  <c r="CX14" i="1"/>
  <c r="CZ14" i="1"/>
  <c r="DC16" i="1"/>
  <c r="DF16" i="1"/>
  <c r="DF18" i="1"/>
  <c r="DC33" i="1"/>
  <c r="CY34" i="1"/>
  <c r="CY40" i="1"/>
  <c r="CX44" i="1"/>
  <c r="CZ45" i="1"/>
  <c r="CW46" i="1"/>
  <c r="DB51" i="1"/>
  <c r="AR22" i="25"/>
  <c r="AR12" i="25"/>
  <c r="AR24" i="25"/>
  <c r="AR46" i="25"/>
  <c r="BA46" i="25"/>
  <c r="BA22" i="25"/>
  <c r="BA42" i="25"/>
  <c r="BA44" i="25"/>
  <c r="BD30" i="25"/>
  <c r="BP52" i="25"/>
  <c r="BP36" i="25"/>
  <c r="BP46" i="25"/>
  <c r="BD8" i="25"/>
  <c r="BD16" i="25"/>
  <c r="BD18" i="25"/>
  <c r="BD32" i="25"/>
  <c r="BD28" i="25"/>
  <c r="BD43" i="25"/>
  <c r="BD7" i="25"/>
  <c r="BD19" i="25"/>
  <c r="BD44" i="25"/>
  <c r="BM29" i="25"/>
  <c r="BM42" i="25"/>
  <c r="BM50" i="25"/>
  <c r="BM8" i="25"/>
  <c r="BS44" i="25"/>
  <c r="AX6" i="25"/>
  <c r="AO27" i="25"/>
  <c r="AR26" i="25"/>
  <c r="AU8" i="25"/>
  <c r="AX33" i="25"/>
  <c r="BA45" i="25"/>
  <c r="BA49" i="25"/>
  <c r="BA40" i="25"/>
  <c r="BJ30" i="25"/>
  <c r="BJ53" i="25"/>
  <c r="BJ22" i="25"/>
  <c r="BJ25" i="25"/>
  <c r="BM14" i="25"/>
  <c r="BM23" i="25"/>
  <c r="BP20" i="25"/>
  <c r="BP24" i="25"/>
  <c r="AO40" i="25"/>
  <c r="AR39" i="25"/>
  <c r="AR33" i="25"/>
  <c r="AR10" i="25"/>
  <c r="AR25" i="25"/>
  <c r="AR45" i="25"/>
  <c r="AR51" i="25"/>
  <c r="AR9" i="25"/>
  <c r="AU35" i="25"/>
  <c r="AX38" i="25"/>
  <c r="AX35" i="25"/>
  <c r="BD42" i="25"/>
  <c r="BG18" i="25"/>
  <c r="BG22" i="25"/>
  <c r="BJ20" i="25"/>
  <c r="BJ32" i="25"/>
  <c r="BJ17" i="25"/>
  <c r="BM11" i="25"/>
  <c r="BS45" i="25"/>
  <c r="BS47" i="25"/>
  <c r="BA6" i="25"/>
  <c r="BS12" i="25"/>
  <c r="BP38" i="25"/>
  <c r="BP27" i="25"/>
  <c r="BP54" i="25"/>
  <c r="AO38" i="25"/>
  <c r="BS34" i="25"/>
  <c r="BS29" i="25"/>
  <c r="BS31" i="25"/>
  <c r="BS9" i="25"/>
  <c r="BS18" i="25"/>
  <c r="BS46" i="25"/>
  <c r="BS11" i="25"/>
  <c r="BS19" i="25"/>
  <c r="BS30" i="25"/>
  <c r="BS26" i="25"/>
  <c r="BS51" i="25"/>
  <c r="BS55" i="25"/>
  <c r="BS25" i="25"/>
  <c r="BS24" i="25"/>
  <c r="BS32" i="25"/>
  <c r="BS33" i="25"/>
  <c r="BS52" i="25"/>
  <c r="BS42" i="25"/>
  <c r="BS38" i="25"/>
  <c r="BS48" i="25"/>
  <c r="BS8" i="25"/>
  <c r="BS16" i="25"/>
  <c r="BP25" i="25"/>
  <c r="BP15" i="25"/>
  <c r="BP17" i="25"/>
  <c r="BP35" i="25"/>
  <c r="BP45" i="25"/>
  <c r="BP42" i="25"/>
  <c r="BP19" i="25"/>
  <c r="BP44" i="25"/>
  <c r="BP14" i="25"/>
  <c r="BP21" i="25"/>
  <c r="BP29" i="25"/>
  <c r="BP39" i="25"/>
  <c r="BP43" i="25"/>
  <c r="BP50" i="25"/>
  <c r="BP48" i="25"/>
  <c r="BP55" i="25"/>
  <c r="BP28" i="25"/>
  <c r="BP37" i="25"/>
  <c r="BM31" i="25"/>
  <c r="BM34" i="25"/>
  <c r="BM41" i="25"/>
  <c r="BM35" i="25"/>
  <c r="BM7" i="25"/>
  <c r="BM15" i="25"/>
  <c r="BM36" i="25"/>
  <c r="BM9" i="25"/>
  <c r="BM19" i="25"/>
  <c r="BM30" i="25"/>
  <c r="BM53" i="25"/>
  <c r="BM39" i="25"/>
  <c r="BM43" i="25"/>
  <c r="BM13" i="25"/>
  <c r="BM22" i="25"/>
  <c r="BM44" i="25"/>
  <c r="BM12" i="25"/>
  <c r="BM45" i="25"/>
  <c r="BM25" i="25"/>
  <c r="BM37" i="25"/>
  <c r="BM26" i="25"/>
  <c r="AO44" i="25"/>
  <c r="AO25" i="25"/>
  <c r="AO39" i="25"/>
  <c r="AO10" i="25"/>
  <c r="AO30" i="25"/>
  <c r="AO33" i="25"/>
  <c r="AO46" i="25"/>
  <c r="AO53" i="25"/>
  <c r="AO23" i="25"/>
  <c r="AO7" i="25"/>
  <c r="AO43" i="25"/>
  <c r="AO20" i="25"/>
  <c r="AO54" i="25"/>
  <c r="AO9" i="25"/>
  <c r="AO8" i="25"/>
  <c r="AO28" i="25"/>
  <c r="AO31" i="25"/>
  <c r="AO29" i="25"/>
  <c r="DF6" i="1"/>
  <c r="DA6" i="1"/>
  <c r="BJ49" i="25"/>
  <c r="BJ18" i="25"/>
  <c r="BJ44" i="25"/>
  <c r="BD27" i="25"/>
  <c r="BD9" i="25"/>
  <c r="BD53" i="25"/>
  <c r="BA10" i="25"/>
  <c r="BA43" i="25"/>
  <c r="AX45" i="25"/>
  <c r="AX42" i="25"/>
  <c r="AX25" i="25"/>
  <c r="AX43" i="25"/>
  <c r="AX31" i="25"/>
  <c r="AX34" i="25"/>
  <c r="AX53" i="25"/>
  <c r="AU13" i="25"/>
  <c r="AU42" i="25"/>
  <c r="AR38" i="25"/>
  <c r="BJ36" i="25"/>
  <c r="BJ27" i="25"/>
  <c r="BJ14" i="25"/>
  <c r="BJ26" i="25"/>
  <c r="BJ12" i="25"/>
  <c r="BJ45" i="25"/>
  <c r="BJ51" i="25"/>
  <c r="BJ43" i="25"/>
  <c r="BJ55" i="25"/>
  <c r="BJ35" i="25"/>
  <c r="BJ28" i="25"/>
  <c r="BJ39" i="25"/>
  <c r="BJ54" i="25"/>
  <c r="BJ46" i="25"/>
  <c r="BJ47" i="25"/>
  <c r="BJ21" i="25"/>
  <c r="BJ23" i="25"/>
  <c r="BJ38" i="25"/>
  <c r="BJ15" i="25"/>
  <c r="BG25" i="25"/>
  <c r="BG12" i="25"/>
  <c r="BG53" i="25"/>
  <c r="BG16" i="25"/>
  <c r="BG52" i="25"/>
  <c r="BG21" i="25"/>
  <c r="BG48" i="25"/>
  <c r="BG31" i="25"/>
  <c r="BG39" i="25"/>
  <c r="BG54" i="25"/>
  <c r="BG29" i="25"/>
  <c r="BG46" i="25"/>
  <c r="BG44" i="25"/>
  <c r="BG50" i="25"/>
  <c r="BG51" i="25"/>
  <c r="BG6" i="25"/>
  <c r="BG8" i="25"/>
  <c r="BG35" i="25"/>
  <c r="BG43" i="25"/>
  <c r="BG34" i="25"/>
  <c r="BG47" i="25"/>
  <c r="BG19" i="25"/>
  <c r="BG9" i="25"/>
  <c r="BG17" i="25"/>
  <c r="BD15" i="25"/>
  <c r="BD49" i="25"/>
  <c r="BD47" i="25"/>
  <c r="BD34" i="25"/>
  <c r="BD17" i="25"/>
  <c r="BD24" i="25"/>
  <c r="BD45" i="25"/>
  <c r="BD6" i="25"/>
  <c r="BD14" i="25"/>
  <c r="BD50" i="25"/>
  <c r="BD35" i="25"/>
  <c r="BD54" i="25"/>
  <c r="BD38" i="25"/>
  <c r="BA36" i="25"/>
  <c r="BA30" i="25"/>
  <c r="BA51" i="25"/>
  <c r="BA23" i="25"/>
  <c r="BA14" i="25"/>
  <c r="BA41" i="25"/>
  <c r="BA24" i="25"/>
  <c r="BA28" i="25"/>
  <c r="BA18" i="25"/>
  <c r="AX50" i="25"/>
  <c r="AX41" i="25"/>
  <c r="AX47" i="25"/>
  <c r="AX51" i="25"/>
  <c r="AX16" i="25"/>
  <c r="AX12" i="25"/>
  <c r="AX10" i="25"/>
  <c r="AX18" i="25"/>
  <c r="AX46" i="25"/>
  <c r="AX36" i="25"/>
  <c r="AX20" i="25"/>
  <c r="AX15" i="25"/>
  <c r="AX49" i="25"/>
  <c r="AX13" i="25"/>
  <c r="AU44" i="25"/>
  <c r="AU10" i="25"/>
  <c r="AU39" i="25"/>
  <c r="AU33" i="25"/>
  <c r="AU36" i="25"/>
  <c r="AU24" i="25"/>
  <c r="AU41" i="25"/>
  <c r="AU27" i="25"/>
  <c r="AU30" i="25"/>
  <c r="AU21" i="25"/>
  <c r="AU48" i="25"/>
  <c r="AU37" i="25"/>
  <c r="AU49" i="25"/>
  <c r="AU17" i="25"/>
  <c r="AR27" i="25"/>
  <c r="AR48" i="25"/>
  <c r="AR15" i="25"/>
  <c r="AR7" i="25"/>
  <c r="AR35" i="25"/>
  <c r="AR47" i="25"/>
  <c r="AR23" i="25"/>
  <c r="AR20" i="25"/>
  <c r="AR18" i="25"/>
  <c r="AR28" i="25"/>
  <c r="AR32" i="25"/>
  <c r="AR30" i="25"/>
  <c r="AR14" i="25"/>
  <c r="AR6" i="25"/>
  <c r="AR42" i="25"/>
  <c r="AR34" i="25"/>
  <c r="AR37" i="25"/>
  <c r="AR41" i="25"/>
  <c r="AR44" i="25"/>
  <c r="AR49" i="25"/>
  <c r="AR43" i="25"/>
  <c r="AR54" i="25"/>
  <c r="AR55" i="25"/>
  <c r="BS6" i="25"/>
  <c r="BM6" i="25"/>
  <c r="AU6" i="25"/>
  <c r="AO6" i="25"/>
  <c r="BS27" i="25"/>
  <c r="BS7" i="25"/>
  <c r="BS13" i="25"/>
  <c r="BS37" i="25"/>
  <c r="BS15" i="25"/>
  <c r="BS17" i="25"/>
  <c r="BS41" i="25"/>
  <c r="BP47" i="25"/>
  <c r="BP41" i="25"/>
  <c r="BP49" i="25"/>
  <c r="BP16" i="25"/>
  <c r="BP26" i="25"/>
  <c r="BP30" i="25"/>
  <c r="BP51" i="25"/>
  <c r="BP53" i="25"/>
  <c r="BP22" i="25"/>
  <c r="BM28" i="25"/>
  <c r="BM24" i="25"/>
  <c r="BM38" i="25"/>
  <c r="BM18" i="25"/>
  <c r="BM48" i="25"/>
  <c r="BM27" i="25"/>
  <c r="BM32" i="25"/>
  <c r="BM54" i="25"/>
  <c r="BM46" i="25"/>
  <c r="BM16" i="25"/>
  <c r="BM21" i="25"/>
  <c r="BM17" i="25"/>
  <c r="BM55" i="25"/>
  <c r="BM40" i="25"/>
  <c r="BM52" i="25"/>
  <c r="BJ31" i="25"/>
  <c r="BJ29" i="25"/>
  <c r="BJ50" i="25"/>
  <c r="BJ37" i="25"/>
  <c r="BJ52" i="25"/>
  <c r="BJ48" i="25"/>
  <c r="BJ16" i="25"/>
  <c r="BJ13" i="25"/>
  <c r="BJ19" i="25"/>
  <c r="BG33" i="25"/>
  <c r="BG55" i="25"/>
  <c r="BG28" i="25"/>
  <c r="BG38" i="25"/>
  <c r="BG49" i="25"/>
  <c r="BG32" i="25"/>
  <c r="BG20" i="25"/>
  <c r="BG24" i="25"/>
  <c r="BG42" i="25"/>
  <c r="BD51" i="25"/>
  <c r="BD11" i="25"/>
  <c r="BD31" i="25"/>
  <c r="BD29" i="25"/>
  <c r="BD52" i="25"/>
  <c r="BD20" i="25"/>
  <c r="BD13" i="25"/>
  <c r="BD48" i="25"/>
  <c r="BD33" i="25"/>
  <c r="BD10" i="25"/>
  <c r="BD23" i="25"/>
  <c r="BA47" i="25"/>
  <c r="BA31" i="25"/>
  <c r="BA21" i="25"/>
  <c r="BA38" i="25"/>
  <c r="BA29" i="25"/>
  <c r="BA39" i="25"/>
  <c r="BA13" i="25"/>
  <c r="BA17" i="25"/>
  <c r="BA52" i="25"/>
  <c r="BA25" i="25"/>
  <c r="BA37" i="25"/>
  <c r="BA48" i="25"/>
  <c r="BA50" i="25"/>
  <c r="AX19" i="25"/>
  <c r="AX9" i="25"/>
  <c r="AX17" i="25"/>
  <c r="AX24" i="25"/>
  <c r="AX39" i="25"/>
  <c r="AX52" i="25"/>
  <c r="AX21" i="25"/>
  <c r="AX11" i="25"/>
  <c r="AX28" i="25"/>
  <c r="AX30" i="25"/>
  <c r="AX54" i="25"/>
  <c r="AX26" i="25"/>
  <c r="AX44" i="25"/>
  <c r="AU11" i="25"/>
  <c r="AU34" i="25"/>
  <c r="AU47" i="25"/>
  <c r="AU14" i="25"/>
  <c r="AU20" i="25"/>
  <c r="AU46" i="25"/>
  <c r="AU38" i="25"/>
  <c r="AU16" i="25"/>
  <c r="AU7" i="25"/>
  <c r="AU25" i="25"/>
  <c r="AU9" i="25"/>
  <c r="AR29" i="25"/>
  <c r="AR16" i="25"/>
  <c r="AR21" i="25"/>
  <c r="AR8" i="25"/>
  <c r="AR11" i="25"/>
  <c r="AR40" i="25"/>
  <c r="AR52" i="25"/>
  <c r="AR31" i="25"/>
  <c r="AR36" i="25"/>
  <c r="AR17" i="25"/>
  <c r="AO22" i="25"/>
  <c r="AO48" i="25"/>
  <c r="AO21" i="25"/>
  <c r="AO26" i="25"/>
  <c r="AO45" i="25"/>
  <c r="AO34" i="25"/>
  <c r="AO24" i="25"/>
  <c r="AO37" i="25"/>
  <c r="AO41" i="25"/>
  <c r="CW8" i="1"/>
  <c r="CX8" i="1"/>
  <c r="CY8" i="1"/>
  <c r="DA8" i="1"/>
  <c r="DD8" i="1"/>
  <c r="DB10" i="1"/>
  <c r="DA13" i="1"/>
  <c r="DE17" i="1"/>
  <c r="DA24" i="1"/>
  <c r="DE25" i="1"/>
  <c r="DF26" i="1"/>
  <c r="CX6" i="1"/>
  <c r="CZ7" i="1"/>
  <c r="DD11" i="1"/>
  <c r="DF12" i="1"/>
  <c r="CZ15" i="1"/>
  <c r="DC19" i="1"/>
  <c r="DE19" i="1"/>
  <c r="CX20" i="1"/>
  <c r="DC22" i="1"/>
  <c r="CX24" i="1"/>
  <c r="DB25" i="1"/>
  <c r="CY26" i="1"/>
  <c r="CZ28" i="1"/>
  <c r="DB28" i="1"/>
  <c r="CX30" i="1"/>
  <c r="DB30" i="1"/>
  <c r="DF36" i="1"/>
  <c r="DB6" i="1"/>
  <c r="CY7" i="1"/>
  <c r="DD7" i="1"/>
  <c r="DF7" i="1"/>
  <c r="CX9" i="1"/>
  <c r="DE9" i="1"/>
  <c r="CX10" i="1"/>
  <c r="DA11" i="1"/>
  <c r="DC11" i="1"/>
  <c r="DA12" i="1"/>
  <c r="CW13" i="1"/>
  <c r="DD14" i="1"/>
  <c r="DF14" i="1"/>
  <c r="CW15" i="1"/>
  <c r="CY15" i="1"/>
  <c r="DD15" i="1"/>
  <c r="CZ16" i="1"/>
  <c r="DB16" i="1"/>
  <c r="CW17" i="1"/>
  <c r="CY17" i="1"/>
  <c r="DC18" i="1"/>
  <c r="CZ19" i="1"/>
  <c r="DE20" i="1"/>
  <c r="DB21" i="1"/>
  <c r="DA25" i="1"/>
  <c r="CX26" i="1"/>
  <c r="CW28" i="1"/>
  <c r="CY29" i="1"/>
  <c r="CY42" i="1"/>
  <c r="CY6" i="1"/>
  <c r="CX7" i="1"/>
  <c r="DD10" i="1"/>
  <c r="DC13" i="1"/>
  <c r="DC17" i="1"/>
  <c r="DF22" i="1"/>
  <c r="DC6" i="1"/>
  <c r="DB7" i="1"/>
  <c r="CY10" i="1"/>
  <c r="CW12" i="1"/>
  <c r="DD12" i="1"/>
  <c r="CX13" i="1"/>
  <c r="CW6" i="1"/>
  <c r="DC7" i="1"/>
  <c r="CZ8" i="1"/>
  <c r="CW9" i="1"/>
  <c r="CZ12" i="1"/>
  <c r="DC15" i="1"/>
  <c r="CW16" i="1"/>
  <c r="CZ18" i="1"/>
  <c r="DB18" i="1"/>
  <c r="CY19" i="1"/>
  <c r="DB20" i="1"/>
  <c r="DD20" i="1"/>
  <c r="CW21" i="1"/>
  <c r="CY21" i="1"/>
  <c r="DC23" i="1"/>
  <c r="DD24" i="1"/>
  <c r="DF24" i="1"/>
  <c r="CY27" i="1"/>
  <c r="DA27" i="1"/>
  <c r="DB8" i="1"/>
  <c r="DF10" i="1"/>
  <c r="DC10" i="1"/>
  <c r="CX11" i="1"/>
  <c r="CY13" i="1"/>
  <c r="DB14" i="1"/>
  <c r="CY14" i="1"/>
  <c r="DE15" i="1"/>
  <c r="DD16" i="1"/>
  <c r="CX18" i="1"/>
  <c r="DA19" i="1"/>
  <c r="DE23" i="1"/>
  <c r="DF28" i="1"/>
  <c r="DD30" i="1"/>
  <c r="CZ31" i="1"/>
  <c r="CX32" i="1"/>
  <c r="CZ37" i="1"/>
  <c r="DF37" i="1"/>
  <c r="DC40" i="1"/>
  <c r="DC45" i="1"/>
  <c r="CX46" i="1"/>
  <c r="DF54" i="1"/>
  <c r="CY9" i="1"/>
  <c r="DE11" i="1"/>
  <c r="CY11" i="1"/>
  <c r="DA15" i="1"/>
  <c r="CW19" i="1"/>
  <c r="DC21" i="1"/>
  <c r="DC25" i="1"/>
  <c r="DA28" i="1"/>
  <c r="DC30" i="1"/>
  <c r="CZ33" i="1"/>
  <c r="DB33" i="1"/>
  <c r="DE34" i="1"/>
  <c r="DC36" i="1"/>
  <c r="CW37" i="1"/>
  <c r="DB39" i="1"/>
  <c r="CX42" i="1"/>
  <c r="DA42" i="1"/>
  <c r="DC42" i="1"/>
  <c r="DA45" i="1"/>
  <c r="DF46" i="1"/>
  <c r="DD51" i="1"/>
  <c r="CZ10" i="1"/>
  <c r="CW18" i="1"/>
  <c r="CW20" i="1"/>
  <c r="CY25" i="1"/>
  <c r="CZ26" i="1"/>
  <c r="DC28" i="1"/>
  <c r="DE32" i="1"/>
  <c r="CW34" i="1"/>
  <c r="DB34" i="1"/>
  <c r="DD35" i="1"/>
  <c r="CZ36" i="1"/>
  <c r="DC37" i="1"/>
  <c r="CW40" i="1"/>
  <c r="DB40" i="1"/>
  <c r="DF41" i="1"/>
  <c r="DD42" i="1"/>
  <c r="CZ43" i="1"/>
  <c r="DC43" i="1"/>
  <c r="DE43" i="1"/>
  <c r="CW44" i="1"/>
  <c r="DC44" i="1"/>
  <c r="DD44" i="1"/>
  <c r="CW51" i="1"/>
  <c r="DE51" i="1"/>
  <c r="CX52" i="1"/>
  <c r="CY55" i="1"/>
  <c r="DC9" i="1"/>
  <c r="DD13" i="1"/>
  <c r="DF19" i="1"/>
  <c r="CZ20" i="1"/>
  <c r="CW23" i="1"/>
  <c r="CW27" i="1"/>
  <c r="DD28" i="1"/>
  <c r="CW31" i="1"/>
  <c r="DB31" i="1"/>
  <c r="CZ35" i="1"/>
  <c r="DB37" i="1"/>
  <c r="DE37" i="1"/>
  <c r="DB41" i="1"/>
  <c r="CW42" i="1"/>
  <c r="DE45" i="1"/>
  <c r="DA23" i="1"/>
  <c r="DE27" i="1"/>
  <c r="CZ30" i="1"/>
  <c r="DD32" i="1"/>
  <c r="CW33" i="1"/>
  <c r="CX33" i="1"/>
  <c r="DD33" i="1"/>
  <c r="DC34" i="1"/>
  <c r="CW35" i="1"/>
  <c r="DE36" i="1"/>
  <c r="CX37" i="1"/>
  <c r="DF38" i="1"/>
  <c r="DF20" i="1"/>
  <c r="DB24" i="1"/>
  <c r="DC26" i="1"/>
  <c r="CX28" i="1"/>
  <c r="DC29" i="1"/>
  <c r="CY30" i="1"/>
  <c r="CY32" i="1"/>
  <c r="DA32" i="1"/>
  <c r="DD37" i="1"/>
  <c r="DA38" i="1"/>
  <c r="DC38" i="1"/>
  <c r="CZ38" i="1"/>
  <c r="DF39" i="1"/>
  <c r="DF40" i="1"/>
  <c r="DC41" i="1"/>
  <c r="DE42" i="1"/>
  <c r="CW43" i="1"/>
  <c r="DD52" i="1"/>
  <c r="DF52" i="1"/>
  <c r="DB54" i="1"/>
  <c r="CX31" i="1"/>
  <c r="DC32" i="1"/>
  <c r="DE35" i="1"/>
  <c r="CW36" i="1"/>
  <c r="CW38" i="1"/>
  <c r="DE38" i="1"/>
  <c r="CW39" i="1"/>
  <c r="CZ46" i="1"/>
  <c r="DA48" i="1"/>
  <c r="CX49" i="1"/>
  <c r="DD50" i="1"/>
  <c r="DD31" i="1"/>
  <c r="DA34" i="1"/>
  <c r="CY36" i="1"/>
  <c r="DA43" i="1"/>
  <c r="CZ44" i="1"/>
  <c r="CY45" i="1"/>
  <c r="DB46" i="1"/>
  <c r="DC46" i="1"/>
  <c r="DE46" i="1"/>
  <c r="CW47" i="1"/>
  <c r="DB47" i="1"/>
  <c r="DE47" i="1"/>
  <c r="CZ48" i="1"/>
  <c r="CY49" i="1"/>
  <c r="DB49" i="1"/>
  <c r="DB50" i="1"/>
  <c r="CW52" i="1"/>
  <c r="DE52" i="1"/>
  <c r="CZ53" i="1"/>
  <c r="DC53" i="1"/>
  <c r="CZ55" i="1"/>
  <c r="DE44" i="1"/>
  <c r="CX47" i="1"/>
  <c r="DA47" i="1"/>
  <c r="DF47" i="1"/>
  <c r="CY48" i="1"/>
  <c r="CY50" i="1"/>
  <c r="DF50" i="1"/>
  <c r="CZ52" i="1"/>
  <c r="CX53" i="1"/>
  <c r="CX54" i="1"/>
  <c r="DC54" i="1"/>
  <c r="CX55" i="1"/>
  <c r="DA55" i="1"/>
  <c r="DF55" i="1"/>
  <c r="DD48" i="1"/>
  <c r="DC50" i="1"/>
  <c r="DA51" i="1"/>
  <c r="CY54" i="1"/>
  <c r="CW55" i="1"/>
  <c r="DE55" i="1"/>
  <c r="CW48" i="1"/>
  <c r="DE48" i="1"/>
  <c r="DC49" i="1"/>
  <c r="DA52" i="1"/>
  <c r="CY53" i="1"/>
  <c r="DE8" i="1" l="1"/>
  <c r="CX48" i="1"/>
  <c r="CX23" i="1"/>
  <c r="CY46" i="1"/>
  <c r="CX36" i="1"/>
  <c r="CX40" i="1"/>
  <c r="DD23" i="1"/>
  <c r="CX39" i="1"/>
  <c r="CW26" i="1"/>
  <c r="DC24" i="1"/>
  <c r="DA39" i="1"/>
  <c r="CZ17" i="1"/>
  <c r="CZ39" i="1"/>
  <c r="CX50" i="1"/>
  <c r="DB9" i="1"/>
  <c r="DE21" i="1"/>
  <c r="CW11" i="1"/>
  <c r="DB22" i="1"/>
  <c r="DB26" i="1"/>
  <c r="DF31" i="1"/>
  <c r="DF44" i="1"/>
  <c r="DA26" i="1"/>
  <c r="DB19" i="1"/>
  <c r="CX12" i="1"/>
  <c r="DD54" i="1"/>
  <c r="CZ25" i="1"/>
  <c r="DF29" i="1"/>
  <c r="DC8" i="1"/>
  <c r="CY37" i="1"/>
  <c r="DD26" i="1"/>
  <c r="CW24" i="1"/>
  <c r="DA22" i="1"/>
  <c r="DF27" i="1"/>
  <c r="DD22" i="1"/>
  <c r="DB45" i="1"/>
  <c r="DD53" i="1"/>
  <c r="DC39" i="1"/>
  <c r="DB27" i="1"/>
  <c r="CW22" i="1"/>
  <c r="CX27" i="1"/>
  <c r="DE22" i="1"/>
  <c r="DF51" i="1"/>
  <c r="DC48" i="1"/>
  <c r="CY52" i="1"/>
  <c r="DF42" i="1"/>
  <c r="DB42" i="1"/>
  <c r="DD17" i="1"/>
  <c r="DA21" i="1"/>
  <c r="DE18" i="1"/>
  <c r="DE50" i="1"/>
  <c r="CZ49" i="1"/>
  <c r="DE54" i="1"/>
  <c r="DD45" i="1"/>
  <c r="CW54" i="1"/>
  <c r="CW41" i="1"/>
  <c r="DD36" i="1"/>
  <c r="CX41" i="1"/>
  <c r="DE41" i="1"/>
  <c r="DD39" i="1"/>
  <c r="DF33" i="1"/>
  <c r="CZ32" i="1"/>
  <c r="DE30" i="1"/>
  <c r="CY24" i="1"/>
  <c r="DF30" i="1"/>
  <c r="CZ29" i="1"/>
  <c r="CX15" i="1"/>
  <c r="DD25" i="1"/>
  <c r="DB15" i="1"/>
  <c r="CX51" i="1"/>
  <c r="CY44" i="1"/>
  <c r="DE33" i="1"/>
  <c r="DC31" i="1"/>
  <c r="DF43" i="1"/>
  <c r="DE40" i="1"/>
  <c r="CW25" i="1"/>
  <c r="DA18" i="1"/>
  <c r="DA46" i="1"/>
  <c r="DA37" i="1"/>
  <c r="CY35" i="1"/>
  <c r="CZ21" i="1"/>
  <c r="CX22" i="1"/>
  <c r="DB11" i="1"/>
  <c r="CX19" i="1"/>
  <c r="CY12" i="1"/>
  <c r="CZ9" i="1"/>
  <c r="DA54" i="1"/>
  <c r="CW50" i="1"/>
  <c r="DB55" i="1"/>
  <c r="CX43" i="1"/>
  <c r="CZ40" i="1"/>
  <c r="CX34" i="1"/>
  <c r="DF34" i="1"/>
  <c r="DD49" i="1"/>
  <c r="DA40" i="1"/>
  <c r="CY39" i="1"/>
  <c r="DB38" i="1"/>
  <c r="DA33" i="1"/>
  <c r="DF23" i="1"/>
  <c r="DA30" i="1"/>
  <c r="DE26" i="1"/>
  <c r="DB23" i="1"/>
  <c r="DC20" i="1"/>
  <c r="DE14" i="1"/>
  <c r="CY43" i="1"/>
  <c r="DC35" i="1"/>
  <c r="DC27" i="1"/>
  <c r="DF11" i="1"/>
  <c r="CW10" i="1"/>
  <c r="F101" i="30"/>
  <c r="I93" i="30"/>
  <c r="D6" i="30"/>
  <c r="D5" i="30"/>
  <c r="K42" i="29"/>
  <c r="K41" i="29"/>
  <c r="A15" i="28"/>
  <c r="A14" i="28"/>
  <c r="BR35" i="25" l="1"/>
  <c r="BR45" i="25"/>
  <c r="BR27" i="25"/>
  <c r="BR41" i="25"/>
  <c r="BO16" i="25"/>
  <c r="BO39" i="25"/>
  <c r="BO31" i="25"/>
  <c r="BO24" i="25"/>
  <c r="BL36" i="25"/>
  <c r="BL22" i="25"/>
  <c r="BR51" i="25"/>
  <c r="BO53" i="25"/>
  <c r="BL52" i="25"/>
  <c r="BL29" i="25"/>
  <c r="BL25" i="25"/>
  <c r="BL24" i="25"/>
  <c r="BL18" i="25"/>
  <c r="BR43" i="25"/>
  <c r="BO9" i="25"/>
  <c r="BL53" i="25"/>
  <c r="BL44" i="25"/>
  <c r="BL28" i="25"/>
  <c r="BI14" i="25"/>
  <c r="BF36" i="25"/>
  <c r="BC33" i="25"/>
  <c r="BR53" i="25"/>
  <c r="BI45" i="25"/>
  <c r="BI27" i="25"/>
  <c r="BI10" i="25"/>
  <c r="BF51" i="25"/>
  <c r="BF47" i="25"/>
  <c r="BF26" i="25"/>
  <c r="BF18" i="25"/>
  <c r="BF10" i="25"/>
  <c r="BC50" i="25"/>
  <c r="BC47" i="25"/>
  <c r="BC25" i="25"/>
  <c r="BC19" i="25"/>
  <c r="BC8" i="25"/>
  <c r="BR7" i="25"/>
  <c r="BO30" i="25"/>
  <c r="BL20" i="25"/>
  <c r="BF53" i="25"/>
  <c r="BF12" i="25"/>
  <c r="BC52" i="25"/>
  <c r="BC30" i="25"/>
  <c r="BC27" i="25"/>
  <c r="BC9" i="25"/>
  <c r="BR49" i="25"/>
  <c r="BL48" i="25"/>
  <c r="BL38" i="25"/>
  <c r="BI52" i="25"/>
  <c r="BI35" i="25"/>
  <c r="BI21" i="25"/>
  <c r="BI15" i="25"/>
  <c r="BF30" i="25"/>
  <c r="BF14" i="25"/>
  <c r="BC13" i="25"/>
  <c r="AZ52" i="25"/>
  <c r="AZ49" i="25"/>
  <c r="AZ48" i="25"/>
  <c r="BO14" i="25"/>
  <c r="BI29" i="25"/>
  <c r="BI8" i="25"/>
  <c r="BC35" i="25"/>
  <c r="BC31" i="25"/>
  <c r="AZ19" i="25"/>
  <c r="BI48" i="25"/>
  <c r="BF28" i="25"/>
  <c r="BF16" i="25"/>
  <c r="BC37" i="25"/>
  <c r="BC21" i="25"/>
  <c r="BC17" i="25"/>
  <c r="AZ33" i="25"/>
  <c r="AZ32" i="25"/>
  <c r="AZ21" i="25"/>
  <c r="AZ11" i="25"/>
  <c r="AZ53" i="25"/>
  <c r="AZ13" i="25"/>
  <c r="BR19" i="25"/>
  <c r="BL41" i="25"/>
  <c r="BC49" i="25"/>
  <c r="BC45" i="25"/>
  <c r="BC7" i="25"/>
  <c r="AW52" i="25"/>
  <c r="BI9" i="25"/>
  <c r="BF24" i="25"/>
  <c r="BF8" i="25"/>
  <c r="AT29" i="25"/>
  <c r="AT14" i="25"/>
  <c r="AQ36" i="25"/>
  <c r="AQ21" i="25"/>
  <c r="BC11" i="25"/>
  <c r="AZ45" i="25"/>
  <c r="AT26" i="25"/>
  <c r="AQ40" i="25"/>
  <c r="AQ22" i="25"/>
  <c r="AN18" i="25"/>
  <c r="AZ35" i="25"/>
  <c r="AZ15" i="25"/>
  <c r="AW24" i="25"/>
  <c r="AW11" i="25"/>
  <c r="AT48" i="25"/>
  <c r="AT34" i="25"/>
  <c r="AQ33" i="25"/>
  <c r="AQ29" i="25"/>
  <c r="AQ25" i="25"/>
  <c r="AQ17" i="25"/>
  <c r="AN27" i="25"/>
  <c r="AN8" i="25"/>
  <c r="AT20" i="25"/>
  <c r="BL14" i="25"/>
  <c r="AZ44" i="25"/>
  <c r="AT42" i="25"/>
  <c r="AN43" i="25"/>
  <c r="AN22" i="25"/>
  <c r="AN50" i="25"/>
  <c r="AN55" i="25"/>
  <c r="AN40" i="25"/>
  <c r="AT27" i="25"/>
  <c r="AQ19" i="25"/>
  <c r="AW10" i="25"/>
  <c r="AW20" i="25"/>
  <c r="AZ41" i="25"/>
  <c r="AZ47" i="25"/>
  <c r="AQ35" i="25"/>
  <c r="AZ26" i="25"/>
  <c r="BO15" i="25"/>
  <c r="AN39" i="25"/>
  <c r="AN53" i="25"/>
  <c r="AQ9" i="25"/>
  <c r="AQ30" i="25"/>
  <c r="AQ41" i="25"/>
  <c r="AT23" i="25"/>
  <c r="AT45" i="25"/>
  <c r="AT51" i="25"/>
  <c r="AN25" i="25"/>
  <c r="AN29" i="25"/>
  <c r="AN52" i="25"/>
  <c r="AQ7" i="25"/>
  <c r="AQ24" i="25"/>
  <c r="AQ37" i="25"/>
  <c r="AQ53" i="25"/>
  <c r="AT18" i="25"/>
  <c r="AT30" i="25"/>
  <c r="AT54" i="25"/>
  <c r="AW22" i="25"/>
  <c r="AW42" i="25"/>
  <c r="BC54" i="25"/>
  <c r="BF35" i="25"/>
  <c r="BF44" i="25"/>
  <c r="AN17" i="25"/>
  <c r="AT47" i="25"/>
  <c r="BI37" i="25"/>
  <c r="BL13" i="25"/>
  <c r="BO11" i="25"/>
  <c r="BR17" i="25"/>
  <c r="AN47" i="25"/>
  <c r="AT8" i="25"/>
  <c r="AT12" i="25"/>
  <c r="AW12" i="25"/>
  <c r="AW17" i="25"/>
  <c r="AW40" i="25"/>
  <c r="AW47" i="25"/>
  <c r="AZ7" i="25"/>
  <c r="AZ22" i="25"/>
  <c r="AZ24" i="25"/>
  <c r="AZ27" i="25"/>
  <c r="BC53" i="25"/>
  <c r="BF31" i="25"/>
  <c r="BF40" i="25"/>
  <c r="BI28" i="25"/>
  <c r="BI39" i="25"/>
  <c r="BI24" i="25"/>
  <c r="BL40" i="25"/>
  <c r="BR9" i="25"/>
  <c r="AZ18" i="25"/>
  <c r="AZ37" i="25"/>
  <c r="BC15" i="25"/>
  <c r="BC32" i="25"/>
  <c r="BF23" i="25"/>
  <c r="BI54" i="25"/>
  <c r="BR54" i="25"/>
  <c r="BF34" i="25"/>
  <c r="BF38" i="25"/>
  <c r="BF48" i="25"/>
  <c r="BL45" i="25"/>
  <c r="BO21" i="25"/>
  <c r="BO42" i="25"/>
  <c r="BR18" i="25"/>
  <c r="BL37" i="25"/>
  <c r="BO13" i="25"/>
  <c r="BO22" i="25"/>
  <c r="AZ54" i="25"/>
  <c r="AZ55" i="25"/>
  <c r="BC10" i="25"/>
  <c r="BC22" i="25"/>
  <c r="BF13" i="25"/>
  <c r="BF39" i="25"/>
  <c r="BF52" i="25"/>
  <c r="BL8" i="25"/>
  <c r="BL31" i="25"/>
  <c r="BL33" i="25"/>
  <c r="BL51" i="25"/>
  <c r="BR10" i="25"/>
  <c r="BR37" i="25"/>
  <c r="BI36" i="25"/>
  <c r="BI40" i="25"/>
  <c r="BI51" i="25"/>
  <c r="BO19" i="25"/>
  <c r="BR34" i="25"/>
  <c r="BR36" i="25"/>
  <c r="BO46" i="25"/>
  <c r="BL54" i="25"/>
  <c r="BO20" i="25"/>
  <c r="BO48" i="25"/>
  <c r="BR33" i="25"/>
  <c r="BR50" i="25"/>
  <c r="AN6" i="25"/>
  <c r="V37" i="44" s="1"/>
  <c r="AQ6" i="25"/>
  <c r="V38" i="44" s="1"/>
  <c r="AQ14" i="25"/>
  <c r="AT38" i="25"/>
  <c r="AT50" i="25"/>
  <c r="AQ12" i="25"/>
  <c r="AW39" i="25"/>
  <c r="BL16" i="25"/>
  <c r="AT36" i="25"/>
  <c r="BI41" i="25"/>
  <c r="AN41" i="25"/>
  <c r="AN54" i="25"/>
  <c r="AQ28" i="25"/>
  <c r="AT33" i="25"/>
  <c r="AN9" i="25"/>
  <c r="AN12" i="25"/>
  <c r="AN13" i="25"/>
  <c r="AT17" i="25"/>
  <c r="BC34" i="25"/>
  <c r="BF25" i="25"/>
  <c r="BI23" i="25"/>
  <c r="BI47" i="25"/>
  <c r="BL26" i="25"/>
  <c r="AT35" i="25"/>
  <c r="AW49" i="25"/>
  <c r="AQ18" i="25"/>
  <c r="AW53" i="25"/>
  <c r="AZ12" i="25"/>
  <c r="BC29" i="25"/>
  <c r="BF54" i="25"/>
  <c r="AZ8" i="25"/>
  <c r="BC16" i="25"/>
  <c r="BF32" i="25"/>
  <c r="BI26" i="25"/>
  <c r="BI46" i="25"/>
  <c r="BI30" i="25"/>
  <c r="BI20" i="25"/>
  <c r="BL55" i="25"/>
  <c r="BR46" i="25"/>
  <c r="BO40" i="25"/>
  <c r="BR32" i="25"/>
  <c r="BR42" i="25"/>
  <c r="BR48" i="25"/>
  <c r="AT19" i="25"/>
  <c r="BC38" i="25"/>
  <c r="BI18" i="25"/>
  <c r="AN31" i="25"/>
  <c r="AN44" i="25"/>
  <c r="AQ38" i="25"/>
  <c r="AN38" i="25"/>
  <c r="AW8" i="25"/>
  <c r="AZ31" i="25"/>
  <c r="AZ42" i="25"/>
  <c r="BC18" i="25"/>
  <c r="BI7" i="25"/>
  <c r="BI25" i="25"/>
  <c r="AN24" i="25"/>
  <c r="AQ55" i="25"/>
  <c r="AT28" i="25"/>
  <c r="AW55" i="25"/>
  <c r="BF27" i="25"/>
  <c r="AT37" i="25"/>
  <c r="AW28" i="25"/>
  <c r="AW19" i="25"/>
  <c r="AZ9" i="25"/>
  <c r="AZ39" i="25"/>
  <c r="BI38" i="25"/>
  <c r="BR25" i="25"/>
  <c r="AN46" i="25"/>
  <c r="AQ51" i="25"/>
  <c r="AW18" i="25"/>
  <c r="AW34" i="25"/>
  <c r="AW44" i="25"/>
  <c r="AN26" i="25"/>
  <c r="AN49" i="25"/>
  <c r="AQ50" i="25"/>
  <c r="AT32" i="25"/>
  <c r="AN10" i="25"/>
  <c r="AN16" i="25"/>
  <c r="AN28" i="25"/>
  <c r="AN30" i="25"/>
  <c r="AN33" i="25"/>
  <c r="AN35" i="25"/>
  <c r="AQ10" i="25"/>
  <c r="AQ20" i="25"/>
  <c r="AQ31" i="25"/>
  <c r="AQ52" i="25"/>
  <c r="AT9" i="25"/>
  <c r="AT15" i="25"/>
  <c r="AT21" i="25"/>
  <c r="AT43" i="25"/>
  <c r="AT53" i="25"/>
  <c r="AW9" i="25"/>
  <c r="AW25" i="25"/>
  <c r="AW29" i="25"/>
  <c r="AW36" i="25"/>
  <c r="AW46" i="25"/>
  <c r="AW51" i="25"/>
  <c r="AZ25" i="25"/>
  <c r="AZ43" i="25"/>
  <c r="BF20" i="25"/>
  <c r="BF42" i="25"/>
  <c r="BI33" i="25"/>
  <c r="BF50" i="25"/>
  <c r="AN20" i="25"/>
  <c r="AQ45" i="25"/>
  <c r="AT44" i="25"/>
  <c r="AW14" i="25"/>
  <c r="AW21" i="25"/>
  <c r="AW26" i="25"/>
  <c r="AW31" i="25"/>
  <c r="AW33" i="25"/>
  <c r="AZ23" i="25"/>
  <c r="AZ34" i="25"/>
  <c r="BC12" i="25"/>
  <c r="BC41" i="25"/>
  <c r="BL35" i="25"/>
  <c r="BO54" i="25"/>
  <c r="AZ29" i="25"/>
  <c r="AZ38" i="25"/>
  <c r="BC24" i="25"/>
  <c r="BC36" i="25"/>
  <c r="BC42" i="25"/>
  <c r="BF46" i="25"/>
  <c r="BR21" i="25"/>
  <c r="BR30" i="25"/>
  <c r="BR38" i="25"/>
  <c r="BC39" i="25"/>
  <c r="BC40" i="25"/>
  <c r="BC51" i="25"/>
  <c r="BF37" i="25"/>
  <c r="BI32" i="25"/>
  <c r="BL17" i="25"/>
  <c r="BO37" i="25"/>
  <c r="BO50" i="25"/>
  <c r="BO43" i="25"/>
  <c r="AZ51" i="25"/>
  <c r="BC14" i="25"/>
  <c r="BC55" i="25"/>
  <c r="BF7" i="25"/>
  <c r="BF15" i="25"/>
  <c r="BI34" i="25"/>
  <c r="BL21" i="25"/>
  <c r="BL32" i="25"/>
  <c r="BI43" i="25"/>
  <c r="BI44" i="25"/>
  <c r="BL42" i="25"/>
  <c r="BO10" i="25"/>
  <c r="BR29" i="25"/>
  <c r="BO29" i="25"/>
  <c r="BR22" i="25"/>
  <c r="BR24" i="25"/>
  <c r="BR39" i="25"/>
  <c r="BR31" i="25"/>
  <c r="BR55" i="25"/>
  <c r="BO7" i="25"/>
  <c r="BO28" i="25"/>
  <c r="BO52" i="25"/>
  <c r="BR16" i="25"/>
  <c r="BR26" i="25"/>
  <c r="BR6" i="25"/>
  <c r="V48" i="44" s="1"/>
  <c r="BI6" i="25"/>
  <c r="V44" i="44" s="1"/>
  <c r="BF6" i="25"/>
  <c r="V43" i="44" s="1"/>
  <c r="BC6" i="25"/>
  <c r="V42" i="44" s="1"/>
  <c r="AT6" i="25"/>
  <c r="V39" i="44" s="1"/>
  <c r="AQ47" i="25"/>
  <c r="AW50" i="25"/>
  <c r="AZ14" i="25"/>
  <c r="AN21" i="25"/>
  <c r="AQ32" i="25"/>
  <c r="AQ44" i="25"/>
  <c r="AN34" i="25"/>
  <c r="AQ46" i="25"/>
  <c r="AT10" i="25"/>
  <c r="AW45" i="25"/>
  <c r="BI22" i="25"/>
  <c r="BI16" i="25"/>
  <c r="AW54" i="25"/>
  <c r="AZ17" i="25"/>
  <c r="BC48" i="25"/>
  <c r="BF22" i="25"/>
  <c r="AQ11" i="25"/>
  <c r="AN37" i="25"/>
  <c r="AQ54" i="25"/>
  <c r="AT31" i="25"/>
  <c r="AT39" i="25"/>
  <c r="AT49" i="25"/>
  <c r="AN14" i="25"/>
  <c r="AQ16" i="25"/>
  <c r="AT55" i="25"/>
  <c r="AW23" i="25"/>
  <c r="AW37" i="25"/>
  <c r="BI13" i="25"/>
  <c r="BI17" i="25"/>
  <c r="AN7" i="25"/>
  <c r="AT41" i="25"/>
  <c r="AN19" i="25"/>
  <c r="AW15" i="25"/>
  <c r="AW30" i="25"/>
  <c r="AZ10" i="25"/>
  <c r="AZ16" i="25"/>
  <c r="AZ28" i="25"/>
  <c r="BF45" i="25"/>
  <c r="BI12" i="25"/>
  <c r="BL10" i="25"/>
  <c r="AZ46" i="25"/>
  <c r="BF19" i="25"/>
  <c r="BF29" i="25"/>
  <c r="BF43" i="25"/>
  <c r="BI42" i="25"/>
  <c r="BL46" i="25"/>
  <c r="BO18" i="25"/>
  <c r="BC20" i="25"/>
  <c r="BC28" i="25"/>
  <c r="BC44" i="25"/>
  <c r="BC46" i="25"/>
  <c r="BF11" i="25"/>
  <c r="BF33" i="25"/>
  <c r="BF41" i="25"/>
  <c r="BL12" i="25"/>
  <c r="BO45" i="25"/>
  <c r="BL23" i="25"/>
  <c r="BL47" i="25"/>
  <c r="BL49" i="25"/>
  <c r="BL50" i="25"/>
  <c r="BR28" i="25"/>
  <c r="BO26" i="25"/>
  <c r="BR11" i="25"/>
  <c r="BR13" i="25"/>
  <c r="BO6" i="25"/>
  <c r="V47" i="44" s="1"/>
  <c r="AW6" i="25"/>
  <c r="V40" i="44" s="1"/>
  <c r="AT13" i="25"/>
  <c r="AZ40" i="25"/>
  <c r="AN36" i="25"/>
  <c r="AN23" i="25"/>
  <c r="AW27" i="25"/>
  <c r="AZ20" i="25"/>
  <c r="BF49" i="25"/>
  <c r="AN32" i="25"/>
  <c r="AW48" i="25"/>
  <c r="AZ36" i="25"/>
  <c r="AQ26" i="25"/>
  <c r="AT52" i="25"/>
  <c r="AZ50" i="25"/>
  <c r="BC26" i="25"/>
  <c r="AN15" i="25"/>
  <c r="AT24" i="25"/>
  <c r="AW38" i="25"/>
  <c r="BF21" i="25"/>
  <c r="BO8" i="25"/>
  <c r="AN11" i="25"/>
  <c r="AQ8" i="25"/>
  <c r="AQ13" i="25"/>
  <c r="AQ27" i="25"/>
  <c r="AQ34" i="25"/>
  <c r="AQ43" i="25"/>
  <c r="AQ48" i="25"/>
  <c r="AT46" i="25"/>
  <c r="AN48" i="25"/>
  <c r="AN51" i="25"/>
  <c r="AQ15" i="25"/>
  <c r="AQ49" i="25"/>
  <c r="AT7" i="25"/>
  <c r="AT16" i="25"/>
  <c r="AT25" i="25"/>
  <c r="AT40" i="25"/>
  <c r="AW32" i="25"/>
  <c r="AW43" i="25"/>
  <c r="AN42" i="25"/>
  <c r="AQ23" i="25"/>
  <c r="BF55" i="25"/>
  <c r="AN45" i="25"/>
  <c r="AQ39" i="25"/>
  <c r="AQ42" i="25"/>
  <c r="AT11" i="25"/>
  <c r="AT22" i="25"/>
  <c r="AW7" i="25"/>
  <c r="AW13" i="25"/>
  <c r="AW16" i="25"/>
  <c r="AW35" i="25"/>
  <c r="AW41" i="25"/>
  <c r="BC23" i="25"/>
  <c r="BI50" i="25"/>
  <c r="BL39" i="25"/>
  <c r="BI49" i="25"/>
  <c r="BO51" i="25"/>
  <c r="BR52" i="25"/>
  <c r="AZ30" i="25"/>
  <c r="BI31" i="25"/>
  <c r="BI53" i="25"/>
  <c r="BL6" i="25"/>
  <c r="V46" i="44" s="1"/>
  <c r="BL19" i="25"/>
  <c r="BO23" i="25"/>
  <c r="BO38" i="25"/>
  <c r="BC43" i="25"/>
  <c r="BI11" i="25"/>
  <c r="BL9" i="25"/>
  <c r="BL15" i="25"/>
  <c r="BL27" i="25"/>
  <c r="BO12" i="25"/>
  <c r="BO49" i="25"/>
  <c r="BR40" i="25"/>
  <c r="BF9" i="25"/>
  <c r="BF17" i="25"/>
  <c r="BI19" i="25"/>
  <c r="BI55" i="25"/>
  <c r="BL11" i="25"/>
  <c r="BL30" i="25"/>
  <c r="BL43" i="25"/>
  <c r="BO35" i="25"/>
  <c r="BO44" i="25"/>
  <c r="BR14" i="25"/>
  <c r="BL7" i="25"/>
  <c r="BL34" i="25"/>
  <c r="BO27" i="25"/>
  <c r="BO34" i="25"/>
  <c r="BO36" i="25"/>
  <c r="BR8" i="25"/>
  <c r="BR15" i="25"/>
  <c r="BR23" i="25"/>
  <c r="BR47" i="25"/>
  <c r="BO25" i="25"/>
  <c r="BO41" i="25"/>
  <c r="BO55" i="25"/>
  <c r="BR12" i="25"/>
  <c r="BR20" i="25"/>
  <c r="BO47" i="25"/>
  <c r="BR44" i="25"/>
  <c r="BO17" i="25"/>
  <c r="BO32" i="25"/>
  <c r="BO33" i="25"/>
  <c r="AZ6" i="25"/>
  <c r="V41" i="44" s="1"/>
  <c r="C7" i="25" l="1"/>
  <c r="C8" i="25"/>
  <c r="C9" i="25"/>
  <c r="C10" i="25"/>
  <c r="C11" i="25"/>
  <c r="C12" i="25"/>
  <c r="C13" i="25"/>
  <c r="C14" i="25"/>
  <c r="C15" i="25"/>
  <c r="C16" i="25"/>
  <c r="C17" i="25"/>
  <c r="C18" i="25"/>
  <c r="C19" i="25"/>
  <c r="C20" i="25"/>
  <c r="C21" i="25"/>
  <c r="C22" i="25"/>
  <c r="C23" i="25"/>
  <c r="C24" i="25"/>
  <c r="C25" i="25"/>
  <c r="C26" i="25"/>
  <c r="C6" i="25"/>
  <c r="B7" i="25"/>
  <c r="B8"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B36" i="25"/>
  <c r="B37" i="25"/>
  <c r="B38" i="25"/>
  <c r="B39" i="25"/>
  <c r="B40" i="25"/>
  <c r="B41" i="25"/>
  <c r="B42" i="25"/>
  <c r="B43" i="25"/>
  <c r="B44" i="25"/>
  <c r="B45" i="25"/>
  <c r="B46" i="25"/>
  <c r="B47" i="25"/>
  <c r="B48" i="25"/>
  <c r="B49" i="25"/>
  <c r="B50" i="25"/>
  <c r="B51" i="25"/>
  <c r="B52" i="25"/>
  <c r="B53" i="25"/>
  <c r="B54" i="25"/>
  <c r="B55" i="25"/>
  <c r="B6" i="25"/>
  <c r="U46" i="25" l="1"/>
  <c r="D54" i="34"/>
  <c r="AH54" i="34" s="1"/>
  <c r="AA54" i="34" s="1"/>
  <c r="W55" i="41" s="1"/>
  <c r="C54" i="34"/>
  <c r="D53" i="34"/>
  <c r="AH53" i="34" s="1"/>
  <c r="AA53" i="34" s="1"/>
  <c r="W54" i="41" s="1"/>
  <c r="C53" i="34"/>
  <c r="D52" i="34"/>
  <c r="AH52" i="34" s="1"/>
  <c r="AA52" i="34" s="1"/>
  <c r="W53" i="41" s="1"/>
  <c r="C52" i="34"/>
  <c r="D51" i="34"/>
  <c r="AH51" i="34" s="1"/>
  <c r="AA51" i="34" s="1"/>
  <c r="W52" i="41" s="1"/>
  <c r="C51" i="34"/>
  <c r="D50" i="34"/>
  <c r="AH50" i="34" s="1"/>
  <c r="AA50" i="34" s="1"/>
  <c r="W51" i="41" s="1"/>
  <c r="C50" i="34"/>
  <c r="D49" i="34"/>
  <c r="AH49" i="34" s="1"/>
  <c r="AA49" i="34" s="1"/>
  <c r="W50" i="41" s="1"/>
  <c r="C49" i="34"/>
  <c r="D48" i="34"/>
  <c r="AH48" i="34" s="1"/>
  <c r="AA48" i="34" s="1"/>
  <c r="W49" i="41" s="1"/>
  <c r="C48" i="34"/>
  <c r="D47" i="34"/>
  <c r="AH47" i="34" s="1"/>
  <c r="AA47" i="34" s="1"/>
  <c r="W48" i="41" s="1"/>
  <c r="C47" i="34"/>
  <c r="D46" i="34"/>
  <c r="AH46" i="34" s="1"/>
  <c r="AA46" i="34" s="1"/>
  <c r="W47" i="41" s="1"/>
  <c r="C46" i="34"/>
  <c r="D45" i="34"/>
  <c r="AH45" i="34" s="1"/>
  <c r="AA45" i="34" s="1"/>
  <c r="W46" i="41" s="1"/>
  <c r="C45" i="34"/>
  <c r="D44" i="34"/>
  <c r="AH44" i="34" s="1"/>
  <c r="AA44" i="34" s="1"/>
  <c r="W45" i="41" s="1"/>
  <c r="C44" i="34"/>
  <c r="D43" i="34"/>
  <c r="AH43" i="34" s="1"/>
  <c r="AA43" i="34" s="1"/>
  <c r="W44" i="41" s="1"/>
  <c r="C43" i="34"/>
  <c r="D42" i="34"/>
  <c r="AH42" i="34" s="1"/>
  <c r="AA42" i="34" s="1"/>
  <c r="W43" i="41" s="1"/>
  <c r="C42" i="34"/>
  <c r="D41" i="34"/>
  <c r="AH41" i="34" s="1"/>
  <c r="AA41" i="34" s="1"/>
  <c r="W42" i="41" s="1"/>
  <c r="C41" i="34"/>
  <c r="D40" i="34"/>
  <c r="AH40" i="34" s="1"/>
  <c r="AA40" i="34" s="1"/>
  <c r="W41" i="41" s="1"/>
  <c r="C40" i="34"/>
  <c r="D39" i="34"/>
  <c r="AH39" i="34" s="1"/>
  <c r="AA39" i="34" s="1"/>
  <c r="W40" i="41" s="1"/>
  <c r="C39" i="34"/>
  <c r="D38" i="34"/>
  <c r="AH38" i="34" s="1"/>
  <c r="AA38" i="34" s="1"/>
  <c r="W39" i="41" s="1"/>
  <c r="C38" i="34"/>
  <c r="D37" i="34"/>
  <c r="AH37" i="34" s="1"/>
  <c r="AA37" i="34" s="1"/>
  <c r="W38" i="41" s="1"/>
  <c r="C37" i="34"/>
  <c r="D36" i="34"/>
  <c r="AH36" i="34" s="1"/>
  <c r="AA36" i="34" s="1"/>
  <c r="W37" i="41" s="1"/>
  <c r="C36" i="34"/>
  <c r="D35" i="34"/>
  <c r="AH35" i="34" s="1"/>
  <c r="AA35" i="34" s="1"/>
  <c r="W36" i="41" s="1"/>
  <c r="C35" i="34"/>
  <c r="D34" i="34"/>
  <c r="AH34" i="34" s="1"/>
  <c r="AA34" i="34" s="1"/>
  <c r="W35" i="41" s="1"/>
  <c r="C34" i="34"/>
  <c r="D33" i="34"/>
  <c r="AH33" i="34" s="1"/>
  <c r="AA33" i="34" s="1"/>
  <c r="W34" i="41" s="1"/>
  <c r="C33" i="34"/>
  <c r="D32" i="34"/>
  <c r="AH32" i="34" s="1"/>
  <c r="AA32" i="34" s="1"/>
  <c r="W33" i="41" s="1"/>
  <c r="C32" i="34"/>
  <c r="D31" i="34"/>
  <c r="AH31" i="34" s="1"/>
  <c r="AA31" i="34" s="1"/>
  <c r="W32" i="41" s="1"/>
  <c r="C31" i="34"/>
  <c r="D30" i="34"/>
  <c r="AH30" i="34" s="1"/>
  <c r="AA30" i="34" s="1"/>
  <c r="W31" i="41" s="1"/>
  <c r="C30" i="34"/>
  <c r="D29" i="34"/>
  <c r="AH29" i="34" s="1"/>
  <c r="AA29" i="34" s="1"/>
  <c r="W30" i="41" s="1"/>
  <c r="C29" i="34"/>
  <c r="D28" i="34"/>
  <c r="AH28" i="34" s="1"/>
  <c r="AA28" i="34" s="1"/>
  <c r="W29" i="41" s="1"/>
  <c r="C28" i="34"/>
  <c r="D27" i="34"/>
  <c r="AH27" i="34" s="1"/>
  <c r="AA27" i="34" s="1"/>
  <c r="W28" i="41" s="1"/>
  <c r="C27" i="34"/>
  <c r="D26" i="34"/>
  <c r="AH26" i="34" s="1"/>
  <c r="AA26" i="34" s="1"/>
  <c r="W27" i="41" s="1"/>
  <c r="C26" i="34"/>
  <c r="V26" i="25"/>
  <c r="D25" i="34"/>
  <c r="AH25" i="34" s="1"/>
  <c r="AA25" i="34" s="1"/>
  <c r="W26" i="41" s="1"/>
  <c r="C25" i="34"/>
  <c r="D24" i="34"/>
  <c r="AH24" i="34" s="1"/>
  <c r="AA24" i="34" s="1"/>
  <c r="W25" i="41" s="1"/>
  <c r="C24" i="34"/>
  <c r="D23" i="34"/>
  <c r="AH23" i="34" s="1"/>
  <c r="AA23" i="34" s="1"/>
  <c r="W24" i="41" s="1"/>
  <c r="C23" i="34"/>
  <c r="D22" i="34"/>
  <c r="AH22" i="34" s="1"/>
  <c r="AA22" i="34" s="1"/>
  <c r="W23" i="41" s="1"/>
  <c r="C22" i="34"/>
  <c r="D21" i="34"/>
  <c r="AH21" i="34" s="1"/>
  <c r="AA21" i="34" s="1"/>
  <c r="W22" i="41" s="1"/>
  <c r="C21" i="34"/>
  <c r="D20" i="34"/>
  <c r="AH20" i="34" s="1"/>
  <c r="AA20" i="34" s="1"/>
  <c r="W21" i="41" s="1"/>
  <c r="C20" i="34"/>
  <c r="D19" i="34"/>
  <c r="AH19" i="34" s="1"/>
  <c r="AA19" i="34" s="1"/>
  <c r="W20" i="41" s="1"/>
  <c r="C19" i="34"/>
  <c r="D18" i="34"/>
  <c r="AH18" i="34" s="1"/>
  <c r="AA18" i="34" s="1"/>
  <c r="W19" i="41" s="1"/>
  <c r="C18" i="34"/>
  <c r="D17" i="34"/>
  <c r="AH17" i="34" s="1"/>
  <c r="AA17" i="34" s="1"/>
  <c r="W18" i="41" s="1"/>
  <c r="C17" i="34"/>
  <c r="D16" i="34"/>
  <c r="AH16" i="34" s="1"/>
  <c r="AA16" i="34" s="1"/>
  <c r="W17" i="41" s="1"/>
  <c r="C16" i="34"/>
  <c r="D15" i="34"/>
  <c r="AH15" i="34" s="1"/>
  <c r="AA15" i="34" s="1"/>
  <c r="W16" i="41" s="1"/>
  <c r="C15" i="34"/>
  <c r="D14" i="34"/>
  <c r="AH14" i="34" s="1"/>
  <c r="AA14" i="34" s="1"/>
  <c r="W15" i="41" s="1"/>
  <c r="C14" i="34"/>
  <c r="D13" i="34"/>
  <c r="AH13" i="34" s="1"/>
  <c r="AA13" i="34" s="1"/>
  <c r="W14" i="41" s="1"/>
  <c r="C13" i="34"/>
  <c r="D12" i="34"/>
  <c r="AH12" i="34" s="1"/>
  <c r="AA12" i="34" s="1"/>
  <c r="W13" i="41" s="1"/>
  <c r="C12" i="34"/>
  <c r="D11" i="34"/>
  <c r="AH11" i="34" s="1"/>
  <c r="AA11" i="34" s="1"/>
  <c r="W12" i="41" s="1"/>
  <c r="C11" i="34"/>
  <c r="D10" i="34"/>
  <c r="AH10" i="34" s="1"/>
  <c r="AA10" i="34" s="1"/>
  <c r="W11" i="41" s="1"/>
  <c r="C10" i="34"/>
  <c r="D9" i="34"/>
  <c r="AH9" i="34" s="1"/>
  <c r="AA9" i="34" s="1"/>
  <c r="W10" i="41" s="1"/>
  <c r="C9" i="34"/>
  <c r="D8" i="34"/>
  <c r="AH8" i="34" s="1"/>
  <c r="AA8" i="34" s="1"/>
  <c r="W9" i="41" s="1"/>
  <c r="C8" i="34"/>
  <c r="D7" i="34"/>
  <c r="AH7" i="34" s="1"/>
  <c r="AA7" i="34" s="1"/>
  <c r="W8" i="41" s="1"/>
  <c r="C7" i="34"/>
  <c r="D6" i="34"/>
  <c r="AH6" i="34" s="1"/>
  <c r="AA6" i="34" s="1"/>
  <c r="W7" i="41" s="1"/>
  <c r="C6" i="34"/>
  <c r="D5" i="34"/>
  <c r="AH5" i="34" s="1"/>
  <c r="AA5" i="34" s="1"/>
  <c r="W6" i="41" s="1"/>
  <c r="C5" i="34"/>
  <c r="D54" i="33"/>
  <c r="AH54" i="33" s="1"/>
  <c r="AA54" i="33" s="1"/>
  <c r="T55" i="41" s="1"/>
  <c r="C54" i="33"/>
  <c r="D53" i="33"/>
  <c r="AH53" i="33" s="1"/>
  <c r="AA53" i="33" s="1"/>
  <c r="T54" i="41" s="1"/>
  <c r="C53" i="33"/>
  <c r="D52" i="33"/>
  <c r="AH52" i="33" s="1"/>
  <c r="AA52" i="33" s="1"/>
  <c r="T53" i="41" s="1"/>
  <c r="C52" i="33"/>
  <c r="D51" i="33"/>
  <c r="AH51" i="33" s="1"/>
  <c r="AA51" i="33" s="1"/>
  <c r="T52" i="41" s="1"/>
  <c r="C51" i="33"/>
  <c r="S51" i="25"/>
  <c r="D50" i="33"/>
  <c r="AH50" i="33" s="1"/>
  <c r="AA50" i="33" s="1"/>
  <c r="T51" i="41" s="1"/>
  <c r="C50" i="33"/>
  <c r="D49" i="33"/>
  <c r="AH49" i="33" s="1"/>
  <c r="AA49" i="33" s="1"/>
  <c r="T50" i="41" s="1"/>
  <c r="C49" i="33"/>
  <c r="D48" i="33"/>
  <c r="AH48" i="33" s="1"/>
  <c r="AA48" i="33" s="1"/>
  <c r="T49" i="41" s="1"/>
  <c r="C48" i="33"/>
  <c r="D47" i="33"/>
  <c r="AH47" i="33" s="1"/>
  <c r="AA47" i="33" s="1"/>
  <c r="T48" i="41" s="1"/>
  <c r="C47" i="33"/>
  <c r="D46" i="33"/>
  <c r="AH46" i="33" s="1"/>
  <c r="AA46" i="33" s="1"/>
  <c r="T47" i="41" s="1"/>
  <c r="C46" i="33"/>
  <c r="D45" i="33"/>
  <c r="AH45" i="33" s="1"/>
  <c r="AA45" i="33" s="1"/>
  <c r="T46" i="41" s="1"/>
  <c r="C45" i="33"/>
  <c r="D44" i="33"/>
  <c r="AH44" i="33" s="1"/>
  <c r="AA44" i="33" s="1"/>
  <c r="T45" i="41" s="1"/>
  <c r="C44" i="33"/>
  <c r="D43" i="33"/>
  <c r="AH43" i="33" s="1"/>
  <c r="AA43" i="33" s="1"/>
  <c r="T44" i="41" s="1"/>
  <c r="C43" i="33"/>
  <c r="D42" i="33"/>
  <c r="AH42" i="33" s="1"/>
  <c r="AA42" i="33" s="1"/>
  <c r="T43" i="41" s="1"/>
  <c r="C42" i="33"/>
  <c r="D41" i="33"/>
  <c r="AH41" i="33" s="1"/>
  <c r="AA41" i="33" s="1"/>
  <c r="T42" i="41" s="1"/>
  <c r="C41" i="33"/>
  <c r="D40" i="33"/>
  <c r="AH40" i="33" s="1"/>
  <c r="AA40" i="33" s="1"/>
  <c r="T41" i="41" s="1"/>
  <c r="C40" i="33"/>
  <c r="D39" i="33"/>
  <c r="AH39" i="33" s="1"/>
  <c r="AA39" i="33" s="1"/>
  <c r="T40" i="41" s="1"/>
  <c r="C39" i="33"/>
  <c r="D38" i="33"/>
  <c r="AH38" i="33" s="1"/>
  <c r="AA38" i="33" s="1"/>
  <c r="T39" i="41" s="1"/>
  <c r="C38" i="33"/>
  <c r="D37" i="33"/>
  <c r="AH37" i="33" s="1"/>
  <c r="AA37" i="33" s="1"/>
  <c r="T38" i="41" s="1"/>
  <c r="C37" i="33"/>
  <c r="D36" i="33"/>
  <c r="AH36" i="33" s="1"/>
  <c r="AA36" i="33" s="1"/>
  <c r="T37" i="41" s="1"/>
  <c r="C36" i="33"/>
  <c r="D35" i="33"/>
  <c r="AH35" i="33" s="1"/>
  <c r="AA35" i="33" s="1"/>
  <c r="T36" i="41" s="1"/>
  <c r="C35" i="33"/>
  <c r="S35" i="25"/>
  <c r="D34" i="33"/>
  <c r="AH34" i="33" s="1"/>
  <c r="AA34" i="33" s="1"/>
  <c r="T35" i="41" s="1"/>
  <c r="C34" i="33"/>
  <c r="D33" i="33"/>
  <c r="AH33" i="33" s="1"/>
  <c r="AA33" i="33" s="1"/>
  <c r="T34" i="41" s="1"/>
  <c r="C33" i="33"/>
  <c r="D32" i="33"/>
  <c r="AH32" i="33" s="1"/>
  <c r="AA32" i="33" s="1"/>
  <c r="T33" i="41" s="1"/>
  <c r="C32" i="33"/>
  <c r="D31" i="33"/>
  <c r="AH31" i="33" s="1"/>
  <c r="AA31" i="33" s="1"/>
  <c r="T32" i="41" s="1"/>
  <c r="C31" i="33"/>
  <c r="D30" i="33"/>
  <c r="AH30" i="33" s="1"/>
  <c r="AA30" i="33" s="1"/>
  <c r="T31" i="41" s="1"/>
  <c r="C30" i="33"/>
  <c r="D29" i="33"/>
  <c r="AH29" i="33" s="1"/>
  <c r="AA29" i="33" s="1"/>
  <c r="T30" i="41" s="1"/>
  <c r="C29" i="33"/>
  <c r="D28" i="33"/>
  <c r="AH28" i="33" s="1"/>
  <c r="AA28" i="33" s="1"/>
  <c r="T29" i="41" s="1"/>
  <c r="C28" i="33"/>
  <c r="D27" i="33"/>
  <c r="AH27" i="33" s="1"/>
  <c r="AA27" i="33" s="1"/>
  <c r="T28" i="41" s="1"/>
  <c r="C27" i="33"/>
  <c r="D26" i="33"/>
  <c r="AH26" i="33" s="1"/>
  <c r="AA26" i="33" s="1"/>
  <c r="T27" i="41" s="1"/>
  <c r="C26" i="33"/>
  <c r="D25" i="33"/>
  <c r="AH25" i="33" s="1"/>
  <c r="AA25" i="33" s="1"/>
  <c r="T26" i="41" s="1"/>
  <c r="C25" i="33"/>
  <c r="D24" i="33"/>
  <c r="AH24" i="33" s="1"/>
  <c r="AA24" i="33" s="1"/>
  <c r="T25" i="41" s="1"/>
  <c r="C24" i="33"/>
  <c r="D23" i="33"/>
  <c r="AH23" i="33" s="1"/>
  <c r="AA23" i="33" s="1"/>
  <c r="T24" i="41" s="1"/>
  <c r="C23" i="33"/>
  <c r="D22" i="33"/>
  <c r="AH22" i="33" s="1"/>
  <c r="AA22" i="33" s="1"/>
  <c r="T23" i="41" s="1"/>
  <c r="C22" i="33"/>
  <c r="D21" i="33"/>
  <c r="AH21" i="33" s="1"/>
  <c r="AA21" i="33" s="1"/>
  <c r="T22" i="41" s="1"/>
  <c r="C21" i="33"/>
  <c r="D20" i="33"/>
  <c r="AH20" i="33" s="1"/>
  <c r="AA20" i="33" s="1"/>
  <c r="T21" i="41" s="1"/>
  <c r="C20" i="33"/>
  <c r="D19" i="33"/>
  <c r="AH19" i="33" s="1"/>
  <c r="AA19" i="33" s="1"/>
  <c r="T20" i="41" s="1"/>
  <c r="C19" i="33"/>
  <c r="S19" i="25"/>
  <c r="D18" i="33"/>
  <c r="AH18" i="33" s="1"/>
  <c r="AA18" i="33" s="1"/>
  <c r="T19" i="41" s="1"/>
  <c r="C18" i="33"/>
  <c r="D17" i="33"/>
  <c r="AH17" i="33" s="1"/>
  <c r="AA17" i="33" s="1"/>
  <c r="T18" i="41" s="1"/>
  <c r="C17" i="33"/>
  <c r="D16" i="33"/>
  <c r="AH16" i="33" s="1"/>
  <c r="AA16" i="33" s="1"/>
  <c r="T17" i="41" s="1"/>
  <c r="C16" i="33"/>
  <c r="D15" i="33"/>
  <c r="AH15" i="33" s="1"/>
  <c r="AA15" i="33" s="1"/>
  <c r="T16" i="41" s="1"/>
  <c r="C15" i="33"/>
  <c r="D14" i="33"/>
  <c r="AH14" i="33" s="1"/>
  <c r="AA14" i="33" s="1"/>
  <c r="T15" i="41" s="1"/>
  <c r="C14" i="33"/>
  <c r="D13" i="33"/>
  <c r="AH13" i="33" s="1"/>
  <c r="AA13" i="33" s="1"/>
  <c r="T14" i="41" s="1"/>
  <c r="C13" i="33"/>
  <c r="D12" i="33"/>
  <c r="AH12" i="33" s="1"/>
  <c r="AA12" i="33" s="1"/>
  <c r="T13" i="41" s="1"/>
  <c r="C12" i="33"/>
  <c r="D11" i="33"/>
  <c r="AH11" i="33" s="1"/>
  <c r="AA11" i="33" s="1"/>
  <c r="T12" i="41" s="1"/>
  <c r="C11" i="33"/>
  <c r="D10" i="33"/>
  <c r="AH10" i="33" s="1"/>
  <c r="AA10" i="33" s="1"/>
  <c r="T11" i="41" s="1"/>
  <c r="C10" i="33"/>
  <c r="D9" i="33"/>
  <c r="AH9" i="33" s="1"/>
  <c r="AA9" i="33" s="1"/>
  <c r="T10" i="41" s="1"/>
  <c r="C9" i="33"/>
  <c r="S9" i="25"/>
  <c r="D8" i="33"/>
  <c r="AH8" i="33" s="1"/>
  <c r="AA8" i="33" s="1"/>
  <c r="T9" i="41" s="1"/>
  <c r="C8" i="33"/>
  <c r="D7" i="33"/>
  <c r="AH7" i="33" s="1"/>
  <c r="AA7" i="33" s="1"/>
  <c r="T8" i="41" s="1"/>
  <c r="C7" i="33"/>
  <c r="D6" i="33"/>
  <c r="AH6" i="33" s="1"/>
  <c r="AA6" i="33" s="1"/>
  <c r="T7" i="41" s="1"/>
  <c r="C6" i="33"/>
  <c r="D5" i="33"/>
  <c r="AH5" i="33" s="1"/>
  <c r="AA5" i="33" s="1"/>
  <c r="T6" i="41" s="1"/>
  <c r="C5" i="33"/>
  <c r="U27" i="25" l="1"/>
  <c r="U26" i="25"/>
  <c r="U54" i="25"/>
  <c r="U18" i="25"/>
  <c r="R47" i="25"/>
  <c r="R23" i="25"/>
  <c r="R39" i="25"/>
  <c r="R19" i="25"/>
  <c r="R35" i="25"/>
  <c r="R15" i="25"/>
  <c r="R55" i="25"/>
  <c r="R31" i="25"/>
  <c r="R10" i="25"/>
  <c r="R26" i="25"/>
  <c r="U43" i="25"/>
  <c r="U15" i="25"/>
  <c r="R14" i="25"/>
  <c r="U51" i="25"/>
  <c r="U42" i="25"/>
  <c r="U23" i="25"/>
  <c r="U11" i="25"/>
  <c r="R50" i="25"/>
  <c r="R34" i="25"/>
  <c r="R22" i="25"/>
  <c r="R11" i="25"/>
  <c r="U50" i="25"/>
  <c r="U31" i="25"/>
  <c r="U19" i="25"/>
  <c r="U55" i="25"/>
  <c r="U47" i="25"/>
  <c r="U39" i="25"/>
  <c r="U35" i="25"/>
  <c r="U7" i="25"/>
  <c r="U53" i="25"/>
  <c r="U49" i="25"/>
  <c r="U45" i="25"/>
  <c r="U41" i="25"/>
  <c r="U37" i="25"/>
  <c r="U33" i="25"/>
  <c r="U29" i="25"/>
  <c r="U25" i="25"/>
  <c r="U21" i="25"/>
  <c r="U17" i="25"/>
  <c r="U13" i="25"/>
  <c r="U9" i="25"/>
  <c r="U38" i="25"/>
  <c r="U34" i="25"/>
  <c r="U30" i="25"/>
  <c r="U22" i="25"/>
  <c r="U14" i="25"/>
  <c r="U10" i="25"/>
  <c r="U52" i="25"/>
  <c r="U48" i="25"/>
  <c r="U44" i="25"/>
  <c r="U40" i="25"/>
  <c r="U36" i="25"/>
  <c r="U32" i="25"/>
  <c r="U28" i="25"/>
  <c r="U24" i="25"/>
  <c r="U20" i="25"/>
  <c r="U16" i="25"/>
  <c r="U12" i="25"/>
  <c r="U8" i="25"/>
  <c r="R51" i="25"/>
  <c r="R43" i="25"/>
  <c r="R27" i="25"/>
  <c r="R54" i="25"/>
  <c r="R46" i="25"/>
  <c r="R38" i="25"/>
  <c r="R18" i="25"/>
  <c r="R53" i="25"/>
  <c r="R49" i="25"/>
  <c r="R45" i="25"/>
  <c r="R41" i="25"/>
  <c r="R37" i="25"/>
  <c r="R33" i="25"/>
  <c r="R29" i="25"/>
  <c r="R25" i="25"/>
  <c r="R21" i="25"/>
  <c r="R17" i="25"/>
  <c r="R13" i="25"/>
  <c r="R9" i="25"/>
  <c r="R42" i="25"/>
  <c r="R30" i="25"/>
  <c r="R6" i="25"/>
  <c r="U21" i="44" s="1"/>
  <c r="R52" i="25"/>
  <c r="R48" i="25"/>
  <c r="R44" i="25"/>
  <c r="R40" i="25"/>
  <c r="R36" i="25"/>
  <c r="R32" i="25"/>
  <c r="R28" i="25"/>
  <c r="R24" i="25"/>
  <c r="R20" i="25"/>
  <c r="R16" i="25"/>
  <c r="R12" i="25"/>
  <c r="R8" i="25"/>
  <c r="U6" i="25"/>
  <c r="U22" i="44" s="1"/>
  <c r="R7" i="25"/>
  <c r="G31" i="30"/>
  <c r="V38" i="25"/>
  <c r="V54" i="25"/>
  <c r="V10" i="25"/>
  <c r="V42" i="25"/>
  <c r="V22" i="25"/>
  <c r="V18" i="25"/>
  <c r="V34" i="25"/>
  <c r="V50" i="25"/>
  <c r="S48" i="25"/>
  <c r="S16" i="25"/>
  <c r="S40" i="25"/>
  <c r="S24" i="25"/>
  <c r="S8" i="25"/>
  <c r="S32" i="25"/>
  <c r="S43" i="25"/>
  <c r="S27" i="25"/>
  <c r="S11" i="25"/>
  <c r="V8" i="25"/>
  <c r="V12" i="25"/>
  <c r="V16" i="25"/>
  <c r="V20" i="25"/>
  <c r="V24" i="25"/>
  <c r="V28" i="25"/>
  <c r="V32" i="25"/>
  <c r="V36" i="25"/>
  <c r="V40" i="25"/>
  <c r="V44" i="25"/>
  <c r="V48" i="25"/>
  <c r="V52" i="25"/>
  <c r="V9" i="25"/>
  <c r="V13" i="25"/>
  <c r="V17" i="25"/>
  <c r="V21" i="25"/>
  <c r="V29" i="25"/>
  <c r="V33" i="25"/>
  <c r="V37" i="25"/>
  <c r="V41" i="25"/>
  <c r="V49" i="25"/>
  <c r="V53" i="25"/>
  <c r="V11" i="25"/>
  <c r="V15" i="25"/>
  <c r="V19" i="25"/>
  <c r="V23" i="25"/>
  <c r="V27" i="25"/>
  <c r="V31" i="25"/>
  <c r="V35" i="25"/>
  <c r="V39" i="25"/>
  <c r="V43" i="25"/>
  <c r="V47" i="25"/>
  <c r="V51" i="25"/>
  <c r="V25" i="25"/>
  <c r="V45" i="25"/>
  <c r="V46" i="25"/>
  <c r="V30" i="25"/>
  <c r="V14" i="25"/>
  <c r="S52" i="25"/>
  <c r="S44" i="25"/>
  <c r="S36" i="25"/>
  <c r="S28" i="25"/>
  <c r="S20" i="25"/>
  <c r="S12" i="25"/>
  <c r="S47" i="25"/>
  <c r="S39" i="25"/>
  <c r="S31" i="25"/>
  <c r="S23" i="25"/>
  <c r="S15" i="25"/>
  <c r="S54" i="25"/>
  <c r="S50" i="25"/>
  <c r="S46" i="25"/>
  <c r="S42" i="25"/>
  <c r="S38" i="25"/>
  <c r="S34" i="25"/>
  <c r="S30" i="25"/>
  <c r="S26" i="25"/>
  <c r="S22" i="25"/>
  <c r="S18" i="25"/>
  <c r="S14" i="25"/>
  <c r="S10" i="25"/>
  <c r="S53" i="25"/>
  <c r="S49" i="25"/>
  <c r="S45" i="25"/>
  <c r="S41" i="25"/>
  <c r="S37" i="25"/>
  <c r="S33" i="25"/>
  <c r="S29" i="25"/>
  <c r="S25" i="25"/>
  <c r="S21" i="25"/>
  <c r="S17" i="25"/>
  <c r="S13" i="25"/>
  <c r="C36" i="30" l="1"/>
  <c r="C31" i="30"/>
  <c r="G36" i="30"/>
  <c r="V55" i="25"/>
  <c r="V7" i="25"/>
  <c r="H31" i="30"/>
  <c r="V6" i="25"/>
  <c r="V22" i="44" s="1"/>
  <c r="S6" i="25"/>
  <c r="V21" i="44" s="1"/>
  <c r="S7" i="25"/>
  <c r="S55" i="25"/>
  <c r="D22" i="28"/>
  <c r="G11" i="29"/>
  <c r="G10" i="29"/>
  <c r="G8" i="29"/>
  <c r="F80" i="30"/>
  <c r="F79" i="30"/>
  <c r="F78" i="30"/>
  <c r="A58" i="30"/>
  <c r="F53" i="30"/>
  <c r="B53" i="30"/>
  <c r="F52" i="30"/>
  <c r="B52" i="30"/>
  <c r="F51" i="30"/>
  <c r="AJ39" i="25"/>
  <c r="AG12" i="25"/>
  <c r="AG27" i="25"/>
  <c r="AG48" i="25"/>
  <c r="AD21" i="25"/>
  <c r="AD46" i="25"/>
  <c r="D54" i="26"/>
  <c r="AH54" i="26" s="1"/>
  <c r="AA54" i="26" s="1"/>
  <c r="AC55" i="41" s="1"/>
  <c r="C54" i="26"/>
  <c r="D53" i="26"/>
  <c r="AH53" i="26" s="1"/>
  <c r="AA53" i="26" s="1"/>
  <c r="AC54" i="41" s="1"/>
  <c r="C53" i="26"/>
  <c r="D52" i="26"/>
  <c r="AH52" i="26" s="1"/>
  <c r="AA52" i="26" s="1"/>
  <c r="AC53" i="41" s="1"/>
  <c r="C52" i="26"/>
  <c r="D51" i="26"/>
  <c r="AH51" i="26" s="1"/>
  <c r="AA51" i="26" s="1"/>
  <c r="AC52" i="41" s="1"/>
  <c r="C51" i="26"/>
  <c r="D50" i="26"/>
  <c r="AH50" i="26" s="1"/>
  <c r="AA50" i="26" s="1"/>
  <c r="AC51" i="41" s="1"/>
  <c r="C50" i="26"/>
  <c r="D49" i="26"/>
  <c r="AH49" i="26" s="1"/>
  <c r="AA49" i="26" s="1"/>
  <c r="AC50" i="41" s="1"/>
  <c r="C49" i="26"/>
  <c r="D48" i="26"/>
  <c r="AH48" i="26" s="1"/>
  <c r="AA48" i="26" s="1"/>
  <c r="AC49" i="41" s="1"/>
  <c r="C48" i="26"/>
  <c r="D47" i="26"/>
  <c r="AH47" i="26" s="1"/>
  <c r="AA47" i="26" s="1"/>
  <c r="AC48" i="41" s="1"/>
  <c r="C47" i="26"/>
  <c r="D46" i="26"/>
  <c r="AH46" i="26" s="1"/>
  <c r="AA46" i="26" s="1"/>
  <c r="AC47" i="41" s="1"/>
  <c r="C46" i="26"/>
  <c r="D45" i="26"/>
  <c r="AH45" i="26" s="1"/>
  <c r="AA45" i="26" s="1"/>
  <c r="AC46" i="41" s="1"/>
  <c r="C45" i="26"/>
  <c r="D44" i="26"/>
  <c r="AH44" i="26" s="1"/>
  <c r="AA44" i="26" s="1"/>
  <c r="AC45" i="41" s="1"/>
  <c r="C44" i="26"/>
  <c r="D43" i="26"/>
  <c r="AH43" i="26" s="1"/>
  <c r="AA43" i="26" s="1"/>
  <c r="AC44" i="41" s="1"/>
  <c r="C43" i="26"/>
  <c r="D42" i="26"/>
  <c r="AH42" i="26" s="1"/>
  <c r="AA42" i="26" s="1"/>
  <c r="AC43" i="41" s="1"/>
  <c r="C42" i="26"/>
  <c r="D41" i="26"/>
  <c r="AH41" i="26" s="1"/>
  <c r="AA41" i="26" s="1"/>
  <c r="AC42" i="41" s="1"/>
  <c r="C41" i="26"/>
  <c r="D40" i="26"/>
  <c r="AH40" i="26" s="1"/>
  <c r="AA40" i="26" s="1"/>
  <c r="AC41" i="41" s="1"/>
  <c r="C40" i="26"/>
  <c r="D39" i="26"/>
  <c r="AH39" i="26" s="1"/>
  <c r="AA39" i="26" s="1"/>
  <c r="AC40" i="41" s="1"/>
  <c r="C39" i="26"/>
  <c r="D38" i="26"/>
  <c r="AH38" i="26" s="1"/>
  <c r="AA38" i="26" s="1"/>
  <c r="AC39" i="41" s="1"/>
  <c r="C38" i="26"/>
  <c r="D37" i="26"/>
  <c r="AH37" i="26" s="1"/>
  <c r="AA37" i="26" s="1"/>
  <c r="AC38" i="41" s="1"/>
  <c r="C37" i="26"/>
  <c r="D36" i="26"/>
  <c r="AH36" i="26" s="1"/>
  <c r="AA36" i="26" s="1"/>
  <c r="AC37" i="41" s="1"/>
  <c r="C36" i="26"/>
  <c r="D35" i="26"/>
  <c r="AH35" i="26" s="1"/>
  <c r="AA35" i="26" s="1"/>
  <c r="AC36" i="41" s="1"/>
  <c r="C35" i="26"/>
  <c r="D34" i="26"/>
  <c r="AH34" i="26" s="1"/>
  <c r="AA34" i="26" s="1"/>
  <c r="AC35" i="41" s="1"/>
  <c r="C34" i="26"/>
  <c r="D33" i="26"/>
  <c r="AH33" i="26" s="1"/>
  <c r="AA33" i="26" s="1"/>
  <c r="AC34" i="41" s="1"/>
  <c r="C33" i="26"/>
  <c r="D32" i="26"/>
  <c r="AH32" i="26" s="1"/>
  <c r="AA32" i="26" s="1"/>
  <c r="AC33" i="41" s="1"/>
  <c r="C32" i="26"/>
  <c r="D31" i="26"/>
  <c r="AH31" i="26" s="1"/>
  <c r="AA31" i="26" s="1"/>
  <c r="AC32" i="41" s="1"/>
  <c r="C31" i="26"/>
  <c r="D30" i="26"/>
  <c r="AH30" i="26" s="1"/>
  <c r="AA30" i="26" s="1"/>
  <c r="AC31" i="41" s="1"/>
  <c r="C30" i="26"/>
  <c r="D29" i="26"/>
  <c r="AH29" i="26" s="1"/>
  <c r="AA29" i="26" s="1"/>
  <c r="AC30" i="41" s="1"/>
  <c r="C29" i="26"/>
  <c r="D28" i="26"/>
  <c r="AH28" i="26" s="1"/>
  <c r="AA28" i="26" s="1"/>
  <c r="AC29" i="41" s="1"/>
  <c r="C28" i="26"/>
  <c r="D27" i="26"/>
  <c r="AH27" i="26" s="1"/>
  <c r="AA27" i="26" s="1"/>
  <c r="AC28" i="41" s="1"/>
  <c r="C27" i="26"/>
  <c r="D26" i="26"/>
  <c r="AH26" i="26" s="1"/>
  <c r="AA26" i="26" s="1"/>
  <c r="AC27" i="41" s="1"/>
  <c r="C26" i="26"/>
  <c r="D25" i="26"/>
  <c r="AH25" i="26" s="1"/>
  <c r="AA25" i="26" s="1"/>
  <c r="AC26" i="41" s="1"/>
  <c r="C25" i="26"/>
  <c r="D24" i="26"/>
  <c r="AH24" i="26" s="1"/>
  <c r="AA24" i="26" s="1"/>
  <c r="AC25" i="41" s="1"/>
  <c r="C24" i="26"/>
  <c r="D23" i="26"/>
  <c r="AH23" i="26" s="1"/>
  <c r="AA23" i="26" s="1"/>
  <c r="AC24" i="41" s="1"/>
  <c r="C23" i="26"/>
  <c r="D22" i="26"/>
  <c r="AH22" i="26" s="1"/>
  <c r="AA22" i="26" s="1"/>
  <c r="AC23" i="41" s="1"/>
  <c r="C22" i="26"/>
  <c r="D21" i="26"/>
  <c r="AH21" i="26" s="1"/>
  <c r="AA21" i="26" s="1"/>
  <c r="AC22" i="41" s="1"/>
  <c r="C21" i="26"/>
  <c r="D20" i="26"/>
  <c r="AH20" i="26" s="1"/>
  <c r="AA20" i="26" s="1"/>
  <c r="AC21" i="41" s="1"/>
  <c r="C20" i="26"/>
  <c r="D19" i="26"/>
  <c r="AH19" i="26" s="1"/>
  <c r="AA19" i="26" s="1"/>
  <c r="AC20" i="41" s="1"/>
  <c r="C19" i="26"/>
  <c r="D18" i="26"/>
  <c r="AH18" i="26" s="1"/>
  <c r="AA18" i="26" s="1"/>
  <c r="AC19" i="41" s="1"/>
  <c r="C18" i="26"/>
  <c r="D17" i="26"/>
  <c r="AH17" i="26" s="1"/>
  <c r="AA17" i="26" s="1"/>
  <c r="AC18" i="41" s="1"/>
  <c r="C17" i="26"/>
  <c r="D16" i="26"/>
  <c r="AH16" i="26" s="1"/>
  <c r="AA16" i="26" s="1"/>
  <c r="AC17" i="41" s="1"/>
  <c r="C16" i="26"/>
  <c r="D15" i="26"/>
  <c r="AH15" i="26" s="1"/>
  <c r="AA15" i="26" s="1"/>
  <c r="AC16" i="41" s="1"/>
  <c r="C15" i="26"/>
  <c r="D14" i="26"/>
  <c r="AH14" i="26" s="1"/>
  <c r="AA14" i="26" s="1"/>
  <c r="AC15" i="41" s="1"/>
  <c r="C14" i="26"/>
  <c r="D13" i="26"/>
  <c r="AH13" i="26" s="1"/>
  <c r="AA13" i="26" s="1"/>
  <c r="AC14" i="41" s="1"/>
  <c r="C13" i="26"/>
  <c r="D12" i="26"/>
  <c r="AH12" i="26" s="1"/>
  <c r="AA12" i="26" s="1"/>
  <c r="AC13" i="41" s="1"/>
  <c r="C12" i="26"/>
  <c r="D11" i="26"/>
  <c r="AH11" i="26" s="1"/>
  <c r="AA11" i="26" s="1"/>
  <c r="AC12" i="41" s="1"/>
  <c r="C11" i="26"/>
  <c r="D10" i="26"/>
  <c r="AH10" i="26" s="1"/>
  <c r="AA10" i="26" s="1"/>
  <c r="AC11" i="41" s="1"/>
  <c r="C10" i="26"/>
  <c r="D9" i="26"/>
  <c r="AH9" i="26" s="1"/>
  <c r="AA9" i="26" s="1"/>
  <c r="AC10" i="41" s="1"/>
  <c r="C9" i="26"/>
  <c r="D8" i="26"/>
  <c r="AH8" i="26" s="1"/>
  <c r="AA8" i="26" s="1"/>
  <c r="AC9" i="41" s="1"/>
  <c r="C8" i="26"/>
  <c r="D7" i="26"/>
  <c r="AH7" i="26" s="1"/>
  <c r="AA7" i="26" s="1"/>
  <c r="AC8" i="41" s="1"/>
  <c r="C7" i="26"/>
  <c r="D6" i="26"/>
  <c r="AH6" i="26" s="1"/>
  <c r="AA6" i="26" s="1"/>
  <c r="AC7" i="41" s="1"/>
  <c r="C6" i="26"/>
  <c r="D5" i="26"/>
  <c r="AH5" i="26" s="1"/>
  <c r="AA5" i="26" s="1"/>
  <c r="AC6" i="41" s="1"/>
  <c r="C5" i="26"/>
  <c r="X15" i="25"/>
  <c r="X16" i="25"/>
  <c r="X32" i="25"/>
  <c r="X40" i="25"/>
  <c r="O14" i="25"/>
  <c r="F19" i="25"/>
  <c r="D3" i="30"/>
  <c r="D4" i="30"/>
  <c r="B8" i="24"/>
  <c r="C8" i="24"/>
  <c r="B9" i="24"/>
  <c r="C9" i="24"/>
  <c r="B10" i="24"/>
  <c r="C10" i="24"/>
  <c r="B11" i="24"/>
  <c r="C11" i="24"/>
  <c r="B12" i="24"/>
  <c r="C12" i="24"/>
  <c r="B13" i="24"/>
  <c r="C13" i="24"/>
  <c r="B14" i="24"/>
  <c r="C14" i="24"/>
  <c r="B15" i="24"/>
  <c r="C15" i="24"/>
  <c r="B16" i="24"/>
  <c r="C16" i="24"/>
  <c r="B17" i="24"/>
  <c r="C17" i="24"/>
  <c r="B18" i="24"/>
  <c r="C18" i="24"/>
  <c r="B19" i="24"/>
  <c r="C19" i="24"/>
  <c r="B20" i="24"/>
  <c r="C20" i="24"/>
  <c r="B21" i="24"/>
  <c r="C21" i="24"/>
  <c r="B22" i="24"/>
  <c r="C22" i="24"/>
  <c r="B23" i="24"/>
  <c r="C23" i="24"/>
  <c r="B24" i="24"/>
  <c r="C24" i="24"/>
  <c r="B25" i="24"/>
  <c r="C25" i="24"/>
  <c r="B26" i="24"/>
  <c r="C26" i="24"/>
  <c r="B27" i="24"/>
  <c r="C27" i="24"/>
  <c r="B28" i="24"/>
  <c r="C28" i="24"/>
  <c r="B29" i="24"/>
  <c r="C29" i="24"/>
  <c r="B30" i="24"/>
  <c r="C30" i="24"/>
  <c r="B31" i="24"/>
  <c r="C31" i="24"/>
  <c r="B32" i="24"/>
  <c r="C32" i="24"/>
  <c r="B33" i="24"/>
  <c r="C33" i="24"/>
  <c r="B34" i="24"/>
  <c r="C34" i="24"/>
  <c r="B35" i="24"/>
  <c r="C35" i="24"/>
  <c r="B36" i="24"/>
  <c r="C36" i="24"/>
  <c r="B37" i="24"/>
  <c r="C37" i="24"/>
  <c r="B38" i="24"/>
  <c r="C38" i="24"/>
  <c r="B39" i="24"/>
  <c r="C39" i="24"/>
  <c r="B40" i="24"/>
  <c r="C40" i="24"/>
  <c r="B41" i="24"/>
  <c r="C41" i="24"/>
  <c r="B42" i="24"/>
  <c r="C42" i="24"/>
  <c r="B43" i="24"/>
  <c r="C43" i="24"/>
  <c r="B44" i="24"/>
  <c r="C44" i="24"/>
  <c r="B45" i="24"/>
  <c r="C45" i="24"/>
  <c r="B46" i="24"/>
  <c r="C46" i="24"/>
  <c r="B47" i="24"/>
  <c r="C47" i="24"/>
  <c r="B48" i="24"/>
  <c r="C48" i="24"/>
  <c r="B49" i="24"/>
  <c r="C49" i="24"/>
  <c r="B50" i="24"/>
  <c r="C50" i="24"/>
  <c r="B51" i="24"/>
  <c r="C51" i="24"/>
  <c r="B52" i="24"/>
  <c r="C52" i="24"/>
  <c r="B53" i="24"/>
  <c r="C53" i="24"/>
  <c r="B54" i="24"/>
  <c r="C54" i="24"/>
  <c r="B55" i="24"/>
  <c r="C55" i="24"/>
  <c r="B56" i="24"/>
  <c r="C56" i="24"/>
  <c r="B7" i="24"/>
  <c r="C7" i="24"/>
  <c r="D54" i="15"/>
  <c r="AJ54" i="15" s="1"/>
  <c r="AC54" i="15" s="1"/>
  <c r="AL55" i="41" s="1"/>
  <c r="C54" i="15"/>
  <c r="D53" i="15"/>
  <c r="AJ53" i="15" s="1"/>
  <c r="AC53" i="15" s="1"/>
  <c r="AL54" i="41" s="1"/>
  <c r="C53" i="15"/>
  <c r="D52" i="15"/>
  <c r="AJ52" i="15" s="1"/>
  <c r="AC52" i="15" s="1"/>
  <c r="AL53" i="41" s="1"/>
  <c r="C52" i="15"/>
  <c r="D51" i="15"/>
  <c r="AJ51" i="15" s="1"/>
  <c r="AC51" i="15" s="1"/>
  <c r="AL52" i="41" s="1"/>
  <c r="C51" i="15"/>
  <c r="D50" i="15"/>
  <c r="AJ50" i="15" s="1"/>
  <c r="AC50" i="15" s="1"/>
  <c r="AL51" i="41" s="1"/>
  <c r="C50" i="15"/>
  <c r="D49" i="15"/>
  <c r="AJ49" i="15" s="1"/>
  <c r="AC49" i="15" s="1"/>
  <c r="AL50" i="41" s="1"/>
  <c r="C49" i="15"/>
  <c r="D48" i="15"/>
  <c r="AJ48" i="15" s="1"/>
  <c r="AC48" i="15" s="1"/>
  <c r="AL49" i="41" s="1"/>
  <c r="C48" i="15"/>
  <c r="D47" i="15"/>
  <c r="AJ47" i="15" s="1"/>
  <c r="AC47" i="15" s="1"/>
  <c r="AL48" i="41" s="1"/>
  <c r="C47" i="15"/>
  <c r="D46" i="15"/>
  <c r="AJ46" i="15" s="1"/>
  <c r="AC46" i="15" s="1"/>
  <c r="AL47" i="41" s="1"/>
  <c r="C46" i="15"/>
  <c r="D45" i="15"/>
  <c r="AJ45" i="15" s="1"/>
  <c r="AC45" i="15" s="1"/>
  <c r="AL46" i="41" s="1"/>
  <c r="C45" i="15"/>
  <c r="D44" i="15"/>
  <c r="AJ44" i="15" s="1"/>
  <c r="AC44" i="15" s="1"/>
  <c r="AL45" i="41" s="1"/>
  <c r="C44" i="15"/>
  <c r="D43" i="15"/>
  <c r="AJ43" i="15" s="1"/>
  <c r="AC43" i="15" s="1"/>
  <c r="AL44" i="41" s="1"/>
  <c r="C43" i="15"/>
  <c r="D42" i="15"/>
  <c r="AJ42" i="15" s="1"/>
  <c r="AC42" i="15" s="1"/>
  <c r="AL43" i="41" s="1"/>
  <c r="C42" i="15"/>
  <c r="D41" i="15"/>
  <c r="AJ41" i="15" s="1"/>
  <c r="AC41" i="15" s="1"/>
  <c r="AL42" i="41" s="1"/>
  <c r="C41" i="15"/>
  <c r="D40" i="15"/>
  <c r="AJ40" i="15" s="1"/>
  <c r="AC40" i="15" s="1"/>
  <c r="AL41" i="41" s="1"/>
  <c r="C40" i="15"/>
  <c r="D39" i="15"/>
  <c r="AJ39" i="15" s="1"/>
  <c r="AC39" i="15" s="1"/>
  <c r="AL40" i="41" s="1"/>
  <c r="C39" i="15"/>
  <c r="D38" i="15"/>
  <c r="AJ38" i="15" s="1"/>
  <c r="AC38" i="15" s="1"/>
  <c r="AL39" i="41" s="1"/>
  <c r="C38" i="15"/>
  <c r="D37" i="15"/>
  <c r="AJ37" i="15" s="1"/>
  <c r="AC37" i="15" s="1"/>
  <c r="AL38" i="41" s="1"/>
  <c r="C37" i="15"/>
  <c r="D36" i="15"/>
  <c r="AJ36" i="15" s="1"/>
  <c r="AC36" i="15" s="1"/>
  <c r="AL37" i="41" s="1"/>
  <c r="C36" i="15"/>
  <c r="D35" i="15"/>
  <c r="AJ35" i="15" s="1"/>
  <c r="AC35" i="15" s="1"/>
  <c r="AL36" i="41" s="1"/>
  <c r="C35" i="15"/>
  <c r="D34" i="15"/>
  <c r="AJ34" i="15" s="1"/>
  <c r="AC34" i="15" s="1"/>
  <c r="AL35" i="41" s="1"/>
  <c r="C34" i="15"/>
  <c r="D33" i="15"/>
  <c r="AJ33" i="15" s="1"/>
  <c r="AC33" i="15" s="1"/>
  <c r="AL34" i="41" s="1"/>
  <c r="C33" i="15"/>
  <c r="D32" i="15"/>
  <c r="AJ32" i="15" s="1"/>
  <c r="AC32" i="15" s="1"/>
  <c r="AL33" i="41" s="1"/>
  <c r="C32" i="15"/>
  <c r="D31" i="15"/>
  <c r="AJ31" i="15" s="1"/>
  <c r="AC31" i="15" s="1"/>
  <c r="AL32" i="41" s="1"/>
  <c r="C31" i="15"/>
  <c r="D30" i="15"/>
  <c r="AJ30" i="15" s="1"/>
  <c r="AC30" i="15" s="1"/>
  <c r="AL31" i="41" s="1"/>
  <c r="C30" i="15"/>
  <c r="D29" i="15"/>
  <c r="AJ29" i="15" s="1"/>
  <c r="AC29" i="15" s="1"/>
  <c r="AL30" i="41" s="1"/>
  <c r="C29" i="15"/>
  <c r="D28" i="15"/>
  <c r="AJ28" i="15" s="1"/>
  <c r="AC28" i="15" s="1"/>
  <c r="AL29" i="41" s="1"/>
  <c r="C28" i="15"/>
  <c r="D27" i="15"/>
  <c r="AJ27" i="15" s="1"/>
  <c r="AC27" i="15" s="1"/>
  <c r="AL28" i="41" s="1"/>
  <c r="C27" i="15"/>
  <c r="D26" i="15"/>
  <c r="AJ26" i="15" s="1"/>
  <c r="AC26" i="15" s="1"/>
  <c r="AL27" i="41" s="1"/>
  <c r="C26" i="15"/>
  <c r="D25" i="15"/>
  <c r="AJ25" i="15" s="1"/>
  <c r="AC25" i="15" s="1"/>
  <c r="AL26" i="41" s="1"/>
  <c r="C25" i="15"/>
  <c r="D24" i="15"/>
  <c r="AJ24" i="15" s="1"/>
  <c r="AC24" i="15" s="1"/>
  <c r="AL25" i="41" s="1"/>
  <c r="C24" i="15"/>
  <c r="D23" i="15"/>
  <c r="AJ23" i="15" s="1"/>
  <c r="AC23" i="15" s="1"/>
  <c r="AL24" i="41" s="1"/>
  <c r="C23" i="15"/>
  <c r="D22" i="15"/>
  <c r="AJ22" i="15" s="1"/>
  <c r="AC22" i="15" s="1"/>
  <c r="AL23" i="41" s="1"/>
  <c r="C22" i="15"/>
  <c r="D21" i="15"/>
  <c r="AJ21" i="15" s="1"/>
  <c r="AC21" i="15" s="1"/>
  <c r="AL22" i="41" s="1"/>
  <c r="C21" i="15"/>
  <c r="D20" i="15"/>
  <c r="AJ20" i="15" s="1"/>
  <c r="AC20" i="15" s="1"/>
  <c r="AL21" i="41" s="1"/>
  <c r="C20" i="15"/>
  <c r="D19" i="15"/>
  <c r="AJ19" i="15" s="1"/>
  <c r="AC19" i="15" s="1"/>
  <c r="AL20" i="41" s="1"/>
  <c r="C19" i="15"/>
  <c r="D18" i="15"/>
  <c r="AJ18" i="15" s="1"/>
  <c r="AC18" i="15" s="1"/>
  <c r="AL19" i="41" s="1"/>
  <c r="C18" i="15"/>
  <c r="D17" i="15"/>
  <c r="AJ17" i="15" s="1"/>
  <c r="AC17" i="15" s="1"/>
  <c r="AL18" i="41" s="1"/>
  <c r="C17" i="15"/>
  <c r="D16" i="15"/>
  <c r="AJ16" i="15" s="1"/>
  <c r="AC16" i="15" s="1"/>
  <c r="AL17" i="41" s="1"/>
  <c r="C16" i="15"/>
  <c r="D15" i="15"/>
  <c r="AJ15" i="15" s="1"/>
  <c r="AC15" i="15" s="1"/>
  <c r="AL16" i="41" s="1"/>
  <c r="C15" i="15"/>
  <c r="D14" i="15"/>
  <c r="AJ14" i="15" s="1"/>
  <c r="AC14" i="15" s="1"/>
  <c r="AL15" i="41" s="1"/>
  <c r="C14" i="15"/>
  <c r="D13" i="15"/>
  <c r="AJ13" i="15" s="1"/>
  <c r="AC13" i="15" s="1"/>
  <c r="AL14" i="41" s="1"/>
  <c r="C13" i="15"/>
  <c r="D12" i="15"/>
  <c r="AJ12" i="15" s="1"/>
  <c r="AC12" i="15" s="1"/>
  <c r="AL13" i="41" s="1"/>
  <c r="C12" i="15"/>
  <c r="D11" i="15"/>
  <c r="AJ11" i="15" s="1"/>
  <c r="AC11" i="15" s="1"/>
  <c r="AL12" i="41" s="1"/>
  <c r="C11" i="15"/>
  <c r="D10" i="15"/>
  <c r="AJ10" i="15" s="1"/>
  <c r="AC10" i="15" s="1"/>
  <c r="AL11" i="41" s="1"/>
  <c r="C10" i="15"/>
  <c r="D9" i="15"/>
  <c r="AJ9" i="15" s="1"/>
  <c r="AC9" i="15" s="1"/>
  <c r="AL10" i="41" s="1"/>
  <c r="C9" i="15"/>
  <c r="D8" i="15"/>
  <c r="AJ8" i="15" s="1"/>
  <c r="AC8" i="15" s="1"/>
  <c r="AL9" i="41" s="1"/>
  <c r="C8" i="15"/>
  <c r="D7" i="15"/>
  <c r="AJ7" i="15" s="1"/>
  <c r="AC7" i="15" s="1"/>
  <c r="AL8" i="41" s="1"/>
  <c r="C7" i="15"/>
  <c r="D6" i="15"/>
  <c r="AJ6" i="15" s="1"/>
  <c r="AC6" i="15" s="1"/>
  <c r="AL7" i="41" s="1"/>
  <c r="C6" i="15"/>
  <c r="D5" i="15"/>
  <c r="AJ5" i="15" s="1"/>
  <c r="AC5" i="15" s="1"/>
  <c r="AL6" i="41" s="1"/>
  <c r="C5" i="15"/>
  <c r="D54" i="14"/>
  <c r="AK54" i="14" s="1"/>
  <c r="AD54" i="14" s="1"/>
  <c r="AI55" i="41" s="1"/>
  <c r="C54" i="14"/>
  <c r="D53" i="14"/>
  <c r="AK53" i="14" s="1"/>
  <c r="AD53" i="14" s="1"/>
  <c r="AI54" i="41" s="1"/>
  <c r="C53" i="14"/>
  <c r="D52" i="14"/>
  <c r="AK52" i="14" s="1"/>
  <c r="AD52" i="14" s="1"/>
  <c r="AI53" i="41" s="1"/>
  <c r="C52" i="14"/>
  <c r="D51" i="14"/>
  <c r="AK51" i="14" s="1"/>
  <c r="AD51" i="14" s="1"/>
  <c r="AI52" i="41" s="1"/>
  <c r="C51" i="14"/>
  <c r="D50" i="14"/>
  <c r="AK50" i="14" s="1"/>
  <c r="AD50" i="14" s="1"/>
  <c r="AI51" i="41" s="1"/>
  <c r="C50" i="14"/>
  <c r="D49" i="14"/>
  <c r="AK49" i="14" s="1"/>
  <c r="AD49" i="14" s="1"/>
  <c r="AI50" i="41" s="1"/>
  <c r="C49" i="14"/>
  <c r="D48" i="14"/>
  <c r="AK48" i="14" s="1"/>
  <c r="AD48" i="14" s="1"/>
  <c r="AI49" i="41" s="1"/>
  <c r="C48" i="14"/>
  <c r="D47" i="14"/>
  <c r="AK47" i="14" s="1"/>
  <c r="AD47" i="14" s="1"/>
  <c r="AI48" i="41" s="1"/>
  <c r="C47" i="14"/>
  <c r="D46" i="14"/>
  <c r="AK46" i="14" s="1"/>
  <c r="AD46" i="14" s="1"/>
  <c r="AI47" i="41" s="1"/>
  <c r="C46" i="14"/>
  <c r="D45" i="14"/>
  <c r="AK45" i="14" s="1"/>
  <c r="AD45" i="14" s="1"/>
  <c r="AI46" i="41" s="1"/>
  <c r="C45" i="14"/>
  <c r="D44" i="14"/>
  <c r="AK44" i="14" s="1"/>
  <c r="AD44" i="14" s="1"/>
  <c r="AI45" i="41" s="1"/>
  <c r="C44" i="14"/>
  <c r="D43" i="14"/>
  <c r="AK43" i="14" s="1"/>
  <c r="AD43" i="14" s="1"/>
  <c r="AI44" i="41" s="1"/>
  <c r="C43" i="14"/>
  <c r="D42" i="14"/>
  <c r="AK42" i="14" s="1"/>
  <c r="AD42" i="14" s="1"/>
  <c r="AI43" i="41" s="1"/>
  <c r="C42" i="14"/>
  <c r="D41" i="14"/>
  <c r="AK41" i="14" s="1"/>
  <c r="AD41" i="14" s="1"/>
  <c r="AI42" i="41" s="1"/>
  <c r="C41" i="14"/>
  <c r="D40" i="14"/>
  <c r="AK40" i="14" s="1"/>
  <c r="AD40" i="14" s="1"/>
  <c r="AI41" i="41" s="1"/>
  <c r="C40" i="14"/>
  <c r="D39" i="14"/>
  <c r="AK39" i="14" s="1"/>
  <c r="AD39" i="14" s="1"/>
  <c r="AI40" i="41" s="1"/>
  <c r="C39" i="14"/>
  <c r="D38" i="14"/>
  <c r="AK38" i="14" s="1"/>
  <c r="AD38" i="14" s="1"/>
  <c r="AI39" i="41" s="1"/>
  <c r="C38" i="14"/>
  <c r="D37" i="14"/>
  <c r="AK37" i="14" s="1"/>
  <c r="AD37" i="14" s="1"/>
  <c r="AI38" i="41" s="1"/>
  <c r="C37" i="14"/>
  <c r="D36" i="14"/>
  <c r="AK36" i="14" s="1"/>
  <c r="AD36" i="14" s="1"/>
  <c r="AI37" i="41" s="1"/>
  <c r="C36" i="14"/>
  <c r="D35" i="14"/>
  <c r="AK35" i="14" s="1"/>
  <c r="AD35" i="14" s="1"/>
  <c r="AI36" i="41" s="1"/>
  <c r="C35" i="14"/>
  <c r="D34" i="14"/>
  <c r="AK34" i="14" s="1"/>
  <c r="AD34" i="14" s="1"/>
  <c r="AI35" i="41" s="1"/>
  <c r="C34" i="14"/>
  <c r="D33" i="14"/>
  <c r="AK33" i="14" s="1"/>
  <c r="AD33" i="14" s="1"/>
  <c r="AI34" i="41" s="1"/>
  <c r="C33" i="14"/>
  <c r="D32" i="14"/>
  <c r="AK32" i="14" s="1"/>
  <c r="AD32" i="14" s="1"/>
  <c r="AI33" i="41" s="1"/>
  <c r="C32" i="14"/>
  <c r="D31" i="14"/>
  <c r="AK31" i="14" s="1"/>
  <c r="AD31" i="14" s="1"/>
  <c r="AI32" i="41" s="1"/>
  <c r="C31" i="14"/>
  <c r="D30" i="14"/>
  <c r="AK30" i="14" s="1"/>
  <c r="AD30" i="14" s="1"/>
  <c r="AI31" i="41" s="1"/>
  <c r="C30" i="14"/>
  <c r="D29" i="14"/>
  <c r="AK29" i="14" s="1"/>
  <c r="AD29" i="14" s="1"/>
  <c r="AI30" i="41" s="1"/>
  <c r="C29" i="14"/>
  <c r="D28" i="14"/>
  <c r="AK28" i="14" s="1"/>
  <c r="AD28" i="14" s="1"/>
  <c r="AI29" i="41" s="1"/>
  <c r="C28" i="14"/>
  <c r="D27" i="14"/>
  <c r="AK27" i="14" s="1"/>
  <c r="AD27" i="14" s="1"/>
  <c r="AI28" i="41" s="1"/>
  <c r="C27" i="14"/>
  <c r="D26" i="14"/>
  <c r="AK26" i="14" s="1"/>
  <c r="AD26" i="14" s="1"/>
  <c r="AI27" i="41" s="1"/>
  <c r="C26" i="14"/>
  <c r="D25" i="14"/>
  <c r="AK25" i="14" s="1"/>
  <c r="AD25" i="14" s="1"/>
  <c r="AI26" i="41" s="1"/>
  <c r="C25" i="14"/>
  <c r="D24" i="14"/>
  <c r="AK24" i="14" s="1"/>
  <c r="AD24" i="14" s="1"/>
  <c r="AI25" i="41" s="1"/>
  <c r="C24" i="14"/>
  <c r="D23" i="14"/>
  <c r="AK23" i="14" s="1"/>
  <c r="AD23" i="14" s="1"/>
  <c r="AI24" i="41" s="1"/>
  <c r="C23" i="14"/>
  <c r="D22" i="14"/>
  <c r="AK22" i="14" s="1"/>
  <c r="AD22" i="14" s="1"/>
  <c r="AI23" i="41" s="1"/>
  <c r="C22" i="14"/>
  <c r="D21" i="14"/>
  <c r="AK21" i="14" s="1"/>
  <c r="AD21" i="14" s="1"/>
  <c r="AI22" i="41" s="1"/>
  <c r="C21" i="14"/>
  <c r="D20" i="14"/>
  <c r="AK20" i="14" s="1"/>
  <c r="AD20" i="14" s="1"/>
  <c r="AI21" i="41" s="1"/>
  <c r="C20" i="14"/>
  <c r="D19" i="14"/>
  <c r="AK19" i="14" s="1"/>
  <c r="AD19" i="14" s="1"/>
  <c r="AI20" i="41" s="1"/>
  <c r="C19" i="14"/>
  <c r="D18" i="14"/>
  <c r="AK18" i="14" s="1"/>
  <c r="AD18" i="14" s="1"/>
  <c r="AI19" i="41" s="1"/>
  <c r="C18" i="14"/>
  <c r="D17" i="14"/>
  <c r="AK17" i="14" s="1"/>
  <c r="AD17" i="14" s="1"/>
  <c r="AI18" i="41" s="1"/>
  <c r="C17" i="14"/>
  <c r="D16" i="14"/>
  <c r="AK16" i="14" s="1"/>
  <c r="AD16" i="14" s="1"/>
  <c r="AI17" i="41" s="1"/>
  <c r="C16" i="14"/>
  <c r="D15" i="14"/>
  <c r="AK15" i="14" s="1"/>
  <c r="AD15" i="14" s="1"/>
  <c r="AI16" i="41" s="1"/>
  <c r="C15" i="14"/>
  <c r="D14" i="14"/>
  <c r="AK14" i="14" s="1"/>
  <c r="AD14" i="14" s="1"/>
  <c r="AI15" i="41" s="1"/>
  <c r="C14" i="14"/>
  <c r="D13" i="14"/>
  <c r="AK13" i="14" s="1"/>
  <c r="AD13" i="14" s="1"/>
  <c r="AI14" i="41" s="1"/>
  <c r="C13" i="14"/>
  <c r="D12" i="14"/>
  <c r="AK12" i="14" s="1"/>
  <c r="AD12" i="14" s="1"/>
  <c r="AI13" i="41" s="1"/>
  <c r="C12" i="14"/>
  <c r="D11" i="14"/>
  <c r="AK11" i="14" s="1"/>
  <c r="AD11" i="14" s="1"/>
  <c r="AI12" i="41" s="1"/>
  <c r="C11" i="14"/>
  <c r="D10" i="14"/>
  <c r="AK10" i="14" s="1"/>
  <c r="AD10" i="14" s="1"/>
  <c r="AI11" i="41" s="1"/>
  <c r="C10" i="14"/>
  <c r="D9" i="14"/>
  <c r="AK9" i="14" s="1"/>
  <c r="AD9" i="14" s="1"/>
  <c r="AI10" i="41" s="1"/>
  <c r="C9" i="14"/>
  <c r="D8" i="14"/>
  <c r="AK8" i="14" s="1"/>
  <c r="AD8" i="14" s="1"/>
  <c r="AI9" i="41" s="1"/>
  <c r="C8" i="14"/>
  <c r="D7" i="14"/>
  <c r="AK7" i="14" s="1"/>
  <c r="AD7" i="14" s="1"/>
  <c r="AI8" i="41" s="1"/>
  <c r="C7" i="14"/>
  <c r="D6" i="14"/>
  <c r="AK6" i="14" s="1"/>
  <c r="AD6" i="14" s="1"/>
  <c r="AI7" i="41" s="1"/>
  <c r="C6" i="14"/>
  <c r="D5" i="14"/>
  <c r="AK5" i="14" s="1"/>
  <c r="AD5" i="14" s="1"/>
  <c r="AI6" i="41" s="1"/>
  <c r="C5" i="14"/>
  <c r="AE55" i="25"/>
  <c r="D54" i="13"/>
  <c r="AH54" i="13" s="1"/>
  <c r="AA54" i="13" s="1"/>
  <c r="AF55" i="41" s="1"/>
  <c r="C54" i="13"/>
  <c r="AE54" i="25"/>
  <c r="D53" i="13"/>
  <c r="AH53" i="13" s="1"/>
  <c r="AA53" i="13" s="1"/>
  <c r="AF54" i="41" s="1"/>
  <c r="C53" i="13"/>
  <c r="AE53" i="25"/>
  <c r="D52" i="13"/>
  <c r="AH52" i="13" s="1"/>
  <c r="AA52" i="13" s="1"/>
  <c r="AF53" i="41" s="1"/>
  <c r="C52" i="13"/>
  <c r="AE52" i="25"/>
  <c r="D51" i="13"/>
  <c r="AH51" i="13" s="1"/>
  <c r="AA51" i="13" s="1"/>
  <c r="AF52" i="41" s="1"/>
  <c r="C51" i="13"/>
  <c r="AE51" i="25"/>
  <c r="D50" i="13"/>
  <c r="AH50" i="13" s="1"/>
  <c r="AA50" i="13" s="1"/>
  <c r="AF51" i="41" s="1"/>
  <c r="C50" i="13"/>
  <c r="AE50" i="25"/>
  <c r="D49" i="13"/>
  <c r="AH49" i="13" s="1"/>
  <c r="AA49" i="13" s="1"/>
  <c r="AF50" i="41" s="1"/>
  <c r="C49" i="13"/>
  <c r="AE49" i="25"/>
  <c r="D48" i="13"/>
  <c r="AH48" i="13" s="1"/>
  <c r="AA48" i="13" s="1"/>
  <c r="AF49" i="41" s="1"/>
  <c r="C48" i="13"/>
  <c r="AE48" i="25"/>
  <c r="D47" i="13"/>
  <c r="AH47" i="13" s="1"/>
  <c r="AA47" i="13" s="1"/>
  <c r="AF48" i="41" s="1"/>
  <c r="C47" i="13"/>
  <c r="AE47" i="25"/>
  <c r="D46" i="13"/>
  <c r="AH46" i="13" s="1"/>
  <c r="AA46" i="13" s="1"/>
  <c r="AF47" i="41" s="1"/>
  <c r="C46" i="13"/>
  <c r="AE46" i="25"/>
  <c r="D45" i="13"/>
  <c r="AH45" i="13" s="1"/>
  <c r="AA45" i="13" s="1"/>
  <c r="AF46" i="41" s="1"/>
  <c r="C45" i="13"/>
  <c r="AE45" i="25"/>
  <c r="D44" i="13"/>
  <c r="AH44" i="13" s="1"/>
  <c r="AA44" i="13" s="1"/>
  <c r="AF45" i="41" s="1"/>
  <c r="C44" i="13"/>
  <c r="AE44" i="25"/>
  <c r="D43" i="13"/>
  <c r="AH43" i="13" s="1"/>
  <c r="AA43" i="13" s="1"/>
  <c r="AF44" i="41" s="1"/>
  <c r="C43" i="13"/>
  <c r="AE43" i="25"/>
  <c r="D42" i="13"/>
  <c r="AH42" i="13" s="1"/>
  <c r="AA42" i="13" s="1"/>
  <c r="AF43" i="41" s="1"/>
  <c r="C42" i="13"/>
  <c r="AE42" i="25"/>
  <c r="D41" i="13"/>
  <c r="AH41" i="13" s="1"/>
  <c r="AA41" i="13" s="1"/>
  <c r="AF42" i="41" s="1"/>
  <c r="C41" i="13"/>
  <c r="AE41" i="25"/>
  <c r="D40" i="13"/>
  <c r="AH40" i="13" s="1"/>
  <c r="AA40" i="13" s="1"/>
  <c r="AF41" i="41" s="1"/>
  <c r="C40" i="13"/>
  <c r="AE40" i="25"/>
  <c r="D39" i="13"/>
  <c r="AH39" i="13" s="1"/>
  <c r="AA39" i="13" s="1"/>
  <c r="AF40" i="41" s="1"/>
  <c r="C39" i="13"/>
  <c r="AE39" i="25"/>
  <c r="D38" i="13"/>
  <c r="AH38" i="13" s="1"/>
  <c r="AA38" i="13" s="1"/>
  <c r="AF39" i="41" s="1"/>
  <c r="C38" i="13"/>
  <c r="AE38" i="25"/>
  <c r="D37" i="13"/>
  <c r="AH37" i="13" s="1"/>
  <c r="AA37" i="13" s="1"/>
  <c r="AF38" i="41" s="1"/>
  <c r="C37" i="13"/>
  <c r="AE37" i="25"/>
  <c r="D36" i="13"/>
  <c r="AH36" i="13" s="1"/>
  <c r="AA36" i="13" s="1"/>
  <c r="AF37" i="41" s="1"/>
  <c r="C36" i="13"/>
  <c r="AE36" i="25"/>
  <c r="D35" i="13"/>
  <c r="AH35" i="13" s="1"/>
  <c r="AA35" i="13" s="1"/>
  <c r="AF36" i="41" s="1"/>
  <c r="C35" i="13"/>
  <c r="AE35" i="25"/>
  <c r="D34" i="13"/>
  <c r="AH34" i="13" s="1"/>
  <c r="AA34" i="13" s="1"/>
  <c r="AF35" i="41" s="1"/>
  <c r="C34" i="13"/>
  <c r="AE34" i="25"/>
  <c r="D33" i="13"/>
  <c r="AH33" i="13" s="1"/>
  <c r="AA33" i="13" s="1"/>
  <c r="AF34" i="41" s="1"/>
  <c r="C33" i="13"/>
  <c r="AE33" i="25"/>
  <c r="D32" i="13"/>
  <c r="AH32" i="13" s="1"/>
  <c r="AA32" i="13" s="1"/>
  <c r="AF33" i="41" s="1"/>
  <c r="C32" i="13"/>
  <c r="AE32" i="25"/>
  <c r="D31" i="13"/>
  <c r="AH31" i="13" s="1"/>
  <c r="AA31" i="13" s="1"/>
  <c r="AF32" i="41" s="1"/>
  <c r="C31" i="13"/>
  <c r="AE31" i="25"/>
  <c r="D30" i="13"/>
  <c r="AH30" i="13" s="1"/>
  <c r="AA30" i="13" s="1"/>
  <c r="AF31" i="41" s="1"/>
  <c r="C30" i="13"/>
  <c r="AE30" i="25"/>
  <c r="D29" i="13"/>
  <c r="AH29" i="13" s="1"/>
  <c r="AA29" i="13" s="1"/>
  <c r="AF30" i="41" s="1"/>
  <c r="C29" i="13"/>
  <c r="AE29" i="25"/>
  <c r="D28" i="13"/>
  <c r="AH28" i="13" s="1"/>
  <c r="AA28" i="13" s="1"/>
  <c r="AF29" i="41" s="1"/>
  <c r="C28" i="13"/>
  <c r="AE28" i="25"/>
  <c r="D27" i="13"/>
  <c r="AH27" i="13" s="1"/>
  <c r="AA27" i="13" s="1"/>
  <c r="AF28" i="41" s="1"/>
  <c r="C27" i="13"/>
  <c r="AE27" i="25"/>
  <c r="D26" i="13"/>
  <c r="AH26" i="13" s="1"/>
  <c r="AA26" i="13" s="1"/>
  <c r="AF27" i="41" s="1"/>
  <c r="C26" i="13"/>
  <c r="AE26" i="25"/>
  <c r="D25" i="13"/>
  <c r="AH25" i="13" s="1"/>
  <c r="AA25" i="13" s="1"/>
  <c r="AF26" i="41" s="1"/>
  <c r="C25" i="13"/>
  <c r="AE25" i="25"/>
  <c r="D24" i="13"/>
  <c r="AH24" i="13" s="1"/>
  <c r="AA24" i="13" s="1"/>
  <c r="AF25" i="41" s="1"/>
  <c r="C24" i="13"/>
  <c r="AE24" i="25"/>
  <c r="D23" i="13"/>
  <c r="AH23" i="13" s="1"/>
  <c r="AA23" i="13" s="1"/>
  <c r="AF24" i="41" s="1"/>
  <c r="C23" i="13"/>
  <c r="AE23" i="25"/>
  <c r="D22" i="13"/>
  <c r="AH22" i="13" s="1"/>
  <c r="AA22" i="13" s="1"/>
  <c r="AF23" i="41" s="1"/>
  <c r="C22" i="13"/>
  <c r="AE22" i="25"/>
  <c r="D21" i="13"/>
  <c r="AH21" i="13" s="1"/>
  <c r="AA21" i="13" s="1"/>
  <c r="AF22" i="41" s="1"/>
  <c r="C21" i="13"/>
  <c r="AE21" i="25"/>
  <c r="D20" i="13"/>
  <c r="AH20" i="13" s="1"/>
  <c r="AA20" i="13" s="1"/>
  <c r="AF21" i="41" s="1"/>
  <c r="C20" i="13"/>
  <c r="AE20" i="25"/>
  <c r="D19" i="13"/>
  <c r="AH19" i="13" s="1"/>
  <c r="AA19" i="13" s="1"/>
  <c r="AF20" i="41" s="1"/>
  <c r="C19" i="13"/>
  <c r="AE19" i="25"/>
  <c r="D18" i="13"/>
  <c r="AH18" i="13" s="1"/>
  <c r="AA18" i="13" s="1"/>
  <c r="AF19" i="41" s="1"/>
  <c r="C18" i="13"/>
  <c r="AE18" i="25"/>
  <c r="D17" i="13"/>
  <c r="AH17" i="13" s="1"/>
  <c r="AA17" i="13" s="1"/>
  <c r="AF18" i="41" s="1"/>
  <c r="C17" i="13"/>
  <c r="AE17" i="25"/>
  <c r="D16" i="13"/>
  <c r="AH16" i="13" s="1"/>
  <c r="AA16" i="13" s="1"/>
  <c r="AF17" i="41" s="1"/>
  <c r="C16" i="13"/>
  <c r="AE16" i="25"/>
  <c r="D15" i="13"/>
  <c r="AH15" i="13" s="1"/>
  <c r="AA15" i="13" s="1"/>
  <c r="AF16" i="41" s="1"/>
  <c r="C15" i="13"/>
  <c r="AE15" i="25"/>
  <c r="D14" i="13"/>
  <c r="AH14" i="13" s="1"/>
  <c r="AA14" i="13" s="1"/>
  <c r="AF15" i="41" s="1"/>
  <c r="C14" i="13"/>
  <c r="AE14" i="25"/>
  <c r="D13" i="13"/>
  <c r="AH13" i="13" s="1"/>
  <c r="AA13" i="13" s="1"/>
  <c r="AF14" i="41" s="1"/>
  <c r="C13" i="13"/>
  <c r="AE13" i="25"/>
  <c r="D12" i="13"/>
  <c r="AH12" i="13" s="1"/>
  <c r="AA12" i="13" s="1"/>
  <c r="AF13" i="41" s="1"/>
  <c r="C12" i="13"/>
  <c r="AE12" i="25"/>
  <c r="D11" i="13"/>
  <c r="AH11" i="13" s="1"/>
  <c r="AA11" i="13" s="1"/>
  <c r="AF12" i="41" s="1"/>
  <c r="C11" i="13"/>
  <c r="AE11" i="25"/>
  <c r="D10" i="13"/>
  <c r="AH10" i="13" s="1"/>
  <c r="AA10" i="13" s="1"/>
  <c r="AF11" i="41" s="1"/>
  <c r="C10" i="13"/>
  <c r="AE10" i="25"/>
  <c r="D9" i="13"/>
  <c r="AH9" i="13" s="1"/>
  <c r="AA9" i="13" s="1"/>
  <c r="AF10" i="41" s="1"/>
  <c r="C9" i="13"/>
  <c r="AE9" i="25"/>
  <c r="D8" i="13"/>
  <c r="AH8" i="13" s="1"/>
  <c r="AA8" i="13" s="1"/>
  <c r="AF9" i="41" s="1"/>
  <c r="C8" i="13"/>
  <c r="D7" i="13"/>
  <c r="AH7" i="13" s="1"/>
  <c r="AA7" i="13" s="1"/>
  <c r="AF8" i="41" s="1"/>
  <c r="C7" i="13"/>
  <c r="AE7" i="25"/>
  <c r="D6" i="13"/>
  <c r="AH6" i="13" s="1"/>
  <c r="AA6" i="13" s="1"/>
  <c r="AF7" i="41" s="1"/>
  <c r="C6" i="13"/>
  <c r="AE6" i="25"/>
  <c r="V26" i="44" s="1"/>
  <c r="D5" i="13"/>
  <c r="AH5" i="13" s="1"/>
  <c r="AA5" i="13" s="1"/>
  <c r="AF6" i="41" s="1"/>
  <c r="C5" i="13"/>
  <c r="D54" i="12"/>
  <c r="AH54" i="12" s="1"/>
  <c r="AA54" i="12" s="1"/>
  <c r="Z55" i="41" s="1"/>
  <c r="C54" i="12"/>
  <c r="D53" i="12"/>
  <c r="AH53" i="12" s="1"/>
  <c r="AA53" i="12" s="1"/>
  <c r="Z54" i="41" s="1"/>
  <c r="C53" i="12"/>
  <c r="D52" i="12"/>
  <c r="AH52" i="12" s="1"/>
  <c r="AA52" i="12" s="1"/>
  <c r="Z53" i="41" s="1"/>
  <c r="C52" i="12"/>
  <c r="D51" i="12"/>
  <c r="AH51" i="12" s="1"/>
  <c r="AA51" i="12" s="1"/>
  <c r="Z52" i="41" s="1"/>
  <c r="C51" i="12"/>
  <c r="D50" i="12"/>
  <c r="AH50" i="12" s="1"/>
  <c r="AA50" i="12" s="1"/>
  <c r="Z51" i="41" s="1"/>
  <c r="C50" i="12"/>
  <c r="D49" i="12"/>
  <c r="AH49" i="12" s="1"/>
  <c r="AA49" i="12" s="1"/>
  <c r="Z50" i="41" s="1"/>
  <c r="C49" i="12"/>
  <c r="D48" i="12"/>
  <c r="AH48" i="12" s="1"/>
  <c r="AA48" i="12" s="1"/>
  <c r="Z49" i="41" s="1"/>
  <c r="C48" i="12"/>
  <c r="D47" i="12"/>
  <c r="AH47" i="12" s="1"/>
  <c r="AA47" i="12" s="1"/>
  <c r="Z48" i="41" s="1"/>
  <c r="C47" i="12"/>
  <c r="D46" i="12"/>
  <c r="AH46" i="12" s="1"/>
  <c r="AA46" i="12" s="1"/>
  <c r="Z47" i="41" s="1"/>
  <c r="C46" i="12"/>
  <c r="D45" i="12"/>
  <c r="AH45" i="12" s="1"/>
  <c r="AA45" i="12" s="1"/>
  <c r="Z46" i="41" s="1"/>
  <c r="C45" i="12"/>
  <c r="D44" i="12"/>
  <c r="AH44" i="12" s="1"/>
  <c r="AA44" i="12" s="1"/>
  <c r="Z45" i="41" s="1"/>
  <c r="C44" i="12"/>
  <c r="D43" i="12"/>
  <c r="AH43" i="12" s="1"/>
  <c r="AA43" i="12" s="1"/>
  <c r="Z44" i="41" s="1"/>
  <c r="C43" i="12"/>
  <c r="D42" i="12"/>
  <c r="AH42" i="12" s="1"/>
  <c r="AA42" i="12" s="1"/>
  <c r="Z43" i="41" s="1"/>
  <c r="C42" i="12"/>
  <c r="D41" i="12"/>
  <c r="AH41" i="12" s="1"/>
  <c r="AA41" i="12" s="1"/>
  <c r="Z42" i="41" s="1"/>
  <c r="C41" i="12"/>
  <c r="D40" i="12"/>
  <c r="AH40" i="12" s="1"/>
  <c r="AA40" i="12" s="1"/>
  <c r="Z41" i="41" s="1"/>
  <c r="C40" i="12"/>
  <c r="D39" i="12"/>
  <c r="AH39" i="12" s="1"/>
  <c r="AA39" i="12" s="1"/>
  <c r="Z40" i="41" s="1"/>
  <c r="C39" i="12"/>
  <c r="D38" i="12"/>
  <c r="AH38" i="12" s="1"/>
  <c r="AA38" i="12" s="1"/>
  <c r="Z39" i="41" s="1"/>
  <c r="C38" i="12"/>
  <c r="D37" i="12"/>
  <c r="AH37" i="12" s="1"/>
  <c r="AA37" i="12" s="1"/>
  <c r="Z38" i="41" s="1"/>
  <c r="C37" i="12"/>
  <c r="D36" i="12"/>
  <c r="AH36" i="12" s="1"/>
  <c r="AA36" i="12" s="1"/>
  <c r="Z37" i="41" s="1"/>
  <c r="C36" i="12"/>
  <c r="D35" i="12"/>
  <c r="AH35" i="12" s="1"/>
  <c r="AA35" i="12" s="1"/>
  <c r="Z36" i="41" s="1"/>
  <c r="C35" i="12"/>
  <c r="D34" i="12"/>
  <c r="AH34" i="12" s="1"/>
  <c r="AA34" i="12" s="1"/>
  <c r="Z35" i="41" s="1"/>
  <c r="C34" i="12"/>
  <c r="D33" i="12"/>
  <c r="AH33" i="12" s="1"/>
  <c r="AA33" i="12" s="1"/>
  <c r="Z34" i="41" s="1"/>
  <c r="C33" i="12"/>
  <c r="D32" i="12"/>
  <c r="AH32" i="12" s="1"/>
  <c r="AA32" i="12" s="1"/>
  <c r="Z33" i="41" s="1"/>
  <c r="C32" i="12"/>
  <c r="D31" i="12"/>
  <c r="AH31" i="12" s="1"/>
  <c r="AA31" i="12" s="1"/>
  <c r="Z32" i="41" s="1"/>
  <c r="C31" i="12"/>
  <c r="D30" i="12"/>
  <c r="AH30" i="12" s="1"/>
  <c r="AA30" i="12" s="1"/>
  <c r="Z31" i="41" s="1"/>
  <c r="C30" i="12"/>
  <c r="D29" i="12"/>
  <c r="AH29" i="12" s="1"/>
  <c r="AA29" i="12" s="1"/>
  <c r="Z30" i="41" s="1"/>
  <c r="C29" i="12"/>
  <c r="D28" i="12"/>
  <c r="AH28" i="12" s="1"/>
  <c r="AA28" i="12" s="1"/>
  <c r="Z29" i="41" s="1"/>
  <c r="C28" i="12"/>
  <c r="D27" i="12"/>
  <c r="AH27" i="12" s="1"/>
  <c r="AA27" i="12" s="1"/>
  <c r="Z28" i="41" s="1"/>
  <c r="C27" i="12"/>
  <c r="D26" i="12"/>
  <c r="AH26" i="12" s="1"/>
  <c r="AA26" i="12" s="1"/>
  <c r="Z27" i="41" s="1"/>
  <c r="C26" i="12"/>
  <c r="D25" i="12"/>
  <c r="AH25" i="12" s="1"/>
  <c r="AA25" i="12" s="1"/>
  <c r="Z26" i="41" s="1"/>
  <c r="C25" i="12"/>
  <c r="D24" i="12"/>
  <c r="AH24" i="12" s="1"/>
  <c r="AA24" i="12" s="1"/>
  <c r="Z25" i="41" s="1"/>
  <c r="C24" i="12"/>
  <c r="D23" i="12"/>
  <c r="AH23" i="12" s="1"/>
  <c r="AA23" i="12" s="1"/>
  <c r="Z24" i="41" s="1"/>
  <c r="C23" i="12"/>
  <c r="D22" i="12"/>
  <c r="AH22" i="12" s="1"/>
  <c r="AA22" i="12" s="1"/>
  <c r="Z23" i="41" s="1"/>
  <c r="C22" i="12"/>
  <c r="D21" i="12"/>
  <c r="AH21" i="12" s="1"/>
  <c r="AA21" i="12" s="1"/>
  <c r="Z22" i="41" s="1"/>
  <c r="C21" i="12"/>
  <c r="D20" i="12"/>
  <c r="AH20" i="12" s="1"/>
  <c r="AA20" i="12" s="1"/>
  <c r="Z21" i="41" s="1"/>
  <c r="C20" i="12"/>
  <c r="D19" i="12"/>
  <c r="AH19" i="12" s="1"/>
  <c r="AA19" i="12" s="1"/>
  <c r="Z20" i="41" s="1"/>
  <c r="C19" i="12"/>
  <c r="D18" i="12"/>
  <c r="AH18" i="12" s="1"/>
  <c r="AA18" i="12" s="1"/>
  <c r="Z19" i="41" s="1"/>
  <c r="C18" i="12"/>
  <c r="D17" i="12"/>
  <c r="AH17" i="12" s="1"/>
  <c r="AA17" i="12" s="1"/>
  <c r="Z18" i="41" s="1"/>
  <c r="C17" i="12"/>
  <c r="D16" i="12"/>
  <c r="AH16" i="12" s="1"/>
  <c r="AA16" i="12" s="1"/>
  <c r="Z17" i="41" s="1"/>
  <c r="C16" i="12"/>
  <c r="D15" i="12"/>
  <c r="AH15" i="12" s="1"/>
  <c r="AA15" i="12" s="1"/>
  <c r="Z16" i="41" s="1"/>
  <c r="C15" i="12"/>
  <c r="D14" i="12"/>
  <c r="AH14" i="12" s="1"/>
  <c r="AA14" i="12" s="1"/>
  <c r="Z15" i="41" s="1"/>
  <c r="C14" i="12"/>
  <c r="D13" i="12"/>
  <c r="AH13" i="12" s="1"/>
  <c r="AA13" i="12" s="1"/>
  <c r="Z14" i="41" s="1"/>
  <c r="C13" i="12"/>
  <c r="D12" i="12"/>
  <c r="AH12" i="12" s="1"/>
  <c r="AA12" i="12" s="1"/>
  <c r="Z13" i="41" s="1"/>
  <c r="C12" i="12"/>
  <c r="D11" i="12"/>
  <c r="AH11" i="12" s="1"/>
  <c r="AA11" i="12" s="1"/>
  <c r="Z12" i="41" s="1"/>
  <c r="C11" i="12"/>
  <c r="D10" i="12"/>
  <c r="AH10" i="12" s="1"/>
  <c r="AA10" i="12" s="1"/>
  <c r="Z11" i="41" s="1"/>
  <c r="C10" i="12"/>
  <c r="D9" i="12"/>
  <c r="AH9" i="12" s="1"/>
  <c r="AA9" i="12" s="1"/>
  <c r="Z10" i="41" s="1"/>
  <c r="C9" i="12"/>
  <c r="D8" i="12"/>
  <c r="AH8" i="12" s="1"/>
  <c r="AA8" i="12" s="1"/>
  <c r="Z9" i="41" s="1"/>
  <c r="C8" i="12"/>
  <c r="D7" i="12"/>
  <c r="AH7" i="12" s="1"/>
  <c r="AA7" i="12" s="1"/>
  <c r="Z8" i="41" s="1"/>
  <c r="C7" i="12"/>
  <c r="D6" i="12"/>
  <c r="AH6" i="12" s="1"/>
  <c r="AA6" i="12" s="1"/>
  <c r="Z7" i="41" s="1"/>
  <c r="C6" i="12"/>
  <c r="D5" i="12"/>
  <c r="AH5" i="12" s="1"/>
  <c r="AA5" i="12" s="1"/>
  <c r="Z6" i="41" s="1"/>
  <c r="C5" i="12"/>
  <c r="D54" i="11"/>
  <c r="AH54" i="11" s="1"/>
  <c r="AA54" i="11" s="1"/>
  <c r="Q55" i="41" s="1"/>
  <c r="C54" i="11"/>
  <c r="D53" i="11"/>
  <c r="AH53" i="11" s="1"/>
  <c r="AA53" i="11" s="1"/>
  <c r="Q54" i="41" s="1"/>
  <c r="C53" i="11"/>
  <c r="D52" i="11"/>
  <c r="AH52" i="11" s="1"/>
  <c r="AA52" i="11" s="1"/>
  <c r="Q53" i="41" s="1"/>
  <c r="C52" i="11"/>
  <c r="D51" i="11"/>
  <c r="AH51" i="11" s="1"/>
  <c r="AA51" i="11" s="1"/>
  <c r="Q52" i="41" s="1"/>
  <c r="C51" i="11"/>
  <c r="D50" i="11"/>
  <c r="AH50" i="11" s="1"/>
  <c r="AA50" i="11" s="1"/>
  <c r="Q51" i="41" s="1"/>
  <c r="C50" i="11"/>
  <c r="D49" i="11"/>
  <c r="AH49" i="11" s="1"/>
  <c r="AA49" i="11" s="1"/>
  <c r="Q50" i="41" s="1"/>
  <c r="C49" i="11"/>
  <c r="D48" i="11"/>
  <c r="AH48" i="11" s="1"/>
  <c r="AA48" i="11" s="1"/>
  <c r="Q49" i="41" s="1"/>
  <c r="C48" i="11"/>
  <c r="D47" i="11"/>
  <c r="AH47" i="11" s="1"/>
  <c r="AA47" i="11" s="1"/>
  <c r="Q48" i="41" s="1"/>
  <c r="C47" i="11"/>
  <c r="D46" i="11"/>
  <c r="AH46" i="11" s="1"/>
  <c r="AA46" i="11" s="1"/>
  <c r="Q47" i="41" s="1"/>
  <c r="C46" i="11"/>
  <c r="D45" i="11"/>
  <c r="AH45" i="11" s="1"/>
  <c r="AA45" i="11" s="1"/>
  <c r="Q46" i="41" s="1"/>
  <c r="C45" i="11"/>
  <c r="D44" i="11"/>
  <c r="AH44" i="11" s="1"/>
  <c r="AA44" i="11" s="1"/>
  <c r="Q45" i="41" s="1"/>
  <c r="C44" i="11"/>
  <c r="D43" i="11"/>
  <c r="AH43" i="11" s="1"/>
  <c r="AA43" i="11" s="1"/>
  <c r="Q44" i="41" s="1"/>
  <c r="C43" i="11"/>
  <c r="D42" i="11"/>
  <c r="AH42" i="11" s="1"/>
  <c r="AA42" i="11" s="1"/>
  <c r="Q43" i="41" s="1"/>
  <c r="C42" i="11"/>
  <c r="D41" i="11"/>
  <c r="AH41" i="11" s="1"/>
  <c r="AA41" i="11" s="1"/>
  <c r="Q42" i="41" s="1"/>
  <c r="C41" i="11"/>
  <c r="D40" i="11"/>
  <c r="AH40" i="11" s="1"/>
  <c r="AA40" i="11" s="1"/>
  <c r="Q41" i="41" s="1"/>
  <c r="C40" i="11"/>
  <c r="D39" i="11"/>
  <c r="AH39" i="11" s="1"/>
  <c r="AA39" i="11" s="1"/>
  <c r="Q40" i="41" s="1"/>
  <c r="C39" i="11"/>
  <c r="D38" i="11"/>
  <c r="AH38" i="11" s="1"/>
  <c r="AA38" i="11" s="1"/>
  <c r="Q39" i="41" s="1"/>
  <c r="C38" i="11"/>
  <c r="D37" i="11"/>
  <c r="AH37" i="11" s="1"/>
  <c r="AA37" i="11" s="1"/>
  <c r="Q38" i="41" s="1"/>
  <c r="C37" i="11"/>
  <c r="D36" i="11"/>
  <c r="AH36" i="11" s="1"/>
  <c r="AA36" i="11" s="1"/>
  <c r="Q37" i="41" s="1"/>
  <c r="C36" i="11"/>
  <c r="D35" i="11"/>
  <c r="AH35" i="11" s="1"/>
  <c r="AA35" i="11" s="1"/>
  <c r="Q36" i="41" s="1"/>
  <c r="C35" i="11"/>
  <c r="D34" i="11"/>
  <c r="AH34" i="11" s="1"/>
  <c r="AA34" i="11" s="1"/>
  <c r="Q35" i="41" s="1"/>
  <c r="C34" i="11"/>
  <c r="D33" i="11"/>
  <c r="AH33" i="11" s="1"/>
  <c r="AA33" i="11" s="1"/>
  <c r="Q34" i="41" s="1"/>
  <c r="C33" i="11"/>
  <c r="D32" i="11"/>
  <c r="AH32" i="11" s="1"/>
  <c r="AA32" i="11" s="1"/>
  <c r="Q33" i="41" s="1"/>
  <c r="C32" i="11"/>
  <c r="D31" i="11"/>
  <c r="AH31" i="11" s="1"/>
  <c r="AA31" i="11" s="1"/>
  <c r="Q32" i="41" s="1"/>
  <c r="C31" i="11"/>
  <c r="D30" i="11"/>
  <c r="AH30" i="11" s="1"/>
  <c r="AA30" i="11" s="1"/>
  <c r="Q31" i="41" s="1"/>
  <c r="C30" i="11"/>
  <c r="D29" i="11"/>
  <c r="AH29" i="11" s="1"/>
  <c r="AA29" i="11" s="1"/>
  <c r="Q30" i="41" s="1"/>
  <c r="C29" i="11"/>
  <c r="D28" i="11"/>
  <c r="AH28" i="11" s="1"/>
  <c r="AA28" i="11" s="1"/>
  <c r="Q29" i="41" s="1"/>
  <c r="C28" i="11"/>
  <c r="D27" i="11"/>
  <c r="AH27" i="11" s="1"/>
  <c r="AA27" i="11" s="1"/>
  <c r="Q28" i="41" s="1"/>
  <c r="C27" i="11"/>
  <c r="D26" i="11"/>
  <c r="AH26" i="11" s="1"/>
  <c r="AA26" i="11" s="1"/>
  <c r="Q27" i="41" s="1"/>
  <c r="C26" i="11"/>
  <c r="D25" i="11"/>
  <c r="AH25" i="11" s="1"/>
  <c r="AA25" i="11" s="1"/>
  <c r="Q26" i="41" s="1"/>
  <c r="C25" i="11"/>
  <c r="D24" i="11"/>
  <c r="AH24" i="11" s="1"/>
  <c r="AA24" i="11" s="1"/>
  <c r="Q25" i="41" s="1"/>
  <c r="C24" i="11"/>
  <c r="D23" i="11"/>
  <c r="AH23" i="11" s="1"/>
  <c r="AA23" i="11" s="1"/>
  <c r="Q24" i="41" s="1"/>
  <c r="C23" i="11"/>
  <c r="D22" i="11"/>
  <c r="AH22" i="11" s="1"/>
  <c r="AA22" i="11" s="1"/>
  <c r="Q23" i="41" s="1"/>
  <c r="C22" i="11"/>
  <c r="D21" i="11"/>
  <c r="AH21" i="11" s="1"/>
  <c r="AA21" i="11" s="1"/>
  <c r="Q22" i="41" s="1"/>
  <c r="C21" i="11"/>
  <c r="D20" i="11"/>
  <c r="AH20" i="11" s="1"/>
  <c r="AA20" i="11" s="1"/>
  <c r="Q21" i="41" s="1"/>
  <c r="C20" i="11"/>
  <c r="D19" i="11"/>
  <c r="AH19" i="11" s="1"/>
  <c r="AA19" i="11" s="1"/>
  <c r="Q20" i="41" s="1"/>
  <c r="C19" i="11"/>
  <c r="D18" i="11"/>
  <c r="AH18" i="11" s="1"/>
  <c r="AA18" i="11" s="1"/>
  <c r="Q19" i="41" s="1"/>
  <c r="C18" i="11"/>
  <c r="D17" i="11"/>
  <c r="AH17" i="11" s="1"/>
  <c r="AA17" i="11" s="1"/>
  <c r="Q18" i="41" s="1"/>
  <c r="C17" i="11"/>
  <c r="D16" i="11"/>
  <c r="AH16" i="11" s="1"/>
  <c r="AA16" i="11" s="1"/>
  <c r="Q17" i="41" s="1"/>
  <c r="C16" i="11"/>
  <c r="D15" i="11"/>
  <c r="AH15" i="11" s="1"/>
  <c r="AA15" i="11" s="1"/>
  <c r="Q16" i="41" s="1"/>
  <c r="C15" i="11"/>
  <c r="D14" i="11"/>
  <c r="AH14" i="11" s="1"/>
  <c r="AA14" i="11" s="1"/>
  <c r="Q15" i="41" s="1"/>
  <c r="C14" i="11"/>
  <c r="D13" i="11"/>
  <c r="AH13" i="11" s="1"/>
  <c r="AA13" i="11" s="1"/>
  <c r="Q14" i="41" s="1"/>
  <c r="C13" i="11"/>
  <c r="D12" i="11"/>
  <c r="AH12" i="11" s="1"/>
  <c r="AA12" i="11" s="1"/>
  <c r="Q13" i="41" s="1"/>
  <c r="C12" i="11"/>
  <c r="D11" i="11"/>
  <c r="AH11" i="11" s="1"/>
  <c r="AA11" i="11" s="1"/>
  <c r="Q12" i="41" s="1"/>
  <c r="C11" i="11"/>
  <c r="D10" i="11"/>
  <c r="AH10" i="11" s="1"/>
  <c r="AA10" i="11" s="1"/>
  <c r="Q11" i="41" s="1"/>
  <c r="C10" i="11"/>
  <c r="D9" i="11"/>
  <c r="AH9" i="11" s="1"/>
  <c r="AA9" i="11" s="1"/>
  <c r="Q10" i="41" s="1"/>
  <c r="C9" i="11"/>
  <c r="D8" i="11"/>
  <c r="AH8" i="11" s="1"/>
  <c r="AA8" i="11" s="1"/>
  <c r="Q9" i="41" s="1"/>
  <c r="C8" i="11"/>
  <c r="D7" i="11"/>
  <c r="AH7" i="11" s="1"/>
  <c r="AA7" i="11" s="1"/>
  <c r="Q8" i="41" s="1"/>
  <c r="C7" i="11"/>
  <c r="D6" i="11"/>
  <c r="AH6" i="11" s="1"/>
  <c r="AA6" i="11" s="1"/>
  <c r="Q7" i="41" s="1"/>
  <c r="C6" i="11"/>
  <c r="D5" i="11"/>
  <c r="AH5" i="11" s="1"/>
  <c r="AA5" i="11" s="1"/>
  <c r="Q6" i="41" s="1"/>
  <c r="C5" i="11"/>
  <c r="M55" i="25"/>
  <c r="D54" i="10"/>
  <c r="AH54" i="10" s="1"/>
  <c r="AA54" i="10" s="1"/>
  <c r="N55" i="41" s="1"/>
  <c r="C54" i="10"/>
  <c r="M54" i="25"/>
  <c r="D53" i="10"/>
  <c r="AH53" i="10" s="1"/>
  <c r="AA53" i="10" s="1"/>
  <c r="N54" i="41" s="1"/>
  <c r="C53" i="10"/>
  <c r="M53" i="25"/>
  <c r="D52" i="10"/>
  <c r="AH52" i="10" s="1"/>
  <c r="AA52" i="10" s="1"/>
  <c r="N53" i="41" s="1"/>
  <c r="C52" i="10"/>
  <c r="M52" i="25"/>
  <c r="D51" i="10"/>
  <c r="AH51" i="10" s="1"/>
  <c r="AA51" i="10" s="1"/>
  <c r="N52" i="41" s="1"/>
  <c r="C51" i="10"/>
  <c r="M51" i="25"/>
  <c r="D50" i="10"/>
  <c r="AH50" i="10" s="1"/>
  <c r="AA50" i="10" s="1"/>
  <c r="N51" i="41" s="1"/>
  <c r="C50" i="10"/>
  <c r="M50" i="25"/>
  <c r="D49" i="10"/>
  <c r="AH49" i="10" s="1"/>
  <c r="AA49" i="10" s="1"/>
  <c r="N50" i="41" s="1"/>
  <c r="C49" i="10"/>
  <c r="M49" i="25"/>
  <c r="D48" i="10"/>
  <c r="AH48" i="10" s="1"/>
  <c r="AA48" i="10" s="1"/>
  <c r="N49" i="41" s="1"/>
  <c r="C48" i="10"/>
  <c r="M48" i="25"/>
  <c r="D47" i="10"/>
  <c r="AH47" i="10" s="1"/>
  <c r="AA47" i="10" s="1"/>
  <c r="N48" i="41" s="1"/>
  <c r="C47" i="10"/>
  <c r="M47" i="25"/>
  <c r="D46" i="10"/>
  <c r="AH46" i="10" s="1"/>
  <c r="AA46" i="10" s="1"/>
  <c r="N47" i="41" s="1"/>
  <c r="C46" i="10"/>
  <c r="M46" i="25"/>
  <c r="D45" i="10"/>
  <c r="AH45" i="10" s="1"/>
  <c r="AA45" i="10" s="1"/>
  <c r="N46" i="41" s="1"/>
  <c r="C45" i="10"/>
  <c r="M45" i="25"/>
  <c r="D44" i="10"/>
  <c r="AH44" i="10" s="1"/>
  <c r="AA44" i="10" s="1"/>
  <c r="N45" i="41" s="1"/>
  <c r="C44" i="10"/>
  <c r="M44" i="25"/>
  <c r="D43" i="10"/>
  <c r="AH43" i="10" s="1"/>
  <c r="AA43" i="10" s="1"/>
  <c r="N44" i="41" s="1"/>
  <c r="C43" i="10"/>
  <c r="M43" i="25"/>
  <c r="D42" i="10"/>
  <c r="AH42" i="10" s="1"/>
  <c r="AA42" i="10" s="1"/>
  <c r="N43" i="41" s="1"/>
  <c r="C42" i="10"/>
  <c r="M42" i="25"/>
  <c r="D41" i="10"/>
  <c r="AH41" i="10" s="1"/>
  <c r="AA41" i="10" s="1"/>
  <c r="N42" i="41" s="1"/>
  <c r="C41" i="10"/>
  <c r="M41" i="25"/>
  <c r="D40" i="10"/>
  <c r="AH40" i="10" s="1"/>
  <c r="AA40" i="10" s="1"/>
  <c r="N41" i="41" s="1"/>
  <c r="C40" i="10"/>
  <c r="M40" i="25"/>
  <c r="D39" i="10"/>
  <c r="AH39" i="10" s="1"/>
  <c r="AA39" i="10" s="1"/>
  <c r="N40" i="41" s="1"/>
  <c r="C39" i="10"/>
  <c r="M39" i="25"/>
  <c r="D38" i="10"/>
  <c r="AH38" i="10" s="1"/>
  <c r="AA38" i="10" s="1"/>
  <c r="N39" i="41" s="1"/>
  <c r="C38" i="10"/>
  <c r="M38" i="25"/>
  <c r="D37" i="10"/>
  <c r="AH37" i="10" s="1"/>
  <c r="AA37" i="10" s="1"/>
  <c r="N38" i="41" s="1"/>
  <c r="C37" i="10"/>
  <c r="M37" i="25"/>
  <c r="D36" i="10"/>
  <c r="AH36" i="10" s="1"/>
  <c r="AA36" i="10" s="1"/>
  <c r="N37" i="41" s="1"/>
  <c r="C36" i="10"/>
  <c r="M36" i="25"/>
  <c r="D35" i="10"/>
  <c r="AH35" i="10" s="1"/>
  <c r="AA35" i="10" s="1"/>
  <c r="N36" i="41" s="1"/>
  <c r="C35" i="10"/>
  <c r="M35" i="25"/>
  <c r="D34" i="10"/>
  <c r="AH34" i="10" s="1"/>
  <c r="AA34" i="10" s="1"/>
  <c r="N35" i="41" s="1"/>
  <c r="C34" i="10"/>
  <c r="M34" i="25"/>
  <c r="D33" i="10"/>
  <c r="AH33" i="10" s="1"/>
  <c r="AA33" i="10" s="1"/>
  <c r="N34" i="41" s="1"/>
  <c r="C33" i="10"/>
  <c r="M33" i="25"/>
  <c r="D32" i="10"/>
  <c r="AH32" i="10" s="1"/>
  <c r="AA32" i="10" s="1"/>
  <c r="N33" i="41" s="1"/>
  <c r="C32" i="10"/>
  <c r="M32" i="25"/>
  <c r="D31" i="10"/>
  <c r="AH31" i="10" s="1"/>
  <c r="AA31" i="10" s="1"/>
  <c r="N32" i="41" s="1"/>
  <c r="C31" i="10"/>
  <c r="M31" i="25"/>
  <c r="D30" i="10"/>
  <c r="AH30" i="10" s="1"/>
  <c r="AA30" i="10" s="1"/>
  <c r="N31" i="41" s="1"/>
  <c r="C30" i="10"/>
  <c r="M30" i="25"/>
  <c r="D29" i="10"/>
  <c r="AH29" i="10" s="1"/>
  <c r="AA29" i="10" s="1"/>
  <c r="N30" i="41" s="1"/>
  <c r="C29" i="10"/>
  <c r="M29" i="25"/>
  <c r="D28" i="10"/>
  <c r="AH28" i="10" s="1"/>
  <c r="AA28" i="10" s="1"/>
  <c r="N29" i="41" s="1"/>
  <c r="C28" i="10"/>
  <c r="M28" i="25"/>
  <c r="D27" i="10"/>
  <c r="AH27" i="10" s="1"/>
  <c r="AA27" i="10" s="1"/>
  <c r="N28" i="41" s="1"/>
  <c r="C27" i="10"/>
  <c r="M27" i="25"/>
  <c r="D26" i="10"/>
  <c r="AH26" i="10" s="1"/>
  <c r="AA26" i="10" s="1"/>
  <c r="N27" i="41" s="1"/>
  <c r="C26" i="10"/>
  <c r="M26" i="25"/>
  <c r="D25" i="10"/>
  <c r="AH25" i="10" s="1"/>
  <c r="AA25" i="10" s="1"/>
  <c r="N26" i="41" s="1"/>
  <c r="C25" i="10"/>
  <c r="M25" i="25"/>
  <c r="D24" i="10"/>
  <c r="AH24" i="10" s="1"/>
  <c r="AA24" i="10" s="1"/>
  <c r="N25" i="41" s="1"/>
  <c r="C24" i="10"/>
  <c r="M24" i="25"/>
  <c r="D23" i="10"/>
  <c r="AH23" i="10" s="1"/>
  <c r="AA23" i="10" s="1"/>
  <c r="N24" i="41" s="1"/>
  <c r="C23" i="10"/>
  <c r="M23" i="25"/>
  <c r="D22" i="10"/>
  <c r="AH22" i="10" s="1"/>
  <c r="AA22" i="10" s="1"/>
  <c r="N23" i="41" s="1"/>
  <c r="C22" i="10"/>
  <c r="M22" i="25"/>
  <c r="D21" i="10"/>
  <c r="AH21" i="10" s="1"/>
  <c r="AA21" i="10" s="1"/>
  <c r="N22" i="41" s="1"/>
  <c r="C21" i="10"/>
  <c r="M21" i="25"/>
  <c r="D20" i="10"/>
  <c r="AH20" i="10" s="1"/>
  <c r="AA20" i="10" s="1"/>
  <c r="N21" i="41" s="1"/>
  <c r="C20" i="10"/>
  <c r="M20" i="25"/>
  <c r="D19" i="10"/>
  <c r="AH19" i="10" s="1"/>
  <c r="AA19" i="10" s="1"/>
  <c r="N20" i="41" s="1"/>
  <c r="C19" i="10"/>
  <c r="M19" i="25"/>
  <c r="D18" i="10"/>
  <c r="AH18" i="10" s="1"/>
  <c r="AA18" i="10" s="1"/>
  <c r="N19" i="41" s="1"/>
  <c r="C18" i="10"/>
  <c r="M18" i="25"/>
  <c r="D17" i="10"/>
  <c r="AH17" i="10" s="1"/>
  <c r="AA17" i="10" s="1"/>
  <c r="N18" i="41" s="1"/>
  <c r="C17" i="10"/>
  <c r="M17" i="25"/>
  <c r="D16" i="10"/>
  <c r="AH16" i="10" s="1"/>
  <c r="AA16" i="10" s="1"/>
  <c r="N17" i="41" s="1"/>
  <c r="C16" i="10"/>
  <c r="M16" i="25"/>
  <c r="D15" i="10"/>
  <c r="AH15" i="10" s="1"/>
  <c r="AA15" i="10" s="1"/>
  <c r="N16" i="41" s="1"/>
  <c r="C15" i="10"/>
  <c r="M15" i="25"/>
  <c r="D14" i="10"/>
  <c r="AH14" i="10" s="1"/>
  <c r="AA14" i="10" s="1"/>
  <c r="N15" i="41" s="1"/>
  <c r="C14" i="10"/>
  <c r="M14" i="25"/>
  <c r="D13" i="10"/>
  <c r="AH13" i="10" s="1"/>
  <c r="AA13" i="10" s="1"/>
  <c r="N14" i="41" s="1"/>
  <c r="C13" i="10"/>
  <c r="M13" i="25"/>
  <c r="D12" i="10"/>
  <c r="AH12" i="10" s="1"/>
  <c r="AA12" i="10" s="1"/>
  <c r="N13" i="41" s="1"/>
  <c r="C12" i="10"/>
  <c r="M12" i="25"/>
  <c r="D11" i="10"/>
  <c r="AH11" i="10" s="1"/>
  <c r="AA11" i="10" s="1"/>
  <c r="N12" i="41" s="1"/>
  <c r="C11" i="10"/>
  <c r="M11" i="25"/>
  <c r="D10" i="10"/>
  <c r="AH10" i="10" s="1"/>
  <c r="AA10" i="10" s="1"/>
  <c r="N11" i="41" s="1"/>
  <c r="C10" i="10"/>
  <c r="M10" i="25"/>
  <c r="D9" i="10"/>
  <c r="AH9" i="10" s="1"/>
  <c r="AA9" i="10" s="1"/>
  <c r="N10" i="41" s="1"/>
  <c r="C9" i="10"/>
  <c r="M9" i="25"/>
  <c r="D8" i="10"/>
  <c r="AH8" i="10" s="1"/>
  <c r="AA8" i="10" s="1"/>
  <c r="N9" i="41" s="1"/>
  <c r="C8" i="10"/>
  <c r="M8" i="25"/>
  <c r="D7" i="10"/>
  <c r="AH7" i="10" s="1"/>
  <c r="AA7" i="10" s="1"/>
  <c r="N8" i="41" s="1"/>
  <c r="C7" i="10"/>
  <c r="D6" i="10"/>
  <c r="AH6" i="10" s="1"/>
  <c r="AA6" i="10" s="1"/>
  <c r="N7" i="41" s="1"/>
  <c r="C6" i="10"/>
  <c r="D5" i="10"/>
  <c r="AH5" i="10" s="1"/>
  <c r="AA5" i="10" s="1"/>
  <c r="N6" i="41" s="1"/>
  <c r="C5" i="10"/>
  <c r="D54" i="7"/>
  <c r="AH54" i="7" s="1"/>
  <c r="AA54" i="7" s="1"/>
  <c r="K55" i="41" s="1"/>
  <c r="C54" i="7"/>
  <c r="D53" i="7"/>
  <c r="AH53" i="7" s="1"/>
  <c r="AA53" i="7" s="1"/>
  <c r="K54" i="41" s="1"/>
  <c r="C53" i="7"/>
  <c r="D52" i="7"/>
  <c r="AH52" i="7" s="1"/>
  <c r="AA52" i="7" s="1"/>
  <c r="K53" i="41" s="1"/>
  <c r="C52" i="7"/>
  <c r="D51" i="7"/>
  <c r="AH51" i="7" s="1"/>
  <c r="AA51" i="7" s="1"/>
  <c r="K52" i="41" s="1"/>
  <c r="C51" i="7"/>
  <c r="D50" i="7"/>
  <c r="AH50" i="7" s="1"/>
  <c r="AA50" i="7" s="1"/>
  <c r="K51" i="41" s="1"/>
  <c r="C50" i="7"/>
  <c r="D49" i="7"/>
  <c r="AH49" i="7" s="1"/>
  <c r="AA49" i="7" s="1"/>
  <c r="K50" i="41" s="1"/>
  <c r="C49" i="7"/>
  <c r="D48" i="7"/>
  <c r="AH48" i="7" s="1"/>
  <c r="AA48" i="7" s="1"/>
  <c r="K49" i="41" s="1"/>
  <c r="C48" i="7"/>
  <c r="D47" i="7"/>
  <c r="AH47" i="7" s="1"/>
  <c r="AA47" i="7" s="1"/>
  <c r="K48" i="41" s="1"/>
  <c r="C47" i="7"/>
  <c r="D46" i="7"/>
  <c r="AH46" i="7" s="1"/>
  <c r="AA46" i="7" s="1"/>
  <c r="K47" i="41" s="1"/>
  <c r="C46" i="7"/>
  <c r="D45" i="7"/>
  <c r="AH45" i="7" s="1"/>
  <c r="AA45" i="7" s="1"/>
  <c r="K46" i="41" s="1"/>
  <c r="C45" i="7"/>
  <c r="D44" i="7"/>
  <c r="AH44" i="7" s="1"/>
  <c r="AA44" i="7" s="1"/>
  <c r="K45" i="41" s="1"/>
  <c r="C44" i="7"/>
  <c r="D43" i="7"/>
  <c r="AH43" i="7" s="1"/>
  <c r="AA43" i="7" s="1"/>
  <c r="K44" i="41" s="1"/>
  <c r="C43" i="7"/>
  <c r="D42" i="7"/>
  <c r="AH42" i="7" s="1"/>
  <c r="AA42" i="7" s="1"/>
  <c r="K43" i="41" s="1"/>
  <c r="C42" i="7"/>
  <c r="D41" i="7"/>
  <c r="AH41" i="7" s="1"/>
  <c r="AA41" i="7" s="1"/>
  <c r="K42" i="41" s="1"/>
  <c r="C41" i="7"/>
  <c r="D40" i="7"/>
  <c r="AH40" i="7" s="1"/>
  <c r="AA40" i="7" s="1"/>
  <c r="K41" i="41" s="1"/>
  <c r="C40" i="7"/>
  <c r="D39" i="7"/>
  <c r="AH39" i="7" s="1"/>
  <c r="AA39" i="7" s="1"/>
  <c r="K40" i="41" s="1"/>
  <c r="C39" i="7"/>
  <c r="D38" i="7"/>
  <c r="AH38" i="7" s="1"/>
  <c r="AA38" i="7" s="1"/>
  <c r="K39" i="41" s="1"/>
  <c r="C38" i="7"/>
  <c r="D37" i="7"/>
  <c r="AH37" i="7" s="1"/>
  <c r="AA37" i="7" s="1"/>
  <c r="K38" i="41" s="1"/>
  <c r="C37" i="7"/>
  <c r="D36" i="7"/>
  <c r="AH36" i="7" s="1"/>
  <c r="AA36" i="7" s="1"/>
  <c r="K37" i="41" s="1"/>
  <c r="C36" i="7"/>
  <c r="D35" i="7"/>
  <c r="AH35" i="7" s="1"/>
  <c r="AA35" i="7" s="1"/>
  <c r="K36" i="41" s="1"/>
  <c r="C35" i="7"/>
  <c r="D34" i="7"/>
  <c r="AH34" i="7" s="1"/>
  <c r="AA34" i="7" s="1"/>
  <c r="K35" i="41" s="1"/>
  <c r="C34" i="7"/>
  <c r="D33" i="7"/>
  <c r="AH33" i="7" s="1"/>
  <c r="AA33" i="7" s="1"/>
  <c r="K34" i="41" s="1"/>
  <c r="C33" i="7"/>
  <c r="D32" i="7"/>
  <c r="AH32" i="7" s="1"/>
  <c r="AA32" i="7" s="1"/>
  <c r="K33" i="41" s="1"/>
  <c r="C32" i="7"/>
  <c r="D31" i="7"/>
  <c r="AH31" i="7" s="1"/>
  <c r="AA31" i="7" s="1"/>
  <c r="K32" i="41" s="1"/>
  <c r="C31" i="7"/>
  <c r="D30" i="7"/>
  <c r="AH30" i="7" s="1"/>
  <c r="AA30" i="7" s="1"/>
  <c r="K31" i="41" s="1"/>
  <c r="C30" i="7"/>
  <c r="D29" i="7"/>
  <c r="AH29" i="7" s="1"/>
  <c r="AA29" i="7" s="1"/>
  <c r="K30" i="41" s="1"/>
  <c r="C29" i="7"/>
  <c r="D28" i="7"/>
  <c r="AH28" i="7" s="1"/>
  <c r="AA28" i="7" s="1"/>
  <c r="K29" i="41" s="1"/>
  <c r="C28" i="7"/>
  <c r="D27" i="7"/>
  <c r="AH27" i="7" s="1"/>
  <c r="AA27" i="7" s="1"/>
  <c r="K28" i="41" s="1"/>
  <c r="C27" i="7"/>
  <c r="D26" i="7"/>
  <c r="AH26" i="7" s="1"/>
  <c r="AA26" i="7" s="1"/>
  <c r="K27" i="41" s="1"/>
  <c r="C26" i="7"/>
  <c r="D25" i="7"/>
  <c r="AH25" i="7" s="1"/>
  <c r="AA25" i="7" s="1"/>
  <c r="K26" i="41" s="1"/>
  <c r="C25" i="7"/>
  <c r="D24" i="7"/>
  <c r="AH24" i="7" s="1"/>
  <c r="AA24" i="7" s="1"/>
  <c r="K25" i="41" s="1"/>
  <c r="C24" i="7"/>
  <c r="D23" i="7"/>
  <c r="AH23" i="7" s="1"/>
  <c r="AA23" i="7" s="1"/>
  <c r="K24" i="41" s="1"/>
  <c r="C23" i="7"/>
  <c r="D22" i="7"/>
  <c r="AH22" i="7" s="1"/>
  <c r="AA22" i="7" s="1"/>
  <c r="K23" i="41" s="1"/>
  <c r="C22" i="7"/>
  <c r="D21" i="7"/>
  <c r="AH21" i="7" s="1"/>
  <c r="AA21" i="7" s="1"/>
  <c r="K22" i="41" s="1"/>
  <c r="C21" i="7"/>
  <c r="D20" i="7"/>
  <c r="AH20" i="7" s="1"/>
  <c r="AA20" i="7" s="1"/>
  <c r="K21" i="41" s="1"/>
  <c r="C20" i="7"/>
  <c r="D19" i="7"/>
  <c r="AH19" i="7" s="1"/>
  <c r="AA19" i="7" s="1"/>
  <c r="K20" i="41" s="1"/>
  <c r="C19" i="7"/>
  <c r="D18" i="7"/>
  <c r="AH18" i="7" s="1"/>
  <c r="AA18" i="7" s="1"/>
  <c r="K19" i="41" s="1"/>
  <c r="C18" i="7"/>
  <c r="D17" i="7"/>
  <c r="AH17" i="7" s="1"/>
  <c r="AA17" i="7" s="1"/>
  <c r="K18" i="41" s="1"/>
  <c r="C17" i="7"/>
  <c r="D16" i="7"/>
  <c r="AH16" i="7" s="1"/>
  <c r="AA16" i="7" s="1"/>
  <c r="K17" i="41" s="1"/>
  <c r="C16" i="7"/>
  <c r="D15" i="7"/>
  <c r="AH15" i="7" s="1"/>
  <c r="AA15" i="7" s="1"/>
  <c r="K16" i="41" s="1"/>
  <c r="C15" i="7"/>
  <c r="D14" i="7"/>
  <c r="AH14" i="7" s="1"/>
  <c r="AA14" i="7" s="1"/>
  <c r="K15" i="41" s="1"/>
  <c r="C14" i="7"/>
  <c r="D13" i="7"/>
  <c r="AH13" i="7" s="1"/>
  <c r="AA13" i="7" s="1"/>
  <c r="K14" i="41" s="1"/>
  <c r="C13" i="7"/>
  <c r="D12" i="7"/>
  <c r="AH12" i="7" s="1"/>
  <c r="AA12" i="7" s="1"/>
  <c r="K13" i="41" s="1"/>
  <c r="C12" i="7"/>
  <c r="D11" i="7"/>
  <c r="AH11" i="7" s="1"/>
  <c r="AA11" i="7" s="1"/>
  <c r="K12" i="41" s="1"/>
  <c r="C11" i="7"/>
  <c r="D10" i="7"/>
  <c r="AH10" i="7" s="1"/>
  <c r="AA10" i="7" s="1"/>
  <c r="K11" i="41" s="1"/>
  <c r="C10" i="7"/>
  <c r="D9" i="7"/>
  <c r="AH9" i="7" s="1"/>
  <c r="AA9" i="7" s="1"/>
  <c r="K10" i="41" s="1"/>
  <c r="C9" i="7"/>
  <c r="D8" i="7"/>
  <c r="AH8" i="7" s="1"/>
  <c r="AA8" i="7" s="1"/>
  <c r="K9" i="41" s="1"/>
  <c r="C8" i="7"/>
  <c r="D7" i="7"/>
  <c r="AH7" i="7" s="1"/>
  <c r="AA7" i="7" s="1"/>
  <c r="K8" i="41" s="1"/>
  <c r="C7" i="7"/>
  <c r="D6" i="7"/>
  <c r="AH6" i="7" s="1"/>
  <c r="AA6" i="7" s="1"/>
  <c r="K7" i="41" s="1"/>
  <c r="C6" i="7"/>
  <c r="D5" i="7"/>
  <c r="AH5" i="7" s="1"/>
  <c r="AA5" i="7" s="1"/>
  <c r="K6" i="41" s="1"/>
  <c r="C5" i="7"/>
  <c r="AC54" i="6"/>
  <c r="AB54" i="6"/>
  <c r="AA54" i="6"/>
  <c r="Z54" i="6"/>
  <c r="Y54" i="6"/>
  <c r="X54" i="6"/>
  <c r="W54" i="6"/>
  <c r="V54" i="6"/>
  <c r="U54" i="6"/>
  <c r="T54" i="6"/>
  <c r="S54" i="6"/>
  <c r="AH54" i="6" s="1"/>
  <c r="R54" i="6"/>
  <c r="P54" i="6"/>
  <c r="Q54" i="6" s="1"/>
  <c r="C54" i="6"/>
  <c r="B54" i="6"/>
  <c r="AC53" i="6"/>
  <c r="AB53" i="6"/>
  <c r="AA53" i="6"/>
  <c r="Z53" i="6"/>
  <c r="Y53" i="6"/>
  <c r="X53" i="6"/>
  <c r="W53" i="6"/>
  <c r="V53" i="6"/>
  <c r="U53" i="6"/>
  <c r="T53" i="6"/>
  <c r="S53" i="6"/>
  <c r="R53" i="6"/>
  <c r="AE53" i="6" s="1"/>
  <c r="P53" i="6"/>
  <c r="Q53" i="6" s="1"/>
  <c r="C53" i="6"/>
  <c r="B53" i="6"/>
  <c r="AC52" i="6"/>
  <c r="AB52" i="6"/>
  <c r="AA52" i="6"/>
  <c r="Z52" i="6"/>
  <c r="Y52" i="6"/>
  <c r="X52" i="6"/>
  <c r="W52" i="6"/>
  <c r="V52" i="6"/>
  <c r="U52" i="6"/>
  <c r="T52" i="6"/>
  <c r="S52" i="6"/>
  <c r="R52" i="6"/>
  <c r="P52" i="6"/>
  <c r="Q52" i="6" s="1"/>
  <c r="C52" i="6"/>
  <c r="B52" i="6"/>
  <c r="AC51" i="6"/>
  <c r="AB51" i="6"/>
  <c r="AA51" i="6"/>
  <c r="Z51" i="6"/>
  <c r="Y51" i="6"/>
  <c r="X51" i="6"/>
  <c r="W51" i="6"/>
  <c r="V51" i="6"/>
  <c r="U51" i="6"/>
  <c r="T51" i="6"/>
  <c r="S51" i="6"/>
  <c r="R51" i="6"/>
  <c r="P51" i="6"/>
  <c r="Q51" i="6" s="1"/>
  <c r="C51" i="6"/>
  <c r="B51" i="6"/>
  <c r="AC50" i="6"/>
  <c r="AB50" i="6"/>
  <c r="AA50" i="6"/>
  <c r="Z50" i="6"/>
  <c r="Y50" i="6"/>
  <c r="X50" i="6"/>
  <c r="W50" i="6"/>
  <c r="V50" i="6"/>
  <c r="U50" i="6"/>
  <c r="T50" i="6"/>
  <c r="S50" i="6"/>
  <c r="R50" i="6"/>
  <c r="P50" i="6"/>
  <c r="Q50" i="6" s="1"/>
  <c r="C50" i="6"/>
  <c r="B50" i="6"/>
  <c r="AC49" i="6"/>
  <c r="AB49" i="6"/>
  <c r="AA49" i="6"/>
  <c r="Z49" i="6"/>
  <c r="Y49" i="6"/>
  <c r="X49" i="6"/>
  <c r="W49" i="6"/>
  <c r="V49" i="6"/>
  <c r="U49" i="6"/>
  <c r="T49" i="6"/>
  <c r="S49" i="6"/>
  <c r="R49" i="6"/>
  <c r="P49" i="6"/>
  <c r="Q49" i="6" s="1"/>
  <c r="C49" i="6"/>
  <c r="B49" i="6"/>
  <c r="AC48" i="6"/>
  <c r="AB48" i="6"/>
  <c r="AA48" i="6"/>
  <c r="Z48" i="6"/>
  <c r="Y48" i="6"/>
  <c r="X48" i="6"/>
  <c r="W48" i="6"/>
  <c r="V48" i="6"/>
  <c r="U48" i="6"/>
  <c r="T48" i="6"/>
  <c r="S48" i="6"/>
  <c r="R48" i="6"/>
  <c r="P48" i="6"/>
  <c r="Q48" i="6" s="1"/>
  <c r="C48" i="6"/>
  <c r="B48" i="6"/>
  <c r="AC47" i="6"/>
  <c r="AB47" i="6"/>
  <c r="AA47" i="6"/>
  <c r="Z47" i="6"/>
  <c r="Y47" i="6"/>
  <c r="X47" i="6"/>
  <c r="W47" i="6"/>
  <c r="V47" i="6"/>
  <c r="U47" i="6"/>
  <c r="T47" i="6"/>
  <c r="S47" i="6"/>
  <c r="R47" i="6"/>
  <c r="P47" i="6"/>
  <c r="Q47" i="6" s="1"/>
  <c r="C47" i="6"/>
  <c r="B47" i="6"/>
  <c r="AC46" i="6"/>
  <c r="AB46" i="6"/>
  <c r="AA46" i="6"/>
  <c r="Z46" i="6"/>
  <c r="Y46" i="6"/>
  <c r="X46" i="6"/>
  <c r="W46" i="6"/>
  <c r="V46" i="6"/>
  <c r="U46" i="6"/>
  <c r="T46" i="6"/>
  <c r="S46" i="6"/>
  <c r="R46" i="6"/>
  <c r="P46" i="6"/>
  <c r="Q46" i="6" s="1"/>
  <c r="C46" i="6"/>
  <c r="B46" i="6"/>
  <c r="AC45" i="6"/>
  <c r="AB45" i="6"/>
  <c r="AA45" i="6"/>
  <c r="Z45" i="6"/>
  <c r="Y45" i="6"/>
  <c r="X45" i="6"/>
  <c r="W45" i="6"/>
  <c r="V45" i="6"/>
  <c r="U45" i="6"/>
  <c r="T45" i="6"/>
  <c r="S45" i="6"/>
  <c r="R45" i="6"/>
  <c r="P45" i="6"/>
  <c r="Q45" i="6" s="1"/>
  <c r="C45" i="6"/>
  <c r="B45" i="6"/>
  <c r="AC44" i="6"/>
  <c r="AB44" i="6"/>
  <c r="AA44" i="6"/>
  <c r="Z44" i="6"/>
  <c r="Y44" i="6"/>
  <c r="X44" i="6"/>
  <c r="W44" i="6"/>
  <c r="V44" i="6"/>
  <c r="U44" i="6"/>
  <c r="T44" i="6"/>
  <c r="S44" i="6"/>
  <c r="R44" i="6"/>
  <c r="P44" i="6"/>
  <c r="Q44" i="6" s="1"/>
  <c r="C44" i="6"/>
  <c r="B44" i="6"/>
  <c r="AC43" i="6"/>
  <c r="AB43" i="6"/>
  <c r="AA43" i="6"/>
  <c r="Z43" i="6"/>
  <c r="Y43" i="6"/>
  <c r="X43" i="6"/>
  <c r="W43" i="6"/>
  <c r="V43" i="6"/>
  <c r="U43" i="6"/>
  <c r="T43" i="6"/>
  <c r="S43" i="6"/>
  <c r="R43" i="6"/>
  <c r="P43" i="6"/>
  <c r="Q43" i="6" s="1"/>
  <c r="C43" i="6"/>
  <c r="B43" i="6"/>
  <c r="AC42" i="6"/>
  <c r="AB42" i="6"/>
  <c r="AA42" i="6"/>
  <c r="Z42" i="6"/>
  <c r="Y42" i="6"/>
  <c r="X42" i="6"/>
  <c r="W42" i="6"/>
  <c r="V42" i="6"/>
  <c r="U42" i="6"/>
  <c r="T42" i="6"/>
  <c r="S42" i="6"/>
  <c r="R42" i="6"/>
  <c r="P42" i="6"/>
  <c r="Q42" i="6" s="1"/>
  <c r="C42" i="6"/>
  <c r="B42" i="6"/>
  <c r="AC41" i="6"/>
  <c r="AB41" i="6"/>
  <c r="AA41" i="6"/>
  <c r="Z41" i="6"/>
  <c r="Y41" i="6"/>
  <c r="X41" i="6"/>
  <c r="W41" i="6"/>
  <c r="V41" i="6"/>
  <c r="U41" i="6"/>
  <c r="T41" i="6"/>
  <c r="S41" i="6"/>
  <c r="R41" i="6"/>
  <c r="P41" i="6"/>
  <c r="Q41" i="6" s="1"/>
  <c r="C41" i="6"/>
  <c r="B41" i="6"/>
  <c r="AC40" i="6"/>
  <c r="AB40" i="6"/>
  <c r="AA40" i="6"/>
  <c r="Z40" i="6"/>
  <c r="Y40" i="6"/>
  <c r="X40" i="6"/>
  <c r="W40" i="6"/>
  <c r="V40" i="6"/>
  <c r="U40" i="6"/>
  <c r="T40" i="6"/>
  <c r="S40" i="6"/>
  <c r="R40" i="6"/>
  <c r="P40" i="6"/>
  <c r="Q40" i="6" s="1"/>
  <c r="C40" i="6"/>
  <c r="B40" i="6"/>
  <c r="AC39" i="6"/>
  <c r="AB39" i="6"/>
  <c r="AA39" i="6"/>
  <c r="Z39" i="6"/>
  <c r="Y39" i="6"/>
  <c r="X39" i="6"/>
  <c r="W39" i="6"/>
  <c r="V39" i="6"/>
  <c r="U39" i="6"/>
  <c r="T39" i="6"/>
  <c r="S39" i="6"/>
  <c r="R39" i="6"/>
  <c r="P39" i="6"/>
  <c r="Q39" i="6" s="1"/>
  <c r="C39" i="6"/>
  <c r="B39" i="6"/>
  <c r="AC38" i="6"/>
  <c r="AB38" i="6"/>
  <c r="AA38" i="6"/>
  <c r="Z38" i="6"/>
  <c r="Y38" i="6"/>
  <c r="X38" i="6"/>
  <c r="W38" i="6"/>
  <c r="V38" i="6"/>
  <c r="U38" i="6"/>
  <c r="T38" i="6"/>
  <c r="S38" i="6"/>
  <c r="R38" i="6"/>
  <c r="P38" i="6"/>
  <c r="Q38" i="6" s="1"/>
  <c r="C38" i="6"/>
  <c r="B38" i="6"/>
  <c r="AC37" i="6"/>
  <c r="AB37" i="6"/>
  <c r="AA37" i="6"/>
  <c r="Z37" i="6"/>
  <c r="Y37" i="6"/>
  <c r="X37" i="6"/>
  <c r="W37" i="6"/>
  <c r="V37" i="6"/>
  <c r="U37" i="6"/>
  <c r="T37" i="6"/>
  <c r="S37" i="6"/>
  <c r="R37" i="6"/>
  <c r="P37" i="6"/>
  <c r="Q37" i="6" s="1"/>
  <c r="C37" i="6"/>
  <c r="B37" i="6"/>
  <c r="AC36" i="6"/>
  <c r="AB36" i="6"/>
  <c r="AA36" i="6"/>
  <c r="Z36" i="6"/>
  <c r="Y36" i="6"/>
  <c r="X36" i="6"/>
  <c r="W36" i="6"/>
  <c r="V36" i="6"/>
  <c r="U36" i="6"/>
  <c r="T36" i="6"/>
  <c r="S36" i="6"/>
  <c r="R36" i="6"/>
  <c r="P36" i="6"/>
  <c r="Q36" i="6" s="1"/>
  <c r="C36" i="6"/>
  <c r="B36" i="6"/>
  <c r="AC35" i="6"/>
  <c r="AB35" i="6"/>
  <c r="AA35" i="6"/>
  <c r="Z35" i="6"/>
  <c r="Y35" i="6"/>
  <c r="X35" i="6"/>
  <c r="W35" i="6"/>
  <c r="V35" i="6"/>
  <c r="U35" i="6"/>
  <c r="T35" i="6"/>
  <c r="S35" i="6"/>
  <c r="R35" i="6"/>
  <c r="P35" i="6"/>
  <c r="Q35" i="6" s="1"/>
  <c r="C35" i="6"/>
  <c r="B35" i="6"/>
  <c r="AC34" i="6"/>
  <c r="AB34" i="6"/>
  <c r="AA34" i="6"/>
  <c r="Z34" i="6"/>
  <c r="Y34" i="6"/>
  <c r="X34" i="6"/>
  <c r="W34" i="6"/>
  <c r="V34" i="6"/>
  <c r="U34" i="6"/>
  <c r="T34" i="6"/>
  <c r="S34" i="6"/>
  <c r="R34" i="6"/>
  <c r="P34" i="6"/>
  <c r="Q34" i="6" s="1"/>
  <c r="C34" i="6"/>
  <c r="B34" i="6"/>
  <c r="AC33" i="6"/>
  <c r="AB33" i="6"/>
  <c r="AA33" i="6"/>
  <c r="Z33" i="6"/>
  <c r="Y33" i="6"/>
  <c r="X33" i="6"/>
  <c r="W33" i="6"/>
  <c r="V33" i="6"/>
  <c r="U33" i="6"/>
  <c r="T33" i="6"/>
  <c r="S33" i="6"/>
  <c r="R33" i="6"/>
  <c r="P33" i="6"/>
  <c r="Q33" i="6" s="1"/>
  <c r="C33" i="6"/>
  <c r="B33" i="6"/>
  <c r="AC32" i="6"/>
  <c r="AB32" i="6"/>
  <c r="AA32" i="6"/>
  <c r="Z32" i="6"/>
  <c r="Y32" i="6"/>
  <c r="X32" i="6"/>
  <c r="W32" i="6"/>
  <c r="V32" i="6"/>
  <c r="U32" i="6"/>
  <c r="T32" i="6"/>
  <c r="S32" i="6"/>
  <c r="R32" i="6"/>
  <c r="P32" i="6"/>
  <c r="Q32" i="6" s="1"/>
  <c r="C32" i="6"/>
  <c r="B32" i="6"/>
  <c r="AC31" i="6"/>
  <c r="AB31" i="6"/>
  <c r="AA31" i="6"/>
  <c r="Z31" i="6"/>
  <c r="Y31" i="6"/>
  <c r="X31" i="6"/>
  <c r="W31" i="6"/>
  <c r="V31" i="6"/>
  <c r="U31" i="6"/>
  <c r="T31" i="6"/>
  <c r="S31" i="6"/>
  <c r="R31" i="6"/>
  <c r="P31" i="6"/>
  <c r="Q31" i="6" s="1"/>
  <c r="C31" i="6"/>
  <c r="B31" i="6"/>
  <c r="AC30" i="6"/>
  <c r="AB30" i="6"/>
  <c r="AA30" i="6"/>
  <c r="Z30" i="6"/>
  <c r="Y30" i="6"/>
  <c r="X30" i="6"/>
  <c r="W30" i="6"/>
  <c r="V30" i="6"/>
  <c r="U30" i="6"/>
  <c r="T30" i="6"/>
  <c r="S30" i="6"/>
  <c r="R30" i="6"/>
  <c r="P30" i="6"/>
  <c r="Q30" i="6" s="1"/>
  <c r="C30" i="6"/>
  <c r="B30" i="6"/>
  <c r="AC29" i="6"/>
  <c r="AB29" i="6"/>
  <c r="AA29" i="6"/>
  <c r="Z29" i="6"/>
  <c r="Y29" i="6"/>
  <c r="X29" i="6"/>
  <c r="W29" i="6"/>
  <c r="V29" i="6"/>
  <c r="U29" i="6"/>
  <c r="T29" i="6"/>
  <c r="S29" i="6"/>
  <c r="R29" i="6"/>
  <c r="P29" i="6"/>
  <c r="Q29" i="6" s="1"/>
  <c r="C29" i="6"/>
  <c r="B29" i="6"/>
  <c r="AC28" i="6"/>
  <c r="AB28" i="6"/>
  <c r="AA28" i="6"/>
  <c r="Z28" i="6"/>
  <c r="Y28" i="6"/>
  <c r="X28" i="6"/>
  <c r="W28" i="6"/>
  <c r="V28" i="6"/>
  <c r="U28" i="6"/>
  <c r="T28" i="6"/>
  <c r="S28" i="6"/>
  <c r="R28" i="6"/>
  <c r="P28" i="6"/>
  <c r="Q28" i="6" s="1"/>
  <c r="C28" i="6"/>
  <c r="B28" i="6"/>
  <c r="AC27" i="6"/>
  <c r="AB27" i="6"/>
  <c r="AA27" i="6"/>
  <c r="Z27" i="6"/>
  <c r="Y27" i="6"/>
  <c r="X27" i="6"/>
  <c r="W27" i="6"/>
  <c r="V27" i="6"/>
  <c r="U27" i="6"/>
  <c r="T27" i="6"/>
  <c r="S27" i="6"/>
  <c r="R27" i="6"/>
  <c r="P27" i="6"/>
  <c r="Q27" i="6" s="1"/>
  <c r="C27" i="6"/>
  <c r="B27" i="6"/>
  <c r="AC26" i="6"/>
  <c r="AB26" i="6"/>
  <c r="AA26" i="6"/>
  <c r="Z26" i="6"/>
  <c r="Y26" i="6"/>
  <c r="X26" i="6"/>
  <c r="W26" i="6"/>
  <c r="V26" i="6"/>
  <c r="U26" i="6"/>
  <c r="T26" i="6"/>
  <c r="S26" i="6"/>
  <c r="AH26" i="6" s="1"/>
  <c r="R26" i="6"/>
  <c r="P26" i="6"/>
  <c r="Q26" i="6" s="1"/>
  <c r="C26" i="6"/>
  <c r="B26" i="6"/>
  <c r="AC25" i="6"/>
  <c r="AB25" i="6"/>
  <c r="AA25" i="6"/>
  <c r="Z25" i="6"/>
  <c r="Y25" i="6"/>
  <c r="X25" i="6"/>
  <c r="W25" i="6"/>
  <c r="V25" i="6"/>
  <c r="U25" i="6"/>
  <c r="T25" i="6"/>
  <c r="S25" i="6"/>
  <c r="R25" i="6"/>
  <c r="P25" i="6"/>
  <c r="Q25" i="6" s="1"/>
  <c r="C25" i="6"/>
  <c r="B25" i="6"/>
  <c r="AC24" i="6"/>
  <c r="AB24" i="6"/>
  <c r="AA24" i="6"/>
  <c r="Z24" i="6"/>
  <c r="Y24" i="6"/>
  <c r="X24" i="6"/>
  <c r="W24" i="6"/>
  <c r="V24" i="6"/>
  <c r="U24" i="6"/>
  <c r="T24" i="6"/>
  <c r="S24" i="6"/>
  <c r="R24" i="6"/>
  <c r="Q24" i="6"/>
  <c r="P24" i="6"/>
  <c r="C24" i="6"/>
  <c r="B24" i="6"/>
  <c r="AC23" i="6"/>
  <c r="AB23" i="6"/>
  <c r="AA23" i="6"/>
  <c r="Z23" i="6"/>
  <c r="Y23" i="6"/>
  <c r="X23" i="6"/>
  <c r="W23" i="6"/>
  <c r="V23" i="6"/>
  <c r="U23" i="6"/>
  <c r="T23" i="6"/>
  <c r="S23" i="6"/>
  <c r="R23" i="6"/>
  <c r="P23" i="6"/>
  <c r="Q23" i="6" s="1"/>
  <c r="C23" i="6"/>
  <c r="B23" i="6"/>
  <c r="AC22" i="6"/>
  <c r="AB22" i="6"/>
  <c r="AA22" i="6"/>
  <c r="Z22" i="6"/>
  <c r="Y22" i="6"/>
  <c r="X22" i="6"/>
  <c r="W22" i="6"/>
  <c r="V22" i="6"/>
  <c r="U22" i="6"/>
  <c r="T22" i="6"/>
  <c r="S22" i="6"/>
  <c r="R22" i="6"/>
  <c r="P22" i="6"/>
  <c r="Q22" i="6" s="1"/>
  <c r="C22" i="6"/>
  <c r="B22" i="6"/>
  <c r="AC21" i="6"/>
  <c r="AB21" i="6"/>
  <c r="AA21" i="6"/>
  <c r="Z21" i="6"/>
  <c r="Y21" i="6"/>
  <c r="X21" i="6"/>
  <c r="W21" i="6"/>
  <c r="V21" i="6"/>
  <c r="U21" i="6"/>
  <c r="T21" i="6"/>
  <c r="S21" i="6"/>
  <c r="R21" i="6"/>
  <c r="P21" i="6"/>
  <c r="Q21" i="6" s="1"/>
  <c r="C21" i="6"/>
  <c r="B21" i="6"/>
  <c r="AC20" i="6"/>
  <c r="AB20" i="6"/>
  <c r="AA20" i="6"/>
  <c r="Z20" i="6"/>
  <c r="Y20" i="6"/>
  <c r="X20" i="6"/>
  <c r="W20" i="6"/>
  <c r="V20" i="6"/>
  <c r="U20" i="6"/>
  <c r="T20" i="6"/>
  <c r="S20" i="6"/>
  <c r="R20" i="6"/>
  <c r="P20" i="6"/>
  <c r="Q20" i="6" s="1"/>
  <c r="C20" i="6"/>
  <c r="B20" i="6"/>
  <c r="AC19" i="6"/>
  <c r="AB19" i="6"/>
  <c r="AA19" i="6"/>
  <c r="Z19" i="6"/>
  <c r="Y19" i="6"/>
  <c r="X19" i="6"/>
  <c r="W19" i="6"/>
  <c r="V19" i="6"/>
  <c r="U19" i="6"/>
  <c r="T19" i="6"/>
  <c r="S19" i="6"/>
  <c r="R19" i="6"/>
  <c r="P19" i="6"/>
  <c r="Q19" i="6" s="1"/>
  <c r="C19" i="6"/>
  <c r="B19" i="6"/>
  <c r="AC18" i="6"/>
  <c r="AB18" i="6"/>
  <c r="AA18" i="6"/>
  <c r="Z18" i="6"/>
  <c r="Y18" i="6"/>
  <c r="X18" i="6"/>
  <c r="W18" i="6"/>
  <c r="V18" i="6"/>
  <c r="U18" i="6"/>
  <c r="T18" i="6"/>
  <c r="S18" i="6"/>
  <c r="R18" i="6"/>
  <c r="P18" i="6"/>
  <c r="Q18" i="6" s="1"/>
  <c r="C18" i="6"/>
  <c r="B18" i="6"/>
  <c r="AC17" i="6"/>
  <c r="AB17" i="6"/>
  <c r="AA17" i="6"/>
  <c r="Z17" i="6"/>
  <c r="Y17" i="6"/>
  <c r="X17" i="6"/>
  <c r="W17" i="6"/>
  <c r="V17" i="6"/>
  <c r="U17" i="6"/>
  <c r="T17" i="6"/>
  <c r="S17" i="6"/>
  <c r="R17" i="6"/>
  <c r="P17" i="6"/>
  <c r="Q17" i="6" s="1"/>
  <c r="C17" i="6"/>
  <c r="B17" i="6"/>
  <c r="AC16" i="6"/>
  <c r="AB16" i="6"/>
  <c r="AA16" i="6"/>
  <c r="Z16" i="6"/>
  <c r="Y16" i="6"/>
  <c r="X16" i="6"/>
  <c r="W16" i="6"/>
  <c r="V16" i="6"/>
  <c r="U16" i="6"/>
  <c r="T16" i="6"/>
  <c r="S16" i="6"/>
  <c r="R16" i="6"/>
  <c r="P16" i="6"/>
  <c r="Q16" i="6" s="1"/>
  <c r="C16" i="6"/>
  <c r="B16" i="6"/>
  <c r="AC15" i="6"/>
  <c r="AB15" i="6"/>
  <c r="AA15" i="6"/>
  <c r="Z15" i="6"/>
  <c r="Y15" i="6"/>
  <c r="X15" i="6"/>
  <c r="W15" i="6"/>
  <c r="V15" i="6"/>
  <c r="U15" i="6"/>
  <c r="T15" i="6"/>
  <c r="S15" i="6"/>
  <c r="R15" i="6"/>
  <c r="P15" i="6"/>
  <c r="Q15" i="6" s="1"/>
  <c r="C15" i="6"/>
  <c r="B15" i="6"/>
  <c r="AC14" i="6"/>
  <c r="AB14" i="6"/>
  <c r="AA14" i="6"/>
  <c r="Z14" i="6"/>
  <c r="Y14" i="6"/>
  <c r="X14" i="6"/>
  <c r="W14" i="6"/>
  <c r="V14" i="6"/>
  <c r="U14" i="6"/>
  <c r="T14" i="6"/>
  <c r="S14" i="6"/>
  <c r="R14" i="6"/>
  <c r="BG14" i="6" s="1"/>
  <c r="P14" i="6"/>
  <c r="Q14" i="6" s="1"/>
  <c r="C14" i="6"/>
  <c r="B14" i="6"/>
  <c r="AC13" i="6"/>
  <c r="AB13" i="6"/>
  <c r="AA13" i="6"/>
  <c r="Z13" i="6"/>
  <c r="Y13" i="6"/>
  <c r="X13" i="6"/>
  <c r="W13" i="6"/>
  <c r="V13" i="6"/>
  <c r="U13" i="6"/>
  <c r="T13" i="6"/>
  <c r="S13" i="6"/>
  <c r="R13" i="6"/>
  <c r="P13" i="6"/>
  <c r="Q13" i="6" s="1"/>
  <c r="C13" i="6"/>
  <c r="B13" i="6"/>
  <c r="AC12" i="6"/>
  <c r="AB12" i="6"/>
  <c r="AA12" i="6"/>
  <c r="Z12" i="6"/>
  <c r="Y12" i="6"/>
  <c r="X12" i="6"/>
  <c r="W12" i="6"/>
  <c r="V12" i="6"/>
  <c r="U12" i="6"/>
  <c r="T12" i="6"/>
  <c r="S12" i="6"/>
  <c r="R12" i="6"/>
  <c r="P12" i="6"/>
  <c r="Q12" i="6" s="1"/>
  <c r="C12" i="6"/>
  <c r="B12" i="6"/>
  <c r="AC11" i="6"/>
  <c r="AB11" i="6"/>
  <c r="AA11" i="6"/>
  <c r="Z11" i="6"/>
  <c r="Y11" i="6"/>
  <c r="X11" i="6"/>
  <c r="W11" i="6"/>
  <c r="V11" i="6"/>
  <c r="U11" i="6"/>
  <c r="T11" i="6"/>
  <c r="S11" i="6"/>
  <c r="R11" i="6"/>
  <c r="P11" i="6"/>
  <c r="Q11" i="6" s="1"/>
  <c r="C11" i="6"/>
  <c r="B11" i="6"/>
  <c r="AC10" i="6"/>
  <c r="AB10" i="6"/>
  <c r="AA10" i="6"/>
  <c r="Z10" i="6"/>
  <c r="Y10" i="6"/>
  <c r="X10" i="6"/>
  <c r="W10" i="6"/>
  <c r="V10" i="6"/>
  <c r="U10" i="6"/>
  <c r="T10" i="6"/>
  <c r="S10" i="6"/>
  <c r="R10" i="6"/>
  <c r="P10" i="6"/>
  <c r="Q10" i="6" s="1"/>
  <c r="C10" i="6"/>
  <c r="B10" i="6"/>
  <c r="AC9" i="6"/>
  <c r="AB9" i="6"/>
  <c r="AA9" i="6"/>
  <c r="Z9" i="6"/>
  <c r="Y9" i="6"/>
  <c r="X9" i="6"/>
  <c r="W9" i="6"/>
  <c r="V9" i="6"/>
  <c r="U9" i="6"/>
  <c r="T9" i="6"/>
  <c r="S9" i="6"/>
  <c r="R9" i="6"/>
  <c r="P9" i="6"/>
  <c r="Q9" i="6" s="1"/>
  <c r="C9" i="6"/>
  <c r="B9" i="6"/>
  <c r="AC8" i="6"/>
  <c r="AB8" i="6"/>
  <c r="AA8" i="6"/>
  <c r="Z8" i="6"/>
  <c r="Y8" i="6"/>
  <c r="X8" i="6"/>
  <c r="W8" i="6"/>
  <c r="V8" i="6"/>
  <c r="U8" i="6"/>
  <c r="T8" i="6"/>
  <c r="S8" i="6"/>
  <c r="R8" i="6"/>
  <c r="P8" i="6"/>
  <c r="Q8" i="6" s="1"/>
  <c r="C8" i="6"/>
  <c r="B8" i="6"/>
  <c r="AC7" i="6"/>
  <c r="AB7" i="6"/>
  <c r="AA7" i="6"/>
  <c r="Z7" i="6"/>
  <c r="Y7" i="6"/>
  <c r="X7" i="6"/>
  <c r="W7" i="6"/>
  <c r="V7" i="6"/>
  <c r="U7" i="6"/>
  <c r="T7" i="6"/>
  <c r="S7" i="6"/>
  <c r="R7" i="6"/>
  <c r="P7" i="6"/>
  <c r="Q7" i="6" s="1"/>
  <c r="C7" i="6"/>
  <c r="B7" i="6"/>
  <c r="AC6" i="6"/>
  <c r="AB6" i="6"/>
  <c r="AA6" i="6"/>
  <c r="Z6" i="6"/>
  <c r="Y6" i="6"/>
  <c r="X6" i="6"/>
  <c r="W6" i="6"/>
  <c r="V6" i="6"/>
  <c r="U6" i="6"/>
  <c r="T6" i="6"/>
  <c r="S6" i="6"/>
  <c r="R6" i="6"/>
  <c r="P6" i="6"/>
  <c r="Q6" i="6" s="1"/>
  <c r="C6" i="6"/>
  <c r="B6" i="6"/>
  <c r="AC5" i="6"/>
  <c r="AB5" i="6"/>
  <c r="AA5" i="6"/>
  <c r="Z5" i="6"/>
  <c r="Y5" i="6"/>
  <c r="X5" i="6"/>
  <c r="W5" i="6"/>
  <c r="V5" i="6"/>
  <c r="U5" i="6"/>
  <c r="T5" i="6"/>
  <c r="S5" i="6"/>
  <c r="R5" i="6"/>
  <c r="P5" i="6"/>
  <c r="Q5" i="6" s="1"/>
  <c r="C5" i="6"/>
  <c r="B5" i="6"/>
  <c r="AC4" i="6"/>
  <c r="BN4" i="6" s="1"/>
  <c r="AB4" i="6"/>
  <c r="BK4" i="6" s="1"/>
  <c r="AA4" i="6"/>
  <c r="BH4" i="6" s="1"/>
  <c r="Z4" i="6"/>
  <c r="BE4" i="6" s="1"/>
  <c r="Y4" i="6"/>
  <c r="BB4" i="6" s="1"/>
  <c r="X4" i="6"/>
  <c r="AY4" i="6" s="1"/>
  <c r="W4" i="6"/>
  <c r="AV4" i="6" s="1"/>
  <c r="V4" i="6"/>
  <c r="AS4" i="6" s="1"/>
  <c r="U4" i="6"/>
  <c r="AP4" i="6" s="1"/>
  <c r="T4" i="6"/>
  <c r="AM4" i="6" s="1"/>
  <c r="S4" i="6"/>
  <c r="AJ4" i="6" s="1"/>
  <c r="R4" i="6"/>
  <c r="AG4" i="6" s="1"/>
  <c r="AC3" i="6"/>
  <c r="BN3" i="6" s="1"/>
  <c r="AB3" i="6"/>
  <c r="BK3" i="6" s="1"/>
  <c r="AA3" i="6"/>
  <c r="BH3" i="6" s="1"/>
  <c r="Z3" i="6"/>
  <c r="BE3" i="6" s="1"/>
  <c r="Y3" i="6"/>
  <c r="BB3" i="6" s="1"/>
  <c r="X3" i="6"/>
  <c r="AY3" i="6" s="1"/>
  <c r="W3" i="6"/>
  <c r="AV3" i="6" s="1"/>
  <c r="V3" i="6"/>
  <c r="AS3" i="6" s="1"/>
  <c r="U3" i="6"/>
  <c r="AP3" i="6" s="1"/>
  <c r="T3" i="6"/>
  <c r="AM3" i="6" s="1"/>
  <c r="S3" i="6"/>
  <c r="AJ3" i="6" s="1"/>
  <c r="R3" i="6"/>
  <c r="C6" i="1"/>
  <c r="D7" i="1"/>
  <c r="CV7" i="1" s="1"/>
  <c r="D8" i="1"/>
  <c r="CV8" i="1" s="1"/>
  <c r="CO8" i="1" s="1"/>
  <c r="H8" i="41" s="1"/>
  <c r="D9" i="1"/>
  <c r="CV9" i="1" s="1"/>
  <c r="CO9" i="1" s="1"/>
  <c r="H9" i="41" s="1"/>
  <c r="D10" i="1"/>
  <c r="CV10" i="1" s="1"/>
  <c r="CO10" i="1" s="1"/>
  <c r="H10" i="41" s="1"/>
  <c r="D11" i="1"/>
  <c r="CV11" i="1" s="1"/>
  <c r="CO11" i="1" s="1"/>
  <c r="H11" i="41" s="1"/>
  <c r="D12" i="1"/>
  <c r="CV12" i="1" s="1"/>
  <c r="CO12" i="1" s="1"/>
  <c r="H12" i="41" s="1"/>
  <c r="D13" i="1"/>
  <c r="CV13" i="1" s="1"/>
  <c r="CO13" i="1" s="1"/>
  <c r="H13" i="41" s="1"/>
  <c r="D14" i="1"/>
  <c r="CV14" i="1" s="1"/>
  <c r="CO14" i="1" s="1"/>
  <c r="H14" i="41" s="1"/>
  <c r="D15" i="1"/>
  <c r="CV15" i="1" s="1"/>
  <c r="CO15" i="1" s="1"/>
  <c r="H15" i="41" s="1"/>
  <c r="D16" i="1"/>
  <c r="CV16" i="1" s="1"/>
  <c r="CO16" i="1" s="1"/>
  <c r="H16" i="41" s="1"/>
  <c r="D17" i="1"/>
  <c r="CV17" i="1" s="1"/>
  <c r="CO17" i="1" s="1"/>
  <c r="H17" i="41" s="1"/>
  <c r="D18" i="1"/>
  <c r="CV18" i="1" s="1"/>
  <c r="CO18" i="1" s="1"/>
  <c r="H18" i="41" s="1"/>
  <c r="D19" i="1"/>
  <c r="CV19" i="1" s="1"/>
  <c r="CO19" i="1" s="1"/>
  <c r="H19" i="41" s="1"/>
  <c r="D20" i="1"/>
  <c r="CV20" i="1" s="1"/>
  <c r="CO20" i="1" s="1"/>
  <c r="H20" i="41" s="1"/>
  <c r="D21" i="1"/>
  <c r="CV21" i="1" s="1"/>
  <c r="CO21" i="1" s="1"/>
  <c r="H21" i="41" s="1"/>
  <c r="D22" i="1"/>
  <c r="CV22" i="1" s="1"/>
  <c r="CO22" i="1" s="1"/>
  <c r="H22" i="41" s="1"/>
  <c r="D23" i="1"/>
  <c r="CV23" i="1" s="1"/>
  <c r="CO23" i="1" s="1"/>
  <c r="H23" i="41" s="1"/>
  <c r="D24" i="1"/>
  <c r="CV24" i="1" s="1"/>
  <c r="CO24" i="1" s="1"/>
  <c r="H24" i="41" s="1"/>
  <c r="D25" i="1"/>
  <c r="CV25" i="1" s="1"/>
  <c r="CO25" i="1" s="1"/>
  <c r="H25" i="41" s="1"/>
  <c r="D26" i="1"/>
  <c r="CV26" i="1" s="1"/>
  <c r="CO26" i="1" s="1"/>
  <c r="H26" i="41" s="1"/>
  <c r="D27" i="1"/>
  <c r="CV27" i="1" s="1"/>
  <c r="CO27" i="1" s="1"/>
  <c r="H27" i="41" s="1"/>
  <c r="D28" i="1"/>
  <c r="CV28" i="1" s="1"/>
  <c r="CO28" i="1" s="1"/>
  <c r="H28" i="41" s="1"/>
  <c r="D29" i="1"/>
  <c r="CV29" i="1" s="1"/>
  <c r="CO29" i="1" s="1"/>
  <c r="H29" i="41" s="1"/>
  <c r="D30" i="1"/>
  <c r="CV30" i="1" s="1"/>
  <c r="CO30" i="1" s="1"/>
  <c r="H30" i="41" s="1"/>
  <c r="D31" i="1"/>
  <c r="CV31" i="1" s="1"/>
  <c r="CO31" i="1" s="1"/>
  <c r="H31" i="41" s="1"/>
  <c r="D32" i="1"/>
  <c r="CV32" i="1" s="1"/>
  <c r="CO32" i="1" s="1"/>
  <c r="H32" i="41" s="1"/>
  <c r="D33" i="1"/>
  <c r="CV33" i="1" s="1"/>
  <c r="CO33" i="1" s="1"/>
  <c r="H33" i="41" s="1"/>
  <c r="D34" i="1"/>
  <c r="CV34" i="1" s="1"/>
  <c r="CO34" i="1" s="1"/>
  <c r="H34" i="41" s="1"/>
  <c r="D35" i="1"/>
  <c r="CV35" i="1" s="1"/>
  <c r="CO35" i="1" s="1"/>
  <c r="H35" i="41" s="1"/>
  <c r="D36" i="1"/>
  <c r="CV36" i="1" s="1"/>
  <c r="CO36" i="1" s="1"/>
  <c r="H36" i="41" s="1"/>
  <c r="D37" i="1"/>
  <c r="CV37" i="1" s="1"/>
  <c r="CO37" i="1" s="1"/>
  <c r="H37" i="41" s="1"/>
  <c r="D38" i="1"/>
  <c r="CV38" i="1" s="1"/>
  <c r="CO38" i="1" s="1"/>
  <c r="H38" i="41" s="1"/>
  <c r="D39" i="1"/>
  <c r="CV39" i="1" s="1"/>
  <c r="CO39" i="1" s="1"/>
  <c r="H39" i="41" s="1"/>
  <c r="D40" i="1"/>
  <c r="CV40" i="1" s="1"/>
  <c r="CO40" i="1" s="1"/>
  <c r="H40" i="41" s="1"/>
  <c r="D41" i="1"/>
  <c r="CV41" i="1" s="1"/>
  <c r="CO41" i="1" s="1"/>
  <c r="H41" i="41" s="1"/>
  <c r="D42" i="1"/>
  <c r="CV42" i="1" s="1"/>
  <c r="CO42" i="1" s="1"/>
  <c r="H42" i="41" s="1"/>
  <c r="D43" i="1"/>
  <c r="CV43" i="1" s="1"/>
  <c r="CO43" i="1" s="1"/>
  <c r="H43" i="41" s="1"/>
  <c r="D44" i="1"/>
  <c r="CV44" i="1" s="1"/>
  <c r="CO44" i="1" s="1"/>
  <c r="H44" i="41" s="1"/>
  <c r="D45" i="1"/>
  <c r="CV45" i="1" s="1"/>
  <c r="CO45" i="1" s="1"/>
  <c r="H45" i="41" s="1"/>
  <c r="D46" i="1"/>
  <c r="CV46" i="1" s="1"/>
  <c r="CO46" i="1" s="1"/>
  <c r="H46" i="41" s="1"/>
  <c r="D47" i="1"/>
  <c r="CV47" i="1" s="1"/>
  <c r="CO47" i="1" s="1"/>
  <c r="H47" i="41" s="1"/>
  <c r="D48" i="1"/>
  <c r="CV48" i="1" s="1"/>
  <c r="CO48" i="1" s="1"/>
  <c r="H48" i="41" s="1"/>
  <c r="D49" i="1"/>
  <c r="CV49" i="1" s="1"/>
  <c r="CO49" i="1" s="1"/>
  <c r="H49" i="41" s="1"/>
  <c r="D50" i="1"/>
  <c r="CV50" i="1" s="1"/>
  <c r="CO50" i="1" s="1"/>
  <c r="H50" i="41" s="1"/>
  <c r="D51" i="1"/>
  <c r="CV51" i="1" s="1"/>
  <c r="CO51" i="1" s="1"/>
  <c r="H51" i="41" s="1"/>
  <c r="D52" i="1"/>
  <c r="CV52" i="1" s="1"/>
  <c r="CO52" i="1" s="1"/>
  <c r="H52" i="41" s="1"/>
  <c r="D53" i="1"/>
  <c r="CV53" i="1" s="1"/>
  <c r="CO53" i="1" s="1"/>
  <c r="H53" i="41" s="1"/>
  <c r="D54" i="1"/>
  <c r="CV54" i="1" s="1"/>
  <c r="CO54" i="1" s="1"/>
  <c r="H54" i="41" s="1"/>
  <c r="D55" i="1"/>
  <c r="CV55" i="1" s="1"/>
  <c r="CO55" i="1" s="1"/>
  <c r="H55" i="41" s="1"/>
  <c r="CV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4" i="5"/>
  <c r="B54" i="5"/>
  <c r="C53" i="5"/>
  <c r="B53" i="5"/>
  <c r="C52" i="5"/>
  <c r="B52" i="5"/>
  <c r="C51" i="5"/>
  <c r="B51" i="5"/>
  <c r="C50" i="5"/>
  <c r="B50" i="5"/>
  <c r="C49" i="5"/>
  <c r="B49" i="5"/>
  <c r="C48" i="5"/>
  <c r="B48" i="5"/>
  <c r="C47" i="5"/>
  <c r="B47" i="5"/>
  <c r="C46" i="5"/>
  <c r="B46" i="5"/>
  <c r="C45" i="5"/>
  <c r="B45" i="5"/>
  <c r="C44" i="5"/>
  <c r="B44" i="5"/>
  <c r="C43" i="5"/>
  <c r="B43" i="5"/>
  <c r="C42" i="5"/>
  <c r="B42" i="5"/>
  <c r="C41" i="5"/>
  <c r="B41" i="5"/>
  <c r="C40" i="5"/>
  <c r="B40" i="5"/>
  <c r="C39" i="5"/>
  <c r="B39" i="5"/>
  <c r="C38" i="5"/>
  <c r="B38" i="5"/>
  <c r="C37" i="5"/>
  <c r="B37" i="5"/>
  <c r="C36" i="5"/>
  <c r="B36" i="5"/>
  <c r="C35" i="5"/>
  <c r="B35" i="5"/>
  <c r="C34" i="5"/>
  <c r="B34" i="5"/>
  <c r="C33" i="5"/>
  <c r="B33" i="5"/>
  <c r="C32" i="5"/>
  <c r="B32" i="5"/>
  <c r="C31" i="5"/>
  <c r="B31" i="5"/>
  <c r="C30" i="5"/>
  <c r="B30" i="5"/>
  <c r="C29" i="5"/>
  <c r="B29" i="5"/>
  <c r="C28" i="5"/>
  <c r="B28" i="5"/>
  <c r="C27" i="5"/>
  <c r="B27" i="5"/>
  <c r="C26" i="5"/>
  <c r="B26" i="5"/>
  <c r="C25" i="5"/>
  <c r="B25" i="5"/>
  <c r="C24" i="5"/>
  <c r="B24" i="5"/>
  <c r="C23" i="5"/>
  <c r="B23" i="5"/>
  <c r="C22" i="5"/>
  <c r="B22" i="5"/>
  <c r="C21" i="5"/>
  <c r="B21" i="5"/>
  <c r="C20" i="5"/>
  <c r="B20" i="5"/>
  <c r="C19" i="5"/>
  <c r="B19" i="5"/>
  <c r="C18" i="5"/>
  <c r="B18" i="5"/>
  <c r="C17" i="5"/>
  <c r="B17" i="5"/>
  <c r="C16" i="5"/>
  <c r="B16" i="5"/>
  <c r="C15" i="5"/>
  <c r="B15" i="5"/>
  <c r="C14" i="5"/>
  <c r="B14" i="5"/>
  <c r="C13" i="5"/>
  <c r="B13" i="5"/>
  <c r="C12" i="5"/>
  <c r="B12" i="5"/>
  <c r="C11" i="5"/>
  <c r="B11" i="5"/>
  <c r="C10" i="5"/>
  <c r="B10" i="5"/>
  <c r="C9" i="5"/>
  <c r="B9" i="5"/>
  <c r="C8" i="5"/>
  <c r="B8" i="5"/>
  <c r="C7" i="5"/>
  <c r="B7" i="5"/>
  <c r="C6" i="5"/>
  <c r="B6" i="5"/>
  <c r="C5" i="5"/>
  <c r="B5" i="5"/>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 i="4"/>
  <c r="C6" i="4"/>
  <c r="L6" i="4" s="1"/>
  <c r="P6" i="4" s="1"/>
  <c r="D7" i="41" s="1"/>
  <c r="C7" i="4"/>
  <c r="L7" i="4" s="1"/>
  <c r="P7" i="4" s="1"/>
  <c r="D8" i="41" s="1"/>
  <c r="C8" i="4"/>
  <c r="L8" i="4" s="1"/>
  <c r="P8" i="4" s="1"/>
  <c r="D9" i="41" s="1"/>
  <c r="C9" i="4"/>
  <c r="L9" i="4" s="1"/>
  <c r="P9" i="4" s="1"/>
  <c r="D10" i="41" s="1"/>
  <c r="C10" i="4"/>
  <c r="L10" i="4" s="1"/>
  <c r="P10" i="4" s="1"/>
  <c r="D11" i="41" s="1"/>
  <c r="C11" i="4"/>
  <c r="L11" i="4" s="1"/>
  <c r="P11" i="4" s="1"/>
  <c r="D12" i="41" s="1"/>
  <c r="C12" i="4"/>
  <c r="L12" i="4" s="1"/>
  <c r="P12" i="4" s="1"/>
  <c r="D13" i="41" s="1"/>
  <c r="C13" i="4"/>
  <c r="L13" i="4" s="1"/>
  <c r="P13" i="4" s="1"/>
  <c r="D14" i="41" s="1"/>
  <c r="C14" i="4"/>
  <c r="L14" i="4" s="1"/>
  <c r="P14" i="4" s="1"/>
  <c r="D15" i="41" s="1"/>
  <c r="C15" i="4"/>
  <c r="L15" i="4" s="1"/>
  <c r="P15" i="4" s="1"/>
  <c r="D16" i="41" s="1"/>
  <c r="C16" i="4"/>
  <c r="L16" i="4" s="1"/>
  <c r="P16" i="4" s="1"/>
  <c r="D17" i="41" s="1"/>
  <c r="C17" i="4"/>
  <c r="L17" i="4" s="1"/>
  <c r="P17" i="4" s="1"/>
  <c r="D18" i="41" s="1"/>
  <c r="C18" i="4"/>
  <c r="L18" i="4" s="1"/>
  <c r="P18" i="4" s="1"/>
  <c r="D19" i="41" s="1"/>
  <c r="C19" i="4"/>
  <c r="L19" i="4" s="1"/>
  <c r="P19" i="4" s="1"/>
  <c r="D20" i="41" s="1"/>
  <c r="C20" i="4"/>
  <c r="L20" i="4" s="1"/>
  <c r="P20" i="4" s="1"/>
  <c r="D21" i="41" s="1"/>
  <c r="C21" i="4"/>
  <c r="L21" i="4" s="1"/>
  <c r="P21" i="4" s="1"/>
  <c r="D22" i="41" s="1"/>
  <c r="C22" i="4"/>
  <c r="L22" i="4" s="1"/>
  <c r="P22" i="4" s="1"/>
  <c r="D23" i="41" s="1"/>
  <c r="C23" i="4"/>
  <c r="L23" i="4" s="1"/>
  <c r="P23" i="4" s="1"/>
  <c r="D24" i="41" s="1"/>
  <c r="C24" i="4"/>
  <c r="L24" i="4" s="1"/>
  <c r="P24" i="4" s="1"/>
  <c r="D25" i="41" s="1"/>
  <c r="C25" i="4"/>
  <c r="L25" i="4" s="1"/>
  <c r="P25" i="4" s="1"/>
  <c r="D26" i="41" s="1"/>
  <c r="C26" i="4"/>
  <c r="L26" i="4" s="1"/>
  <c r="P26" i="4" s="1"/>
  <c r="D27" i="41" s="1"/>
  <c r="C27" i="4"/>
  <c r="L27" i="4" s="1"/>
  <c r="P27" i="4" s="1"/>
  <c r="D28" i="41" s="1"/>
  <c r="C28" i="4"/>
  <c r="L28" i="4" s="1"/>
  <c r="P28" i="4" s="1"/>
  <c r="D29" i="41" s="1"/>
  <c r="C29" i="4"/>
  <c r="L29" i="4" s="1"/>
  <c r="P29" i="4" s="1"/>
  <c r="D30" i="41" s="1"/>
  <c r="C30" i="4"/>
  <c r="L30" i="4" s="1"/>
  <c r="P30" i="4" s="1"/>
  <c r="D31" i="41" s="1"/>
  <c r="C31" i="4"/>
  <c r="L31" i="4" s="1"/>
  <c r="P31" i="4" s="1"/>
  <c r="D32" i="41" s="1"/>
  <c r="C32" i="4"/>
  <c r="L32" i="4" s="1"/>
  <c r="P32" i="4" s="1"/>
  <c r="D33" i="41" s="1"/>
  <c r="C33" i="4"/>
  <c r="L33" i="4" s="1"/>
  <c r="P33" i="4" s="1"/>
  <c r="D34" i="41" s="1"/>
  <c r="C34" i="4"/>
  <c r="L34" i="4" s="1"/>
  <c r="P34" i="4" s="1"/>
  <c r="D35" i="41" s="1"/>
  <c r="C35" i="4"/>
  <c r="L35" i="4" s="1"/>
  <c r="P35" i="4" s="1"/>
  <c r="D36" i="41" s="1"/>
  <c r="C36" i="4"/>
  <c r="L36" i="4" s="1"/>
  <c r="P36" i="4" s="1"/>
  <c r="D37" i="41" s="1"/>
  <c r="C37" i="4"/>
  <c r="L37" i="4" s="1"/>
  <c r="P37" i="4" s="1"/>
  <c r="D38" i="41" s="1"/>
  <c r="C38" i="4"/>
  <c r="L38" i="4" s="1"/>
  <c r="P38" i="4" s="1"/>
  <c r="D39" i="41" s="1"/>
  <c r="C39" i="4"/>
  <c r="L39" i="4" s="1"/>
  <c r="P39" i="4" s="1"/>
  <c r="D40" i="41" s="1"/>
  <c r="C40" i="4"/>
  <c r="L40" i="4" s="1"/>
  <c r="P40" i="4" s="1"/>
  <c r="D41" i="41" s="1"/>
  <c r="C41" i="4"/>
  <c r="L41" i="4" s="1"/>
  <c r="P41" i="4" s="1"/>
  <c r="D42" i="41" s="1"/>
  <c r="C42" i="4"/>
  <c r="L42" i="4" s="1"/>
  <c r="P42" i="4" s="1"/>
  <c r="D43" i="41" s="1"/>
  <c r="C43" i="4"/>
  <c r="L43" i="4" s="1"/>
  <c r="P43" i="4" s="1"/>
  <c r="D44" i="41" s="1"/>
  <c r="C44" i="4"/>
  <c r="L44" i="4" s="1"/>
  <c r="P44" i="4" s="1"/>
  <c r="D45" i="41" s="1"/>
  <c r="C45" i="4"/>
  <c r="L45" i="4" s="1"/>
  <c r="P45" i="4" s="1"/>
  <c r="D46" i="41" s="1"/>
  <c r="C46" i="4"/>
  <c r="L46" i="4" s="1"/>
  <c r="P46" i="4" s="1"/>
  <c r="D47" i="41" s="1"/>
  <c r="C47" i="4"/>
  <c r="L47" i="4" s="1"/>
  <c r="P47" i="4" s="1"/>
  <c r="D48" i="41" s="1"/>
  <c r="C48" i="4"/>
  <c r="L48" i="4" s="1"/>
  <c r="P48" i="4" s="1"/>
  <c r="D49" i="41" s="1"/>
  <c r="C49" i="4"/>
  <c r="L49" i="4" s="1"/>
  <c r="P49" i="4" s="1"/>
  <c r="D50" i="41" s="1"/>
  <c r="C50" i="4"/>
  <c r="L50" i="4" s="1"/>
  <c r="P50" i="4" s="1"/>
  <c r="D51" i="41" s="1"/>
  <c r="C51" i="4"/>
  <c r="L51" i="4" s="1"/>
  <c r="P51" i="4" s="1"/>
  <c r="D52" i="41" s="1"/>
  <c r="C52" i="4"/>
  <c r="L52" i="4" s="1"/>
  <c r="P52" i="4" s="1"/>
  <c r="D53" i="41" s="1"/>
  <c r="C53" i="4"/>
  <c r="L53" i="4" s="1"/>
  <c r="P53" i="4" s="1"/>
  <c r="D54" i="41" s="1"/>
  <c r="C54" i="4"/>
  <c r="L54" i="4" s="1"/>
  <c r="P54" i="4" s="1"/>
  <c r="D55" i="41" s="1"/>
  <c r="C5" i="4"/>
  <c r="AQ6" i="6" l="1"/>
  <c r="AK36" i="6"/>
  <c r="AZ48" i="6"/>
  <c r="AN29" i="6"/>
  <c r="BM29" i="6"/>
  <c r="BM12" i="6"/>
  <c r="AR14" i="6"/>
  <c r="AN19" i="6"/>
  <c r="AL22" i="6"/>
  <c r="AO24" i="6"/>
  <c r="AW42" i="6"/>
  <c r="BC53" i="6"/>
  <c r="AR19" i="6"/>
  <c r="AR24" i="6"/>
  <c r="AR29" i="6"/>
  <c r="AU30" i="6"/>
  <c r="AX31" i="6"/>
  <c r="AL32" i="6"/>
  <c r="BD34" i="6"/>
  <c r="BM38" i="6"/>
  <c r="AQ51" i="6"/>
  <c r="AT52" i="6"/>
  <c r="AL8" i="6"/>
  <c r="AO10" i="6"/>
  <c r="BJ15" i="6"/>
  <c r="AN16" i="6"/>
  <c r="BM16" i="6"/>
  <c r="AF18" i="6"/>
  <c r="AT18" i="6"/>
  <c r="AI21" i="6"/>
  <c r="BL22" i="6"/>
  <c r="BF22" i="6"/>
  <c r="BD26" i="6"/>
  <c r="AL27" i="6"/>
  <c r="AF28" i="6"/>
  <c r="AT28" i="6"/>
  <c r="BD29" i="6"/>
  <c r="BI29" i="6"/>
  <c r="BL30" i="6"/>
  <c r="AI31" i="6"/>
  <c r="AI42" i="6"/>
  <c r="AN44" i="6"/>
  <c r="BM44" i="6"/>
  <c r="AT46" i="6"/>
  <c r="AL47" i="6"/>
  <c r="BC49" i="6"/>
  <c r="BI51" i="6"/>
  <c r="AN52" i="6"/>
  <c r="AZ52" i="6"/>
  <c r="BL52" i="6"/>
  <c r="AO53" i="6"/>
  <c r="BA53" i="6"/>
  <c r="BM53" i="6"/>
  <c r="BL13" i="6"/>
  <c r="BM19" i="6"/>
  <c r="AT21" i="6"/>
  <c r="BF32" i="6"/>
  <c r="AQ53" i="6"/>
  <c r="AT54" i="6"/>
  <c r="BF54" i="6"/>
  <c r="AE13" i="6"/>
  <c r="BC19" i="6"/>
  <c r="BD24" i="6"/>
  <c r="AZ25" i="6"/>
  <c r="AQ30" i="6"/>
  <c r="BI31" i="6"/>
  <c r="AN34" i="6"/>
  <c r="AH35" i="6"/>
  <c r="BF35" i="6"/>
  <c r="AT36" i="6"/>
  <c r="BC38" i="6"/>
  <c r="AE39" i="6"/>
  <c r="BM42" i="6"/>
  <c r="BC44" i="6"/>
  <c r="AO51" i="6"/>
  <c r="AH52" i="6"/>
  <c r="BF52" i="6"/>
  <c r="AK54" i="6"/>
  <c r="AH12" i="6"/>
  <c r="AW16" i="6"/>
  <c r="BA27" i="6"/>
  <c r="AO32" i="6"/>
  <c r="BL32" i="6"/>
  <c r="AU34" i="6"/>
  <c r="AQ38" i="6"/>
  <c r="AT39" i="6"/>
  <c r="BI40" i="6"/>
  <c r="AT43" i="6"/>
  <c r="BI44" i="6"/>
  <c r="BI47" i="6"/>
  <c r="AZ49" i="6"/>
  <c r="BG51" i="6"/>
  <c r="AK53" i="6"/>
  <c r="AW53" i="6"/>
  <c r="BI53" i="6"/>
  <c r="AN54" i="6"/>
  <c r="AZ54" i="6"/>
  <c r="BL54" i="6"/>
  <c r="CO6" i="1"/>
  <c r="H6" i="41" s="1"/>
  <c r="CO7" i="1"/>
  <c r="H7" i="41" s="1"/>
  <c r="V8" i="5"/>
  <c r="P8" i="5"/>
  <c r="T8" i="5" s="1"/>
  <c r="E9" i="41" s="1"/>
  <c r="V10" i="5"/>
  <c r="P10" i="5"/>
  <c r="T10" i="5" s="1"/>
  <c r="E11" i="41" s="1"/>
  <c r="V14" i="5"/>
  <c r="P14" i="5"/>
  <c r="T14" i="5" s="1"/>
  <c r="E15" i="41" s="1"/>
  <c r="V20" i="5"/>
  <c r="P20" i="5"/>
  <c r="T20" i="5" s="1"/>
  <c r="E21" i="41" s="1"/>
  <c r="V24" i="5"/>
  <c r="P24" i="5"/>
  <c r="T24" i="5" s="1"/>
  <c r="E25" i="41" s="1"/>
  <c r="V26" i="5"/>
  <c r="P26" i="5"/>
  <c r="T26" i="5" s="1"/>
  <c r="E27" i="41" s="1"/>
  <c r="V28" i="5"/>
  <c r="P28" i="5"/>
  <c r="T28" i="5" s="1"/>
  <c r="E29" i="41" s="1"/>
  <c r="V32" i="5"/>
  <c r="P32" i="5"/>
  <c r="T32" i="5" s="1"/>
  <c r="E33" i="41" s="1"/>
  <c r="V34" i="5"/>
  <c r="P34" i="5"/>
  <c r="T34" i="5" s="1"/>
  <c r="E35" i="41" s="1"/>
  <c r="V36" i="5"/>
  <c r="P36" i="5"/>
  <c r="T36" i="5" s="1"/>
  <c r="E37" i="41" s="1"/>
  <c r="V40" i="5"/>
  <c r="P40" i="5"/>
  <c r="T40" i="5" s="1"/>
  <c r="E41" i="41" s="1"/>
  <c r="V42" i="5"/>
  <c r="P42" i="5"/>
  <c r="T42" i="5" s="1"/>
  <c r="E43" i="41" s="1"/>
  <c r="V46" i="5"/>
  <c r="P46" i="5"/>
  <c r="T46" i="5" s="1"/>
  <c r="E47" i="41" s="1"/>
  <c r="V48" i="5"/>
  <c r="P48" i="5"/>
  <c r="T48" i="5" s="1"/>
  <c r="E49" i="41" s="1"/>
  <c r="V50" i="5"/>
  <c r="P50" i="5"/>
  <c r="T50" i="5" s="1"/>
  <c r="E51" i="41" s="1"/>
  <c r="V54" i="5"/>
  <c r="P54" i="5"/>
  <c r="T54" i="5" s="1"/>
  <c r="E55" i="41" s="1"/>
  <c r="V7" i="5"/>
  <c r="P7" i="5"/>
  <c r="T7" i="5" s="1"/>
  <c r="E8" i="41" s="1"/>
  <c r="V9" i="5"/>
  <c r="P9" i="5"/>
  <c r="T9" i="5" s="1"/>
  <c r="E10" i="41" s="1"/>
  <c r="V11" i="5"/>
  <c r="P11" i="5"/>
  <c r="T11" i="5" s="1"/>
  <c r="E12" i="41" s="1"/>
  <c r="V13" i="5"/>
  <c r="P13" i="5"/>
  <c r="T13" i="5" s="1"/>
  <c r="E14" i="41" s="1"/>
  <c r="V15" i="5"/>
  <c r="P15" i="5"/>
  <c r="T15" i="5" s="1"/>
  <c r="E16" i="41" s="1"/>
  <c r="V17" i="5"/>
  <c r="P17" i="5"/>
  <c r="T17" i="5" s="1"/>
  <c r="E18" i="41" s="1"/>
  <c r="V19" i="5"/>
  <c r="P19" i="5"/>
  <c r="T19" i="5" s="1"/>
  <c r="E20" i="41" s="1"/>
  <c r="V21" i="5"/>
  <c r="P21" i="5"/>
  <c r="T21" i="5" s="1"/>
  <c r="E22" i="41" s="1"/>
  <c r="V23" i="5"/>
  <c r="P23" i="5"/>
  <c r="T23" i="5" s="1"/>
  <c r="E24" i="41" s="1"/>
  <c r="V25" i="5"/>
  <c r="P25" i="5"/>
  <c r="T25" i="5" s="1"/>
  <c r="E26" i="41" s="1"/>
  <c r="V27" i="5"/>
  <c r="P27" i="5"/>
  <c r="T27" i="5" s="1"/>
  <c r="E28" i="41" s="1"/>
  <c r="V29" i="5"/>
  <c r="P29" i="5"/>
  <c r="T29" i="5" s="1"/>
  <c r="E30" i="41" s="1"/>
  <c r="V31" i="5"/>
  <c r="P31" i="5"/>
  <c r="T31" i="5" s="1"/>
  <c r="E32" i="41" s="1"/>
  <c r="V33" i="5"/>
  <c r="P33" i="5"/>
  <c r="T33" i="5" s="1"/>
  <c r="E34" i="41" s="1"/>
  <c r="V35" i="5"/>
  <c r="P35" i="5"/>
  <c r="T35" i="5" s="1"/>
  <c r="E36" i="41" s="1"/>
  <c r="V37" i="5"/>
  <c r="P37" i="5"/>
  <c r="T37" i="5" s="1"/>
  <c r="E38" i="41" s="1"/>
  <c r="V39" i="5"/>
  <c r="P39" i="5"/>
  <c r="T39" i="5" s="1"/>
  <c r="E40" i="41" s="1"/>
  <c r="V41" i="5"/>
  <c r="P41" i="5"/>
  <c r="T41" i="5" s="1"/>
  <c r="E42" i="41" s="1"/>
  <c r="V43" i="5"/>
  <c r="P43" i="5"/>
  <c r="T43" i="5" s="1"/>
  <c r="E44" i="41" s="1"/>
  <c r="V45" i="5"/>
  <c r="P45" i="5"/>
  <c r="T45" i="5" s="1"/>
  <c r="E46" i="41" s="1"/>
  <c r="V47" i="5"/>
  <c r="P47" i="5"/>
  <c r="T47" i="5" s="1"/>
  <c r="E48" i="41" s="1"/>
  <c r="V49" i="5"/>
  <c r="P49" i="5"/>
  <c r="T49" i="5" s="1"/>
  <c r="E50" i="41" s="1"/>
  <c r="V51" i="5"/>
  <c r="P51" i="5"/>
  <c r="T51" i="5" s="1"/>
  <c r="E52" i="41" s="1"/>
  <c r="V53" i="5"/>
  <c r="P53" i="5"/>
  <c r="T53" i="5" s="1"/>
  <c r="E54" i="41" s="1"/>
  <c r="V6" i="5"/>
  <c r="P6" i="5"/>
  <c r="T6" i="5" s="1"/>
  <c r="E7" i="41" s="1"/>
  <c r="V12" i="5"/>
  <c r="P12" i="5"/>
  <c r="T12" i="5" s="1"/>
  <c r="E13" i="41" s="1"/>
  <c r="V16" i="5"/>
  <c r="P16" i="5"/>
  <c r="T16" i="5" s="1"/>
  <c r="E17" i="41" s="1"/>
  <c r="V18" i="5"/>
  <c r="P18" i="5"/>
  <c r="T18" i="5" s="1"/>
  <c r="E19" i="41" s="1"/>
  <c r="V22" i="5"/>
  <c r="P22" i="5"/>
  <c r="T22" i="5" s="1"/>
  <c r="E23" i="41" s="1"/>
  <c r="V30" i="5"/>
  <c r="P30" i="5"/>
  <c r="T30" i="5" s="1"/>
  <c r="E31" i="41" s="1"/>
  <c r="V38" i="5"/>
  <c r="P38" i="5"/>
  <c r="T38" i="5" s="1"/>
  <c r="E39" i="41" s="1"/>
  <c r="V44" i="5"/>
  <c r="P44" i="5"/>
  <c r="T44" i="5" s="1"/>
  <c r="E45" i="41" s="1"/>
  <c r="V52" i="5"/>
  <c r="P52" i="5"/>
  <c r="T52" i="5" s="1"/>
  <c r="E53" i="41" s="1"/>
  <c r="P5" i="5"/>
  <c r="T5" i="5" s="1"/>
  <c r="E6" i="41" s="1"/>
  <c r="V5" i="5"/>
  <c r="R52" i="4"/>
  <c r="R36" i="4"/>
  <c r="R24" i="4"/>
  <c r="R12" i="4"/>
  <c r="R53" i="4"/>
  <c r="R49" i="4"/>
  <c r="R45" i="4"/>
  <c r="R41" i="4"/>
  <c r="R37" i="4"/>
  <c r="D38" i="25" s="1"/>
  <c r="R33" i="4"/>
  <c r="R29" i="4"/>
  <c r="R25" i="4"/>
  <c r="R21" i="4"/>
  <c r="D22" i="25" s="1"/>
  <c r="R17" i="4"/>
  <c r="R13" i="4"/>
  <c r="R9" i="4"/>
  <c r="R44" i="4"/>
  <c r="R20" i="4"/>
  <c r="D21" i="25" s="1"/>
  <c r="R8" i="4"/>
  <c r="R47" i="4"/>
  <c r="R39" i="4"/>
  <c r="R35" i="4"/>
  <c r="R31" i="4"/>
  <c r="D32" i="25" s="1"/>
  <c r="R27" i="4"/>
  <c r="R23" i="4"/>
  <c r="R19" i="4"/>
  <c r="R15" i="4"/>
  <c r="R11" i="4"/>
  <c r="R7" i="4"/>
  <c r="R48" i="4"/>
  <c r="R40" i="4"/>
  <c r="R32" i="4"/>
  <c r="R28" i="4"/>
  <c r="R16" i="4"/>
  <c r="R51" i="4"/>
  <c r="R43" i="4"/>
  <c r="R54" i="4"/>
  <c r="R50" i="4"/>
  <c r="D51" i="25" s="1"/>
  <c r="R46" i="4"/>
  <c r="R42" i="4"/>
  <c r="R38" i="4"/>
  <c r="R34" i="4"/>
  <c r="D35" i="25" s="1"/>
  <c r="R30" i="4"/>
  <c r="R26" i="4"/>
  <c r="R22" i="4"/>
  <c r="R18" i="4"/>
  <c r="D19" i="25" s="1"/>
  <c r="R14" i="4"/>
  <c r="R10" i="4"/>
  <c r="R6" i="4"/>
  <c r="L5" i="4"/>
  <c r="P5" i="4" s="1"/>
  <c r="D48" i="25"/>
  <c r="D54" i="25"/>
  <c r="D50" i="25"/>
  <c r="D46" i="25"/>
  <c r="D42" i="25"/>
  <c r="D34" i="25"/>
  <c r="D30" i="25"/>
  <c r="D26" i="25"/>
  <c r="D18" i="25"/>
  <c r="D14" i="25"/>
  <c r="D10" i="25"/>
  <c r="D53" i="25"/>
  <c r="D49" i="25"/>
  <c r="D45" i="25"/>
  <c r="D41" i="25"/>
  <c r="D37" i="25"/>
  <c r="D33" i="25"/>
  <c r="D29" i="25"/>
  <c r="D25" i="25"/>
  <c r="D17" i="25"/>
  <c r="D13" i="25"/>
  <c r="D9" i="25"/>
  <c r="D24" i="25"/>
  <c r="D16" i="25"/>
  <c r="D8" i="25"/>
  <c r="AJ26" i="25"/>
  <c r="AJ50" i="25"/>
  <c r="AJ14" i="25"/>
  <c r="AJ27" i="25"/>
  <c r="AG36" i="25"/>
  <c r="AG24" i="25"/>
  <c r="AG55" i="25"/>
  <c r="AG32" i="25"/>
  <c r="AG23" i="25"/>
  <c r="AG51" i="25"/>
  <c r="AG31" i="25"/>
  <c r="AG19" i="25"/>
  <c r="AD37" i="25"/>
  <c r="AD9" i="25"/>
  <c r="AD34" i="25"/>
  <c r="AD47" i="25"/>
  <c r="AD26" i="25"/>
  <c r="AA34" i="25"/>
  <c r="AA14" i="25"/>
  <c r="AA50" i="25"/>
  <c r="AA42" i="25"/>
  <c r="X44" i="25"/>
  <c r="X23" i="25"/>
  <c r="X52" i="25"/>
  <c r="X28" i="25"/>
  <c r="X11" i="25"/>
  <c r="O41" i="25"/>
  <c r="O25" i="25"/>
  <c r="O34" i="25"/>
  <c r="O18" i="25"/>
  <c r="O53" i="25"/>
  <c r="O33" i="25"/>
  <c r="O46" i="25"/>
  <c r="O26" i="25"/>
  <c r="L23" i="25"/>
  <c r="L55" i="25"/>
  <c r="L15" i="25"/>
  <c r="L47" i="25"/>
  <c r="L24" i="25"/>
  <c r="F55" i="25"/>
  <c r="F43" i="25"/>
  <c r="F31" i="25"/>
  <c r="J56" i="30"/>
  <c r="J104" i="30"/>
  <c r="J40" i="30"/>
  <c r="J26" i="30"/>
  <c r="J33" i="30"/>
  <c r="J19" i="30"/>
  <c r="BG5" i="6"/>
  <c r="AU6" i="6"/>
  <c r="BG6" i="6"/>
  <c r="AR6" i="6"/>
  <c r="AS6" i="6" s="1"/>
  <c r="AW8" i="6"/>
  <c r="BI8" i="6"/>
  <c r="BA10" i="6"/>
  <c r="BM10" i="6"/>
  <c r="AW12" i="6"/>
  <c r="BI12" i="6"/>
  <c r="BF12" i="6"/>
  <c r="AQ13" i="6"/>
  <c r="BC13" i="6"/>
  <c r="AF13" i="6"/>
  <c r="AG13" i="6" s="1"/>
  <c r="BC14" i="6"/>
  <c r="AI14" i="6"/>
  <c r="BA16" i="6"/>
  <c r="AX16" i="6"/>
  <c r="BF18" i="6"/>
  <c r="BI19" i="6"/>
  <c r="AK22" i="6"/>
  <c r="AT24" i="6"/>
  <c r="AN26" i="6"/>
  <c r="BJ26" i="6"/>
  <c r="BF28" i="6"/>
  <c r="BC29" i="6"/>
  <c r="AZ32" i="6"/>
  <c r="AW32" i="6"/>
  <c r="AI35" i="6"/>
  <c r="AJ35" i="6" s="1"/>
  <c r="BG35" i="6"/>
  <c r="BA36" i="6"/>
  <c r="AQ39" i="6"/>
  <c r="BC39" i="6"/>
  <c r="AF39" i="6"/>
  <c r="BF39" i="6"/>
  <c r="AK42" i="6"/>
  <c r="AR44" i="6"/>
  <c r="AW48" i="6"/>
  <c r="AI51" i="6"/>
  <c r="AW51" i="6"/>
  <c r="BM51" i="6"/>
  <c r="AW54" i="6"/>
  <c r="BI54" i="6"/>
  <c r="AL54" i="6"/>
  <c r="AX54" i="6"/>
  <c r="F44" i="25"/>
  <c r="I55" i="25"/>
  <c r="I43" i="25"/>
  <c r="I28" i="25"/>
  <c r="I16" i="25"/>
  <c r="O8" i="25"/>
  <c r="AD11" i="25"/>
  <c r="AK6" i="6"/>
  <c r="AW6" i="6"/>
  <c r="BI6" i="6"/>
  <c r="AX6" i="6"/>
  <c r="AX7" i="6"/>
  <c r="BI7" i="6"/>
  <c r="AO8" i="6"/>
  <c r="BA8" i="6"/>
  <c r="BM8" i="6"/>
  <c r="AQ10" i="6"/>
  <c r="BC10" i="6"/>
  <c r="AR10" i="6"/>
  <c r="AN13" i="6"/>
  <c r="AH14" i="6"/>
  <c r="AU14" i="6"/>
  <c r="AQ14" i="6"/>
  <c r="AS14" i="6" s="1"/>
  <c r="BU14" i="6" s="1"/>
  <c r="AE16" i="6"/>
  <c r="AQ16" i="6"/>
  <c r="BC16" i="6"/>
  <c r="AH16" i="6"/>
  <c r="BF16" i="6"/>
  <c r="BI18" i="6"/>
  <c r="BD18" i="6"/>
  <c r="AZ19" i="6"/>
  <c r="AX22" i="6"/>
  <c r="BI22" i="6"/>
  <c r="AK23" i="6"/>
  <c r="AE24" i="6"/>
  <c r="AH24" i="6"/>
  <c r="AX24" i="6"/>
  <c r="AK26" i="6"/>
  <c r="AW26" i="6"/>
  <c r="BI26" i="6"/>
  <c r="AQ26" i="6"/>
  <c r="BI28" i="6"/>
  <c r="BD28" i="6"/>
  <c r="AE32" i="6"/>
  <c r="AQ32" i="6"/>
  <c r="BC32" i="6"/>
  <c r="AF32" i="6"/>
  <c r="BA32" i="6"/>
  <c r="AT33" i="6"/>
  <c r="AK35" i="6"/>
  <c r="AW35" i="6"/>
  <c r="BI35" i="6"/>
  <c r="AQ35" i="6"/>
  <c r="AT38" i="6"/>
  <c r="AH38" i="6"/>
  <c r="BI38" i="6"/>
  <c r="AK39" i="6"/>
  <c r="BL39" i="6"/>
  <c r="BM48" i="6"/>
  <c r="AF50" i="6"/>
  <c r="AK51" i="6"/>
  <c r="BA51" i="6"/>
  <c r="BM52" i="6"/>
  <c r="AW52" i="6"/>
  <c r="BI52" i="6"/>
  <c r="AL52" i="6"/>
  <c r="AX52" i="6"/>
  <c r="BJ52" i="6"/>
  <c r="BJ54" i="6"/>
  <c r="F52" i="25"/>
  <c r="I52" i="25"/>
  <c r="I40" i="25"/>
  <c r="I27" i="25"/>
  <c r="I15" i="25"/>
  <c r="L37" i="25"/>
  <c r="AA55" i="25"/>
  <c r="AA47" i="25"/>
  <c r="AA39" i="25"/>
  <c r="AA26" i="25"/>
  <c r="AA11" i="25"/>
  <c r="AD24" i="25"/>
  <c r="AD15" i="25"/>
  <c r="AJ47" i="25"/>
  <c r="AJ35" i="25"/>
  <c r="AJ11" i="25"/>
  <c r="AO6" i="6"/>
  <c r="AZ6" i="6"/>
  <c r="BC6" i="6"/>
  <c r="BA9" i="6"/>
  <c r="AZ10" i="6"/>
  <c r="BD13" i="6"/>
  <c r="AK14" i="6"/>
  <c r="AW14" i="6"/>
  <c r="BI14" i="6"/>
  <c r="BD16" i="6"/>
  <c r="AU16" i="6"/>
  <c r="BG16" i="6"/>
  <c r="AO16" i="6"/>
  <c r="BJ18" i="6"/>
  <c r="AL20" i="6"/>
  <c r="AO22" i="6"/>
  <c r="AZ22" i="6"/>
  <c r="AW22" i="6"/>
  <c r="AQ23" i="6"/>
  <c r="BG23" i="6"/>
  <c r="AQ24" i="6"/>
  <c r="AU24" i="6"/>
  <c r="AV24" i="6" s="1"/>
  <c r="BG24" i="6"/>
  <c r="AI24" i="6"/>
  <c r="BC24" i="6"/>
  <c r="BE24" i="6" s="1"/>
  <c r="BC26" i="6"/>
  <c r="BJ28" i="6"/>
  <c r="AZ29" i="6"/>
  <c r="AK32" i="6"/>
  <c r="AX35" i="6"/>
  <c r="BD39" i="6"/>
  <c r="AX39" i="6"/>
  <c r="BI39" i="6"/>
  <c r="BI49" i="6"/>
  <c r="AR49" i="6"/>
  <c r="BL53" i="6"/>
  <c r="BN53" i="6" s="1"/>
  <c r="AT53" i="6"/>
  <c r="BF53" i="6"/>
  <c r="AI53" i="6"/>
  <c r="AU53" i="6"/>
  <c r="BG53" i="6"/>
  <c r="BG54" i="6"/>
  <c r="BH54" i="6" s="1"/>
  <c r="AQ54" i="6"/>
  <c r="BC54" i="6"/>
  <c r="AF54" i="6"/>
  <c r="AR54" i="6"/>
  <c r="BD54" i="6"/>
  <c r="E45" i="30"/>
  <c r="F51" i="25"/>
  <c r="F39" i="25"/>
  <c r="F16" i="25"/>
  <c r="I51" i="25"/>
  <c r="I36" i="25"/>
  <c r="I23" i="25"/>
  <c r="L30" i="25"/>
  <c r="O44" i="25"/>
  <c r="O22" i="25"/>
  <c r="O10" i="25"/>
  <c r="X48" i="25"/>
  <c r="X36" i="25"/>
  <c r="AA54" i="25"/>
  <c r="AA46" i="25"/>
  <c r="AA38" i="25"/>
  <c r="AA19" i="25"/>
  <c r="AA10" i="25"/>
  <c r="AD43" i="25"/>
  <c r="AD31" i="25"/>
  <c r="AD23" i="25"/>
  <c r="AD14" i="25"/>
  <c r="AG44" i="25"/>
  <c r="AJ55" i="25"/>
  <c r="AJ46" i="25"/>
  <c r="AJ31" i="25"/>
  <c r="AJ23" i="25"/>
  <c r="AJ10" i="25"/>
  <c r="BI5" i="6"/>
  <c r="AQ5" i="6"/>
  <c r="BD5" i="6"/>
  <c r="AE6" i="6"/>
  <c r="AH6" i="6"/>
  <c r="AF7" i="6"/>
  <c r="BC7" i="6"/>
  <c r="AF8" i="6"/>
  <c r="BF8" i="6"/>
  <c r="AF11" i="6"/>
  <c r="BC11" i="6"/>
  <c r="BD12" i="6"/>
  <c r="AU12" i="6"/>
  <c r="BG12" i="6"/>
  <c r="AX12" i="6"/>
  <c r="AO14" i="6"/>
  <c r="BA14" i="6"/>
  <c r="BM14" i="6"/>
  <c r="AZ14" i="6"/>
  <c r="BB14" i="6" s="1"/>
  <c r="AK16" i="6"/>
  <c r="BI16" i="6"/>
  <c r="AR17" i="6"/>
  <c r="AH18" i="6"/>
  <c r="BD19" i="6"/>
  <c r="AQ20" i="6"/>
  <c r="AT20" i="6"/>
  <c r="BG20" i="6"/>
  <c r="BJ21" i="6"/>
  <c r="AE22" i="6"/>
  <c r="AQ22" i="6"/>
  <c r="BC22" i="6"/>
  <c r="AF22" i="6"/>
  <c r="BA22" i="6"/>
  <c r="AK24" i="6"/>
  <c r="AW24" i="6"/>
  <c r="BI24" i="6"/>
  <c r="BA25" i="6"/>
  <c r="BB25" i="6" s="1"/>
  <c r="AH28" i="6"/>
  <c r="AL30" i="6"/>
  <c r="AF30" i="6"/>
  <c r="AX32" i="6"/>
  <c r="BI32" i="6"/>
  <c r="AF35" i="6"/>
  <c r="AK38" i="6"/>
  <c r="AW38" i="6"/>
  <c r="AX38" i="6"/>
  <c r="AN39" i="6"/>
  <c r="AZ39" i="6"/>
  <c r="BA39" i="6"/>
  <c r="AZ44" i="6"/>
  <c r="AN51" i="6"/>
  <c r="AP51" i="6" s="1"/>
  <c r="BT51" i="6" s="1"/>
  <c r="AZ51" i="6"/>
  <c r="BL51" i="6"/>
  <c r="BG52" i="6"/>
  <c r="BH52" i="6" s="1"/>
  <c r="AQ52" i="6"/>
  <c r="BC52" i="6"/>
  <c r="AF52" i="6"/>
  <c r="AR52" i="6"/>
  <c r="BD52" i="6"/>
  <c r="F48" i="25"/>
  <c r="F36" i="25"/>
  <c r="F12" i="25"/>
  <c r="I44" i="25"/>
  <c r="I35" i="25"/>
  <c r="I20" i="25"/>
  <c r="L41" i="25"/>
  <c r="L26" i="25"/>
  <c r="L18" i="25"/>
  <c r="L8" i="25"/>
  <c r="O42" i="25"/>
  <c r="O30" i="25"/>
  <c r="O21" i="25"/>
  <c r="O9" i="25"/>
  <c r="X47" i="25"/>
  <c r="X35" i="25"/>
  <c r="X20" i="25"/>
  <c r="AA51" i="25"/>
  <c r="AA43" i="25"/>
  <c r="AA35" i="25"/>
  <c r="AA15" i="25"/>
  <c r="AD49" i="25"/>
  <c r="AD39" i="25"/>
  <c r="AD27" i="25"/>
  <c r="AD12" i="25"/>
  <c r="AG52" i="25"/>
  <c r="AG40" i="25"/>
  <c r="AG28" i="25"/>
  <c r="AG20" i="25"/>
  <c r="AJ51" i="25"/>
  <c r="AJ42" i="25"/>
  <c r="AJ30" i="25"/>
  <c r="AJ15" i="25"/>
  <c r="E36" i="30"/>
  <c r="E31" i="30"/>
  <c r="H36" i="30"/>
  <c r="D7" i="25"/>
  <c r="AK12" i="25"/>
  <c r="AJ12" i="25"/>
  <c r="AK18" i="25"/>
  <c r="AJ18" i="25"/>
  <c r="AK19" i="25"/>
  <c r="AJ19" i="25"/>
  <c r="AK22" i="25"/>
  <c r="AJ22" i="25"/>
  <c r="AK25" i="25"/>
  <c r="AJ25" i="25"/>
  <c r="AJ43" i="25"/>
  <c r="AJ34" i="25"/>
  <c r="AJ53" i="25"/>
  <c r="AJ49" i="25"/>
  <c r="AJ45" i="25"/>
  <c r="AJ41" i="25"/>
  <c r="AJ37" i="25"/>
  <c r="AJ33" i="25"/>
  <c r="AJ29" i="25"/>
  <c r="AJ21" i="25"/>
  <c r="AJ17" i="25"/>
  <c r="AJ13" i="25"/>
  <c r="AJ9" i="25"/>
  <c r="AJ54" i="25"/>
  <c r="AJ38" i="25"/>
  <c r="AJ52" i="25"/>
  <c r="AJ48" i="25"/>
  <c r="AJ44" i="25"/>
  <c r="AJ40" i="25"/>
  <c r="AJ36" i="25"/>
  <c r="AJ32" i="25"/>
  <c r="AJ28" i="25"/>
  <c r="AJ24" i="25"/>
  <c r="AJ20" i="25"/>
  <c r="AJ16" i="25"/>
  <c r="AG16" i="25"/>
  <c r="AG47" i="25"/>
  <c r="AG39" i="25"/>
  <c r="AG11" i="25"/>
  <c r="AG54" i="25"/>
  <c r="AG50" i="25"/>
  <c r="AG46" i="25"/>
  <c r="AG42" i="25"/>
  <c r="AG38" i="25"/>
  <c r="AG34" i="25"/>
  <c r="AG30" i="25"/>
  <c r="AG26" i="25"/>
  <c r="AG22" i="25"/>
  <c r="AG18" i="25"/>
  <c r="AG14" i="25"/>
  <c r="AG10" i="25"/>
  <c r="AG43" i="25"/>
  <c r="AG35" i="25"/>
  <c r="AG15" i="25"/>
  <c r="AG53" i="25"/>
  <c r="AG49" i="25"/>
  <c r="AG45" i="25"/>
  <c r="AG41" i="25"/>
  <c r="AG37" i="25"/>
  <c r="AG33" i="25"/>
  <c r="AG29" i="25"/>
  <c r="AG25" i="25"/>
  <c r="AG21" i="25"/>
  <c r="AG17" i="25"/>
  <c r="AG13" i="25"/>
  <c r="AG9" i="25"/>
  <c r="AD44" i="25"/>
  <c r="AD19" i="25"/>
  <c r="AD55" i="25"/>
  <c r="AD30" i="25"/>
  <c r="AD18" i="25"/>
  <c r="AD54" i="25"/>
  <c r="AD51" i="25"/>
  <c r="AD48" i="25"/>
  <c r="AD45" i="25"/>
  <c r="AD42" i="25"/>
  <c r="AD38" i="25"/>
  <c r="AD36" i="25"/>
  <c r="AD33" i="25"/>
  <c r="AD29" i="25"/>
  <c r="AD25" i="25"/>
  <c r="AD17" i="25"/>
  <c r="AD13" i="25"/>
  <c r="AD40" i="25"/>
  <c r="AD52" i="25"/>
  <c r="AD7" i="25"/>
  <c r="AD53" i="25"/>
  <c r="AD50" i="25"/>
  <c r="AD41" i="25"/>
  <c r="AD35" i="25"/>
  <c r="AD32" i="25"/>
  <c r="AD28" i="25"/>
  <c r="AD22" i="25"/>
  <c r="AD20" i="25"/>
  <c r="AD16" i="25"/>
  <c r="AD10" i="25"/>
  <c r="AA23" i="25"/>
  <c r="AA18" i="25"/>
  <c r="AA53" i="25"/>
  <c r="AA49" i="25"/>
  <c r="AA45" i="25"/>
  <c r="AA41" i="25"/>
  <c r="AA37" i="25"/>
  <c r="AA33" i="25"/>
  <c r="AA29" i="25"/>
  <c r="AA25" i="25"/>
  <c r="AA21" i="25"/>
  <c r="AA17" i="25"/>
  <c r="AA13" i="25"/>
  <c r="AA9" i="25"/>
  <c r="AA31" i="25"/>
  <c r="AA27" i="25"/>
  <c r="AA30" i="25"/>
  <c r="AA22" i="25"/>
  <c r="AA52" i="25"/>
  <c r="AA48" i="25"/>
  <c r="AA44" i="25"/>
  <c r="AA40" i="25"/>
  <c r="AA36" i="25"/>
  <c r="AA32" i="25"/>
  <c r="AA28" i="25"/>
  <c r="AA24" i="25"/>
  <c r="AA20" i="25"/>
  <c r="AA16" i="25"/>
  <c r="AA12" i="25"/>
  <c r="AA8" i="25"/>
  <c r="X55" i="25"/>
  <c r="X51" i="25"/>
  <c r="X43" i="25"/>
  <c r="X39" i="25"/>
  <c r="X31" i="25"/>
  <c r="X27" i="25"/>
  <c r="X19" i="25"/>
  <c r="X24" i="25"/>
  <c r="X12" i="25"/>
  <c r="X7" i="25"/>
  <c r="X54" i="25"/>
  <c r="X50" i="25"/>
  <c r="X46" i="25"/>
  <c r="X42" i="25"/>
  <c r="X38" i="25"/>
  <c r="X34" i="25"/>
  <c r="X30" i="25"/>
  <c r="X26" i="25"/>
  <c r="X22" i="25"/>
  <c r="X18" i="25"/>
  <c r="X14" i="25"/>
  <c r="X10" i="25"/>
  <c r="X53" i="25"/>
  <c r="X49" i="25"/>
  <c r="X45" i="25"/>
  <c r="X41" i="25"/>
  <c r="X37" i="25"/>
  <c r="X33" i="25"/>
  <c r="X29" i="25"/>
  <c r="X25" i="25"/>
  <c r="X21" i="25"/>
  <c r="X17" i="25"/>
  <c r="X13" i="25"/>
  <c r="X9" i="25"/>
  <c r="W17" i="25"/>
  <c r="O50" i="25"/>
  <c r="O54" i="25"/>
  <c r="O38" i="25"/>
  <c r="O49" i="25"/>
  <c r="O45" i="25"/>
  <c r="O37" i="25"/>
  <c r="O29" i="25"/>
  <c r="O17" i="25"/>
  <c r="O13" i="25"/>
  <c r="O52" i="25"/>
  <c r="O48" i="25"/>
  <c r="O40" i="25"/>
  <c r="O36" i="25"/>
  <c r="O32" i="25"/>
  <c r="O28" i="25"/>
  <c r="O24" i="25"/>
  <c r="O20" i="25"/>
  <c r="O16" i="25"/>
  <c r="O12" i="25"/>
  <c r="O55" i="25"/>
  <c r="O51" i="25"/>
  <c r="O47" i="25"/>
  <c r="O43" i="25"/>
  <c r="O39" i="25"/>
  <c r="O35" i="25"/>
  <c r="O31" i="25"/>
  <c r="O27" i="25"/>
  <c r="O23" i="25"/>
  <c r="O19" i="25"/>
  <c r="O15" i="25"/>
  <c r="O11" i="25"/>
  <c r="L50" i="25"/>
  <c r="L44" i="25"/>
  <c r="L34" i="25"/>
  <c r="L27" i="25"/>
  <c r="L20" i="25"/>
  <c r="L12" i="25"/>
  <c r="L52" i="25"/>
  <c r="L46" i="25"/>
  <c r="L54" i="25"/>
  <c r="L51" i="25"/>
  <c r="L49" i="25"/>
  <c r="L43" i="25"/>
  <c r="L36" i="25"/>
  <c r="L32" i="25"/>
  <c r="L29" i="25"/>
  <c r="L25" i="25"/>
  <c r="L22" i="25"/>
  <c r="L19" i="25"/>
  <c r="L17" i="25"/>
  <c r="L14" i="25"/>
  <c r="L10" i="25"/>
  <c r="L39" i="25"/>
  <c r="L33" i="25"/>
  <c r="L11" i="25"/>
  <c r="L53" i="25"/>
  <c r="L48" i="25"/>
  <c r="L45" i="25"/>
  <c r="L42" i="25"/>
  <c r="L40" i="25"/>
  <c r="L38" i="25"/>
  <c r="L35" i="25"/>
  <c r="L31" i="25"/>
  <c r="L28" i="25"/>
  <c r="L21" i="25"/>
  <c r="L16" i="25"/>
  <c r="L13" i="25"/>
  <c r="L9" i="25"/>
  <c r="I24" i="25"/>
  <c r="I53" i="25"/>
  <c r="I49" i="25"/>
  <c r="I45" i="25"/>
  <c r="I41" i="25"/>
  <c r="I37" i="25"/>
  <c r="I33" i="25"/>
  <c r="I29" i="25"/>
  <c r="I25" i="25"/>
  <c r="I21" i="25"/>
  <c r="I17" i="25"/>
  <c r="I13" i="25"/>
  <c r="I9" i="25"/>
  <c r="I48" i="25"/>
  <c r="I32" i="25"/>
  <c r="I12" i="25"/>
  <c r="I47" i="25"/>
  <c r="I39" i="25"/>
  <c r="I31" i="25"/>
  <c r="I19" i="25"/>
  <c r="I11" i="25"/>
  <c r="I54" i="25"/>
  <c r="I50" i="25"/>
  <c r="I46" i="25"/>
  <c r="I42" i="25"/>
  <c r="I38" i="25"/>
  <c r="I34" i="25"/>
  <c r="I30" i="25"/>
  <c r="I26" i="25"/>
  <c r="I22" i="25"/>
  <c r="I18" i="25"/>
  <c r="I14" i="25"/>
  <c r="I10" i="25"/>
  <c r="G8" i="25"/>
  <c r="F32" i="25"/>
  <c r="F28" i="25"/>
  <c r="F24" i="25"/>
  <c r="F20" i="25"/>
  <c r="F8" i="25"/>
  <c r="F47" i="25"/>
  <c r="F27" i="25"/>
  <c r="F23" i="25"/>
  <c r="F15" i="25"/>
  <c r="F11" i="25"/>
  <c r="F53" i="25"/>
  <c r="F49" i="25"/>
  <c r="F45" i="25"/>
  <c r="F41" i="25"/>
  <c r="F37" i="25"/>
  <c r="F33" i="25"/>
  <c r="F29" i="25"/>
  <c r="F25" i="25"/>
  <c r="F21" i="25"/>
  <c r="F17" i="25"/>
  <c r="F13" i="25"/>
  <c r="F9" i="25"/>
  <c r="F40" i="25"/>
  <c r="F35" i="25"/>
  <c r="F54" i="25"/>
  <c r="F50" i="25"/>
  <c r="F46" i="25"/>
  <c r="F42" i="25"/>
  <c r="F38" i="25"/>
  <c r="F34" i="25"/>
  <c r="F30" i="25"/>
  <c r="F26" i="25"/>
  <c r="F22" i="25"/>
  <c r="F18" i="25"/>
  <c r="F14" i="25"/>
  <c r="F10" i="25"/>
  <c r="AJ7" i="25"/>
  <c r="AJ6" i="25"/>
  <c r="U28" i="44" s="1"/>
  <c r="AK6" i="25"/>
  <c r="V28" i="44" s="1"/>
  <c r="AG6" i="25"/>
  <c r="U27" i="44" s="1"/>
  <c r="AG7" i="25"/>
  <c r="AE8" i="25"/>
  <c r="AA6" i="25"/>
  <c r="U24" i="44" s="1"/>
  <c r="L6" i="25"/>
  <c r="U19" i="44" s="1"/>
  <c r="M6" i="25"/>
  <c r="V19" i="44" s="1"/>
  <c r="M7" i="25"/>
  <c r="I7" i="25"/>
  <c r="G46" i="30"/>
  <c r="H45" i="30"/>
  <c r="G23" i="30"/>
  <c r="H23" i="30"/>
  <c r="W33" i="25"/>
  <c r="W31" i="25"/>
  <c r="W41" i="25"/>
  <c r="W51" i="25"/>
  <c r="Y8" i="25"/>
  <c r="AH8" i="25"/>
  <c r="AK8" i="25"/>
  <c r="AH7" i="25"/>
  <c r="AH12" i="25"/>
  <c r="AH16" i="25"/>
  <c r="AH20" i="25"/>
  <c r="AH24" i="25"/>
  <c r="AH28" i="25"/>
  <c r="AH32" i="25"/>
  <c r="AH36" i="25"/>
  <c r="AH40" i="25"/>
  <c r="AH44" i="25"/>
  <c r="AH48" i="25"/>
  <c r="AH52" i="25"/>
  <c r="AH9" i="25"/>
  <c r="AH10" i="25"/>
  <c r="AH14" i="25"/>
  <c r="AH18" i="25"/>
  <c r="AH22" i="25"/>
  <c r="AH26" i="25"/>
  <c r="AH30" i="25"/>
  <c r="AH34" i="25"/>
  <c r="AH38" i="25"/>
  <c r="AH42" i="25"/>
  <c r="AH46" i="25"/>
  <c r="AH50" i="25"/>
  <c r="AH54" i="25"/>
  <c r="AH25" i="25"/>
  <c r="AH19" i="25"/>
  <c r="AH35" i="25"/>
  <c r="AH51" i="25"/>
  <c r="AH21" i="25"/>
  <c r="AH37" i="25"/>
  <c r="AH53" i="25"/>
  <c r="AH15" i="25"/>
  <c r="AH23" i="25"/>
  <c r="AH31" i="25"/>
  <c r="AH39" i="25"/>
  <c r="AH47" i="25"/>
  <c r="AH55" i="25"/>
  <c r="AH6" i="25"/>
  <c r="V27" i="44" s="1"/>
  <c r="AH17" i="25"/>
  <c r="AH33" i="25"/>
  <c r="AH41" i="25"/>
  <c r="AH49" i="25"/>
  <c r="AH11" i="25"/>
  <c r="AH27" i="25"/>
  <c r="AH43" i="25"/>
  <c r="AH13" i="25"/>
  <c r="AH29" i="25"/>
  <c r="AH45" i="25"/>
  <c r="AK10" i="25"/>
  <c r="AK14" i="25"/>
  <c r="AK26" i="25"/>
  <c r="AK30" i="25"/>
  <c r="AK34" i="25"/>
  <c r="AK38" i="25"/>
  <c r="AK42" i="25"/>
  <c r="AK46" i="25"/>
  <c r="AK50" i="25"/>
  <c r="AK54" i="25"/>
  <c r="AK11" i="25"/>
  <c r="AK15" i="25"/>
  <c r="AK23" i="25"/>
  <c r="AK27" i="25"/>
  <c r="AK31" i="25"/>
  <c r="AK35" i="25"/>
  <c r="AK39" i="25"/>
  <c r="AK43" i="25"/>
  <c r="AK47" i="25"/>
  <c r="AK51" i="25"/>
  <c r="AK55" i="25"/>
  <c r="H47" i="30"/>
  <c r="AK7" i="25"/>
  <c r="AK16" i="25"/>
  <c r="AK20" i="25"/>
  <c r="AK24" i="25"/>
  <c r="AK28" i="25"/>
  <c r="AK32" i="25"/>
  <c r="AK36" i="25"/>
  <c r="AK40" i="25"/>
  <c r="AK44" i="25"/>
  <c r="AK48" i="25"/>
  <c r="AK52" i="25"/>
  <c r="AK13" i="25"/>
  <c r="AK45" i="25"/>
  <c r="AK17" i="25"/>
  <c r="AK49" i="25"/>
  <c r="AK21" i="25"/>
  <c r="AK37" i="25"/>
  <c r="AK53" i="25"/>
  <c r="AK9" i="25"/>
  <c r="AK41" i="25"/>
  <c r="AK29" i="25"/>
  <c r="AK33" i="25"/>
  <c r="J9" i="25"/>
  <c r="J13" i="25"/>
  <c r="J17" i="25"/>
  <c r="J21" i="25"/>
  <c r="J25" i="25"/>
  <c r="J29" i="25"/>
  <c r="J33" i="25"/>
  <c r="J37" i="25"/>
  <c r="J41" i="25"/>
  <c r="J45" i="25"/>
  <c r="J49" i="25"/>
  <c r="J53" i="25"/>
  <c r="J8" i="25"/>
  <c r="J12" i="25"/>
  <c r="J16" i="25"/>
  <c r="J20" i="25"/>
  <c r="J24" i="25"/>
  <c r="J28" i="25"/>
  <c r="J32" i="25"/>
  <c r="J36" i="25"/>
  <c r="J40" i="25"/>
  <c r="J44" i="25"/>
  <c r="J48" i="25"/>
  <c r="J52" i="25"/>
  <c r="J6" i="25"/>
  <c r="V18" i="44" s="1"/>
  <c r="J10" i="25"/>
  <c r="J18" i="25"/>
  <c r="J26" i="25"/>
  <c r="J34" i="25"/>
  <c r="J42" i="25"/>
  <c r="J50" i="25"/>
  <c r="J11" i="25"/>
  <c r="J19" i="25"/>
  <c r="J27" i="25"/>
  <c r="J35" i="25"/>
  <c r="J43" i="25"/>
  <c r="J51" i="25"/>
  <c r="J22" i="25"/>
  <c r="J38" i="25"/>
  <c r="J54" i="25"/>
  <c r="J14" i="25"/>
  <c r="J46" i="25"/>
  <c r="J15" i="25"/>
  <c r="J7" i="25"/>
  <c r="J23" i="25"/>
  <c r="J39" i="25"/>
  <c r="J55" i="25"/>
  <c r="J30" i="25"/>
  <c r="J31" i="25"/>
  <c r="J47" i="25"/>
  <c r="P7" i="25"/>
  <c r="H22" i="30"/>
  <c r="AB7" i="25"/>
  <c r="P8" i="25"/>
  <c r="P12" i="25"/>
  <c r="P16" i="25"/>
  <c r="P20" i="25"/>
  <c r="P24" i="25"/>
  <c r="P28" i="25"/>
  <c r="P32" i="25"/>
  <c r="P36" i="25"/>
  <c r="P40" i="25"/>
  <c r="P44" i="25"/>
  <c r="P48" i="25"/>
  <c r="P52" i="25"/>
  <c r="P6" i="25"/>
  <c r="V20" i="44" s="1"/>
  <c r="P10" i="25"/>
  <c r="P15" i="25"/>
  <c r="P21" i="25"/>
  <c r="P26" i="25"/>
  <c r="P31" i="25"/>
  <c r="P37" i="25"/>
  <c r="P42" i="25"/>
  <c r="P47" i="25"/>
  <c r="P53" i="25"/>
  <c r="P11" i="25"/>
  <c r="P17" i="25"/>
  <c r="P22" i="25"/>
  <c r="P27" i="25"/>
  <c r="P33" i="25"/>
  <c r="P38" i="25"/>
  <c r="P43" i="25"/>
  <c r="P49" i="25"/>
  <c r="P54" i="25"/>
  <c r="P18" i="25"/>
  <c r="P29" i="25"/>
  <c r="P39" i="25"/>
  <c r="P50" i="25"/>
  <c r="P23" i="25"/>
  <c r="P45" i="25"/>
  <c r="P25" i="25"/>
  <c r="P46" i="25"/>
  <c r="P9" i="25"/>
  <c r="P19" i="25"/>
  <c r="P30" i="25"/>
  <c r="P41" i="25"/>
  <c r="P51" i="25"/>
  <c r="P13" i="25"/>
  <c r="P34" i="25"/>
  <c r="P55" i="25"/>
  <c r="P14" i="25"/>
  <c r="P35" i="25"/>
  <c r="AB9" i="25"/>
  <c r="AB13" i="25"/>
  <c r="AB17" i="25"/>
  <c r="AB21" i="25"/>
  <c r="AB25" i="25"/>
  <c r="AB29" i="25"/>
  <c r="AB33" i="25"/>
  <c r="AB37" i="25"/>
  <c r="AB41" i="25"/>
  <c r="AB45" i="25"/>
  <c r="AB49" i="25"/>
  <c r="AB53" i="25"/>
  <c r="AB11" i="25"/>
  <c r="AB16" i="25"/>
  <c r="AB22" i="25"/>
  <c r="AB27" i="25"/>
  <c r="AB32" i="25"/>
  <c r="AB38" i="25"/>
  <c r="AB43" i="25"/>
  <c r="AB48" i="25"/>
  <c r="AB54" i="25"/>
  <c r="H38" i="30"/>
  <c r="AB12" i="25"/>
  <c r="AB18" i="25"/>
  <c r="AB23" i="25"/>
  <c r="AB28" i="25"/>
  <c r="AB34" i="25"/>
  <c r="AB39" i="25"/>
  <c r="AB44" i="25"/>
  <c r="AB50" i="25"/>
  <c r="AB55" i="25"/>
  <c r="AB14" i="25"/>
  <c r="AB24" i="25"/>
  <c r="AB35" i="25"/>
  <c r="AB46" i="25"/>
  <c r="AB6" i="25"/>
  <c r="V24" i="44" s="1"/>
  <c r="AB8" i="25"/>
  <c r="AB30" i="25"/>
  <c r="AB51" i="25"/>
  <c r="AB20" i="25"/>
  <c r="AB52" i="25"/>
  <c r="AB15" i="25"/>
  <c r="AB26" i="25"/>
  <c r="AB36" i="25"/>
  <c r="AB47" i="25"/>
  <c r="AB19" i="25"/>
  <c r="AB40" i="25"/>
  <c r="AB10" i="25"/>
  <c r="AB31" i="25"/>
  <c r="AB42" i="25"/>
  <c r="G9" i="25"/>
  <c r="G13" i="25"/>
  <c r="G17" i="25"/>
  <c r="G21" i="25"/>
  <c r="G25" i="25"/>
  <c r="G29" i="25"/>
  <c r="G33" i="25"/>
  <c r="G37" i="25"/>
  <c r="G41" i="25"/>
  <c r="G45" i="25"/>
  <c r="G49" i="25"/>
  <c r="G53" i="25"/>
  <c r="G10" i="25"/>
  <c r="G14" i="25"/>
  <c r="G18" i="25"/>
  <c r="G22" i="25"/>
  <c r="G26" i="25"/>
  <c r="G30" i="25"/>
  <c r="G34" i="25"/>
  <c r="G38" i="25"/>
  <c r="G42" i="25"/>
  <c r="G46" i="25"/>
  <c r="G50" i="25"/>
  <c r="G54" i="25"/>
  <c r="G15" i="25"/>
  <c r="G23" i="25"/>
  <c r="G31" i="25"/>
  <c r="G39" i="25"/>
  <c r="G47" i="25"/>
  <c r="G55" i="25"/>
  <c r="G11" i="25"/>
  <c r="G27" i="25"/>
  <c r="G43" i="25"/>
  <c r="G12" i="25"/>
  <c r="G28" i="25"/>
  <c r="G44" i="25"/>
  <c r="G16" i="25"/>
  <c r="G24" i="25"/>
  <c r="G32" i="25"/>
  <c r="G40" i="25"/>
  <c r="G48" i="25"/>
  <c r="G19" i="25"/>
  <c r="G35" i="25"/>
  <c r="G51" i="25"/>
  <c r="G20" i="25"/>
  <c r="G36" i="25"/>
  <c r="G52" i="25"/>
  <c r="D11" i="25"/>
  <c r="D15" i="25"/>
  <c r="D23" i="25"/>
  <c r="D27" i="25"/>
  <c r="D31" i="25"/>
  <c r="D39" i="25"/>
  <c r="D43" i="25"/>
  <c r="D47" i="25"/>
  <c r="D12" i="25"/>
  <c r="D20" i="25"/>
  <c r="D28" i="25"/>
  <c r="D36" i="25"/>
  <c r="D40" i="25"/>
  <c r="D44" i="25"/>
  <c r="D52" i="25"/>
  <c r="F7" i="25"/>
  <c r="G7" i="25"/>
  <c r="W9" i="25"/>
  <c r="W50" i="25"/>
  <c r="W22" i="25"/>
  <c r="W12" i="25"/>
  <c r="W30" i="25"/>
  <c r="W8" i="25"/>
  <c r="W43" i="25"/>
  <c r="W14" i="25"/>
  <c r="W21" i="25"/>
  <c r="W52" i="25"/>
  <c r="W19" i="25"/>
  <c r="W35" i="25"/>
  <c r="W29" i="25"/>
  <c r="W38" i="25"/>
  <c r="T31" i="25"/>
  <c r="T14" i="25"/>
  <c r="T8" i="25"/>
  <c r="T23" i="25"/>
  <c r="T40" i="25"/>
  <c r="T50" i="25"/>
  <c r="T22" i="25"/>
  <c r="T37" i="25"/>
  <c r="T42" i="25"/>
  <c r="T35" i="25"/>
  <c r="T26" i="25"/>
  <c r="T27" i="25"/>
  <c r="T36" i="25"/>
  <c r="T32" i="25"/>
  <c r="T16" i="25"/>
  <c r="T33" i="25"/>
  <c r="T24" i="25"/>
  <c r="T48" i="25"/>
  <c r="H37" i="30"/>
  <c r="Y10" i="25"/>
  <c r="Y14" i="25"/>
  <c r="Y18" i="25"/>
  <c r="Y22" i="25"/>
  <c r="Y26" i="25"/>
  <c r="Y30" i="25"/>
  <c r="Y34" i="25"/>
  <c r="Y38" i="25"/>
  <c r="Y42" i="25"/>
  <c r="Y46" i="25"/>
  <c r="Y50" i="25"/>
  <c r="Y54" i="25"/>
  <c r="Y13" i="25"/>
  <c r="Y21" i="25"/>
  <c r="Y29" i="25"/>
  <c r="Y37" i="25"/>
  <c r="Y45" i="25"/>
  <c r="Y53" i="25"/>
  <c r="Y6" i="25"/>
  <c r="V23" i="44" s="1"/>
  <c r="Y11" i="25"/>
  <c r="Y15" i="25"/>
  <c r="Y19" i="25"/>
  <c r="Y23" i="25"/>
  <c r="Y27" i="25"/>
  <c r="Y31" i="25"/>
  <c r="Y35" i="25"/>
  <c r="Y39" i="25"/>
  <c r="Y43" i="25"/>
  <c r="Y47" i="25"/>
  <c r="Y51" i="25"/>
  <c r="Y55" i="25"/>
  <c r="Y7" i="25"/>
  <c r="Y12" i="25"/>
  <c r="Y16" i="25"/>
  <c r="Y20" i="25"/>
  <c r="Y24" i="25"/>
  <c r="Y28" i="25"/>
  <c r="Y32" i="25"/>
  <c r="Y36" i="25"/>
  <c r="Y40" i="25"/>
  <c r="Y44" i="25"/>
  <c r="Y48" i="25"/>
  <c r="Y52" i="25"/>
  <c r="Y9" i="25"/>
  <c r="Y17" i="25"/>
  <c r="Y25" i="25"/>
  <c r="Y33" i="25"/>
  <c r="Y41" i="25"/>
  <c r="Y49" i="25"/>
  <c r="AJ8" i="25"/>
  <c r="AG8" i="25"/>
  <c r="AD8" i="25"/>
  <c r="AA7" i="25"/>
  <c r="X8" i="25"/>
  <c r="O7" i="25"/>
  <c r="L7" i="25"/>
  <c r="I8" i="25"/>
  <c r="G75" i="30"/>
  <c r="G68" i="30"/>
  <c r="G74" i="30"/>
  <c r="H52" i="30"/>
  <c r="H51" i="30"/>
  <c r="G69" i="30"/>
  <c r="H53" i="30"/>
  <c r="C75" i="30"/>
  <c r="D53" i="30"/>
  <c r="G70" i="30"/>
  <c r="D52" i="30"/>
  <c r="C74" i="30"/>
  <c r="J68" i="30"/>
  <c r="J69" i="30"/>
  <c r="J70" i="30"/>
  <c r="E74" i="30"/>
  <c r="J74" i="30"/>
  <c r="E75" i="30"/>
  <c r="J75" i="30"/>
  <c r="J51" i="30"/>
  <c r="E52" i="30"/>
  <c r="J52" i="30"/>
  <c r="E53" i="30"/>
  <c r="J53" i="30"/>
  <c r="H68" i="30"/>
  <c r="H69" i="30"/>
  <c r="H70" i="30"/>
  <c r="D74" i="30"/>
  <c r="H74" i="30"/>
  <c r="D75" i="30"/>
  <c r="H75" i="30"/>
  <c r="G51" i="30"/>
  <c r="C52" i="30"/>
  <c r="G52" i="30"/>
  <c r="C53" i="30"/>
  <c r="G53" i="30"/>
  <c r="G47" i="30"/>
  <c r="G37" i="30"/>
  <c r="G22" i="30"/>
  <c r="AD6" i="25"/>
  <c r="U26" i="44" s="1"/>
  <c r="X6" i="25"/>
  <c r="U23" i="44" s="1"/>
  <c r="O6" i="25"/>
  <c r="U20" i="44" s="1"/>
  <c r="I6" i="25"/>
  <c r="U18" i="44" s="1"/>
  <c r="AU5" i="6"/>
  <c r="AR7" i="6"/>
  <c r="AK7" i="6"/>
  <c r="BA7" i="6"/>
  <c r="AN8" i="6"/>
  <c r="BD8" i="6"/>
  <c r="AU9" i="6"/>
  <c r="AT9" i="6"/>
  <c r="AW9" i="6"/>
  <c r="BM9" i="6"/>
  <c r="AR11" i="6"/>
  <c r="AE11" i="6"/>
  <c r="BA15" i="6"/>
  <c r="AZ15" i="6"/>
  <c r="AL15" i="6"/>
  <c r="AF17" i="6"/>
  <c r="BJ17" i="6"/>
  <c r="AT17" i="6"/>
  <c r="AI17" i="6"/>
  <c r="AH17" i="6"/>
  <c r="BD17" i="6"/>
  <c r="BC17" i="6"/>
  <c r="AF20" i="6"/>
  <c r="AT23" i="6"/>
  <c r="AT25" i="6"/>
  <c r="AF25" i="6"/>
  <c r="AU25" i="6"/>
  <c r="AH33" i="6"/>
  <c r="AI33" i="6"/>
  <c r="BF33" i="6"/>
  <c r="BG33" i="6"/>
  <c r="AL37" i="6"/>
  <c r="AK37" i="6"/>
  <c r="AX37" i="6"/>
  <c r="AW37" i="6"/>
  <c r="BJ37" i="6"/>
  <c r="BI37" i="6"/>
  <c r="AI41" i="6"/>
  <c r="BJ41" i="6"/>
  <c r="AX41" i="6"/>
  <c r="AL41" i="6"/>
  <c r="AF41" i="6"/>
  <c r="AR41" i="6"/>
  <c r="AU41" i="6"/>
  <c r="AT41" i="6"/>
  <c r="BF41" i="6"/>
  <c r="BG41" i="6"/>
  <c r="AT5" i="6"/>
  <c r="AK5" i="6"/>
  <c r="BA5" i="6"/>
  <c r="BM6" i="6"/>
  <c r="AI6" i="6"/>
  <c r="AN6" i="6"/>
  <c r="AP6" i="6" s="1"/>
  <c r="BJ6" i="6"/>
  <c r="AL7" i="6"/>
  <c r="AQ7" i="6"/>
  <c r="AS7" i="6" s="1"/>
  <c r="BM7" i="6"/>
  <c r="AT8" i="6"/>
  <c r="AZ8" i="6"/>
  <c r="BJ8" i="6"/>
  <c r="BK8" i="6" s="1"/>
  <c r="AL9" i="6"/>
  <c r="BJ9" i="6"/>
  <c r="AZ9" i="6"/>
  <c r="BJ10" i="6"/>
  <c r="AX10" i="6"/>
  <c r="AL10" i="6"/>
  <c r="AU10" i="6"/>
  <c r="AH11" i="6"/>
  <c r="AX11" i="6"/>
  <c r="BA12" i="6"/>
  <c r="AI13" i="6"/>
  <c r="AH13" i="6"/>
  <c r="BG13" i="6"/>
  <c r="BF13" i="6"/>
  <c r="AO13" i="6"/>
  <c r="AP13" i="6" s="1"/>
  <c r="BM13" i="6"/>
  <c r="BN13" i="6" s="1"/>
  <c r="CG14" i="6"/>
  <c r="AF15" i="6"/>
  <c r="AR15" i="6"/>
  <c r="BD15" i="6"/>
  <c r="AE15" i="6"/>
  <c r="AU15" i="6"/>
  <c r="BC15" i="6"/>
  <c r="AQ17" i="6"/>
  <c r="AS17" i="6" s="1"/>
  <c r="BM17" i="6"/>
  <c r="AU20" i="6"/>
  <c r="AV20" i="6" s="1"/>
  <c r="BF20" i="6"/>
  <c r="BG21" i="6"/>
  <c r="AQ21" i="6"/>
  <c r="AL21" i="6"/>
  <c r="AK21" i="6"/>
  <c r="AW21" i="6"/>
  <c r="AX21" i="6"/>
  <c r="BI21" i="6"/>
  <c r="BK21" i="6" s="1"/>
  <c r="AU23" i="6"/>
  <c r="AK25" i="6"/>
  <c r="AN27" i="6"/>
  <c r="AO27" i="6"/>
  <c r="AZ27" i="6"/>
  <c r="BB27" i="6" s="1"/>
  <c r="BL27" i="6"/>
  <c r="AQ27" i="6"/>
  <c r="BF27" i="6"/>
  <c r="AQ33" i="6"/>
  <c r="BL33" i="6"/>
  <c r="BM40" i="6"/>
  <c r="BL40" i="6"/>
  <c r="BA40" i="6"/>
  <c r="AF40" i="6"/>
  <c r="AU40" i="6"/>
  <c r="AI40" i="6"/>
  <c r="AO40" i="6"/>
  <c r="AR40" i="6"/>
  <c r="AQ40" i="6"/>
  <c r="BC40" i="6"/>
  <c r="BD40" i="6"/>
  <c r="AE40" i="6"/>
  <c r="AG40" i="6" s="1"/>
  <c r="BC41" i="6"/>
  <c r="AL5" i="6"/>
  <c r="AX5" i="6"/>
  <c r="BJ5" i="6"/>
  <c r="AR5" i="6"/>
  <c r="AS5" i="6" s="1"/>
  <c r="AW5" i="6"/>
  <c r="BC5" i="6"/>
  <c r="BM5" i="6"/>
  <c r="BF6" i="6"/>
  <c r="AH7" i="6"/>
  <c r="AE8" i="6"/>
  <c r="AG8" i="6" s="1"/>
  <c r="AQ8" i="6"/>
  <c r="BC8" i="6"/>
  <c r="AK8" i="6"/>
  <c r="AM8" i="6" s="1"/>
  <c r="BL8" i="6"/>
  <c r="BN8" i="6" s="1"/>
  <c r="AK9" i="6"/>
  <c r="BI9" i="6"/>
  <c r="AH10" i="6"/>
  <c r="AT10" i="6"/>
  <c r="BF10" i="6"/>
  <c r="AF10" i="6"/>
  <c r="AN10" i="6"/>
  <c r="AP10" i="6" s="1"/>
  <c r="BD10" i="6"/>
  <c r="BL10" i="6"/>
  <c r="BN10" i="6" s="1"/>
  <c r="AK11" i="6"/>
  <c r="AW11" i="6"/>
  <c r="BI11" i="6"/>
  <c r="AI11" i="6"/>
  <c r="AQ11" i="6"/>
  <c r="BG11" i="6"/>
  <c r="AN12" i="6"/>
  <c r="AZ12" i="6"/>
  <c r="BB12" i="6" s="1"/>
  <c r="BL12" i="6"/>
  <c r="BN12" i="6" s="1"/>
  <c r="AL12" i="6"/>
  <c r="AT12" i="6"/>
  <c r="BJ12" i="6"/>
  <c r="BK12" i="6" s="1"/>
  <c r="AL13" i="6"/>
  <c r="AX13" i="6"/>
  <c r="BJ13" i="6"/>
  <c r="AR13" i="6"/>
  <c r="AS13" i="6" s="1"/>
  <c r="AZ13" i="6"/>
  <c r="BJ14" i="6"/>
  <c r="BK14" i="6" s="1"/>
  <c r="AX14" i="6"/>
  <c r="AL14" i="6"/>
  <c r="AM14" i="6" s="1"/>
  <c r="AE14" i="6"/>
  <c r="AH15" i="6"/>
  <c r="AX15" i="6"/>
  <c r="BF15" i="6"/>
  <c r="AX17" i="6"/>
  <c r="BI17" i="6"/>
  <c r="AK17" i="6"/>
  <c r="AU17" i="6"/>
  <c r="BF17" i="6"/>
  <c r="AL18" i="6"/>
  <c r="AK18" i="6"/>
  <c r="AW18" i="6"/>
  <c r="AN18" i="6"/>
  <c r="AX18" i="6"/>
  <c r="AU19" i="6"/>
  <c r="AI19" i="6"/>
  <c r="AN21" i="6"/>
  <c r="AZ21" i="6"/>
  <c r="BA21" i="6"/>
  <c r="BL21" i="6"/>
  <c r="BM21" i="6"/>
  <c r="AO21" i="6"/>
  <c r="AI22" i="6"/>
  <c r="BJ22" i="6"/>
  <c r="BD22" i="6"/>
  <c r="AH22" i="6"/>
  <c r="AU22" i="6"/>
  <c r="AT22" i="6"/>
  <c r="BG22" i="6"/>
  <c r="AR22" i="6"/>
  <c r="AS22" i="6" s="1"/>
  <c r="BM22" i="6"/>
  <c r="BN22" i="6" s="1"/>
  <c r="BA24" i="6"/>
  <c r="AZ24" i="6"/>
  <c r="BM24" i="6"/>
  <c r="BL24" i="6"/>
  <c r="AN24" i="6"/>
  <c r="AP24" i="6" s="1"/>
  <c r="BJ24" i="6"/>
  <c r="BK24" i="6" s="1"/>
  <c r="AN25" i="6"/>
  <c r="AF26" i="6"/>
  <c r="AR26" i="6"/>
  <c r="AL26" i="6"/>
  <c r="AU26" i="6"/>
  <c r="AT26" i="6"/>
  <c r="BF26" i="6"/>
  <c r="BG26" i="6"/>
  <c r="AI26" i="6"/>
  <c r="AJ26" i="6" s="1"/>
  <c r="AX26" i="6"/>
  <c r="AY26" i="6" s="1"/>
  <c r="BL26" i="6"/>
  <c r="AF27" i="6"/>
  <c r="AH27" i="6"/>
  <c r="AW27" i="6"/>
  <c r="AI27" i="6"/>
  <c r="BJ27" i="6"/>
  <c r="AU27" i="6"/>
  <c r="AR27" i="6"/>
  <c r="BD27" i="6"/>
  <c r="BC27" i="6"/>
  <c r="AE27" i="6"/>
  <c r="AT27" i="6"/>
  <c r="BG27" i="6"/>
  <c r="BE29" i="6"/>
  <c r="AI30" i="6"/>
  <c r="AH30" i="6"/>
  <c r="AT30" i="6"/>
  <c r="BG30" i="6"/>
  <c r="BF30" i="6"/>
  <c r="BG31" i="6"/>
  <c r="AQ31" i="6"/>
  <c r="AL31" i="6"/>
  <c r="AK31" i="6"/>
  <c r="BC31" i="6"/>
  <c r="AH31" i="6"/>
  <c r="AW31" i="6"/>
  <c r="AY31" i="6" s="1"/>
  <c r="BJ31" i="6"/>
  <c r="AT31" i="6"/>
  <c r="AU33" i="6"/>
  <c r="AV33" i="6" s="1"/>
  <c r="BJ34" i="6"/>
  <c r="AX34" i="6"/>
  <c r="AL34" i="6"/>
  <c r="AZ34" i="6"/>
  <c r="BL34" i="6"/>
  <c r="AF34" i="6"/>
  <c r="AR34" i="6"/>
  <c r="AQ34" i="6"/>
  <c r="BC34" i="6"/>
  <c r="BE34" i="6" s="1"/>
  <c r="AE34" i="6"/>
  <c r="AG34" i="6" s="1"/>
  <c r="AL36" i="6"/>
  <c r="AM36" i="6" s="1"/>
  <c r="BI36" i="6"/>
  <c r="AO37" i="6"/>
  <c r="AN40" i="6"/>
  <c r="AE5" i="6"/>
  <c r="AO5" i="6"/>
  <c r="AZ5" i="6"/>
  <c r="BD7" i="6"/>
  <c r="BE7" i="6" s="1"/>
  <c r="AE7" i="6"/>
  <c r="AG7" i="6" s="1"/>
  <c r="AU7" i="6"/>
  <c r="BF7" i="6"/>
  <c r="AH8" i="6"/>
  <c r="AX8" i="6"/>
  <c r="AI9" i="6"/>
  <c r="AH9" i="6"/>
  <c r="BG9" i="6"/>
  <c r="BF9" i="6"/>
  <c r="AO9" i="6"/>
  <c r="BD11" i="6"/>
  <c r="AU11" i="6"/>
  <c r="AO15" i="6"/>
  <c r="AN15" i="6"/>
  <c r="BM15" i="6"/>
  <c r="BL15" i="6"/>
  <c r="AT15" i="6"/>
  <c r="AV15" i="6" s="1"/>
  <c r="AE17" i="6"/>
  <c r="BA17" i="6"/>
  <c r="AI20" i="6"/>
  <c r="AH20" i="6"/>
  <c r="BL20" i="6"/>
  <c r="AH23" i="6"/>
  <c r="AI23" i="6"/>
  <c r="BF23" i="6"/>
  <c r="BH23" i="6" s="1"/>
  <c r="AF23" i="6"/>
  <c r="BA23" i="6"/>
  <c r="BL23" i="6"/>
  <c r="AH25" i="6"/>
  <c r="AI25" i="6"/>
  <c r="BF25" i="6"/>
  <c r="BI25" i="6"/>
  <c r="AQ41" i="6"/>
  <c r="AS41" i="6" s="1"/>
  <c r="AH5" i="6"/>
  <c r="BF5" i="6"/>
  <c r="BH5" i="6" s="1"/>
  <c r="AF5" i="6"/>
  <c r="BL5" i="6"/>
  <c r="BA6" i="6"/>
  <c r="AT6" i="6"/>
  <c r="AV6" i="6" s="1"/>
  <c r="BD6" i="6"/>
  <c r="BE6" i="6" s="1"/>
  <c r="AW7" i="6"/>
  <c r="AY7" i="6" s="1"/>
  <c r="BG7" i="6"/>
  <c r="AX9" i="6"/>
  <c r="AR9" i="6"/>
  <c r="AE10" i="6"/>
  <c r="AG10" i="6" s="1"/>
  <c r="BF11" i="6"/>
  <c r="AK12" i="6"/>
  <c r="AU13" i="6"/>
  <c r="AT13" i="6"/>
  <c r="AW13" i="6"/>
  <c r="AG3" i="6"/>
  <c r="AI5" i="6"/>
  <c r="AN5" i="6"/>
  <c r="AF6" i="6"/>
  <c r="AG6" i="6" s="1"/>
  <c r="AL6" i="6"/>
  <c r="AM6" i="6" s="1"/>
  <c r="BL6" i="6"/>
  <c r="AN7" i="6"/>
  <c r="AZ7" i="6"/>
  <c r="BL7" i="6"/>
  <c r="AI7" i="6"/>
  <c r="AO7" i="6"/>
  <c r="AT7" i="6"/>
  <c r="BJ7" i="6"/>
  <c r="AI8" i="6"/>
  <c r="AU8" i="6"/>
  <c r="BG8" i="6"/>
  <c r="AR8" i="6"/>
  <c r="AE9" i="6"/>
  <c r="AQ9" i="6"/>
  <c r="AS9" i="6" s="1"/>
  <c r="BC9" i="6"/>
  <c r="AF9" i="6"/>
  <c r="AN9" i="6"/>
  <c r="BD9" i="6"/>
  <c r="BL9" i="6"/>
  <c r="AK10" i="6"/>
  <c r="AM10" i="6" s="1"/>
  <c r="AW10" i="6"/>
  <c r="BI10" i="6"/>
  <c r="AI10" i="6"/>
  <c r="BG10" i="6"/>
  <c r="AO11" i="6"/>
  <c r="AN11" i="6"/>
  <c r="AP11" i="6" s="1"/>
  <c r="BA11" i="6"/>
  <c r="AZ11" i="6"/>
  <c r="BM11" i="6"/>
  <c r="BL11" i="6"/>
  <c r="BN11" i="6" s="1"/>
  <c r="AL11" i="6"/>
  <c r="AT11" i="6"/>
  <c r="BJ11" i="6"/>
  <c r="AE12" i="6"/>
  <c r="AQ12" i="6"/>
  <c r="BC12" i="6"/>
  <c r="BE12" i="6" s="1"/>
  <c r="AO12" i="6"/>
  <c r="AK13" i="6"/>
  <c r="AM13" i="6" s="1"/>
  <c r="BA13" i="6"/>
  <c r="BI13" i="6"/>
  <c r="AT14" i="6"/>
  <c r="BF14" i="6"/>
  <c r="BH14" i="6" s="1"/>
  <c r="AF14" i="6"/>
  <c r="AN14" i="6"/>
  <c r="AP14" i="6" s="1"/>
  <c r="BD14" i="6"/>
  <c r="BL14" i="6"/>
  <c r="BN14" i="6" s="1"/>
  <c r="AK15" i="6"/>
  <c r="AW15" i="6"/>
  <c r="BI15" i="6"/>
  <c r="BK15" i="6" s="1"/>
  <c r="AI15" i="6"/>
  <c r="AQ15" i="6"/>
  <c r="BG15" i="6"/>
  <c r="AZ16" i="6"/>
  <c r="BL16" i="6"/>
  <c r="BN16" i="6" s="1"/>
  <c r="AL16" i="6"/>
  <c r="AM16" i="6" s="1"/>
  <c r="AT16" i="6"/>
  <c r="AV16" i="6" s="1"/>
  <c r="BJ16" i="6"/>
  <c r="AL17" i="6"/>
  <c r="AW17" i="6"/>
  <c r="BG17" i="6"/>
  <c r="BA18" i="6"/>
  <c r="BM18" i="6"/>
  <c r="BL18" i="6"/>
  <c r="AO18" i="6"/>
  <c r="AZ18" i="6"/>
  <c r="AL19" i="6"/>
  <c r="AK19" i="6"/>
  <c r="AX19" i="6"/>
  <c r="BJ19" i="6"/>
  <c r="BK19" i="6" s="1"/>
  <c r="AW19" i="6"/>
  <c r="AY19" i="6" s="1"/>
  <c r="BJ20" i="6"/>
  <c r="AX20" i="6"/>
  <c r="AR20" i="6"/>
  <c r="BD20" i="6"/>
  <c r="BC20" i="6"/>
  <c r="AE20" i="6"/>
  <c r="AZ20" i="6"/>
  <c r="AH21" i="6"/>
  <c r="AJ21" i="6" s="1"/>
  <c r="BC21" i="6"/>
  <c r="AM22" i="6"/>
  <c r="BI23" i="6"/>
  <c r="AN23" i="6"/>
  <c r="BM23" i="6"/>
  <c r="AR23" i="6"/>
  <c r="AS23" i="6" s="1"/>
  <c r="BD23" i="6"/>
  <c r="BC23" i="6"/>
  <c r="BE23" i="6" s="1"/>
  <c r="AE23" i="6"/>
  <c r="AO23" i="6"/>
  <c r="AZ23" i="6"/>
  <c r="BM25" i="6"/>
  <c r="BL25" i="6"/>
  <c r="AO25" i="6"/>
  <c r="AR25" i="6"/>
  <c r="AQ25" i="6"/>
  <c r="BC25" i="6"/>
  <c r="BD25" i="6"/>
  <c r="AE25" i="6"/>
  <c r="BG25" i="6"/>
  <c r="AM26" i="6"/>
  <c r="BK26" i="6"/>
  <c r="BE26" i="6"/>
  <c r="AK27" i="6"/>
  <c r="BM27" i="6"/>
  <c r="AK33" i="6"/>
  <c r="AF33" i="6"/>
  <c r="BA33" i="6"/>
  <c r="AN36" i="6"/>
  <c r="AO36" i="6"/>
  <c r="AZ36" i="6"/>
  <c r="BL36" i="6"/>
  <c r="BM36" i="6"/>
  <c r="BJ36" i="6"/>
  <c r="BM37" i="6"/>
  <c r="AR37" i="6"/>
  <c r="AZ40" i="6"/>
  <c r="AH41" i="6"/>
  <c r="AO43" i="6"/>
  <c r="AN43" i="6"/>
  <c r="AL43" i="6"/>
  <c r="BI43" i="6"/>
  <c r="BA43" i="6"/>
  <c r="AZ43" i="6"/>
  <c r="BL43" i="6"/>
  <c r="BM43" i="6"/>
  <c r="AI45" i="6"/>
  <c r="AH45" i="6"/>
  <c r="BL45" i="6"/>
  <c r="AQ45" i="6"/>
  <c r="AF45" i="6"/>
  <c r="AT45" i="6"/>
  <c r="AU45" i="6"/>
  <c r="BG45" i="6"/>
  <c r="BF45" i="6"/>
  <c r="AI12" i="6"/>
  <c r="AJ12" i="6" s="1"/>
  <c r="AI16" i="6"/>
  <c r="AJ16" i="6" s="1"/>
  <c r="AE18" i="6"/>
  <c r="AQ18" i="6"/>
  <c r="BC18" i="6"/>
  <c r="AE19" i="6"/>
  <c r="AO19" i="6"/>
  <c r="AP19" i="6" s="1"/>
  <c r="AK20" i="6"/>
  <c r="AM20" i="6" s="1"/>
  <c r="AW20" i="6"/>
  <c r="BI20" i="6"/>
  <c r="AF21" i="6"/>
  <c r="AR21" i="6"/>
  <c r="BD21" i="6"/>
  <c r="AE21" i="6"/>
  <c r="AU21" i="6"/>
  <c r="BF21" i="6"/>
  <c r="AN22" i="6"/>
  <c r="AL23" i="6"/>
  <c r="AM23" i="6" s="1"/>
  <c r="AX23" i="6"/>
  <c r="BJ23" i="6"/>
  <c r="AW23" i="6"/>
  <c r="BF24" i="6"/>
  <c r="BH24" i="6" s="1"/>
  <c r="AO26" i="6"/>
  <c r="BA26" i="6"/>
  <c r="AZ26" i="6"/>
  <c r="BM26" i="6"/>
  <c r="AL28" i="6"/>
  <c r="AK28" i="6"/>
  <c r="AW28" i="6"/>
  <c r="AN28" i="6"/>
  <c r="AX28" i="6"/>
  <c r="AU29" i="6"/>
  <c r="AI29" i="6"/>
  <c r="AN31" i="6"/>
  <c r="AZ31" i="6"/>
  <c r="BA31" i="6"/>
  <c r="BL31" i="6"/>
  <c r="BM31" i="6"/>
  <c r="AO31" i="6"/>
  <c r="AI32" i="6"/>
  <c r="BJ32" i="6"/>
  <c r="BK32" i="6" s="1"/>
  <c r="BD32" i="6"/>
  <c r="BE32" i="6" s="1"/>
  <c r="AH32" i="6"/>
  <c r="AU32" i="6"/>
  <c r="AT32" i="6"/>
  <c r="BG32" i="6"/>
  <c r="BH32" i="6" s="1"/>
  <c r="AR32" i="6"/>
  <c r="BM32" i="6"/>
  <c r="BN32" i="6" s="1"/>
  <c r="AH34" i="6"/>
  <c r="AI34" i="6"/>
  <c r="AT34" i="6"/>
  <c r="BF34" i="6"/>
  <c r="BG34" i="6"/>
  <c r="BG46" i="6"/>
  <c r="AQ46" i="6"/>
  <c r="AL46" i="6"/>
  <c r="AK46" i="6"/>
  <c r="BC46" i="6"/>
  <c r="AH46" i="6"/>
  <c r="AI46" i="6"/>
  <c r="AW46" i="6"/>
  <c r="AX46" i="6"/>
  <c r="BJ46" i="6"/>
  <c r="BI46" i="6"/>
  <c r="AL50" i="6"/>
  <c r="AF12" i="6"/>
  <c r="AR12" i="6"/>
  <c r="AF16" i="6"/>
  <c r="AG16" i="6" s="1"/>
  <c r="AR16" i="6"/>
  <c r="AS16" i="6" s="1"/>
  <c r="AN17" i="6"/>
  <c r="AZ17" i="6"/>
  <c r="BL17" i="6"/>
  <c r="BN17" i="6" s="1"/>
  <c r="AO17" i="6"/>
  <c r="AI18" i="6"/>
  <c r="AU18" i="6"/>
  <c r="AV18" i="6" s="1"/>
  <c r="BG18" i="6"/>
  <c r="AR18" i="6"/>
  <c r="AH19" i="6"/>
  <c r="AT19" i="6"/>
  <c r="BF19" i="6"/>
  <c r="AF19" i="6"/>
  <c r="AQ19" i="6"/>
  <c r="AS19" i="6" s="1"/>
  <c r="BA19" i="6"/>
  <c r="BB19" i="6" s="1"/>
  <c r="BG19" i="6"/>
  <c r="BL19" i="6"/>
  <c r="BN19" i="6" s="1"/>
  <c r="AO20" i="6"/>
  <c r="BA20" i="6"/>
  <c r="BM20" i="6"/>
  <c r="AN20" i="6"/>
  <c r="AF24" i="6"/>
  <c r="AG24" i="6" s="1"/>
  <c r="AL24" i="6"/>
  <c r="AM24" i="6" s="1"/>
  <c r="AE26" i="6"/>
  <c r="AX27" i="6"/>
  <c r="BI27" i="6"/>
  <c r="BA28" i="6"/>
  <c r="BM28" i="6"/>
  <c r="BL28" i="6"/>
  <c r="AO28" i="6"/>
  <c r="AZ28" i="6"/>
  <c r="BB28" i="6" s="1"/>
  <c r="AL29" i="6"/>
  <c r="AK29" i="6"/>
  <c r="AX29" i="6"/>
  <c r="BJ29" i="6"/>
  <c r="AW29" i="6"/>
  <c r="AY29" i="6" s="1"/>
  <c r="BJ30" i="6"/>
  <c r="AX30" i="6"/>
  <c r="AR30" i="6"/>
  <c r="AS30" i="6" s="1"/>
  <c r="BD30" i="6"/>
  <c r="BC30" i="6"/>
  <c r="AE30" i="6"/>
  <c r="AG30" i="6" s="1"/>
  <c r="AZ30" i="6"/>
  <c r="AM32" i="6"/>
  <c r="BI33" i="6"/>
  <c r="AN33" i="6"/>
  <c r="BM33" i="6"/>
  <c r="AR33" i="6"/>
  <c r="BD33" i="6"/>
  <c r="BC33" i="6"/>
  <c r="AE33" i="6"/>
  <c r="AO33" i="6"/>
  <c r="AZ33" i="6"/>
  <c r="BH35" i="6"/>
  <c r="BF36" i="6"/>
  <c r="AH36" i="6"/>
  <c r="AX36" i="6"/>
  <c r="AW36" i="6"/>
  <c r="AY36" i="6" s="1"/>
  <c r="AI37" i="6"/>
  <c r="AH37" i="6"/>
  <c r="BL37" i="6"/>
  <c r="BD37" i="6"/>
  <c r="AN37" i="6"/>
  <c r="AF37" i="6"/>
  <c r="BA37" i="6"/>
  <c r="AU37" i="6"/>
  <c r="AT37" i="6"/>
  <c r="BG37" i="6"/>
  <c r="BF37" i="6"/>
  <c r="AZ37" i="6"/>
  <c r="BB37" i="6" s="1"/>
  <c r="AZ41" i="6"/>
  <c r="BD41" i="6"/>
  <c r="AL45" i="6"/>
  <c r="AI50" i="6"/>
  <c r="AH50" i="6"/>
  <c r="BL50" i="6"/>
  <c r="AQ50" i="6"/>
  <c r="AT50" i="6"/>
  <c r="AU50" i="6"/>
  <c r="BG50" i="6"/>
  <c r="BF50" i="6"/>
  <c r="AL25" i="6"/>
  <c r="AX25" i="6"/>
  <c r="BJ25" i="6"/>
  <c r="AW25" i="6"/>
  <c r="AE28" i="6"/>
  <c r="AG28" i="6" s="1"/>
  <c r="AQ28" i="6"/>
  <c r="BC28" i="6"/>
  <c r="BE28" i="6" s="1"/>
  <c r="AE29" i="6"/>
  <c r="AO29" i="6"/>
  <c r="AP29" i="6" s="1"/>
  <c r="AK30" i="6"/>
  <c r="AW30" i="6"/>
  <c r="AY30" i="6" s="1"/>
  <c r="BI30" i="6"/>
  <c r="AF31" i="6"/>
  <c r="AR31" i="6"/>
  <c r="BD31" i="6"/>
  <c r="AE31" i="6"/>
  <c r="AU31" i="6"/>
  <c r="BF31" i="6"/>
  <c r="AN32" i="6"/>
  <c r="AP32" i="6" s="1"/>
  <c r="AL33" i="6"/>
  <c r="AX33" i="6"/>
  <c r="BJ33" i="6"/>
  <c r="AW33" i="6"/>
  <c r="AY33" i="6" s="1"/>
  <c r="AK34" i="6"/>
  <c r="AW34" i="6"/>
  <c r="AY34" i="6" s="1"/>
  <c r="BI34" i="6"/>
  <c r="AO35" i="6"/>
  <c r="AN35" i="6"/>
  <c r="BA35" i="6"/>
  <c r="AZ35" i="6"/>
  <c r="BM35" i="6"/>
  <c r="BL35" i="6"/>
  <c r="AL35" i="6"/>
  <c r="AT35" i="6"/>
  <c r="BJ35" i="6"/>
  <c r="BK35" i="6" s="1"/>
  <c r="AE36" i="6"/>
  <c r="AQ36" i="6"/>
  <c r="BC36" i="6"/>
  <c r="BJ38" i="6"/>
  <c r="BK38" i="6" s="1"/>
  <c r="AL38" i="6"/>
  <c r="AM38" i="6" s="1"/>
  <c r="BG38" i="6"/>
  <c r="BM39" i="6"/>
  <c r="AO39" i="6"/>
  <c r="AP39" i="6" s="1"/>
  <c r="BJ39" i="6"/>
  <c r="AK41" i="6"/>
  <c r="AW41" i="6"/>
  <c r="AX42" i="6"/>
  <c r="AY42" i="6" s="1"/>
  <c r="BI42" i="6"/>
  <c r="BF47" i="6"/>
  <c r="AH47" i="6"/>
  <c r="BA47" i="6"/>
  <c r="AK47" i="6"/>
  <c r="AM47" i="6" s="1"/>
  <c r="AT47" i="6"/>
  <c r="AX47" i="6"/>
  <c r="AW47" i="6"/>
  <c r="BJ47" i="6"/>
  <c r="CL52" i="6"/>
  <c r="BZ52" i="6"/>
  <c r="AI28" i="6"/>
  <c r="AJ28" i="6" s="1"/>
  <c r="AU28" i="6"/>
  <c r="BG28" i="6"/>
  <c r="AR28" i="6"/>
  <c r="AH29" i="6"/>
  <c r="AT29" i="6"/>
  <c r="BF29" i="6"/>
  <c r="AF29" i="6"/>
  <c r="AQ29" i="6"/>
  <c r="AS29" i="6" s="1"/>
  <c r="BA29" i="6"/>
  <c r="BB29" i="6" s="1"/>
  <c r="BG29" i="6"/>
  <c r="BL29" i="6"/>
  <c r="BN29" i="6" s="1"/>
  <c r="AO30" i="6"/>
  <c r="BA30" i="6"/>
  <c r="BM30" i="6"/>
  <c r="BN30" i="6" s="1"/>
  <c r="AN30" i="6"/>
  <c r="AO34" i="6"/>
  <c r="AP34" i="6" s="1"/>
  <c r="BA34" i="6"/>
  <c r="BM34" i="6"/>
  <c r="AR35" i="6"/>
  <c r="BD35" i="6"/>
  <c r="AE35" i="6"/>
  <c r="AG35" i="6" s="1"/>
  <c r="AU35" i="6"/>
  <c r="BC35" i="6"/>
  <c r="BD36" i="6"/>
  <c r="AU36" i="6"/>
  <c r="AV36" i="6" s="1"/>
  <c r="BG36" i="6"/>
  <c r="AE37" i="6"/>
  <c r="AQ37" i="6"/>
  <c r="BC37" i="6"/>
  <c r="AK40" i="6"/>
  <c r="AN42" i="6"/>
  <c r="BJ42" i="6"/>
  <c r="AU42" i="6"/>
  <c r="AO42" i="6"/>
  <c r="AZ42" i="6"/>
  <c r="BA42" i="6"/>
  <c r="BL42" i="6"/>
  <c r="BN42" i="6" s="1"/>
  <c r="AQ42" i="6"/>
  <c r="BF42" i="6"/>
  <c r="AX43" i="6"/>
  <c r="BJ43" i="6"/>
  <c r="AI48" i="6"/>
  <c r="AH48" i="6"/>
  <c r="BL48" i="6"/>
  <c r="BN48" i="6" s="1"/>
  <c r="BD48" i="6"/>
  <c r="AN48" i="6"/>
  <c r="AF48" i="6"/>
  <c r="BA48" i="6"/>
  <c r="BB48" i="6" s="1"/>
  <c r="AR48" i="6"/>
  <c r="AO48" i="6"/>
  <c r="AU48" i="6"/>
  <c r="AT48" i="6"/>
  <c r="BG48" i="6"/>
  <c r="BF48" i="6"/>
  <c r="AI36" i="6"/>
  <c r="AN38" i="6"/>
  <c r="AZ38" i="6"/>
  <c r="BL38" i="6"/>
  <c r="BN38" i="6" s="1"/>
  <c r="AI38" i="6"/>
  <c r="AJ38" i="6" s="1"/>
  <c r="AO38" i="6"/>
  <c r="AI39" i="6"/>
  <c r="AU39" i="6"/>
  <c r="AV39" i="6" s="1"/>
  <c r="BG39" i="6"/>
  <c r="AL39" i="6"/>
  <c r="AM39" i="6" s="1"/>
  <c r="AR39" i="6"/>
  <c r="AS39" i="6" s="1"/>
  <c r="AW39" i="6"/>
  <c r="AH40" i="6"/>
  <c r="AT40" i="6"/>
  <c r="AV40" i="6" s="1"/>
  <c r="BF40" i="6"/>
  <c r="BG40" i="6"/>
  <c r="AO41" i="6"/>
  <c r="BA41" i="6"/>
  <c r="BM41" i="6"/>
  <c r="AN41" i="6"/>
  <c r="BL41" i="6"/>
  <c r="AF42" i="6"/>
  <c r="AH42" i="6"/>
  <c r="AJ42" i="6" s="1"/>
  <c r="AR42" i="6"/>
  <c r="BD42" i="6"/>
  <c r="BC42" i="6"/>
  <c r="AE42" i="6"/>
  <c r="AL42" i="6"/>
  <c r="AT42" i="6"/>
  <c r="BG42" i="6"/>
  <c r="AI43" i="6"/>
  <c r="AF43" i="6"/>
  <c r="AU43" i="6"/>
  <c r="AV43" i="6" s="1"/>
  <c r="BG43" i="6"/>
  <c r="BF43" i="6"/>
  <c r="AH43" i="6"/>
  <c r="AW43" i="6"/>
  <c r="BD43" i="6"/>
  <c r="AH44" i="6"/>
  <c r="BL44" i="6"/>
  <c r="BN44" i="6" s="1"/>
  <c r="BA44" i="6"/>
  <c r="BB44" i="6" s="1"/>
  <c r="AQ44" i="6"/>
  <c r="AS44" i="6" s="1"/>
  <c r="AF44" i="6"/>
  <c r="AU44" i="6"/>
  <c r="AI44" i="6"/>
  <c r="BD44" i="6"/>
  <c r="BE44" i="6" s="1"/>
  <c r="AN46" i="6"/>
  <c r="AZ46" i="6"/>
  <c r="BA46" i="6"/>
  <c r="BL46" i="6"/>
  <c r="BM46" i="6"/>
  <c r="AO46" i="6"/>
  <c r="AN47" i="6"/>
  <c r="AO47" i="6"/>
  <c r="AZ47" i="6"/>
  <c r="BL47" i="6"/>
  <c r="BM47" i="6"/>
  <c r="AL48" i="6"/>
  <c r="AK48" i="6"/>
  <c r="AX48" i="6"/>
  <c r="AY48" i="6" s="1"/>
  <c r="BJ48" i="6"/>
  <c r="BI48" i="6"/>
  <c r="AO49" i="6"/>
  <c r="BA49" i="6"/>
  <c r="BB49" i="6" s="1"/>
  <c r="BL49" i="6"/>
  <c r="AF36" i="6"/>
  <c r="AR36" i="6"/>
  <c r="AF38" i="6"/>
  <c r="AR38" i="6"/>
  <c r="AS38" i="6" s="1"/>
  <c r="BD38" i="6"/>
  <c r="BE38" i="6" s="1"/>
  <c r="AE38" i="6"/>
  <c r="AU38" i="6"/>
  <c r="BA38" i="6"/>
  <c r="BF38" i="6"/>
  <c r="AH39" i="6"/>
  <c r="AL40" i="6"/>
  <c r="AX40" i="6"/>
  <c r="BJ40" i="6"/>
  <c r="BK40" i="6" s="1"/>
  <c r="AW40" i="6"/>
  <c r="AE41" i="6"/>
  <c r="AK43" i="6"/>
  <c r="AR43" i="6"/>
  <c r="AL44" i="6"/>
  <c r="AK44" i="6"/>
  <c r="AX44" i="6"/>
  <c r="BJ44" i="6"/>
  <c r="BK44" i="6" s="1"/>
  <c r="AW44" i="6"/>
  <c r="BJ45" i="6"/>
  <c r="AX45" i="6"/>
  <c r="AR45" i="6"/>
  <c r="BD45" i="6"/>
  <c r="BC45" i="6"/>
  <c r="AE45" i="6"/>
  <c r="AZ45" i="6"/>
  <c r="AX49" i="6"/>
  <c r="AL49" i="6"/>
  <c r="AI49" i="6"/>
  <c r="AN49" i="6"/>
  <c r="AF49" i="6"/>
  <c r="AQ49" i="6"/>
  <c r="AS49" i="6" s="1"/>
  <c r="BD49" i="6"/>
  <c r="AE49" i="6"/>
  <c r="AU49" i="6"/>
  <c r="BM49" i="6"/>
  <c r="BI41" i="6"/>
  <c r="BK41" i="6" s="1"/>
  <c r="AE43" i="6"/>
  <c r="AG43" i="6" s="1"/>
  <c r="AQ43" i="6"/>
  <c r="BC43" i="6"/>
  <c r="AE44" i="6"/>
  <c r="AO44" i="6"/>
  <c r="AP44" i="6" s="1"/>
  <c r="AK45" i="6"/>
  <c r="AW45" i="6"/>
  <c r="BI45" i="6"/>
  <c r="AF46" i="6"/>
  <c r="AR46" i="6"/>
  <c r="BD46" i="6"/>
  <c r="AE46" i="6"/>
  <c r="AU46" i="6"/>
  <c r="AV46" i="6" s="1"/>
  <c r="BF46" i="6"/>
  <c r="AE47" i="6"/>
  <c r="AQ47" i="6"/>
  <c r="BC47" i="6"/>
  <c r="AH49" i="6"/>
  <c r="AT49" i="6"/>
  <c r="BF49" i="6"/>
  <c r="BG49" i="6"/>
  <c r="AT44" i="6"/>
  <c r="BF44" i="6"/>
  <c r="BG44" i="6"/>
  <c r="AO45" i="6"/>
  <c r="BA45" i="6"/>
  <c r="BM45" i="6"/>
  <c r="AN45" i="6"/>
  <c r="BD47" i="6"/>
  <c r="AU47" i="6"/>
  <c r="BG47" i="6"/>
  <c r="AE48" i="6"/>
  <c r="AG48" i="6" s="1"/>
  <c r="AQ48" i="6"/>
  <c r="BC48" i="6"/>
  <c r="AK49" i="6"/>
  <c r="AW49" i="6"/>
  <c r="AY49" i="6" s="1"/>
  <c r="BM50" i="6"/>
  <c r="BA50" i="6"/>
  <c r="AO50" i="6"/>
  <c r="BJ50" i="6"/>
  <c r="AN50" i="6"/>
  <c r="AX50" i="6"/>
  <c r="AR50" i="6"/>
  <c r="BD50" i="6"/>
  <c r="BC50" i="6"/>
  <c r="AE50" i="6"/>
  <c r="AG50" i="6" s="1"/>
  <c r="AZ50" i="6"/>
  <c r="AI47" i="6"/>
  <c r="BJ49" i="6"/>
  <c r="AK50" i="6"/>
  <c r="AM50" i="6" s="1"/>
  <c r="AW50" i="6"/>
  <c r="BI50" i="6"/>
  <c r="BJ51" i="6"/>
  <c r="BK51" i="6" s="1"/>
  <c r="BF51" i="6"/>
  <c r="BH51" i="6" s="1"/>
  <c r="AX51" i="6"/>
  <c r="AT51" i="6"/>
  <c r="AL51" i="6"/>
  <c r="AH51" i="6"/>
  <c r="AJ51" i="6" s="1"/>
  <c r="AF51" i="6"/>
  <c r="AR51" i="6"/>
  <c r="AS51" i="6" s="1"/>
  <c r="BD51" i="6"/>
  <c r="AE51" i="6"/>
  <c r="AU51" i="6"/>
  <c r="BC51" i="6"/>
  <c r="AF47" i="6"/>
  <c r="AR47" i="6"/>
  <c r="AE52" i="6"/>
  <c r="AI52" i="6"/>
  <c r="AJ52" i="6" s="1"/>
  <c r="AU52" i="6"/>
  <c r="AH53" i="6"/>
  <c r="AJ53" i="6" s="1"/>
  <c r="AL53" i="6"/>
  <c r="AM53" i="6" s="1"/>
  <c r="AX53" i="6"/>
  <c r="AY53" i="6" s="1"/>
  <c r="BJ53" i="6"/>
  <c r="BK53" i="6" s="1"/>
  <c r="AO54" i="6"/>
  <c r="AP54" i="6" s="1"/>
  <c r="BA54" i="6"/>
  <c r="BB54" i="6" s="1"/>
  <c r="BM54" i="6"/>
  <c r="BN54" i="6" s="1"/>
  <c r="AK52" i="6"/>
  <c r="AO52" i="6"/>
  <c r="AP52" i="6" s="1"/>
  <c r="BA52" i="6"/>
  <c r="BB52" i="6" s="1"/>
  <c r="AF53" i="6"/>
  <c r="AG53" i="6" s="1"/>
  <c r="AN53" i="6"/>
  <c r="AP53" i="6" s="1"/>
  <c r="AR53" i="6"/>
  <c r="AS53" i="6" s="1"/>
  <c r="AZ53" i="6"/>
  <c r="BB53" i="6" s="1"/>
  <c r="BD53" i="6"/>
  <c r="BE53" i="6" s="1"/>
  <c r="AE54" i="6"/>
  <c r="AI54" i="6"/>
  <c r="AJ54" i="6" s="1"/>
  <c r="AU54" i="6"/>
  <c r="AV54" i="6" s="1"/>
  <c r="AV44" i="6" l="1"/>
  <c r="AG45" i="6"/>
  <c r="AM43" i="6"/>
  <c r="AY43" i="6"/>
  <c r="BB42" i="6"/>
  <c r="BN37" i="6"/>
  <c r="BE30" i="6"/>
  <c r="AM29" i="6"/>
  <c r="BN28" i="6"/>
  <c r="AP20" i="6"/>
  <c r="BB17" i="6"/>
  <c r="AM46" i="6"/>
  <c r="AJ45" i="6"/>
  <c r="BB43" i="6"/>
  <c r="AP43" i="6"/>
  <c r="AY21" i="6"/>
  <c r="AG11" i="6"/>
  <c r="BH38" i="6"/>
  <c r="BE42" i="6"/>
  <c r="AV48" i="6"/>
  <c r="AJ29" i="6"/>
  <c r="AP37" i="6"/>
  <c r="AG26" i="6"/>
  <c r="AM28" i="6"/>
  <c r="BB40" i="6"/>
  <c r="AS25" i="6"/>
  <c r="AM15" i="6"/>
  <c r="AS34" i="6"/>
  <c r="AJ22" i="6"/>
  <c r="BN21" i="6"/>
  <c r="BK17" i="6"/>
  <c r="AY11" i="6"/>
  <c r="BN40" i="6"/>
  <c r="AP27" i="6"/>
  <c r="AJ13" i="6"/>
  <c r="AV5" i="6"/>
  <c r="AJ17" i="6"/>
  <c r="AV9" i="6"/>
  <c r="C22" i="30"/>
  <c r="AS52" i="6"/>
  <c r="BN51" i="6"/>
  <c r="AY38" i="6"/>
  <c r="AG22" i="6"/>
  <c r="AS20" i="6"/>
  <c r="BE11" i="6"/>
  <c r="AS54" i="6"/>
  <c r="BH53" i="6"/>
  <c r="AJ24" i="6"/>
  <c r="AY22" i="6"/>
  <c r="CI22" i="6" s="1"/>
  <c r="BH16" i="6"/>
  <c r="BK52" i="6"/>
  <c r="AS10" i="6"/>
  <c r="CG10" i="6" s="1"/>
  <c r="AY6" i="6"/>
  <c r="AP23" i="6"/>
  <c r="C45" i="30"/>
  <c r="E38" i="30"/>
  <c r="E23" i="30"/>
  <c r="BB32" i="6"/>
  <c r="BH12" i="6"/>
  <c r="BK47" i="6"/>
  <c r="AM54" i="6"/>
  <c r="BE19" i="6"/>
  <c r="AV21" i="6"/>
  <c r="BK29" i="6"/>
  <c r="AV28" i="6"/>
  <c r="E46" i="30"/>
  <c r="E22" i="25"/>
  <c r="E12" i="25"/>
  <c r="E51" i="25"/>
  <c r="E32" i="25"/>
  <c r="E41" i="25"/>
  <c r="CE54" i="6"/>
  <c r="BS54" i="6"/>
  <c r="AP25" i="6"/>
  <c r="CF25" i="6" s="1"/>
  <c r="AY39" i="6"/>
  <c r="AS35" i="6"/>
  <c r="BK7" i="6"/>
  <c r="AS26" i="6"/>
  <c r="BU26" i="6" s="1"/>
  <c r="BK22" i="6"/>
  <c r="BH10" i="6"/>
  <c r="AS8" i="6"/>
  <c r="BU10" i="6"/>
  <c r="E47" i="25"/>
  <c r="E35" i="25"/>
  <c r="E28" i="25"/>
  <c r="E16" i="25"/>
  <c r="AY24" i="6"/>
  <c r="BN52" i="6"/>
  <c r="AV52" i="6"/>
  <c r="CF51" i="6"/>
  <c r="BB47" i="6"/>
  <c r="AP46" i="6"/>
  <c r="AG42" i="6"/>
  <c r="BH40" i="6"/>
  <c r="CL40" i="6" s="1"/>
  <c r="AS42" i="6"/>
  <c r="AM40" i="6"/>
  <c r="BB33" i="6"/>
  <c r="AJ18" i="6"/>
  <c r="BR18" i="6" s="1"/>
  <c r="AV34" i="6"/>
  <c r="AS32" i="6"/>
  <c r="AP26" i="6"/>
  <c r="AG18" i="6"/>
  <c r="CC18" i="6" s="1"/>
  <c r="BB36" i="6"/>
  <c r="BE21" i="6"/>
  <c r="BE20" i="6"/>
  <c r="AM19" i="6"/>
  <c r="CE19" i="6" s="1"/>
  <c r="BN18" i="6"/>
  <c r="AY17" i="6"/>
  <c r="AS15" i="6"/>
  <c r="AS12" i="6"/>
  <c r="CG12" i="6" s="1"/>
  <c r="BN9" i="6"/>
  <c r="BE9" i="6"/>
  <c r="BH8" i="6"/>
  <c r="BB7" i="6"/>
  <c r="BX7" i="6" s="1"/>
  <c r="AY13" i="6"/>
  <c r="BH11" i="6"/>
  <c r="BB6" i="6"/>
  <c r="BB5" i="6"/>
  <c r="BK31" i="6"/>
  <c r="AY14" i="6"/>
  <c r="BE5" i="6"/>
  <c r="BN27" i="6"/>
  <c r="CN27" i="6" s="1"/>
  <c r="AV41" i="6"/>
  <c r="E44" i="25"/>
  <c r="E34" i="25"/>
  <c r="E25" i="25"/>
  <c r="E15" i="25"/>
  <c r="AV53" i="6"/>
  <c r="AS24" i="6"/>
  <c r="BU24" i="6" s="1"/>
  <c r="AP16" i="6"/>
  <c r="BB10" i="6"/>
  <c r="BN39" i="6"/>
  <c r="BK28" i="6"/>
  <c r="BE16" i="6"/>
  <c r="BY16" i="6" s="1"/>
  <c r="BK6" i="6"/>
  <c r="BK54" i="6"/>
  <c r="AM51" i="6"/>
  <c r="BK49" i="6"/>
  <c r="BK45" i="6"/>
  <c r="BE49" i="6"/>
  <c r="BN49" i="6"/>
  <c r="BH39" i="6"/>
  <c r="BZ39" i="6" s="1"/>
  <c r="AS37" i="6"/>
  <c r="AJ47" i="6"/>
  <c r="AY41" i="6"/>
  <c r="BH31" i="6"/>
  <c r="CL31" i="6" s="1"/>
  <c r="AM30" i="6"/>
  <c r="BH18" i="6"/>
  <c r="AP22" i="6"/>
  <c r="AY20" i="6"/>
  <c r="BW20" i="6" s="1"/>
  <c r="AM27" i="6"/>
  <c r="BE25" i="6"/>
  <c r="BN25" i="6"/>
  <c r="BB23" i="6"/>
  <c r="BX23" i="6" s="1"/>
  <c r="BB16" i="6"/>
  <c r="BE14" i="6"/>
  <c r="AY8" i="6"/>
  <c r="AJ31" i="6"/>
  <c r="CD31" i="6" s="1"/>
  <c r="AV30" i="6"/>
  <c r="BH22" i="6"/>
  <c r="BE22" i="6"/>
  <c r="BK9" i="6"/>
  <c r="BE8" i="6"/>
  <c r="BW22" i="6"/>
  <c r="BH20" i="6"/>
  <c r="BB9" i="6"/>
  <c r="CJ9" i="6" s="1"/>
  <c r="BB8" i="6"/>
  <c r="AJ33" i="6"/>
  <c r="E48" i="25"/>
  <c r="E40" i="25"/>
  <c r="E29" i="25"/>
  <c r="E20" i="25"/>
  <c r="BE39" i="6"/>
  <c r="AY52" i="6"/>
  <c r="CI52" i="6" s="1"/>
  <c r="AG32" i="6"/>
  <c r="AG39" i="6"/>
  <c r="AY16" i="6"/>
  <c r="CI16" i="6" s="1"/>
  <c r="E36" i="25"/>
  <c r="E46" i="25"/>
  <c r="E50" i="25"/>
  <c r="E42" i="25"/>
  <c r="E30" i="25"/>
  <c r="E18" i="25"/>
  <c r="E38" i="25"/>
  <c r="E26" i="25"/>
  <c r="E13" i="25"/>
  <c r="E52" i="25"/>
  <c r="E24" i="25"/>
  <c r="E54" i="25"/>
  <c r="E33" i="25"/>
  <c r="E21" i="25"/>
  <c r="E11" i="25"/>
  <c r="E49" i="25"/>
  <c r="E45" i="25"/>
  <c r="E37" i="25"/>
  <c r="E43" i="25"/>
  <c r="E39" i="25"/>
  <c r="E31" i="25"/>
  <c r="E27" i="25"/>
  <c r="E23" i="25"/>
  <c r="E19" i="25"/>
  <c r="E14" i="25"/>
  <c r="E17" i="25"/>
  <c r="D6" i="25"/>
  <c r="D6" i="41"/>
  <c r="E7" i="25"/>
  <c r="E10" i="25"/>
  <c r="E53" i="25"/>
  <c r="E8" i="25"/>
  <c r="E9" i="25"/>
  <c r="E6" i="25"/>
  <c r="BX25" i="6"/>
  <c r="CJ25" i="6"/>
  <c r="CC39" i="6"/>
  <c r="BQ39" i="6"/>
  <c r="BW16" i="6"/>
  <c r="BQ13" i="6"/>
  <c r="CC13" i="6"/>
  <c r="CG6" i="6"/>
  <c r="BU6" i="6"/>
  <c r="BZ54" i="6"/>
  <c r="CL54" i="6"/>
  <c r="CN52" i="6"/>
  <c r="CB52" i="6"/>
  <c r="BR35" i="6"/>
  <c r="CD35" i="6"/>
  <c r="AG49" i="6"/>
  <c r="AG37" i="6"/>
  <c r="BE35" i="6"/>
  <c r="CK35" i="6" s="1"/>
  <c r="BH19" i="6"/>
  <c r="BZ19" i="6" s="1"/>
  <c r="BN31" i="6"/>
  <c r="BE18" i="6"/>
  <c r="BN43" i="6"/>
  <c r="CB43" i="6" s="1"/>
  <c r="AP36" i="6"/>
  <c r="CF36" i="6" s="1"/>
  <c r="AJ23" i="6"/>
  <c r="BN15" i="6"/>
  <c r="BH9" i="6"/>
  <c r="CL9" i="6" s="1"/>
  <c r="BE27" i="6"/>
  <c r="CK27" i="6" s="1"/>
  <c r="BB24" i="6"/>
  <c r="BH6" i="6"/>
  <c r="AM21" i="6"/>
  <c r="BS21" i="6" s="1"/>
  <c r="BE15" i="6"/>
  <c r="CK15" i="6" s="1"/>
  <c r="AJ6" i="6"/>
  <c r="E22" i="30"/>
  <c r="C23" i="30"/>
  <c r="C46" i="30"/>
  <c r="BE52" i="6"/>
  <c r="BB51" i="6"/>
  <c r="BB39" i="6"/>
  <c r="BE54" i="6"/>
  <c r="BK18" i="6"/>
  <c r="AY54" i="6"/>
  <c r="AY32" i="6"/>
  <c r="BE13" i="6"/>
  <c r="CH53" i="6"/>
  <c r="BV53" i="6"/>
  <c r="BB22" i="6"/>
  <c r="AG52" i="6"/>
  <c r="BH44" i="6"/>
  <c r="AP30" i="6"/>
  <c r="AV47" i="6"/>
  <c r="BV47" i="6" s="1"/>
  <c r="AJ46" i="6"/>
  <c r="BH21" i="6"/>
  <c r="BN26" i="6"/>
  <c r="CN26" i="6" s="1"/>
  <c r="AM9" i="6"/>
  <c r="CE9" i="6" s="1"/>
  <c r="BK5" i="6"/>
  <c r="AM25" i="6"/>
  <c r="C38" i="30"/>
  <c r="AJ14" i="6"/>
  <c r="AY12" i="6"/>
  <c r="CB51" i="6"/>
  <c r="CN51" i="6"/>
  <c r="BW38" i="6"/>
  <c r="CI38" i="6"/>
  <c r="CM28" i="6"/>
  <c r="CA28" i="6"/>
  <c r="AP49" i="6"/>
  <c r="BN46" i="6"/>
  <c r="CB46" i="6" s="1"/>
  <c r="AG33" i="6"/>
  <c r="BQ33" i="6" s="1"/>
  <c r="BE51" i="6"/>
  <c r="BE48" i="6"/>
  <c r="BH49" i="6"/>
  <c r="BZ49" i="6" s="1"/>
  <c r="AG46" i="6"/>
  <c r="CC46" i="6" s="1"/>
  <c r="AG44" i="6"/>
  <c r="BH28" i="6"/>
  <c r="BH47" i="6"/>
  <c r="CL47" i="6" s="1"/>
  <c r="AM35" i="6"/>
  <c r="BS35" i="6" s="1"/>
  <c r="AV50" i="6"/>
  <c r="AV45" i="6"/>
  <c r="BB18" i="6"/>
  <c r="CJ18" i="6" s="1"/>
  <c r="BK16" i="6"/>
  <c r="CM16" i="6" s="1"/>
  <c r="AV14" i="6"/>
  <c r="AY10" i="6"/>
  <c r="AG54" i="6"/>
  <c r="BQ54" i="6" s="1"/>
  <c r="AM52" i="6"/>
  <c r="CE52" i="6" s="1"/>
  <c r="AY51" i="6"/>
  <c r="AY50" i="6"/>
  <c r="BE50" i="6"/>
  <c r="CK50" i="6" s="1"/>
  <c r="AP50" i="6"/>
  <c r="CF50" i="6" s="1"/>
  <c r="AS48" i="6"/>
  <c r="AV49" i="6"/>
  <c r="BE45" i="6"/>
  <c r="BY45" i="6" s="1"/>
  <c r="AM44" i="6"/>
  <c r="CE44" i="6" s="1"/>
  <c r="AV38" i="6"/>
  <c r="AM42" i="6"/>
  <c r="AP41" i="6"/>
  <c r="AJ48" i="6"/>
  <c r="BR48" i="6" s="1"/>
  <c r="BE37" i="6"/>
  <c r="BK42" i="6"/>
  <c r="BK39" i="6"/>
  <c r="CA39" i="6" s="1"/>
  <c r="AG36" i="6"/>
  <c r="CC36" i="6" s="1"/>
  <c r="BN35" i="6"/>
  <c r="AP35" i="6"/>
  <c r="AM34" i="6"/>
  <c r="BS34" i="6" s="1"/>
  <c r="AG31" i="6"/>
  <c r="BQ31" i="6" s="1"/>
  <c r="BK30" i="6"/>
  <c r="AG29" i="6"/>
  <c r="AY25" i="6"/>
  <c r="CI25" i="6" s="1"/>
  <c r="BH50" i="6"/>
  <c r="BZ50" i="6" s="1"/>
  <c r="AS50" i="6"/>
  <c r="BH37" i="6"/>
  <c r="BK33" i="6"/>
  <c r="AJ19" i="6"/>
  <c r="BR19" i="6" s="1"/>
  <c r="AP17" i="6"/>
  <c r="BE46" i="6"/>
  <c r="AJ32" i="6"/>
  <c r="CD32" i="6" s="1"/>
  <c r="BH45" i="6"/>
  <c r="CL45" i="6" s="1"/>
  <c r="AV11" i="6"/>
  <c r="BN7" i="6"/>
  <c r="AM12" i="6"/>
  <c r="CE12" i="6" s="1"/>
  <c r="BH7" i="6"/>
  <c r="CL7" i="6" s="1"/>
  <c r="AM31" i="6"/>
  <c r="BH30" i="6"/>
  <c r="AM18" i="6"/>
  <c r="CE18" i="6" s="1"/>
  <c r="AM17" i="6"/>
  <c r="CE17" i="6" s="1"/>
  <c r="AV12" i="6"/>
  <c r="AP12" i="6"/>
  <c r="BK11" i="6"/>
  <c r="CM11" i="6" s="1"/>
  <c r="BE10" i="6"/>
  <c r="CK10" i="6" s="1"/>
  <c r="AV10" i="6"/>
  <c r="CG24" i="6"/>
  <c r="BH41" i="6"/>
  <c r="BZ41" i="6" s="1"/>
  <c r="AY37" i="6"/>
  <c r="CI37" i="6" s="1"/>
  <c r="AV25" i="6"/>
  <c r="AP8" i="6"/>
  <c r="E37" i="30"/>
  <c r="C47" i="30"/>
  <c r="AY35" i="6"/>
  <c r="E47" i="30"/>
  <c r="C37" i="30"/>
  <c r="E29" i="30"/>
  <c r="C29" i="30"/>
  <c r="H46" i="30"/>
  <c r="G45" i="30"/>
  <c r="G38" i="30"/>
  <c r="H29" i="30"/>
  <c r="G29" i="30"/>
  <c r="G17" i="30"/>
  <c r="E55" i="25"/>
  <c r="H17" i="30"/>
  <c r="W44" i="25"/>
  <c r="W10" i="25"/>
  <c r="W25" i="25"/>
  <c r="W28" i="25"/>
  <c r="W46" i="25"/>
  <c r="W47" i="25"/>
  <c r="W13" i="25"/>
  <c r="W27" i="25"/>
  <c r="W36" i="25"/>
  <c r="W18" i="25"/>
  <c r="W34" i="25"/>
  <c r="W48" i="25"/>
  <c r="W11" i="25"/>
  <c r="W6" i="25"/>
  <c r="F36" i="30" s="1"/>
  <c r="W53" i="25"/>
  <c r="W23" i="25"/>
  <c r="W54" i="25"/>
  <c r="T13" i="25"/>
  <c r="T52" i="25"/>
  <c r="T19" i="25"/>
  <c r="T10" i="25"/>
  <c r="T41" i="25"/>
  <c r="T34" i="25"/>
  <c r="T39" i="25"/>
  <c r="T17" i="25"/>
  <c r="T44" i="25"/>
  <c r="T51" i="25"/>
  <c r="T49" i="25"/>
  <c r="T11" i="25"/>
  <c r="T43" i="25"/>
  <c r="T30" i="25"/>
  <c r="T54" i="25"/>
  <c r="T55" i="25"/>
  <c r="T25" i="25"/>
  <c r="T18" i="25"/>
  <c r="T6" i="25"/>
  <c r="T7" i="25"/>
  <c r="I31" i="30"/>
  <c r="I36" i="30"/>
  <c r="W37" i="25"/>
  <c r="W39" i="25"/>
  <c r="W7" i="25"/>
  <c r="W26" i="25"/>
  <c r="W40" i="25"/>
  <c r="W42" i="25"/>
  <c r="W32" i="25"/>
  <c r="W16" i="25"/>
  <c r="W49" i="25"/>
  <c r="W24" i="25"/>
  <c r="W45" i="25"/>
  <c r="W55" i="25"/>
  <c r="W20" i="25"/>
  <c r="W15" i="25"/>
  <c r="T20" i="25"/>
  <c r="T15" i="25"/>
  <c r="T47" i="25"/>
  <c r="T9" i="25"/>
  <c r="T12" i="25"/>
  <c r="T46" i="25"/>
  <c r="T38" i="25"/>
  <c r="T53" i="25"/>
  <c r="T29" i="25"/>
  <c r="T28" i="25"/>
  <c r="T45" i="25"/>
  <c r="T21" i="25"/>
  <c r="D55" i="25"/>
  <c r="AL14" i="25"/>
  <c r="CH38" i="6"/>
  <c r="BV38" i="6"/>
  <c r="CH39" i="6"/>
  <c r="BV39" i="6"/>
  <c r="BX29" i="6"/>
  <c r="CJ29" i="6"/>
  <c r="CD18" i="6"/>
  <c r="CF26" i="6"/>
  <c r="BT26" i="6"/>
  <c r="CA7" i="6"/>
  <c r="CM7" i="6"/>
  <c r="CE36" i="6"/>
  <c r="BS36" i="6"/>
  <c r="CM31" i="6"/>
  <c r="CA31" i="6"/>
  <c r="CI14" i="6"/>
  <c r="BW14" i="6"/>
  <c r="BU39" i="6"/>
  <c r="CG39" i="6"/>
  <c r="CM38" i="6"/>
  <c r="CA38" i="6"/>
  <c r="CA35" i="6"/>
  <c r="CM35" i="6"/>
  <c r="CK32" i="6"/>
  <c r="BY32" i="6"/>
  <c r="CE23" i="6"/>
  <c r="BS23" i="6"/>
  <c r="CD16" i="6"/>
  <c r="BR16" i="6"/>
  <c r="BS16" i="6"/>
  <c r="CE16" i="6"/>
  <c r="CL8" i="6"/>
  <c r="BZ8" i="6"/>
  <c r="CC6" i="6"/>
  <c r="BQ6" i="6"/>
  <c r="BX6" i="6"/>
  <c r="CJ6" i="6"/>
  <c r="BV33" i="6"/>
  <c r="CH33" i="6"/>
  <c r="CG22" i="6"/>
  <c r="BU22" i="6"/>
  <c r="CM14" i="6"/>
  <c r="CA14" i="6"/>
  <c r="CH54" i="6"/>
  <c r="BV54" i="6"/>
  <c r="BT44" i="6"/>
  <c r="CF44" i="6"/>
  <c r="CM44" i="6"/>
  <c r="CA44" i="6"/>
  <c r="CK44" i="6"/>
  <c r="BY44" i="6"/>
  <c r="CE39" i="6"/>
  <c r="BS39" i="6"/>
  <c r="CG35" i="6"/>
  <c r="BU35" i="6"/>
  <c r="BZ18" i="6"/>
  <c r="CL18" i="6"/>
  <c r="BW8" i="6"/>
  <c r="CI8" i="6"/>
  <c r="CM24" i="6"/>
  <c r="CA24" i="6"/>
  <c r="CK22" i="6"/>
  <c r="BY22" i="6"/>
  <c r="BU5" i="6"/>
  <c r="CG5" i="6"/>
  <c r="CN13" i="6"/>
  <c r="CB13" i="6"/>
  <c r="CM8" i="6"/>
  <c r="CA8" i="6"/>
  <c r="CD6" i="6"/>
  <c r="BR6" i="6"/>
  <c r="CE42" i="6"/>
  <c r="BS42" i="6"/>
  <c r="BV36" i="6"/>
  <c r="CH36" i="6"/>
  <c r="CG32" i="6"/>
  <c r="BU32" i="6"/>
  <c r="BT19" i="6"/>
  <c r="CF19" i="6"/>
  <c r="BS6" i="6"/>
  <c r="CE6" i="6"/>
  <c r="CN22" i="6"/>
  <c r="CB22" i="6"/>
  <c r="CF52" i="6"/>
  <c r="BT52" i="6"/>
  <c r="CK49" i="6"/>
  <c r="BY49" i="6"/>
  <c r="BX44" i="6"/>
  <c r="CJ44" i="6"/>
  <c r="CH43" i="6"/>
  <c r="BV43" i="6"/>
  <c r="CJ48" i="6"/>
  <c r="BX48" i="6"/>
  <c r="CN30" i="6"/>
  <c r="CB30" i="6"/>
  <c r="BZ28" i="6"/>
  <c r="CL28" i="6"/>
  <c r="BU30" i="6"/>
  <c r="CG30" i="6"/>
  <c r="BX19" i="6"/>
  <c r="CJ19" i="6"/>
  <c r="BU23" i="6"/>
  <c r="CG23" i="6"/>
  <c r="CK6" i="6"/>
  <c r="BY6" i="6"/>
  <c r="CK7" i="6"/>
  <c r="BY7" i="6"/>
  <c r="CA12" i="6"/>
  <c r="CM12" i="6"/>
  <c r="CM5" i="6"/>
  <c r="CA5" i="6"/>
  <c r="CH20" i="6"/>
  <c r="BV20" i="6"/>
  <c r="CF13" i="6"/>
  <c r="BT13" i="6"/>
  <c r="CC54" i="6"/>
  <c r="CH52" i="6"/>
  <c r="BV52" i="6"/>
  <c r="CI51" i="6"/>
  <c r="BW51" i="6"/>
  <c r="BT50" i="6"/>
  <c r="AS47" i="6"/>
  <c r="CA45" i="6"/>
  <c r="CM45" i="6"/>
  <c r="CM41" i="6"/>
  <c r="CA41" i="6"/>
  <c r="CC45" i="6"/>
  <c r="BQ45" i="6"/>
  <c r="BS43" i="6"/>
  <c r="CE43" i="6"/>
  <c r="CG38" i="6"/>
  <c r="BU38" i="6"/>
  <c r="CC42" i="6"/>
  <c r="BQ42" i="6"/>
  <c r="CB38" i="6"/>
  <c r="CN38" i="6"/>
  <c r="CE51" i="6"/>
  <c r="BS51" i="6"/>
  <c r="CG42" i="6"/>
  <c r="BU42" i="6"/>
  <c r="CE40" i="6"/>
  <c r="BS40" i="6"/>
  <c r="CM51" i="6"/>
  <c r="CA51" i="6"/>
  <c r="CD47" i="6"/>
  <c r="BR47" i="6"/>
  <c r="CE38" i="6"/>
  <c r="BS38" i="6"/>
  <c r="CB35" i="6"/>
  <c r="CN35" i="6"/>
  <c r="CE34" i="6"/>
  <c r="CC29" i="6"/>
  <c r="BQ29" i="6"/>
  <c r="CL50" i="6"/>
  <c r="CJ37" i="6"/>
  <c r="BX37" i="6"/>
  <c r="BW36" i="6"/>
  <c r="CI36" i="6"/>
  <c r="CK30" i="6"/>
  <c r="BY30" i="6"/>
  <c r="CN28" i="6"/>
  <c r="CB28" i="6"/>
  <c r="CF20" i="6"/>
  <c r="BT20" i="6"/>
  <c r="CF17" i="6"/>
  <c r="BT17" i="6"/>
  <c r="CK46" i="6"/>
  <c r="BY46" i="6"/>
  <c r="BR32" i="6"/>
  <c r="AS18" i="6"/>
  <c r="BX49" i="6"/>
  <c r="CJ49" i="6"/>
  <c r="CD45" i="6"/>
  <c r="BR45" i="6"/>
  <c r="AM33" i="6"/>
  <c r="CM29" i="6"/>
  <c r="CA29" i="6"/>
  <c r="CE26" i="6"/>
  <c r="BS26" i="6"/>
  <c r="CB25" i="6"/>
  <c r="CN25" i="6"/>
  <c r="CK23" i="6"/>
  <c r="BY23" i="6"/>
  <c r="CK20" i="6"/>
  <c r="BY20" i="6"/>
  <c r="BW17" i="6"/>
  <c r="CI17" i="6"/>
  <c r="CG15" i="6"/>
  <c r="BU15" i="6"/>
  <c r="CK9" i="6"/>
  <c r="BY9" i="6"/>
  <c r="CH15" i="6"/>
  <c r="BV15" i="6"/>
  <c r="BN34" i="6"/>
  <c r="CL30" i="6"/>
  <c r="BZ30" i="6"/>
  <c r="BY27" i="6"/>
  <c r="BT25" i="6"/>
  <c r="BR22" i="6"/>
  <c r="CD22" i="6"/>
  <c r="CJ12" i="6"/>
  <c r="BX12" i="6"/>
  <c r="CN10" i="6"/>
  <c r="CB10" i="6"/>
  <c r="BS9" i="6"/>
  <c r="CI48" i="6"/>
  <c r="BW48" i="6"/>
  <c r="CB27" i="6"/>
  <c r="CD26" i="6"/>
  <c r="BR26" i="6"/>
  <c r="CE21" i="6"/>
  <c r="CH18" i="6"/>
  <c r="BV18" i="6"/>
  <c r="BR13" i="6"/>
  <c r="CD13" i="6"/>
  <c r="CF8" i="6"/>
  <c r="BT8" i="6"/>
  <c r="CE24" i="6"/>
  <c r="BS24" i="6"/>
  <c r="CC16" i="6"/>
  <c r="BQ16" i="6"/>
  <c r="CK53" i="6"/>
  <c r="BY53" i="6"/>
  <c r="CN54" i="6"/>
  <c r="CB54" i="6"/>
  <c r="CD52" i="6"/>
  <c r="BR52" i="6"/>
  <c r="AG51" i="6"/>
  <c r="CL51" i="6"/>
  <c r="BZ51" i="6"/>
  <c r="CC48" i="6"/>
  <c r="BQ48" i="6"/>
  <c r="CG53" i="6"/>
  <c r="BU53" i="6"/>
  <c r="AG47" i="6"/>
  <c r="AY45" i="6"/>
  <c r="CK45" i="6"/>
  <c r="CK42" i="6"/>
  <c r="BY42" i="6"/>
  <c r="CN39" i="6"/>
  <c r="CB39" i="6"/>
  <c r="BW42" i="6"/>
  <c r="CI42" i="6"/>
  <c r="CI33" i="6"/>
  <c r="BW33" i="6"/>
  <c r="BY28" i="6"/>
  <c r="CK28" i="6"/>
  <c r="CL37" i="6"/>
  <c r="BZ37" i="6"/>
  <c r="CC33" i="6"/>
  <c r="CA32" i="6"/>
  <c r="CM32" i="6"/>
  <c r="CI29" i="6"/>
  <c r="BW29" i="6"/>
  <c r="BQ26" i="6"/>
  <c r="CC26" i="6"/>
  <c r="CL19" i="6"/>
  <c r="BS46" i="6"/>
  <c r="CE46" i="6"/>
  <c r="AJ34" i="6"/>
  <c r="BB31" i="6"/>
  <c r="CF43" i="6"/>
  <c r="BT43" i="6"/>
  <c r="BN36" i="6"/>
  <c r="CF34" i="6"/>
  <c r="BT34" i="6"/>
  <c r="CN32" i="6"/>
  <c r="CB32" i="6"/>
  <c r="BU25" i="6"/>
  <c r="CG25" i="6"/>
  <c r="CD21" i="6"/>
  <c r="BR21" i="6"/>
  <c r="CN14" i="6"/>
  <c r="CB14" i="6"/>
  <c r="CE13" i="6"/>
  <c r="BS13" i="6"/>
  <c r="AG12" i="6"/>
  <c r="BT11" i="6"/>
  <c r="CF11" i="6"/>
  <c r="CJ7" i="6"/>
  <c r="CI13" i="6"/>
  <c r="BW13" i="6"/>
  <c r="BZ5" i="6"/>
  <c r="CL5" i="6"/>
  <c r="AJ25" i="6"/>
  <c r="BN20" i="6"/>
  <c r="BZ9" i="6"/>
  <c r="CC7" i="6"/>
  <c r="BQ7" i="6"/>
  <c r="CG34" i="6"/>
  <c r="BU34" i="6"/>
  <c r="CI31" i="6"/>
  <c r="BW31" i="6"/>
  <c r="CB26" i="6"/>
  <c r="CJ24" i="6"/>
  <c r="BX24" i="6"/>
  <c r="BB21" i="6"/>
  <c r="CA17" i="6"/>
  <c r="CM17" i="6"/>
  <c r="BV12" i="6"/>
  <c r="CH12" i="6"/>
  <c r="CN8" i="6"/>
  <c r="CB8" i="6"/>
  <c r="CK5" i="6"/>
  <c r="BY5" i="6"/>
  <c r="BE40" i="6"/>
  <c r="CN40" i="6"/>
  <c r="CB40" i="6"/>
  <c r="CJ27" i="6"/>
  <c r="BX27" i="6"/>
  <c r="CM21" i="6"/>
  <c r="CA21" i="6"/>
  <c r="CJ8" i="6"/>
  <c r="BX8" i="6"/>
  <c r="CH41" i="6"/>
  <c r="BV41" i="6"/>
  <c r="CM40" i="6"/>
  <c r="CA40" i="6"/>
  <c r="CH25" i="6"/>
  <c r="BV25" i="6"/>
  <c r="CM19" i="6"/>
  <c r="CA19" i="6"/>
  <c r="CH9" i="6"/>
  <c r="BV9" i="6"/>
  <c r="CK11" i="6"/>
  <c r="BY11" i="6"/>
  <c r="CG13" i="6"/>
  <c r="BU13" i="6"/>
  <c r="CE14" i="6"/>
  <c r="BS14" i="6"/>
  <c r="CA6" i="6"/>
  <c r="CM6" i="6"/>
  <c r="CJ53" i="6"/>
  <c r="BX53" i="6"/>
  <c r="CJ52" i="6"/>
  <c r="BX52" i="6"/>
  <c r="CJ54" i="6"/>
  <c r="BX54" i="6"/>
  <c r="CE53" i="6"/>
  <c r="BS53" i="6"/>
  <c r="BQ52" i="6"/>
  <c r="CC52" i="6"/>
  <c r="BU54" i="6"/>
  <c r="CG54" i="6"/>
  <c r="BB50" i="6"/>
  <c r="AM49" i="6"/>
  <c r="AP45" i="6"/>
  <c r="BZ53" i="6"/>
  <c r="CL53" i="6"/>
  <c r="AJ49" i="6"/>
  <c r="BH46" i="6"/>
  <c r="AM45" i="6"/>
  <c r="AS43" i="6"/>
  <c r="AY44" i="6"/>
  <c r="AY40" i="6"/>
  <c r="AJ39" i="6"/>
  <c r="AG38" i="6"/>
  <c r="AM48" i="6"/>
  <c r="BN47" i="6"/>
  <c r="BB46" i="6"/>
  <c r="CN44" i="6"/>
  <c r="CB44" i="6"/>
  <c r="AJ43" i="6"/>
  <c r="AV42" i="6"/>
  <c r="BN41" i="6"/>
  <c r="AJ40" i="6"/>
  <c r="AP38" i="6"/>
  <c r="BH48" i="6"/>
  <c r="AP48" i="6"/>
  <c r="CC37" i="6"/>
  <c r="BQ37" i="6"/>
  <c r="CG29" i="6"/>
  <c r="BU29" i="6"/>
  <c r="BR29" i="6"/>
  <c r="CD29" i="6"/>
  <c r="CD28" i="6"/>
  <c r="BR28" i="6"/>
  <c r="CE47" i="6"/>
  <c r="BS47" i="6"/>
  <c r="BW41" i="6"/>
  <c r="CI41" i="6"/>
  <c r="BE36" i="6"/>
  <c r="AV35" i="6"/>
  <c r="BB35" i="6"/>
  <c r="BK34" i="6"/>
  <c r="CE30" i="6"/>
  <c r="BS30" i="6"/>
  <c r="AS28" i="6"/>
  <c r="AJ50" i="6"/>
  <c r="AJ37" i="6"/>
  <c r="AJ36" i="6"/>
  <c r="BE33" i="6"/>
  <c r="AP33" i="6"/>
  <c r="BB30" i="6"/>
  <c r="CJ28" i="6"/>
  <c r="BX28" i="6"/>
  <c r="AV19" i="6"/>
  <c r="CN17" i="6"/>
  <c r="CB17" i="6"/>
  <c r="BK46" i="6"/>
  <c r="BH34" i="6"/>
  <c r="AV32" i="6"/>
  <c r="AP31" i="6"/>
  <c r="AP28" i="6"/>
  <c r="BZ24" i="6"/>
  <c r="CL24" i="6"/>
  <c r="AG21" i="6"/>
  <c r="BK20" i="6"/>
  <c r="AG19" i="6"/>
  <c r="AS45" i="6"/>
  <c r="CJ36" i="6"/>
  <c r="BX36" i="6"/>
  <c r="CM26" i="6"/>
  <c r="CA26" i="6"/>
  <c r="AG25" i="6"/>
  <c r="CK24" i="6"/>
  <c r="BY24" i="6"/>
  <c r="CE22" i="6"/>
  <c r="BS22" i="6"/>
  <c r="BB20" i="6"/>
  <c r="BX16" i="6"/>
  <c r="CJ16" i="6"/>
  <c r="CM15" i="6"/>
  <c r="CA15" i="6"/>
  <c r="CH14" i="6"/>
  <c r="BV14" i="6"/>
  <c r="CI10" i="6"/>
  <c r="BW10" i="6"/>
  <c r="AP9" i="6"/>
  <c r="AG9" i="6"/>
  <c r="AP7" i="6"/>
  <c r="AP5" i="6"/>
  <c r="AV13" i="6"/>
  <c r="CC10" i="6"/>
  <c r="BQ10" i="6"/>
  <c r="AJ5" i="6"/>
  <c r="BK25" i="6"/>
  <c r="BN23" i="6"/>
  <c r="AJ20" i="6"/>
  <c r="AJ8" i="6"/>
  <c r="CJ32" i="6"/>
  <c r="BX32" i="6"/>
  <c r="AS31" i="6"/>
  <c r="CH30" i="6"/>
  <c r="BV30" i="6"/>
  <c r="CK29" i="6"/>
  <c r="BY29" i="6"/>
  <c r="AV27" i="6"/>
  <c r="AY27" i="6"/>
  <c r="AV26" i="6"/>
  <c r="CF24" i="6"/>
  <c r="BT24" i="6"/>
  <c r="AV22" i="6"/>
  <c r="AP21" i="6"/>
  <c r="AP18" i="6"/>
  <c r="BH17" i="6"/>
  <c r="AG14" i="6"/>
  <c r="BB13" i="6"/>
  <c r="CI11" i="6"/>
  <c r="BW11" i="6"/>
  <c r="CF10" i="6"/>
  <c r="BT10" i="6"/>
  <c r="AJ10" i="6"/>
  <c r="CE8" i="6"/>
  <c r="BS8" i="6"/>
  <c r="AJ7" i="6"/>
  <c r="AY5" i="6"/>
  <c r="BE41" i="6"/>
  <c r="AS40" i="6"/>
  <c r="BH27" i="6"/>
  <c r="AS21" i="6"/>
  <c r="CK19" i="6"/>
  <c r="BY19" i="6"/>
  <c r="AG15" i="6"/>
  <c r="BH13" i="6"/>
  <c r="AV8" i="6"/>
  <c r="BH33" i="6"/>
  <c r="BV24" i="6"/>
  <c r="CH24" i="6"/>
  <c r="BE17" i="6"/>
  <c r="AV17" i="6"/>
  <c r="BB15" i="6"/>
  <c r="CL12" i="6"/>
  <c r="BZ12" i="6"/>
  <c r="BX10" i="6"/>
  <c r="CJ10" i="6"/>
  <c r="AM7" i="6"/>
  <c r="BT53" i="6"/>
  <c r="CF53" i="6"/>
  <c r="CM53" i="6"/>
  <c r="CA53" i="6"/>
  <c r="BW50" i="6"/>
  <c r="CI50" i="6"/>
  <c r="BY50" i="6"/>
  <c r="BU48" i="6"/>
  <c r="CG48" i="6"/>
  <c r="CH44" i="6"/>
  <c r="BV44" i="6"/>
  <c r="CC44" i="6"/>
  <c r="BQ44" i="6"/>
  <c r="CN49" i="6"/>
  <c r="CB49" i="6"/>
  <c r="CG44" i="6"/>
  <c r="BU44" i="6"/>
  <c r="BR42" i="6"/>
  <c r="CD42" i="6"/>
  <c r="CH48" i="6"/>
  <c r="BV48" i="6"/>
  <c r="CN48" i="6"/>
  <c r="CB48" i="6"/>
  <c r="CK37" i="6"/>
  <c r="BY37" i="6"/>
  <c r="BH29" i="6"/>
  <c r="CM54" i="6"/>
  <c r="CA54" i="6"/>
  <c r="CM42" i="6"/>
  <c r="CA42" i="6"/>
  <c r="BT35" i="6"/>
  <c r="CF35" i="6"/>
  <c r="CA30" i="6"/>
  <c r="CM30" i="6"/>
  <c r="BU50" i="6"/>
  <c r="CG50" i="6"/>
  <c r="CL35" i="6"/>
  <c r="BZ35" i="6"/>
  <c r="CE32" i="6"/>
  <c r="BS32" i="6"/>
  <c r="CE29" i="6"/>
  <c r="BS29" i="6"/>
  <c r="CN19" i="6"/>
  <c r="CB19" i="6"/>
  <c r="CK38" i="6"/>
  <c r="BY38" i="6"/>
  <c r="BS28" i="6"/>
  <c r="CE28" i="6"/>
  <c r="BZ21" i="6"/>
  <c r="CL21" i="6"/>
  <c r="CE20" i="6"/>
  <c r="BS20" i="6"/>
  <c r="CH45" i="6"/>
  <c r="BV45" i="6"/>
  <c r="CN43" i="6"/>
  <c r="CJ40" i="6"/>
  <c r="BX40" i="6"/>
  <c r="CK26" i="6"/>
  <c r="BY26" i="6"/>
  <c r="BY25" i="6"/>
  <c r="CK25" i="6"/>
  <c r="CC24" i="6"/>
  <c r="BQ24" i="6"/>
  <c r="CF23" i="6"/>
  <c r="BT23" i="6"/>
  <c r="CK21" i="6"/>
  <c r="BY21" i="6"/>
  <c r="CN18" i="6"/>
  <c r="CB18" i="6"/>
  <c r="BS15" i="6"/>
  <c r="CE15" i="6"/>
  <c r="CN9" i="6"/>
  <c r="CB9" i="6"/>
  <c r="CN7" i="6"/>
  <c r="CB7" i="6"/>
  <c r="BS12" i="6"/>
  <c r="CH21" i="6"/>
  <c r="BV21" i="6"/>
  <c r="BY34" i="6"/>
  <c r="CK34" i="6"/>
  <c r="BS31" i="6"/>
  <c r="CE31" i="6"/>
  <c r="CH28" i="6"/>
  <c r="BV28" i="6"/>
  <c r="BS18" i="6"/>
  <c r="CL10" i="6"/>
  <c r="BZ10" i="6"/>
  <c r="CG8" i="6"/>
  <c r="BU8" i="6"/>
  <c r="AS33" i="6"/>
  <c r="CL20" i="6"/>
  <c r="BZ20" i="6"/>
  <c r="AJ11" i="6"/>
  <c r="CG7" i="6"/>
  <c r="BU7" i="6"/>
  <c r="CH5" i="6"/>
  <c r="BV5" i="6"/>
  <c r="CD33" i="6"/>
  <c r="BR33" i="6"/>
  <c r="CD17" i="6"/>
  <c r="BR17" i="6"/>
  <c r="CC11" i="6"/>
  <c r="BQ11" i="6"/>
  <c r="AY9" i="6"/>
  <c r="BU20" i="6"/>
  <c r="CG20" i="6"/>
  <c r="CK14" i="6"/>
  <c r="BY14" i="6"/>
  <c r="BU16" i="6"/>
  <c r="CG16" i="6"/>
  <c r="CC53" i="6"/>
  <c r="BQ53" i="6"/>
  <c r="CI53" i="6"/>
  <c r="BW53" i="6"/>
  <c r="CD51" i="6"/>
  <c r="BR51" i="6"/>
  <c r="CE50" i="6"/>
  <c r="BS50" i="6"/>
  <c r="CI49" i="6"/>
  <c r="BW49" i="6"/>
  <c r="CH49" i="6"/>
  <c r="BV49" i="6"/>
  <c r="BE43" i="6"/>
  <c r="CG49" i="6"/>
  <c r="BU49" i="6"/>
  <c r="AG41" i="6"/>
  <c r="AP47" i="6"/>
  <c r="BW43" i="6"/>
  <c r="CI43" i="6"/>
  <c r="CH40" i="6"/>
  <c r="BV40" i="6"/>
  <c r="BB38" i="6"/>
  <c r="CN42" i="6"/>
  <c r="CB42" i="6"/>
  <c r="BU37" i="6"/>
  <c r="CG37" i="6"/>
  <c r="CC35" i="6"/>
  <c r="BQ35" i="6"/>
  <c r="AV29" i="6"/>
  <c r="CM49" i="6"/>
  <c r="CA49" i="6"/>
  <c r="CF39" i="6"/>
  <c r="BT39" i="6"/>
  <c r="CF32" i="6"/>
  <c r="BT32" i="6"/>
  <c r="BW30" i="6"/>
  <c r="CI30" i="6"/>
  <c r="BN50" i="6"/>
  <c r="CB37" i="6"/>
  <c r="CN37" i="6"/>
  <c r="AY46" i="6"/>
  <c r="CL32" i="6"/>
  <c r="BZ32" i="6"/>
  <c r="CJ43" i="6"/>
  <c r="BX43" i="6"/>
  <c r="BT29" i="6"/>
  <c r="CF29" i="6"/>
  <c r="BK23" i="6"/>
  <c r="CI19" i="6"/>
  <c r="BW19" i="6"/>
  <c r="CN16" i="6"/>
  <c r="CB16" i="6"/>
  <c r="CL14" i="6"/>
  <c r="BZ14" i="6"/>
  <c r="CN11" i="6"/>
  <c r="CB11" i="6"/>
  <c r="BK10" i="6"/>
  <c r="BU9" i="6"/>
  <c r="CG9" i="6"/>
  <c r="AV7" i="6"/>
  <c r="CL11" i="6"/>
  <c r="BZ11" i="6"/>
  <c r="CH6" i="6"/>
  <c r="BV6" i="6"/>
  <c r="CG26" i="6"/>
  <c r="BZ23" i="6"/>
  <c r="CL23" i="6"/>
  <c r="CN15" i="6"/>
  <c r="CB15" i="6"/>
  <c r="CD12" i="6"/>
  <c r="BR12" i="6"/>
  <c r="AG5" i="6"/>
  <c r="BB34" i="6"/>
  <c r="BH26" i="6"/>
  <c r="CL22" i="6"/>
  <c r="BZ22" i="6"/>
  <c r="AJ15" i="6"/>
  <c r="CF12" i="6"/>
  <c r="BT12" i="6"/>
  <c r="CH10" i="6"/>
  <c r="BV10" i="6"/>
  <c r="CC8" i="6"/>
  <c r="BQ8" i="6"/>
  <c r="CH46" i="6"/>
  <c r="BV46" i="6"/>
  <c r="BR38" i="6"/>
  <c r="CD38" i="6"/>
  <c r="CE25" i="6"/>
  <c r="BS25" i="6"/>
  <c r="CL16" i="6"/>
  <c r="BZ16" i="6"/>
  <c r="CD54" i="6"/>
  <c r="BR54" i="6"/>
  <c r="CF54" i="6"/>
  <c r="BT54" i="6"/>
  <c r="BR53" i="6"/>
  <c r="CD53" i="6"/>
  <c r="CM52" i="6"/>
  <c r="CA52" i="6"/>
  <c r="CK51" i="6"/>
  <c r="BY51" i="6"/>
  <c r="CG51" i="6"/>
  <c r="BU51" i="6"/>
  <c r="AV51" i="6"/>
  <c r="BK50" i="6"/>
  <c r="CC50" i="6"/>
  <c r="BQ50" i="6"/>
  <c r="CK48" i="6"/>
  <c r="BY48" i="6"/>
  <c r="CL44" i="6"/>
  <c r="BZ44" i="6"/>
  <c r="CB53" i="6"/>
  <c r="CN53" i="6"/>
  <c r="BE47" i="6"/>
  <c r="CC43" i="6"/>
  <c r="BQ43" i="6"/>
  <c r="CC49" i="6"/>
  <c r="BQ49" i="6"/>
  <c r="BT49" i="6"/>
  <c r="CF49" i="6"/>
  <c r="BB45" i="6"/>
  <c r="CL38" i="6"/>
  <c r="BZ38" i="6"/>
  <c r="BK48" i="6"/>
  <c r="CJ47" i="6"/>
  <c r="BX47" i="6"/>
  <c r="BT46" i="6"/>
  <c r="CF46" i="6"/>
  <c r="AJ44" i="6"/>
  <c r="BH43" i="6"/>
  <c r="BT41" i="6"/>
  <c r="CF41" i="6"/>
  <c r="CI39" i="6"/>
  <c r="BW39" i="6"/>
  <c r="CM47" i="6"/>
  <c r="CA47" i="6"/>
  <c r="BH42" i="6"/>
  <c r="CJ42" i="6"/>
  <c r="BX42" i="6"/>
  <c r="AP42" i="6"/>
  <c r="CF30" i="6"/>
  <c r="BT30" i="6"/>
  <c r="CN29" i="6"/>
  <c r="CB29" i="6"/>
  <c r="AY47" i="6"/>
  <c r="AM41" i="6"/>
  <c r="AS36" i="6"/>
  <c r="CI34" i="6"/>
  <c r="BW34" i="6"/>
  <c r="CC28" i="6"/>
  <c r="BQ28" i="6"/>
  <c r="CH50" i="6"/>
  <c r="BV50" i="6"/>
  <c r="BB41" i="6"/>
  <c r="AV37" i="6"/>
  <c r="CF37" i="6"/>
  <c r="BT37" i="6"/>
  <c r="BH36" i="6"/>
  <c r="CJ33" i="6"/>
  <c r="BX33" i="6"/>
  <c r="CM33" i="6"/>
  <c r="CA33" i="6"/>
  <c r="CC30" i="6"/>
  <c r="BQ30" i="6"/>
  <c r="BK27" i="6"/>
  <c r="CG19" i="6"/>
  <c r="BU19" i="6"/>
  <c r="CD19" i="6"/>
  <c r="CJ17" i="6"/>
  <c r="BX17" i="6"/>
  <c r="CD46" i="6"/>
  <c r="BR46" i="6"/>
  <c r="AS46" i="6"/>
  <c r="CH34" i="6"/>
  <c r="BV34" i="6"/>
  <c r="CN31" i="6"/>
  <c r="CB31" i="6"/>
  <c r="AY28" i="6"/>
  <c r="BB26" i="6"/>
  <c r="AY23" i="6"/>
  <c r="CF22" i="6"/>
  <c r="BT22" i="6"/>
  <c r="BY18" i="6"/>
  <c r="CK18" i="6"/>
  <c r="BN45" i="6"/>
  <c r="BK43" i="6"/>
  <c r="AJ41" i="6"/>
  <c r="CE27" i="6"/>
  <c r="BS27" i="6"/>
  <c r="BW26" i="6"/>
  <c r="CI26" i="6"/>
  <c r="BR24" i="6"/>
  <c r="CD24" i="6"/>
  <c r="AG23" i="6"/>
  <c r="CA22" i="6"/>
  <c r="CM22" i="6"/>
  <c r="AG20" i="6"/>
  <c r="CH16" i="6"/>
  <c r="BV16" i="6"/>
  <c r="AY15" i="6"/>
  <c r="CF14" i="6"/>
  <c r="BT14" i="6"/>
  <c r="BK13" i="6"/>
  <c r="CK12" i="6"/>
  <c r="BY12" i="6"/>
  <c r="CH11" i="6"/>
  <c r="BV11" i="6"/>
  <c r="BB11" i="6"/>
  <c r="CE10" i="6"/>
  <c r="BS10" i="6"/>
  <c r="BN6" i="6"/>
  <c r="CI7" i="6"/>
  <c r="BW7" i="6"/>
  <c r="BN5" i="6"/>
  <c r="CG41" i="6"/>
  <c r="BU41" i="6"/>
  <c r="BH25" i="6"/>
  <c r="CD23" i="6"/>
  <c r="BR23" i="6"/>
  <c r="AG17" i="6"/>
  <c r="AP15" i="6"/>
  <c r="AJ9" i="6"/>
  <c r="BX5" i="6"/>
  <c r="CJ5" i="6"/>
  <c r="AP40" i="6"/>
  <c r="BK36" i="6"/>
  <c r="BQ34" i="6"/>
  <c r="CC34" i="6"/>
  <c r="AV31" i="6"/>
  <c r="BE31" i="6"/>
  <c r="AJ30" i="6"/>
  <c r="AG27" i="6"/>
  <c r="AJ27" i="6"/>
  <c r="BN24" i="6"/>
  <c r="CN21" i="6"/>
  <c r="CB21" i="6"/>
  <c r="AY18" i="6"/>
  <c r="BH15" i="6"/>
  <c r="CN12" i="6"/>
  <c r="CB12" i="6"/>
  <c r="AS11" i="6"/>
  <c r="AM11" i="6"/>
  <c r="CM9" i="6"/>
  <c r="CA9" i="6"/>
  <c r="CK8" i="6"/>
  <c r="BY8" i="6"/>
  <c r="CL6" i="6"/>
  <c r="BZ6" i="6"/>
  <c r="CC40" i="6"/>
  <c r="BQ40" i="6"/>
  <c r="BN33" i="6"/>
  <c r="AS27" i="6"/>
  <c r="BT27" i="6"/>
  <c r="CF27" i="6"/>
  <c r="CI21" i="6"/>
  <c r="BW21" i="6"/>
  <c r="CG17" i="6"/>
  <c r="BU17" i="6"/>
  <c r="BX14" i="6"/>
  <c r="CJ14" i="6"/>
  <c r="BT6" i="6"/>
  <c r="CF6" i="6"/>
  <c r="AM5" i="6"/>
  <c r="BK37" i="6"/>
  <c r="AM37" i="6"/>
  <c r="AV23" i="6"/>
  <c r="CG52" i="6" l="1"/>
  <c r="BU52" i="6"/>
  <c r="BW6" i="6"/>
  <c r="CI6" i="6"/>
  <c r="CC22" i="6"/>
  <c r="BQ22" i="6"/>
  <c r="E11" i="30"/>
  <c r="E7" i="44"/>
  <c r="E10" i="30"/>
  <c r="E6" i="44"/>
  <c r="CL49" i="6"/>
  <c r="BZ31" i="6"/>
  <c r="CA11" i="6"/>
  <c r="CJ23" i="6"/>
  <c r="CL41" i="6"/>
  <c r="BW52" i="6"/>
  <c r="CC32" i="6"/>
  <c r="BQ32" i="6"/>
  <c r="CI24" i="6"/>
  <c r="BW24" i="6"/>
  <c r="BT16" i="6"/>
  <c r="CF16" i="6"/>
  <c r="BZ47" i="6"/>
  <c r="BW25" i="6"/>
  <c r="BX9" i="6"/>
  <c r="BQ18" i="6"/>
  <c r="BS19" i="6"/>
  <c r="BZ40" i="6"/>
  <c r="CN46" i="6"/>
  <c r="CM39" i="6"/>
  <c r="CK16" i="6"/>
  <c r="CK39" i="6"/>
  <c r="BY39" i="6"/>
  <c r="CI20" i="6"/>
  <c r="BY35" i="6"/>
  <c r="CL39" i="6"/>
  <c r="BU12" i="6"/>
  <c r="BR31" i="6"/>
  <c r="BX18" i="6"/>
  <c r="CC31" i="6"/>
  <c r="CJ22" i="6"/>
  <c r="BX22" i="6"/>
  <c r="BT36" i="6"/>
  <c r="BQ36" i="6"/>
  <c r="BW37" i="6"/>
  <c r="CH47" i="6"/>
  <c r="CD48" i="6"/>
  <c r="BS44" i="6"/>
  <c r="BW12" i="6"/>
  <c r="CI12" i="6"/>
  <c r="BW54" i="6"/>
  <c r="CI54" i="6"/>
  <c r="CJ51" i="6"/>
  <c r="BX51" i="6"/>
  <c r="CI32" i="6"/>
  <c r="BW32" i="6"/>
  <c r="BX39" i="6"/>
  <c r="CJ39" i="6"/>
  <c r="BY15" i="6"/>
  <c r="BS17" i="6"/>
  <c r="BS52" i="6"/>
  <c r="CA16" i="6"/>
  <c r="CE35" i="6"/>
  <c r="BY10" i="6"/>
  <c r="CD14" i="6"/>
  <c r="BR14" i="6"/>
  <c r="CA18" i="6"/>
  <c r="CM18" i="6"/>
  <c r="BY52" i="6"/>
  <c r="CK52" i="6"/>
  <c r="BZ45" i="6"/>
  <c r="BZ7" i="6"/>
  <c r="BQ46" i="6"/>
  <c r="BW35" i="6"/>
  <c r="CI35" i="6"/>
  <c r="CK13" i="6"/>
  <c r="BY13" i="6"/>
  <c r="CK54" i="6"/>
  <c r="BY54" i="6"/>
  <c r="F31" i="30"/>
  <c r="AL41" i="25"/>
  <c r="AL48" i="25"/>
  <c r="AL16" i="25"/>
  <c r="AL21" i="25"/>
  <c r="AL55" i="25"/>
  <c r="AL50" i="25"/>
  <c r="AI14" i="25"/>
  <c r="AF27" i="25"/>
  <c r="Z54" i="25"/>
  <c r="Z39" i="25"/>
  <c r="Z38" i="25"/>
  <c r="Z55" i="25"/>
  <c r="AI30" i="25"/>
  <c r="AF13" i="25"/>
  <c r="AC25" i="25"/>
  <c r="Z37" i="25"/>
  <c r="Q11" i="25"/>
  <c r="Q7" i="25"/>
  <c r="Q52" i="25"/>
  <c r="Q18" i="25"/>
  <c r="Q53" i="25"/>
  <c r="Q19" i="25"/>
  <c r="N48" i="25"/>
  <c r="N41" i="25"/>
  <c r="N36" i="25"/>
  <c r="N10" i="25"/>
  <c r="N37" i="25"/>
  <c r="N44" i="25"/>
  <c r="K49" i="25"/>
  <c r="K29" i="25"/>
  <c r="K11" i="25"/>
  <c r="K21" i="25"/>
  <c r="K55" i="25"/>
  <c r="AC10" i="25"/>
  <c r="AC29" i="25"/>
  <c r="AC50" i="25"/>
  <c r="AC37" i="25"/>
  <c r="AC23" i="25"/>
  <c r="AC48" i="25"/>
  <c r="AC54" i="25"/>
  <c r="AC42" i="25"/>
  <c r="AC39" i="25"/>
  <c r="AC41" i="25"/>
  <c r="AC55" i="25"/>
  <c r="AC45" i="25"/>
  <c r="AC46" i="25"/>
  <c r="AC32" i="25"/>
  <c r="AC13" i="25"/>
  <c r="N6" i="25"/>
  <c r="AL28" i="25"/>
  <c r="AL46" i="25"/>
  <c r="AL10" i="25"/>
  <c r="AL24" i="25"/>
  <c r="AL49" i="25"/>
  <c r="AL33" i="25"/>
  <c r="AL40" i="25"/>
  <c r="AL54" i="25"/>
  <c r="AL31" i="25"/>
  <c r="AL15" i="25"/>
  <c r="AL27" i="25"/>
  <c r="AL38" i="25"/>
  <c r="AL19" i="25"/>
  <c r="AL12" i="25"/>
  <c r="AL13" i="25"/>
  <c r="AL20" i="25"/>
  <c r="AL25" i="25"/>
  <c r="AL34" i="25"/>
  <c r="AL30" i="25"/>
  <c r="AL36" i="25"/>
  <c r="AL45" i="25"/>
  <c r="AL44" i="25"/>
  <c r="AL51" i="25"/>
  <c r="AI20" i="25"/>
  <c r="AI39" i="25"/>
  <c r="AI15" i="25"/>
  <c r="AI22" i="25"/>
  <c r="AI33" i="25"/>
  <c r="AI43" i="25"/>
  <c r="AI50" i="25"/>
  <c r="AI34" i="25"/>
  <c r="AI24" i="25"/>
  <c r="AI18" i="25"/>
  <c r="AI37" i="25"/>
  <c r="AI41" i="25"/>
  <c r="AI46" i="25"/>
  <c r="AI45" i="25"/>
  <c r="AI55" i="25"/>
  <c r="AF33" i="25"/>
  <c r="AF39" i="25"/>
  <c r="AF48" i="25"/>
  <c r="AF29" i="25"/>
  <c r="AF44" i="25"/>
  <c r="AF51" i="25"/>
  <c r="AF55" i="25"/>
  <c r="AF14" i="25"/>
  <c r="AF42" i="25"/>
  <c r="AF49" i="25"/>
  <c r="AF41" i="25"/>
  <c r="AF53" i="25"/>
  <c r="AF17" i="25"/>
  <c r="AF23" i="25"/>
  <c r="Z26" i="25"/>
  <c r="Z50" i="25"/>
  <c r="Z13" i="25"/>
  <c r="Z46" i="25"/>
  <c r="Z51" i="25"/>
  <c r="Z41" i="25"/>
  <c r="Z29" i="25"/>
  <c r="Z9" i="25"/>
  <c r="Z33" i="25"/>
  <c r="Z28" i="25"/>
  <c r="Q36" i="25"/>
  <c r="Q25" i="25"/>
  <c r="Q55" i="25"/>
  <c r="Q27" i="25"/>
  <c r="Q49" i="25"/>
  <c r="Q22" i="25"/>
  <c r="Q16" i="25"/>
  <c r="Q9" i="25"/>
  <c r="Q21" i="25"/>
  <c r="Q38" i="25"/>
  <c r="Q51" i="25"/>
  <c r="Q44" i="25"/>
  <c r="Q54" i="25"/>
  <c r="N40" i="25"/>
  <c r="N24" i="25"/>
  <c r="N46" i="25"/>
  <c r="N8" i="25"/>
  <c r="N39" i="25"/>
  <c r="N15" i="25"/>
  <c r="K54" i="25"/>
  <c r="K23" i="25"/>
  <c r="K39" i="25"/>
  <c r="K42" i="25"/>
  <c r="K53" i="25"/>
  <c r="CL15" i="6"/>
  <c r="BZ15" i="6"/>
  <c r="CK31" i="6"/>
  <c r="BY31" i="6"/>
  <c r="CJ11" i="6"/>
  <c r="BX11" i="6"/>
  <c r="CI28" i="6"/>
  <c r="BW28" i="6"/>
  <c r="BX34" i="6"/>
  <c r="CJ34" i="6"/>
  <c r="BX38" i="6"/>
  <c r="CJ38" i="6"/>
  <c r="BU33" i="6"/>
  <c r="CG33" i="6"/>
  <c r="BZ13" i="6"/>
  <c r="CL13" i="6"/>
  <c r="CI5" i="6"/>
  <c r="BW5" i="6"/>
  <c r="CG31" i="6"/>
  <c r="BU31" i="6"/>
  <c r="CM25" i="6"/>
  <c r="CA25" i="6"/>
  <c r="CH13" i="6"/>
  <c r="BV13" i="6"/>
  <c r="CF9" i="6"/>
  <c r="BT9" i="6"/>
  <c r="BQ25" i="6"/>
  <c r="CC25" i="6"/>
  <c r="CC21" i="6"/>
  <c r="BQ21" i="6"/>
  <c r="CF31" i="6"/>
  <c r="BT31" i="6"/>
  <c r="CD36" i="6"/>
  <c r="BR36" i="6"/>
  <c r="CM34" i="6"/>
  <c r="CA34" i="6"/>
  <c r="CF48" i="6"/>
  <c r="BT48" i="6"/>
  <c r="CB41" i="6"/>
  <c r="CN41" i="6"/>
  <c r="CC38" i="6"/>
  <c r="BQ38" i="6"/>
  <c r="BU43" i="6"/>
  <c r="CG43" i="6"/>
  <c r="CJ50" i="6"/>
  <c r="BX50" i="6"/>
  <c r="CN36" i="6"/>
  <c r="CB36" i="6"/>
  <c r="CC47" i="6"/>
  <c r="BQ47" i="6"/>
  <c r="CG18" i="6"/>
  <c r="BU18" i="6"/>
  <c r="CI18" i="6"/>
  <c r="BW18" i="6"/>
  <c r="CH31" i="6"/>
  <c r="BV31" i="6"/>
  <c r="CN6" i="6"/>
  <c r="CB6" i="6"/>
  <c r="CM13" i="6"/>
  <c r="CA13" i="6"/>
  <c r="CJ41" i="6"/>
  <c r="BX41" i="6"/>
  <c r="CE41" i="6"/>
  <c r="BS41" i="6"/>
  <c r="CM48" i="6"/>
  <c r="CA48" i="6"/>
  <c r="CM10" i="6"/>
  <c r="CA10" i="6"/>
  <c r="CF47" i="6"/>
  <c r="BT47" i="6"/>
  <c r="BX15" i="6"/>
  <c r="CJ15" i="6"/>
  <c r="CC15" i="6"/>
  <c r="BQ15" i="6"/>
  <c r="CD7" i="6"/>
  <c r="BR7" i="6"/>
  <c r="CJ13" i="6"/>
  <c r="BX13" i="6"/>
  <c r="CH26" i="6"/>
  <c r="BV26" i="6"/>
  <c r="CD5" i="6"/>
  <c r="BR5" i="6"/>
  <c r="BU45" i="6"/>
  <c r="CG45" i="6"/>
  <c r="BV32" i="6"/>
  <c r="CH32" i="6"/>
  <c r="CJ30" i="6"/>
  <c r="BX30" i="6"/>
  <c r="BZ48" i="6"/>
  <c r="CL48" i="6"/>
  <c r="CJ46" i="6"/>
  <c r="BX46" i="6"/>
  <c r="CE45" i="6"/>
  <c r="BS45" i="6"/>
  <c r="CC12" i="6"/>
  <c r="BQ12" i="6"/>
  <c r="CG47" i="6"/>
  <c r="BU47" i="6"/>
  <c r="CA37" i="6"/>
  <c r="CM37" i="6"/>
  <c r="CG27" i="6"/>
  <c r="BU27" i="6"/>
  <c r="CC27" i="6"/>
  <c r="BQ27" i="6"/>
  <c r="BR9" i="6"/>
  <c r="CD9" i="6"/>
  <c r="CN5" i="6"/>
  <c r="CB5" i="6"/>
  <c r="CC23" i="6"/>
  <c r="BQ23" i="6"/>
  <c r="CM43" i="6"/>
  <c r="CA43" i="6"/>
  <c r="CI23" i="6"/>
  <c r="BW23" i="6"/>
  <c r="CA27" i="6"/>
  <c r="CM27" i="6"/>
  <c r="BW47" i="6"/>
  <c r="CI47" i="6"/>
  <c r="BV7" i="6"/>
  <c r="CH7" i="6"/>
  <c r="CM23" i="6"/>
  <c r="CA23" i="6"/>
  <c r="CN50" i="6"/>
  <c r="CB50" i="6"/>
  <c r="BQ41" i="6"/>
  <c r="CC41" i="6"/>
  <c r="BV17" i="6"/>
  <c r="CH17" i="6"/>
  <c r="CL33" i="6"/>
  <c r="BZ33" i="6"/>
  <c r="BU40" i="6"/>
  <c r="CG40" i="6"/>
  <c r="CC14" i="6"/>
  <c r="BQ14" i="6"/>
  <c r="BV22" i="6"/>
  <c r="CH22" i="6"/>
  <c r="BW27" i="6"/>
  <c r="CI27" i="6"/>
  <c r="CD20" i="6"/>
  <c r="BR20" i="6"/>
  <c r="CF7" i="6"/>
  <c r="BT7" i="6"/>
  <c r="CC19" i="6"/>
  <c r="BQ19" i="6"/>
  <c r="CL34" i="6"/>
  <c r="BZ34" i="6"/>
  <c r="CH19" i="6"/>
  <c r="BV19" i="6"/>
  <c r="CF33" i="6"/>
  <c r="BT33" i="6"/>
  <c r="CD50" i="6"/>
  <c r="BR50" i="6"/>
  <c r="CH35" i="6"/>
  <c r="BV35" i="6"/>
  <c r="CF38" i="6"/>
  <c r="BT38" i="6"/>
  <c r="BR43" i="6"/>
  <c r="CD43" i="6"/>
  <c r="CN47" i="6"/>
  <c r="CB47" i="6"/>
  <c r="CI40" i="6"/>
  <c r="BW40" i="6"/>
  <c r="CL46" i="6"/>
  <c r="BZ46" i="6"/>
  <c r="CF45" i="6"/>
  <c r="BT45" i="6"/>
  <c r="BX21" i="6"/>
  <c r="CJ21" i="6"/>
  <c r="CD34" i="6"/>
  <c r="BR34" i="6"/>
  <c r="CN34" i="6"/>
  <c r="CB34" i="6"/>
  <c r="BO54" i="6"/>
  <c r="BV23" i="6"/>
  <c r="CH23" i="6"/>
  <c r="BS11" i="6"/>
  <c r="CE11" i="6"/>
  <c r="CN24" i="6"/>
  <c r="CB24" i="6"/>
  <c r="CM36" i="6"/>
  <c r="CA36" i="6"/>
  <c r="CC17" i="6"/>
  <c r="BQ17" i="6"/>
  <c r="CI15" i="6"/>
  <c r="BW15" i="6"/>
  <c r="CH37" i="6"/>
  <c r="BV37" i="6"/>
  <c r="CG36" i="6"/>
  <c r="BU36" i="6"/>
  <c r="BZ42" i="6"/>
  <c r="CL42" i="6"/>
  <c r="BR44" i="6"/>
  <c r="CD44" i="6"/>
  <c r="CJ45" i="6"/>
  <c r="BX45" i="6"/>
  <c r="CA50" i="6"/>
  <c r="CM50" i="6"/>
  <c r="CD15" i="6"/>
  <c r="BR15" i="6"/>
  <c r="BO53" i="6"/>
  <c r="CI9" i="6"/>
  <c r="BW9" i="6"/>
  <c r="BS7" i="6"/>
  <c r="CE7" i="6"/>
  <c r="CG21" i="6"/>
  <c r="BU21" i="6"/>
  <c r="CD10" i="6"/>
  <c r="BR10" i="6"/>
  <c r="CF18" i="6"/>
  <c r="BT18" i="6"/>
  <c r="CD25" i="6"/>
  <c r="BR25" i="6"/>
  <c r="CE37" i="6"/>
  <c r="BS37" i="6"/>
  <c r="CG11" i="6"/>
  <c r="BU11" i="6"/>
  <c r="BR27" i="6"/>
  <c r="CD27" i="6"/>
  <c r="BT40" i="6"/>
  <c r="CF40" i="6"/>
  <c r="CD41" i="6"/>
  <c r="BR41" i="6"/>
  <c r="CG46" i="6"/>
  <c r="BU46" i="6"/>
  <c r="CL36" i="6"/>
  <c r="BZ36" i="6"/>
  <c r="BT42" i="6"/>
  <c r="CF42" i="6"/>
  <c r="BV51" i="6"/>
  <c r="CH51" i="6"/>
  <c r="CC5" i="6"/>
  <c r="BQ5" i="6"/>
  <c r="CH29" i="6"/>
  <c r="BV29" i="6"/>
  <c r="CK43" i="6"/>
  <c r="BY43" i="6"/>
  <c r="BO24" i="6"/>
  <c r="CL29" i="6"/>
  <c r="BZ29" i="6"/>
  <c r="BZ27" i="6"/>
  <c r="CL27" i="6"/>
  <c r="CF21" i="6"/>
  <c r="BT21" i="6"/>
  <c r="CD8" i="6"/>
  <c r="BR8" i="6"/>
  <c r="CF5" i="6"/>
  <c r="BT5" i="6"/>
  <c r="BR37" i="6"/>
  <c r="CD37" i="6"/>
  <c r="CJ35" i="6"/>
  <c r="BX35" i="6"/>
  <c r="BV42" i="6"/>
  <c r="CH42" i="6"/>
  <c r="CD39" i="6"/>
  <c r="BR39" i="6"/>
  <c r="BX31" i="6"/>
  <c r="CJ31" i="6"/>
  <c r="CE5" i="6"/>
  <c r="BS5" i="6"/>
  <c r="CN33" i="6"/>
  <c r="CB33" i="6"/>
  <c r="CD30" i="6"/>
  <c r="BR30" i="6"/>
  <c r="CF15" i="6"/>
  <c r="BT15" i="6"/>
  <c r="BZ25" i="6"/>
  <c r="CL25" i="6"/>
  <c r="CC20" i="6"/>
  <c r="BQ20" i="6"/>
  <c r="CN45" i="6"/>
  <c r="CB45" i="6"/>
  <c r="BX26" i="6"/>
  <c r="CJ26" i="6"/>
  <c r="BZ43" i="6"/>
  <c r="CL43" i="6"/>
  <c r="CK47" i="6"/>
  <c r="BY47" i="6"/>
  <c r="CL26" i="6"/>
  <c r="BZ26" i="6"/>
  <c r="CI46" i="6"/>
  <c r="BW46" i="6"/>
  <c r="CD11" i="6"/>
  <c r="BR11" i="6"/>
  <c r="CK17" i="6"/>
  <c r="BY17" i="6"/>
  <c r="CH8" i="6"/>
  <c r="BV8" i="6"/>
  <c r="BY41" i="6"/>
  <c r="CK41" i="6"/>
  <c r="CL17" i="6"/>
  <c r="BZ17" i="6"/>
  <c r="CH27" i="6"/>
  <c r="BV27" i="6"/>
  <c r="CN23" i="6"/>
  <c r="CB23" i="6"/>
  <c r="CC9" i="6"/>
  <c r="BQ9" i="6"/>
  <c r="CJ20" i="6"/>
  <c r="BX20" i="6"/>
  <c r="CA20" i="6"/>
  <c r="CM20" i="6"/>
  <c r="CF28" i="6"/>
  <c r="BT28" i="6"/>
  <c r="CA46" i="6"/>
  <c r="CM46" i="6"/>
  <c r="CK33" i="6"/>
  <c r="BY33" i="6"/>
  <c r="CG28" i="6"/>
  <c r="BU28" i="6"/>
  <c r="CK36" i="6"/>
  <c r="BY36" i="6"/>
  <c r="CD40" i="6"/>
  <c r="BR40" i="6"/>
  <c r="CE48" i="6"/>
  <c r="BS48" i="6"/>
  <c r="CI44" i="6"/>
  <c r="BW44" i="6"/>
  <c r="BR49" i="6"/>
  <c r="CD49" i="6"/>
  <c r="CE49" i="6"/>
  <c r="BS49" i="6"/>
  <c r="BY40" i="6"/>
  <c r="CK40" i="6"/>
  <c r="CN20" i="6"/>
  <c r="CB20" i="6"/>
  <c r="BW45" i="6"/>
  <c r="CI45" i="6"/>
  <c r="CC51" i="6"/>
  <c r="BQ51" i="6"/>
  <c r="CE33" i="6"/>
  <c r="BS33" i="6"/>
  <c r="BO14" i="6" l="1"/>
  <c r="BO30" i="6"/>
  <c r="BO52" i="6"/>
  <c r="BO16" i="6"/>
  <c r="BO37" i="6"/>
  <c r="BO8" i="6"/>
  <c r="BO45" i="6"/>
  <c r="BO6" i="6"/>
  <c r="BO18" i="6"/>
  <c r="BO33" i="6"/>
  <c r="BO12" i="6"/>
  <c r="BO32" i="6"/>
  <c r="BO48" i="6"/>
  <c r="BO13" i="6"/>
  <c r="BO11" i="6"/>
  <c r="BO10" i="6"/>
  <c r="BO44" i="6"/>
  <c r="BO34" i="6"/>
  <c r="BO35" i="6"/>
  <c r="BO50" i="6"/>
  <c r="BO36" i="6"/>
  <c r="BO28" i="6"/>
  <c r="BO31" i="6"/>
  <c r="BO46" i="6"/>
  <c r="BO49" i="6"/>
  <c r="BO43" i="6"/>
  <c r="BO40" i="6"/>
  <c r="BO29" i="6"/>
  <c r="BO42" i="6"/>
  <c r="BO22" i="6"/>
  <c r="BO26" i="6"/>
  <c r="BO7" i="6"/>
  <c r="AL22" i="25"/>
  <c r="AL18" i="25"/>
  <c r="AL11" i="25"/>
  <c r="AL7" i="25"/>
  <c r="AL29" i="25"/>
  <c r="AL53" i="25"/>
  <c r="AL26" i="25"/>
  <c r="AL23" i="25"/>
  <c r="AL39" i="25"/>
  <c r="AL42" i="25"/>
  <c r="AL17" i="25"/>
  <c r="AL35" i="25"/>
  <c r="AL37" i="25"/>
  <c r="AL47" i="25"/>
  <c r="AL32" i="25"/>
  <c r="AL52" i="25"/>
  <c r="AL43" i="25"/>
  <c r="AL9" i="25"/>
  <c r="AI36" i="25"/>
  <c r="AI9" i="25"/>
  <c r="AI23" i="25"/>
  <c r="AI16" i="25"/>
  <c r="AI25" i="25"/>
  <c r="AI28" i="25"/>
  <c r="AI27" i="25"/>
  <c r="AI32" i="25"/>
  <c r="AI29" i="25"/>
  <c r="AI10" i="25"/>
  <c r="AI52" i="25"/>
  <c r="AI44" i="25"/>
  <c r="AI31" i="25"/>
  <c r="AI42" i="25"/>
  <c r="AI51" i="25"/>
  <c r="AI26" i="25"/>
  <c r="AI35" i="25"/>
  <c r="AF20" i="25"/>
  <c r="AF30" i="25"/>
  <c r="AF22" i="25"/>
  <c r="AF40" i="25"/>
  <c r="AF28" i="25"/>
  <c r="AF52" i="25"/>
  <c r="AF46" i="25"/>
  <c r="AF38" i="25"/>
  <c r="AF18" i="25"/>
  <c r="AF50" i="25"/>
  <c r="AF25" i="25"/>
  <c r="AF43" i="25"/>
  <c r="AF47" i="25"/>
  <c r="AF31" i="25"/>
  <c r="AF36" i="25"/>
  <c r="AF11" i="25"/>
  <c r="AF19" i="25"/>
  <c r="AF15" i="25"/>
  <c r="AF21" i="25"/>
  <c r="AF16" i="25"/>
  <c r="AC38" i="25"/>
  <c r="AC47" i="25"/>
  <c r="AC14" i="25"/>
  <c r="AC18" i="25"/>
  <c r="AC24" i="25"/>
  <c r="AC33" i="25"/>
  <c r="AC7" i="25"/>
  <c r="AC20" i="25"/>
  <c r="AC30" i="25"/>
  <c r="AC31" i="25"/>
  <c r="AC16" i="25"/>
  <c r="AC49" i="25"/>
  <c r="AC52" i="25"/>
  <c r="AC44" i="25"/>
  <c r="AC22" i="25"/>
  <c r="AC17" i="25"/>
  <c r="AC15" i="25"/>
  <c r="AC35" i="25"/>
  <c r="AC51" i="25"/>
  <c r="Z25" i="25"/>
  <c r="Z35" i="25"/>
  <c r="Z20" i="25"/>
  <c r="Z18" i="25"/>
  <c r="Z30" i="25"/>
  <c r="Z16" i="25"/>
  <c r="Z27" i="25"/>
  <c r="Z34" i="25"/>
  <c r="Z22" i="25"/>
  <c r="Z48" i="25"/>
  <c r="Z19" i="25"/>
  <c r="Z15" i="25"/>
  <c r="Z44" i="25"/>
  <c r="Q46" i="25"/>
  <c r="Q42" i="25"/>
  <c r="Q17" i="25"/>
  <c r="Q39" i="25"/>
  <c r="Q35" i="25"/>
  <c r="Q13" i="25"/>
  <c r="Q34" i="25"/>
  <c r="Q33" i="25"/>
  <c r="Q30" i="25"/>
  <c r="Q24" i="25"/>
  <c r="Q45" i="25"/>
  <c r="Q40" i="25"/>
  <c r="Q41" i="25"/>
  <c r="Q47" i="25"/>
  <c r="Q23" i="25"/>
  <c r="Q32" i="25"/>
  <c r="Q48" i="25"/>
  <c r="Q28" i="25"/>
  <c r="Q31" i="25"/>
  <c r="Q26" i="25"/>
  <c r="N34" i="25"/>
  <c r="N11" i="25"/>
  <c r="N19" i="25"/>
  <c r="N51" i="25"/>
  <c r="N35" i="25"/>
  <c r="N25" i="25"/>
  <c r="N31" i="25"/>
  <c r="N32" i="25"/>
  <c r="K12" i="25"/>
  <c r="K47" i="25"/>
  <c r="K50" i="25"/>
  <c r="K51" i="25"/>
  <c r="K32" i="25"/>
  <c r="AL6" i="25"/>
  <c r="AI6" i="25"/>
  <c r="AI8" i="25"/>
  <c r="AF7" i="25"/>
  <c r="AF6" i="25"/>
  <c r="F45" i="30" s="1"/>
  <c r="AC6" i="25"/>
  <c r="F38" i="30" s="1"/>
  <c r="Z8" i="25"/>
  <c r="Q6" i="25"/>
  <c r="F29" i="30" s="1"/>
  <c r="I46" i="30"/>
  <c r="I22" i="30"/>
  <c r="AI7" i="25"/>
  <c r="AI17" i="25"/>
  <c r="AI12" i="25"/>
  <c r="AI19" i="25"/>
  <c r="AI11" i="25"/>
  <c r="AI49" i="25"/>
  <c r="AI21" i="25"/>
  <c r="AI38" i="25"/>
  <c r="AI48" i="25"/>
  <c r="AI53" i="25"/>
  <c r="AI40" i="25"/>
  <c r="AI47" i="25"/>
  <c r="AI13" i="25"/>
  <c r="AI54" i="25"/>
  <c r="AF54" i="25"/>
  <c r="AF32" i="25"/>
  <c r="AF37" i="25"/>
  <c r="AF24" i="25"/>
  <c r="AF10" i="25"/>
  <c r="AF35" i="25"/>
  <c r="AF45" i="25"/>
  <c r="AF9" i="25"/>
  <c r="AF26" i="25"/>
  <c r="AF34" i="25"/>
  <c r="AF12" i="25"/>
  <c r="AC36" i="25"/>
  <c r="AC12" i="25"/>
  <c r="AC43" i="25"/>
  <c r="AC28" i="25"/>
  <c r="AC11" i="25"/>
  <c r="AC8" i="25"/>
  <c r="AC34" i="25"/>
  <c r="AC19" i="25"/>
  <c r="AC27" i="25"/>
  <c r="AC9" i="25"/>
  <c r="AC53" i="25"/>
  <c r="AC40" i="25"/>
  <c r="AC26" i="25"/>
  <c r="AC21" i="25"/>
  <c r="Z36" i="25"/>
  <c r="Z11" i="25"/>
  <c r="Z49" i="25"/>
  <c r="Z32" i="25"/>
  <c r="Z17" i="25"/>
  <c r="Z45" i="25"/>
  <c r="Z42" i="25"/>
  <c r="Z10" i="25"/>
  <c r="Z6" i="25"/>
  <c r="Z52" i="25"/>
  <c r="Z53" i="25"/>
  <c r="Z31" i="25"/>
  <c r="Z14" i="25"/>
  <c r="Z43" i="25"/>
  <c r="Z47" i="25"/>
  <c r="Z24" i="25"/>
  <c r="Z12" i="25"/>
  <c r="Z21" i="25"/>
  <c r="Z7" i="25"/>
  <c r="Z40" i="25"/>
  <c r="Z23" i="25"/>
  <c r="Q14" i="25"/>
  <c r="Q43" i="25"/>
  <c r="Q50" i="25"/>
  <c r="Q12" i="25"/>
  <c r="Q37" i="25"/>
  <c r="Q20" i="25"/>
  <c r="Q10" i="25"/>
  <c r="Q15" i="25"/>
  <c r="Q8" i="25"/>
  <c r="Q29" i="25"/>
  <c r="N26" i="25"/>
  <c r="N23" i="25"/>
  <c r="N30" i="25"/>
  <c r="N29" i="25"/>
  <c r="N50" i="25"/>
  <c r="N13" i="25"/>
  <c r="N47" i="25"/>
  <c r="N33" i="25"/>
  <c r="N20" i="25"/>
  <c r="N54" i="25"/>
  <c r="N49" i="25"/>
  <c r="N43" i="25"/>
  <c r="N9" i="25"/>
  <c r="N42" i="25"/>
  <c r="N22" i="25"/>
  <c r="N52" i="25"/>
  <c r="N12" i="25"/>
  <c r="N21" i="25"/>
  <c r="N53" i="25"/>
  <c r="N7" i="25"/>
  <c r="F23" i="30" s="1"/>
  <c r="K14" i="25"/>
  <c r="K36" i="25"/>
  <c r="K9" i="25"/>
  <c r="K27" i="25"/>
  <c r="K40" i="25"/>
  <c r="I37" i="30"/>
  <c r="N27" i="25"/>
  <c r="N17" i="25"/>
  <c r="N14" i="25"/>
  <c r="N55" i="25"/>
  <c r="N45" i="25"/>
  <c r="N16" i="25"/>
  <c r="N38" i="25"/>
  <c r="N28" i="25"/>
  <c r="N18" i="25"/>
  <c r="K46" i="25"/>
  <c r="K10" i="25"/>
  <c r="K26" i="25"/>
  <c r="K48" i="25"/>
  <c r="K30" i="25"/>
  <c r="K35" i="25"/>
  <c r="K17" i="25"/>
  <c r="K8" i="25"/>
  <c r="K38" i="25"/>
  <c r="K6" i="25"/>
  <c r="F22" i="30" s="1"/>
  <c r="K7" i="25"/>
  <c r="K43" i="25"/>
  <c r="K18" i="25"/>
  <c r="K22" i="25"/>
  <c r="K20" i="25"/>
  <c r="K24" i="25"/>
  <c r="K25" i="25"/>
  <c r="K33" i="25"/>
  <c r="K15" i="25"/>
  <c r="K37" i="25"/>
  <c r="K16" i="25"/>
  <c r="K52" i="25"/>
  <c r="K44" i="25"/>
  <c r="K31" i="25"/>
  <c r="K34" i="25"/>
  <c r="K28" i="25"/>
  <c r="K41" i="25"/>
  <c r="K13" i="25"/>
  <c r="K19" i="25"/>
  <c r="K45" i="25"/>
  <c r="AL8" i="25"/>
  <c r="AF8" i="25"/>
  <c r="BO47" i="6"/>
  <c r="BO20" i="6"/>
  <c r="BO5" i="6"/>
  <c r="BO9" i="6"/>
  <c r="BO39" i="6"/>
  <c r="BO23" i="6"/>
  <c r="BO15" i="6"/>
  <c r="BO41" i="6"/>
  <c r="BO27" i="6"/>
  <c r="BO25" i="6"/>
  <c r="BO38" i="6"/>
  <c r="BO21" i="6"/>
  <c r="BO51" i="6"/>
  <c r="BO17" i="6"/>
  <c r="BO19" i="6"/>
  <c r="F47" i="30" l="1"/>
  <c r="F46" i="30"/>
  <c r="F37" i="30"/>
  <c r="I47" i="30"/>
  <c r="I45" i="30"/>
  <c r="I38" i="30"/>
  <c r="I29" i="30"/>
  <c r="I23" i="30"/>
  <c r="I17" i="30"/>
  <c r="F6" i="25" l="1"/>
  <c r="U17" i="44" s="1"/>
  <c r="G6" i="25"/>
  <c r="V17" i="44" s="1"/>
  <c r="E17" i="30" l="1"/>
  <c r="C17" i="30"/>
  <c r="H16" i="25"/>
  <c r="H47" i="25"/>
  <c r="H23" i="25"/>
  <c r="H46" i="25"/>
  <c r="H44" i="25"/>
  <c r="H48" i="25"/>
  <c r="H31" i="25"/>
  <c r="H55" i="25"/>
  <c r="H22" i="25"/>
  <c r="H43" i="25"/>
  <c r="H51" i="25"/>
  <c r="H54" i="25"/>
  <c r="H34" i="25"/>
  <c r="H37" i="25"/>
  <c r="H25" i="25"/>
  <c r="H21" i="25"/>
  <c r="H38" i="25"/>
  <c r="H13" i="25"/>
  <c r="H20" i="25"/>
  <c r="H39" i="25"/>
  <c r="H32" i="25"/>
  <c r="H18" i="25"/>
  <c r="H9" i="25"/>
  <c r="H30" i="25"/>
  <c r="H49" i="25"/>
  <c r="H42" i="25"/>
  <c r="H12" i="25"/>
  <c r="H24" i="25"/>
  <c r="H45" i="25"/>
  <c r="H27" i="25"/>
  <c r="H19" i="25"/>
  <c r="H53" i="25"/>
  <c r="H28" i="25"/>
  <c r="H41" i="25"/>
  <c r="H17" i="25"/>
  <c r="H33" i="25"/>
  <c r="H8" i="25"/>
  <c r="H29" i="25"/>
  <c r="H52" i="25"/>
  <c r="H36" i="25"/>
  <c r="H15" i="25"/>
  <c r="H26" i="25"/>
  <c r="H10" i="25"/>
  <c r="H35" i="25"/>
  <c r="H11" i="25"/>
  <c r="H50" i="25"/>
  <c r="H14" i="25"/>
  <c r="H40" i="25"/>
  <c r="H7" i="25"/>
  <c r="H6" i="25" l="1"/>
  <c r="F17" i="30" s="1"/>
</calcChain>
</file>

<file path=xl/sharedStrings.xml><?xml version="1.0" encoding="utf-8"?>
<sst xmlns="http://schemas.openxmlformats.org/spreadsheetml/2006/main" count="2647" uniqueCount="937">
  <si>
    <t xml:space="preserve">KOMPETENSI DASAR </t>
  </si>
  <si>
    <t>KONVERSI NILAI</t>
  </si>
  <si>
    <t>PEMBULATAN</t>
  </si>
  <si>
    <t>DESKRIPSI</t>
  </si>
  <si>
    <t>NO</t>
  </si>
  <si>
    <t>No Induk</t>
  </si>
  <si>
    <t>NAMA SISWA</t>
  </si>
  <si>
    <t>mengemukakan kembali dengan kalimat sendiri, membuat model matematika dan memilih strategi yang efektif dalam memecahkan masalah nyata sehari-hari yang berkaitan dengan KPK dan FPB, satuan kuantitas, desimal dan persen, serta memeriksa kebenarannya</t>
  </si>
  <si>
    <t>menyatakan pecahan ke bentuk desimal dan persen</t>
  </si>
  <si>
    <t>mengurai sebuah pecahan menjadi sebagai hasil penjumlahan atau pengurangan dua buah pecahan lainnya dengan berbagi kemungkinan jawaban</t>
  </si>
  <si>
    <t>melakukan pengubinan menggunakan segi banyak beraturan tertentu</t>
  </si>
  <si>
    <t>mengurai dan menyusun kembali jaring-jaring bangun ruang sederhana</t>
  </si>
  <si>
    <t>GANTI KD DI SINI</t>
  </si>
  <si>
    <t>Nilai</t>
  </si>
  <si>
    <t>Predikat</t>
  </si>
  <si>
    <t>4.1</t>
  </si>
  <si>
    <t>4.2</t>
  </si>
  <si>
    <t>4.3</t>
  </si>
  <si>
    <t>4.4</t>
  </si>
  <si>
    <t>Min</t>
  </si>
  <si>
    <t>Max</t>
  </si>
  <si>
    <t xml:space="preserve">cukup dalam </t>
  </si>
  <si>
    <t xml:space="preserve"> sangat baik dalam </t>
  </si>
  <si>
    <t>Nama Sekolah</t>
  </si>
  <si>
    <t>Semester</t>
  </si>
  <si>
    <t>DATA SISWA</t>
  </si>
  <si>
    <t>No</t>
  </si>
  <si>
    <t>Nama lengkap</t>
  </si>
  <si>
    <t>NISN</t>
  </si>
  <si>
    <t>Nama panggilan</t>
  </si>
  <si>
    <t>Jenis Kelamin</t>
  </si>
  <si>
    <t>Agama</t>
  </si>
  <si>
    <t>Tempat tanggal lahir</t>
  </si>
  <si>
    <t>Pendidikan sebelumnya</t>
  </si>
  <si>
    <t>Alamat Peserta Didik</t>
  </si>
  <si>
    <t>Alamat Orang Tua</t>
  </si>
  <si>
    <t>Wali Peserta Didik</t>
  </si>
  <si>
    <t>NIK</t>
  </si>
  <si>
    <t>Jalan</t>
  </si>
  <si>
    <t>Kelurahan/Desa</t>
  </si>
  <si>
    <t>Kecamatan</t>
  </si>
  <si>
    <t>Kota/Kabupaten</t>
  </si>
  <si>
    <t>Provisi</t>
  </si>
  <si>
    <t>Nomor Telp/HP</t>
  </si>
  <si>
    <t>Nama</t>
  </si>
  <si>
    <t>Pekerjaan</t>
  </si>
  <si>
    <t>Alamat</t>
  </si>
  <si>
    <t>KOMPETENSI SPIRITUAL</t>
  </si>
  <si>
    <t>ISIKAN DESKRIPSI YANG SESUAI DI SINI</t>
  </si>
  <si>
    <t>NIS</t>
  </si>
  <si>
    <t xml:space="preserve">NAMA PANGGILAN </t>
  </si>
  <si>
    <t>AGAMA (PENGETAHUAN)</t>
  </si>
  <si>
    <t>NAMA PANGGILAN 
SISWA</t>
  </si>
  <si>
    <t>3.10</t>
  </si>
  <si>
    <t>PKN (PENGETAHUAN)</t>
  </si>
  <si>
    <t>BAHASA INDONESIA (PENGETAHUAN)</t>
  </si>
  <si>
    <t>MATEMATIKA (PENGETAHUAN)</t>
  </si>
  <si>
    <t>SBDP (PENGETAHUAN)</t>
  </si>
  <si>
    <t>4.10</t>
  </si>
  <si>
    <t>AGAMA (KETRAMPILAN)</t>
  </si>
  <si>
    <t>PKN (KETRAMPILAN)</t>
  </si>
  <si>
    <t>BAHASA INDONESIA (KETRAMPILAN)</t>
  </si>
  <si>
    <t>MATEMATIKA (KETRAMPILAN)</t>
  </si>
  <si>
    <t>SBDP (KETRAMPILAN)</t>
  </si>
  <si>
    <t>LAINNYA</t>
  </si>
  <si>
    <t>EKSTRAKURIKULER</t>
  </si>
  <si>
    <t>Absensi</t>
  </si>
  <si>
    <t>Saran</t>
  </si>
  <si>
    <t>Ukuran badan</t>
  </si>
  <si>
    <t>Kondisi Kesehatan</t>
  </si>
  <si>
    <t>Prestasi 1</t>
  </si>
  <si>
    <t>Prestasi 2</t>
  </si>
  <si>
    <t>Pramuka</t>
  </si>
  <si>
    <t>Pilihan 1</t>
  </si>
  <si>
    <t>Pilihan 2</t>
  </si>
  <si>
    <t>Sakit</t>
  </si>
  <si>
    <t>Ijin</t>
  </si>
  <si>
    <t>Alpa</t>
  </si>
  <si>
    <t>Tinggi</t>
  </si>
  <si>
    <t>Berat</t>
  </si>
  <si>
    <t>Pendengaran</t>
  </si>
  <si>
    <t>Penglihatan</t>
  </si>
  <si>
    <t>Gigi</t>
  </si>
  <si>
    <t>Jenis</t>
  </si>
  <si>
    <t>Keterangan</t>
  </si>
  <si>
    <t>1 hari</t>
  </si>
  <si>
    <t xml:space="preserve">Alhamdulillah, ananda selama satu semester ini sudah banyak peningkatan dalam prestasi belajarnya, mohon ditingkatkan lagi prestasinya. Jangan lupa sholat lima waktu dan selalu berdo'a. </t>
  </si>
  <si>
    <t>137 cm</t>
  </si>
  <si>
    <t>27 kg</t>
  </si>
  <si>
    <t>Baik, normal</t>
  </si>
  <si>
    <t>Bagus</t>
  </si>
  <si>
    <t xml:space="preserve">Ananda selama satu semester masih kurang dalam konsentrasi belajarnya, kurangi bicara ketika pembelajaran. Tingkatkan terus prestasi ananda. Jangan lupa sholat lima waktu dan selalu berdo'a. </t>
  </si>
  <si>
    <t>2 hari</t>
  </si>
  <si>
    <t xml:space="preserve">Ananda selama satu semester masih kurang dalam konsentrasi belajarnya, ulangi terus pelajaran yang sudah ananda peroleh di sekolah ketika di rumah. Tingkatkan terus prestasi abelajar nanda. Jangan lupa sholat lima waktu dan selalu berdo'a. </t>
  </si>
  <si>
    <t>25 kg</t>
  </si>
  <si>
    <t>29 kg</t>
  </si>
  <si>
    <t>43 kg</t>
  </si>
  <si>
    <t>139 cm</t>
  </si>
  <si>
    <t>32 kg</t>
  </si>
  <si>
    <t>37 kg</t>
  </si>
  <si>
    <t>30 kg</t>
  </si>
  <si>
    <t xml:space="preserve">Alhamdulillah, ananda selama satu semester ini sudah banyak peningkatan dalam prestasi belajarnya, mohon ditingkatkan lagi konsentrasi dalam mengikuti pembelajaran. Jangan lupa sholat lima waktu dan selalu berdo'a. </t>
  </si>
  <si>
    <t xml:space="preserve">Alhamdulillah, ananda selama satu semester ini sudah banyak peningkatan dalam prestasi belajarnya, mohon ditingkatkan konsentrasi ketika pembelajaran  agar prestasi ananda lebih baik lagi.  Jangan lupa sholat lima waktu dan selalu berdo'a. </t>
  </si>
  <si>
    <t>135 cm</t>
  </si>
  <si>
    <t>130 cm</t>
  </si>
  <si>
    <t>23 kg</t>
  </si>
  <si>
    <t>140 cm</t>
  </si>
  <si>
    <t>26 kg</t>
  </si>
  <si>
    <t>baik</t>
  </si>
  <si>
    <t>147 cm</t>
  </si>
  <si>
    <t>146 cm</t>
  </si>
  <si>
    <t>48 kg</t>
  </si>
  <si>
    <t>35 kg</t>
  </si>
  <si>
    <t>REKAP</t>
  </si>
  <si>
    <t>KI3 (Pengetahuan)</t>
  </si>
  <si>
    <t>KI4 (Ketrampilan)</t>
  </si>
  <si>
    <t>Spiritual (K1)</t>
  </si>
  <si>
    <t>Sosial (K2)</t>
  </si>
  <si>
    <t>AGAMA</t>
  </si>
  <si>
    <t>PPKn</t>
  </si>
  <si>
    <t>BIN</t>
  </si>
  <si>
    <t>Mat</t>
  </si>
  <si>
    <t>SBdP</t>
  </si>
  <si>
    <t>PJOK</t>
  </si>
  <si>
    <t>BD</t>
  </si>
  <si>
    <t>B.Ingg</t>
  </si>
  <si>
    <t>PKn</t>
  </si>
  <si>
    <t>b.ingg4</t>
  </si>
  <si>
    <t>Sosial</t>
  </si>
  <si>
    <t>Deskripsi</t>
  </si>
  <si>
    <t>PJOK (PENGETAHUAN)</t>
  </si>
  <si>
    <t>PJOK (KETRAMPILAN)</t>
  </si>
  <si>
    <t>MULOK4</t>
  </si>
  <si>
    <t>MULOK3</t>
  </si>
  <si>
    <t>MAPEL (PENGETAHUAN)</t>
  </si>
  <si>
    <t xml:space="preserve">LAPORAN </t>
  </si>
  <si>
    <t>HASIL CAPAIAN KOMPETENSI PESERTA DIDIK</t>
  </si>
  <si>
    <t>SEKOLAH DASAR</t>
  </si>
  <si>
    <t>:</t>
  </si>
  <si>
    <t xml:space="preserve">IDENTITAS PESERTA DIDIK </t>
  </si>
  <si>
    <t xml:space="preserve">1. Nama Peserta Didik </t>
  </si>
  <si>
    <t>2. Nomor Induk</t>
  </si>
  <si>
    <t>3. Tempat, Tanggal Lahir</t>
  </si>
  <si>
    <t>4. Jenis Kelamin</t>
  </si>
  <si>
    <t>5. Agama</t>
  </si>
  <si>
    <t>6. Pendidikan Sebelumnya</t>
  </si>
  <si>
    <t xml:space="preserve">7. Alamat Peserta Didik </t>
  </si>
  <si>
    <t>8. Nama Orang Tua</t>
  </si>
  <si>
    <t>a. Ayah</t>
  </si>
  <si>
    <t>b. Ibu</t>
  </si>
  <si>
    <t xml:space="preserve">9. Pekerjaan Orang Tua </t>
  </si>
  <si>
    <t xml:space="preserve">10. Alamat Orang Tua </t>
  </si>
  <si>
    <t>Kelurahan/ Desa</t>
  </si>
  <si>
    <t>Kecamatan/ Kota</t>
  </si>
  <si>
    <t>Kabupaten/Kota</t>
  </si>
  <si>
    <t xml:space="preserve">11. Wali Peserta Didik </t>
  </si>
  <si>
    <t>Propinsi</t>
  </si>
  <si>
    <t>Wali</t>
  </si>
  <si>
    <t xml:space="preserve">a. Nama </t>
  </si>
  <si>
    <t>b. Pekerjaan</t>
  </si>
  <si>
    <t xml:space="preserve">c. Alamat </t>
  </si>
  <si>
    <t>KEPALA SEKOLAH</t>
  </si>
  <si>
    <t>Foto 3 x 4</t>
  </si>
  <si>
    <t>RAPOR DAN PROFIL PESERTA DIDIK</t>
  </si>
  <si>
    <t>Nama Peserta didik</t>
  </si>
  <si>
    <t>Tahun</t>
  </si>
  <si>
    <t>Alamat Sekolah</t>
  </si>
  <si>
    <t>A. Kompetensi Sikap</t>
  </si>
  <si>
    <t>Sikap Spiritual</t>
  </si>
  <si>
    <t>Sikap Sosial</t>
  </si>
  <si>
    <t>B. Kompetensi Pengetahuan dan Ketrampilan</t>
  </si>
  <si>
    <t>Muatan Pelajaran</t>
  </si>
  <si>
    <t>Pengetahuan</t>
  </si>
  <si>
    <t>Ketrampilan</t>
  </si>
  <si>
    <t>Bahasa Indonesia</t>
  </si>
  <si>
    <t>Matematika</t>
  </si>
  <si>
    <t>Muatan Lokal</t>
  </si>
  <si>
    <t>C. Ekstra Kurikuler</t>
  </si>
  <si>
    <t xml:space="preserve">Keterangan </t>
  </si>
  <si>
    <t>Praja Muda Karana</t>
  </si>
  <si>
    <t>D. Saran - saran</t>
  </si>
  <si>
    <t>E. Tinggi dan Berat Badan</t>
  </si>
  <si>
    <t>Aspek yang dinilai</t>
  </si>
  <si>
    <t>Berat Badan</t>
  </si>
  <si>
    <t>Tinggi Badan</t>
  </si>
  <si>
    <t>F. Kondisi Kesehatan</t>
  </si>
  <si>
    <t>Aspek Fisik</t>
  </si>
  <si>
    <t>G. Prestasi</t>
  </si>
  <si>
    <t>Jenis Prestasi</t>
  </si>
  <si>
    <t>H. Ketidakhadiran</t>
  </si>
  <si>
    <t>Tanpa Keterangan</t>
  </si>
  <si>
    <t xml:space="preserve">Guru Kelas </t>
  </si>
  <si>
    <t>Mengetahui</t>
  </si>
  <si>
    <t>Kepala Sekolah</t>
  </si>
  <si>
    <t>TUTORIAL</t>
  </si>
  <si>
    <t>Terima kasih sudah berkenan menggunakan APLIKASI ini</t>
  </si>
  <si>
    <t>Aplikasi ini menggunakan INPUT nilai yang sudah matang</t>
  </si>
  <si>
    <t>Isikan DATA pada TABEL yang berwarna PUTIH</t>
  </si>
  <si>
    <t>untuk warna selain PUTIH sebaiknya dihindari untuk di edit (kecuali bagi yang paham FORMULA EXCEL)</t>
  </si>
  <si>
    <t xml:space="preserve">Untuk Mata pelajaran dan KD  bisa DIGANTI </t>
  </si>
  <si>
    <t>bila di RAPORT ada baris Mata Pelajaran yang tidak dipakai silakan di DELETE saja</t>
  </si>
  <si>
    <t>Bila ada kesulitan bisa hubungi kami</t>
  </si>
  <si>
    <t>www.kangmartho.com</t>
  </si>
  <si>
    <t>KRITERIA KETUNTASAN MINIMAL (KKM)</t>
  </si>
  <si>
    <t>IPA (PENGETAHUAN)</t>
  </si>
  <si>
    <t>IPS (PENGETAHUAN)</t>
  </si>
  <si>
    <t>IPA (KETRAMPILAN)</t>
  </si>
  <si>
    <t>IPS (KETRAMPILAN)</t>
  </si>
  <si>
    <t>IPA</t>
  </si>
  <si>
    <t>IPS</t>
  </si>
  <si>
    <r>
      <t xml:space="preserve">yaitu nilai rata-rata dari </t>
    </r>
    <r>
      <rPr>
        <b/>
        <sz val="14"/>
        <color rgb="FFFF0000"/>
        <rFont val="Calibri"/>
        <family val="2"/>
        <scheme val="minor"/>
      </rPr>
      <t>2 X PENILAIAN HARIAN (PH) + PTS + PAS dibagi 4</t>
    </r>
  </si>
  <si>
    <t>KOMPETENSI SOSIAL</t>
  </si>
  <si>
    <t>KKM Satuan Pendidikan</t>
  </si>
  <si>
    <t>Guru Kelas</t>
  </si>
  <si>
    <t>Pendidikan Agama</t>
  </si>
  <si>
    <t>SBDP</t>
  </si>
  <si>
    <t>LAPORAN</t>
  </si>
  <si>
    <t>HASIL BELAJAR PESERTA DIDIK</t>
  </si>
  <si>
    <t>(SD)</t>
  </si>
  <si>
    <t>NPSN</t>
  </si>
  <si>
    <t>N I S</t>
  </si>
  <si>
    <t>Kelurahan</t>
  </si>
  <si>
    <t>Kota</t>
  </si>
  <si>
    <t>Provinsi</t>
  </si>
  <si>
    <t>Panjang Interval</t>
  </si>
  <si>
    <t>Rentang Predikat</t>
  </si>
  <si>
    <t>MATA PELAJARAN MUATAN LOKAL</t>
  </si>
  <si>
    <t>A (Sangat Baik)</t>
  </si>
  <si>
    <t>B (Baik)</t>
  </si>
  <si>
    <t>C (Cukup)</t>
  </si>
  <si>
    <t>D (Perlu Bimbingan)</t>
  </si>
  <si>
    <t>MULOK 1</t>
  </si>
  <si>
    <t>MULOK 2</t>
  </si>
  <si>
    <t>MULOK 3</t>
  </si>
  <si>
    <t>BILA TIDAK SESUAI GANTI DI SINI &gt;&gt;&gt;</t>
  </si>
  <si>
    <t>Silakan tulis KKM Satuan Pendidikan di tempat yang disediakan</t>
  </si>
  <si>
    <t>ISIKAN DENGAN NAMA MATA PELAJARAN YANG SESUAI</t>
  </si>
  <si>
    <t>Bila RENTANG PREDIKAT di atas dirasa sudah cocok biarkan saja, dan lanjutkan ke sheet lainnya</t>
  </si>
  <si>
    <t>Apabila bilangan RENTANG PREDIKAT di atas dirasa kurang pas dengan hasil penghitungan Anda</t>
  </si>
  <si>
    <r>
      <t xml:space="preserve">Silakan dirubah dengan cara mengisi angka yang sesuai pada </t>
    </r>
    <r>
      <rPr>
        <b/>
        <sz val="14"/>
        <color theme="0"/>
        <rFont val="Calibri"/>
        <family val="2"/>
        <scheme val="minor"/>
      </rPr>
      <t>3 KOTAK PUTIH</t>
    </r>
    <r>
      <rPr>
        <sz val="14"/>
        <color theme="0"/>
        <rFont val="Calibri"/>
        <family val="2"/>
        <scheme val="minor"/>
      </rPr>
      <t xml:space="preserve"> yang telah disediakan</t>
    </r>
  </si>
  <si>
    <r>
      <t xml:space="preserve">Namun hal ini secara otomatis akan menghapus penghitungan </t>
    </r>
    <r>
      <rPr>
        <b/>
        <sz val="14"/>
        <color theme="0"/>
        <rFont val="Calibri"/>
        <family val="2"/>
        <scheme val="minor"/>
      </rPr>
      <t>rumus rentang KKM</t>
    </r>
    <r>
      <rPr>
        <sz val="14"/>
        <color theme="0"/>
        <rFont val="Calibri"/>
        <family val="2"/>
        <scheme val="minor"/>
      </rPr>
      <t xml:space="preserve"> versi laptop di sheet ini saja</t>
    </r>
  </si>
  <si>
    <t>dan tidak akan mempengaruhi kinerja rumus/formula di sheet yang lainnya</t>
  </si>
  <si>
    <t>Nama Peserta Didik</t>
  </si>
  <si>
    <t>NISN/NIS</t>
  </si>
  <si>
    <t>Apabila siswa tidak memilik catatan apapun dalam jurnal sikap atau perilaku , maka anak tersebut diasumsikan baik
oleh sebab itu dalam aplikasi ini biarkan saja tidak usah diisi apapun sudah otomatis muncul deskripsi baik</t>
  </si>
  <si>
    <t>Beribadah</t>
  </si>
  <si>
    <t>Syukur</t>
  </si>
  <si>
    <t>Berdoa</t>
  </si>
  <si>
    <t>Toleransi</t>
  </si>
  <si>
    <t>SB</t>
  </si>
  <si>
    <t>PB</t>
  </si>
  <si>
    <t xml:space="preserve"> ketaatan beribadah</t>
  </si>
  <si>
    <t xml:space="preserve"> berperilaku syukur</t>
  </si>
  <si>
    <t xml:space="preserve"> berdoa sebelum dan sesudah melakukan kegiatan</t>
  </si>
  <si>
    <t xml:space="preserve"> toleransi dalam beribadah</t>
  </si>
  <si>
    <t>SANGAT BAIK</t>
  </si>
  <si>
    <t>BAIK</t>
  </si>
  <si>
    <t>KURANG</t>
  </si>
  <si>
    <t>jujur</t>
  </si>
  <si>
    <t>disiplin</t>
  </si>
  <si>
    <t>tanggung jawab</t>
  </si>
  <si>
    <t>santun</t>
  </si>
  <si>
    <t>peduli</t>
  </si>
  <si>
    <t>percaya diri</t>
  </si>
  <si>
    <t>sangat baik</t>
  </si>
  <si>
    <t>kurang</t>
  </si>
  <si>
    <t>HASIL</t>
  </si>
  <si>
    <t>NILAI MAKSIMAL</t>
  </si>
  <si>
    <t>NILAI MINIMAL</t>
  </si>
  <si>
    <t xml:space="preserve">NILAI </t>
  </si>
  <si>
    <t>MAX</t>
  </si>
  <si>
    <t>MIN</t>
  </si>
  <si>
    <t>TEKS</t>
  </si>
  <si>
    <t>ERROR</t>
  </si>
  <si>
    <t>Smt 1</t>
  </si>
  <si>
    <t>Smt 2</t>
  </si>
  <si>
    <t>NO KD</t>
  </si>
  <si>
    <t>KOMPETENSI DASAR</t>
  </si>
  <si>
    <t>KOMPETENSI DASAR PENDIDIKAN KEWARGANEGARAAN</t>
  </si>
  <si>
    <t>KOMPETENSI DASAR BAHASA INDONESIA</t>
  </si>
  <si>
    <t>4.11</t>
  </si>
  <si>
    <t>KOMPETENSI DASAR MATEMATIKA</t>
  </si>
  <si>
    <t>KOMPETENSI DASAR SENI BUDAYA DAN PRAKARYA</t>
  </si>
  <si>
    <t>KOMPETENSI DASAR PENDIDIKAN JASMANI, OLAHRAGA, DAN KESEHATAN</t>
  </si>
  <si>
    <t>KOMPETENSI DASAR IPA</t>
  </si>
  <si>
    <t>KOMPETENSI DASAR IPS</t>
  </si>
  <si>
    <t>Kelas         :</t>
  </si>
  <si>
    <t>Semester    :</t>
  </si>
  <si>
    <t>Pelajaran    :</t>
  </si>
  <si>
    <t>KOMPETENSI DASAR PENDIDIKAN AGAMA ISLAM DAN BUDI PEKERTI SD</t>
  </si>
  <si>
    <t>Silakan edit deskripsi melalui kolom di bawah ini</t>
  </si>
  <si>
    <t>DESKRIPSI RAPORT</t>
  </si>
  <si>
    <t>ISLAM</t>
  </si>
  <si>
    <t>KRISTEN</t>
  </si>
  <si>
    <t>KATOLIK</t>
  </si>
  <si>
    <t>HINDU</t>
  </si>
  <si>
    <t>BUDHA</t>
  </si>
  <si>
    <t>KHONGHUCU</t>
  </si>
  <si>
    <t>3.12</t>
  </si>
  <si>
    <t>4.12</t>
  </si>
  <si>
    <t>KOMPETENSI DASAR PENDIDIKAN AGAMA KRISTEN DAN BUDI PEKERTI SD</t>
  </si>
  <si>
    <t>KOMPETENSI DASAR PENDIDIKAN AGAMA KATOLIK DAN BUDI PEKERTI SD</t>
  </si>
  <si>
    <t>KOMPETENSI DASAR PENDIDIKAN AGAMA HINDU DAN BUDI PEKERTI SD</t>
  </si>
  <si>
    <t>KOMPETENSI DASAR PENDIDIKAN AGAMA BUDHA DAN BUDI PEKERTI SD</t>
  </si>
  <si>
    <t>KOMPETENSI DASAR PENDIDIKAN AGAMA KHONGHUCU DAN BUDI PEKERTI SD</t>
  </si>
  <si>
    <t>facebook : kang martho</t>
  </si>
  <si>
    <t xml:space="preserve">     Nama Sekolah</t>
  </si>
  <si>
    <t xml:space="preserve">     Alamat</t>
  </si>
  <si>
    <t xml:space="preserve">     Kepala Sekolah</t>
  </si>
  <si>
    <t xml:space="preserve">     NIP</t>
  </si>
  <si>
    <t xml:space="preserve">     Kelas/ Semester</t>
  </si>
  <si>
    <t xml:space="preserve">     Tahun Pelajaran</t>
  </si>
  <si>
    <t xml:space="preserve">     Guru Kelas</t>
  </si>
  <si>
    <t xml:space="preserve">     Desa</t>
  </si>
  <si>
    <t xml:space="preserve">     Kecamatan</t>
  </si>
  <si>
    <t xml:space="preserve">     Kabupaten/Kota</t>
  </si>
  <si>
    <t xml:space="preserve">     Propinsi</t>
  </si>
  <si>
    <t xml:space="preserve">     Tanggal Raport</t>
  </si>
  <si>
    <t>Aplikasi Raport 
Kurikulum 2013</t>
  </si>
  <si>
    <t>G</t>
  </si>
  <si>
    <t>Kementerian Pendidikan dan Kebudayaan</t>
  </si>
  <si>
    <t>Derektorat Jenderal Pendidikan Dasar Dan Menengah</t>
  </si>
  <si>
    <t>Nama Guru</t>
  </si>
  <si>
    <t>Nama Lembaga</t>
  </si>
  <si>
    <t xml:space="preserve">Jumlah </t>
  </si>
  <si>
    <t>&amp;</t>
  </si>
  <si>
    <t>Jumlah</t>
  </si>
  <si>
    <t>¿</t>
  </si>
  <si>
    <t></t>
  </si>
  <si>
    <t>Kriteria Ketuntasan</t>
  </si>
  <si>
    <t>@</t>
  </si>
  <si>
    <t>Progress</t>
  </si>
  <si>
    <t>Mata pelajaran</t>
  </si>
  <si>
    <t>Muatan lokal</t>
  </si>
  <si>
    <t>Minimal (KKM)</t>
  </si>
  <si>
    <t>LEMBAGA</t>
  </si>
  <si>
    <t>SISWA</t>
  </si>
  <si>
    <t>KKM</t>
  </si>
  <si>
    <t>KURIKULUM</t>
  </si>
  <si>
    <t>NILAI SIKAP</t>
  </si>
  <si>
    <t>NILAI PENGETAHUAN</t>
  </si>
  <si>
    <t>NILAI KETRAMPILAN</t>
  </si>
  <si>
    <r>
      <t xml:space="preserve">    </t>
    </r>
    <r>
      <rPr>
        <b/>
        <sz val="12"/>
        <color theme="0"/>
        <rFont val="Wingdings"/>
        <charset val="2"/>
      </rPr>
      <t>&amp;</t>
    </r>
    <r>
      <rPr>
        <b/>
        <sz val="12"/>
        <color theme="0"/>
        <rFont val="Calibri"/>
        <family val="2"/>
      </rPr>
      <t xml:space="preserve">    INFORMASI</t>
    </r>
  </si>
  <si>
    <t xml:space="preserve">       www.kangmartho.com</t>
  </si>
  <si>
    <t xml:space="preserve">       www.aplikasidigital.com</t>
  </si>
  <si>
    <t>LEGER</t>
  </si>
  <si>
    <t>JUMLAH</t>
  </si>
  <si>
    <t>RANK</t>
  </si>
  <si>
    <t xml:space="preserve">       Versi Aplikasi . V 2018.a</t>
  </si>
  <si>
    <t xml:space="preserve">       Kontak</t>
  </si>
  <si>
    <t xml:space="preserve">     NPSN</t>
  </si>
  <si>
    <t>Aplikasi ini dibagikan secara GRATIS untuk membantu meringankan pekerjaaan sekaligus pembelajaran para guru-guru di Indonesia, Anda bebas mengembangkan isi yang ada dalam aplikasi ini kecuali untuk sheet LOGIN dan DEPAN yang merupakan conten privasi dari Admin pribadi</t>
  </si>
  <si>
    <r>
      <rPr>
        <b/>
        <sz val="12"/>
        <color theme="0"/>
        <rFont val="Webdings"/>
        <family val="1"/>
        <charset val="2"/>
      </rPr>
      <t xml:space="preserve">  ¿</t>
    </r>
    <r>
      <rPr>
        <b/>
        <sz val="12"/>
        <color theme="0"/>
        <rFont val="Calibri"/>
        <family val="2"/>
      </rPr>
      <t xml:space="preserve">   </t>
    </r>
    <r>
      <rPr>
        <b/>
        <sz val="12"/>
        <color theme="0"/>
        <rFont val="Calibri"/>
        <family val="2"/>
        <scheme val="minor"/>
      </rPr>
      <t xml:space="preserve">IDENTITAS SEKOLAH   </t>
    </r>
    <r>
      <rPr>
        <i/>
        <sz val="11"/>
        <color theme="0"/>
        <rFont val="Calibri"/>
        <family val="2"/>
        <scheme val="minor"/>
      </rPr>
      <t>(Isi manual di bawah ini)</t>
    </r>
  </si>
  <si>
    <t xml:space="preserve">     Jumlah siswa</t>
  </si>
  <si>
    <t>Jumlah data</t>
  </si>
  <si>
    <t>siswa yang masuk</t>
  </si>
  <si>
    <t>Tidak Kompatibel dengan Aplikasi Dapodik versi 2018 atau yang lebih mutakhir</t>
  </si>
  <si>
    <t>RATA RATA</t>
  </si>
  <si>
    <t>No. Seri Buku Induk</t>
  </si>
  <si>
    <t xml:space="preserve"> : ………. s.d. ……….</t>
  </si>
  <si>
    <t>BUKU INDUK</t>
  </si>
  <si>
    <t>PESERTA DIDIK SEKOLAH DASAR</t>
  </si>
  <si>
    <t>KURIKULUM 2013</t>
  </si>
  <si>
    <t>NAMA SEKOLAH</t>
  </si>
  <si>
    <t xml:space="preserve">: </t>
  </si>
  <si>
    <t xml:space="preserve">STATUS SEKOLAH </t>
  </si>
  <si>
    <t>ALAMAT SEKOLAH</t>
  </si>
  <si>
    <t>DESA</t>
  </si>
  <si>
    <t>KECAMATAN</t>
  </si>
  <si>
    <t>KABUPATEN</t>
  </si>
  <si>
    <t>PROPINSI</t>
  </si>
  <si>
    <t>PETUNJUK PENGISIAN BUKU INDUK PESERTA DIDIK SEKOLAH DASAR</t>
  </si>
  <si>
    <t>UMUM</t>
  </si>
  <si>
    <r>
      <t>1.</t>
    </r>
    <r>
      <rPr>
        <sz val="8"/>
        <color theme="1"/>
        <rFont val="Times New Roman"/>
        <family val="1"/>
      </rPr>
      <t xml:space="preserve">   </t>
    </r>
    <r>
      <rPr>
        <sz val="8"/>
        <color theme="1"/>
        <rFont val="Arial"/>
        <family val="2"/>
      </rPr>
      <t>Buku Induk peserta didik ini adalah buku yang berisi data tentang diri peserta didik selama mengikuti pendidikan di suatu sekolah dan berlaku sejak yang bersangkutan diterima di kelas  I ( satu ) atau sejak dia diterima di sekolah yang bersangkutan.</t>
    </r>
  </si>
  <si>
    <r>
      <t>2.</t>
    </r>
    <r>
      <rPr>
        <sz val="8"/>
        <color theme="1"/>
        <rFont val="Times New Roman"/>
        <family val="1"/>
      </rPr>
      <t xml:space="preserve">   </t>
    </r>
    <r>
      <rPr>
        <sz val="8"/>
        <color theme="1"/>
        <rFont val="Arial"/>
        <family val="2"/>
      </rPr>
      <t>Buku Induk peserta didik ini diisi pada saat diterima dan selanjutnya diikuti pendataan perkembangan peserta didik sesuai dengan butir-butir dalam lembaran buku ini.</t>
    </r>
  </si>
  <si>
    <r>
      <t>3.</t>
    </r>
    <r>
      <rPr>
        <sz val="8"/>
        <color theme="1"/>
        <rFont val="Times New Roman"/>
        <family val="1"/>
      </rPr>
      <t xml:space="preserve">   </t>
    </r>
    <r>
      <rPr>
        <sz val="8"/>
        <color theme="1"/>
        <rFont val="Arial"/>
        <family val="2"/>
      </rPr>
      <t>Pengisian dilakukan dengan menggunakan huruf balok dan tinta hitam.</t>
    </r>
  </si>
  <si>
    <r>
      <t>4.</t>
    </r>
    <r>
      <rPr>
        <sz val="8"/>
        <color theme="1"/>
        <rFont val="Times New Roman"/>
        <family val="1"/>
      </rPr>
      <t xml:space="preserve">   </t>
    </r>
    <r>
      <rPr>
        <sz val="8"/>
        <color theme="1"/>
        <rFont val="Arial"/>
        <family val="2"/>
      </rPr>
      <t>Data yang diisikan adalah data  atau informasi yang benar yang dapat dijamin kebenarannya.</t>
    </r>
  </si>
  <si>
    <r>
      <t>5.</t>
    </r>
    <r>
      <rPr>
        <sz val="8"/>
        <color theme="1"/>
        <rFont val="Times New Roman"/>
        <family val="1"/>
      </rPr>
      <t xml:space="preserve">   </t>
    </r>
    <r>
      <rPr>
        <sz val="8"/>
        <color theme="1"/>
        <rFont val="Arial"/>
        <family val="2"/>
      </rPr>
      <t>Pengelolaan buku Induk ini tanggung jawab Kepala Sekolah.</t>
    </r>
  </si>
  <si>
    <t>KHUSUS LEMBAR BUKU INDUK PESERTA DIDIK</t>
  </si>
  <si>
    <r>
      <t>A. KETERANGAN TENTANG DIRI PESERTA DIDIK</t>
    </r>
    <r>
      <rPr>
        <sz val="8"/>
        <color theme="1"/>
        <rFont val="Arial"/>
        <family val="2"/>
      </rPr>
      <t xml:space="preserve">        </t>
    </r>
  </si>
  <si>
    <t>1. Nama lengkap Peserta didik</t>
  </si>
  <si>
    <r>
      <t>Nama lengkap peserta didik diisi sesuai dengan nama peserta didik yang tercantum pada STTB / Ijazah  di bawahnya atau sesuai dengan Akta Kelahiran peserta didik</t>
    </r>
    <r>
      <rPr>
        <i/>
        <sz val="8"/>
        <color theme="1"/>
        <rFont val="Arial"/>
        <family val="2"/>
      </rPr>
      <t>.  Contoh</t>
    </r>
    <r>
      <rPr>
        <sz val="8"/>
        <color theme="1"/>
        <rFont val="Arial"/>
        <family val="2"/>
      </rPr>
      <t xml:space="preserve"> : SHOFWAH ANNISA </t>
    </r>
  </si>
  <si>
    <t xml:space="preserve">2. Coret yang tidak perlu  </t>
  </si>
  <si>
    <t xml:space="preserve">3. Diisi lengkap : Kabupaten / Kota / Kotif dan Tanggal, bulan, tahun lahir sesuai dengan STTB / Ijazah  di bawahnya atau sesuai dengan Akta Kelahiran peserta didik  </t>
  </si>
  <si>
    <t xml:space="preserve">4. Diisi dengan Agama yang diikuti  </t>
  </si>
  <si>
    <t xml:space="preserve">5. Disi dengan kewarganegaraan, misal. Indonesia, India dan lain-lain  </t>
  </si>
  <si>
    <t xml:space="preserve">6. Diisi dengan pertama, kedua dan seterusnya.   </t>
  </si>
  <si>
    <t xml:space="preserve">7. Diisi dengan angka sesuai dengan jumlah saudara kandung ( saudara seayah dan seibu ) di luar yang bersangkutan  </t>
  </si>
  <si>
    <t xml:space="preserve">8. Saudara seayah atau seibu   </t>
  </si>
  <si>
    <t xml:space="preserve">9. Cukup jelas  </t>
  </si>
  <si>
    <t>10. Cukup jelas</t>
  </si>
  <si>
    <r>
      <t>B. KETERANGAN TEMPAT TINGGAL</t>
    </r>
    <r>
      <rPr>
        <sz val="8"/>
        <color theme="1"/>
        <rFont val="Arial"/>
        <family val="2"/>
      </rPr>
      <t xml:space="preserve">  </t>
    </r>
  </si>
  <si>
    <t xml:space="preserve">11. Diisi  lengkap : Jalan, Gang, Nomor rumah, </t>
  </si>
  <si>
    <t xml:space="preserve">F. KETERANGAN TENTANG IBU KANDUNG  </t>
  </si>
  <si>
    <t xml:space="preserve">      RT, RW. Desa / Kelurahan, Kecamatan, Kabupaten /</t>
  </si>
  <si>
    <t xml:space="preserve">32. Diisi dengan menggunakan huruf balok     </t>
  </si>
  <si>
    <t xml:space="preserve">     Kota / Kotif dan Kode Pos  </t>
  </si>
  <si>
    <t xml:space="preserve">33. Cukup jelas       </t>
  </si>
  <si>
    <t xml:space="preserve">12. Cukup jelas  </t>
  </si>
  <si>
    <t xml:space="preserve">34. Cukup jelas       </t>
  </si>
  <si>
    <t xml:space="preserve">13. Diisi dengan Orang tua / saudara / kost dsb.   </t>
  </si>
  <si>
    <t xml:space="preserve">35. Cukup jelas       </t>
  </si>
  <si>
    <t xml:space="preserve">14. Cukup jelas  </t>
  </si>
  <si>
    <t xml:space="preserve">36. Disi dengan pendidikan terakhir       </t>
  </si>
  <si>
    <t xml:space="preserve">C. KETERANGAN TENTANG KESEHATAN   </t>
  </si>
  <si>
    <t xml:space="preserve">37. Cukup jelas       </t>
  </si>
  <si>
    <t xml:space="preserve">15. Cukup jelas  </t>
  </si>
  <si>
    <t xml:space="preserve">38. Cukup jelas       </t>
  </si>
  <si>
    <t xml:space="preserve">16. Tulis sesuai penyakit yang pernah diderita   </t>
  </si>
  <si>
    <t xml:space="preserve">39. Diisi  lengkap  :  Jalan, Gang, Nomor rumah, RT, RW. </t>
  </si>
  <si>
    <t xml:space="preserve">17. Cukup jelas  </t>
  </si>
  <si>
    <t xml:space="preserve">Desa / Kelurahan, Kecamatan, Kabupaten / Kota / Kotif dan Kode Pos       </t>
  </si>
  <si>
    <t>18. Cukup jelas</t>
  </si>
  <si>
    <t xml:space="preserve">40. Tulis sesuai dengan jawaban yang dipilih       </t>
  </si>
  <si>
    <t>19. Cukup jelas</t>
  </si>
  <si>
    <t xml:space="preserve">G. KETERANGAN TENTANG WALI  </t>
  </si>
  <si>
    <t xml:space="preserve">D. KETERANGAN TENTANG PENDIDIKAN  </t>
  </si>
  <si>
    <t xml:space="preserve">41. Cukup jelas  </t>
  </si>
  <si>
    <t xml:space="preserve">20. Cukup jelas        </t>
  </si>
  <si>
    <t xml:space="preserve">42. Cukup jelas   </t>
  </si>
  <si>
    <t>21. Hanya diisi peserta didik pindahan</t>
  </si>
  <si>
    <t xml:space="preserve">43. Cukup jelas  </t>
  </si>
  <si>
    <t>22. Cukup jelas</t>
  </si>
  <si>
    <t xml:space="preserve">44. Cukup jelas  </t>
  </si>
  <si>
    <t xml:space="preserve">45. Diisi dengan pendidikan terakhir  </t>
  </si>
  <si>
    <t xml:space="preserve">E. KETERANGAN TENTANG AYAH KANDUNG   </t>
  </si>
  <si>
    <t xml:space="preserve">46. Cukup jelas  </t>
  </si>
  <si>
    <t xml:space="preserve">23. Diisi dengan menggunakan huruf balok   </t>
  </si>
  <si>
    <t xml:space="preserve">47. Cukup jelas  </t>
  </si>
  <si>
    <t xml:space="preserve">24. Cukup jelas  </t>
  </si>
  <si>
    <t xml:space="preserve">48. Diisi  lengkap  :  Jalan, Gang, Nomor rumah, RT, RW. Desa / Kelurahan, Kecamatan, Kabupaten / Kota / Kotif dan Kode Pos  </t>
  </si>
  <si>
    <t>25. Cukup jelas</t>
  </si>
  <si>
    <t>49. Diisi hubungan keluarga dengan peserta didik</t>
  </si>
  <si>
    <t xml:space="preserve">26. Cukup jelas   </t>
  </si>
  <si>
    <t xml:space="preserve">H. KETERANGAN PERKEMBANGAN PESERTA DIDIK  </t>
  </si>
  <si>
    <t xml:space="preserve">27. Disi dengan pendidikan terakhir    </t>
  </si>
  <si>
    <t>50. Diisi dengan tahun, tingkat / kelas dan Lembaga / Yayasan pemberi Bea Peserta didik</t>
  </si>
  <si>
    <t xml:space="preserve">28. Cukup jelas   </t>
  </si>
  <si>
    <t>51. Diisi untuk peserta didik yang pindah atau keluar sebelum tamat.</t>
  </si>
  <si>
    <t xml:space="preserve">29. Cukup jelas   </t>
  </si>
  <si>
    <t>52. Cukup jelas</t>
  </si>
  <si>
    <t xml:space="preserve">30. Diisi  lengkap  :  Jalan, Gang, Nomor rumah, RT, RW. </t>
  </si>
  <si>
    <t>Penempatan Pas Foto diusahakan agar tidak</t>
  </si>
  <si>
    <t xml:space="preserve">Desa / Kelurahan, Kecamatan, Kabupaten / Kota / Kotif </t>
  </si>
  <si>
    <t>menumpuk pada suatu tempat.</t>
  </si>
  <si>
    <t xml:space="preserve">dan Kode Pos   </t>
  </si>
  <si>
    <t xml:space="preserve">31. Tulis sesuai dengan jawaban yang dipilih   </t>
  </si>
  <si>
    <t>Pas foto ditempatkan pada tempat yang disesuiakan</t>
  </si>
  <si>
    <t>sesuaidenganangkasatuannomorinduk.</t>
  </si>
  <si>
    <t>NEGERI</t>
  </si>
  <si>
    <t>IDENTITAS PESERTA DIDIK</t>
  </si>
  <si>
    <t xml:space="preserve">NISN </t>
  </si>
  <si>
    <t xml:space="preserve">:  </t>
  </si>
  <si>
    <t>A.  KETERANGAN TENTANG DIRI PESERTA DIDIK</t>
  </si>
  <si>
    <t>Nama lengkap peserta didik</t>
  </si>
  <si>
    <t xml:space="preserve">Nama Panggilan           </t>
  </si>
  <si>
    <t>Jenis kelamin</t>
  </si>
  <si>
    <t>Tempat dan tanggal lahir</t>
  </si>
  <si>
    <t>Kewarganegaraan</t>
  </si>
  <si>
    <t>Anak keberapa</t>
  </si>
  <si>
    <t>Jumlah Saudara  kandung</t>
  </si>
  <si>
    <t>Jumlah Saudara  tiri</t>
  </si>
  <si>
    <t>Jumlah Saudara  angkat</t>
  </si>
  <si>
    <t>Bahasa sehari-hari di keluarga</t>
  </si>
  <si>
    <t>B.  KETERANGAN TEMPAT TINGGAL</t>
  </si>
  <si>
    <t>Nomor telepon / HP</t>
  </si>
  <si>
    <t>Bertempat tinggal pada/bersama</t>
  </si>
  <si>
    <t>Jarak tempat tinggal ke sekolah</t>
  </si>
  <si>
    <t>C.  KETERANGAN TENTANG KESEHATAN</t>
  </si>
  <si>
    <t>Golongan darah</t>
  </si>
  <si>
    <t>....................................................................</t>
  </si>
  <si>
    <t>Penyakit yang pernah diderita</t>
  </si>
  <si>
    <t>Kelainan jasmani</t>
  </si>
  <si>
    <t>Tinggi dan berat badan saat diterima</t>
  </si>
  <si>
    <t>Keadaan Jasmani</t>
  </si>
  <si>
    <t>Tahun Pelajaran</t>
  </si>
  <si>
    <t>D.  KETERANGAN TENTANG PENDIDIKAN</t>
  </si>
  <si>
    <r>
      <t>a.</t>
    </r>
    <r>
      <rPr>
        <sz val="7"/>
        <color theme="1"/>
        <rFont val="Times New Roman"/>
        <family val="1"/>
      </rPr>
      <t xml:space="preserve">    </t>
    </r>
    <r>
      <rPr>
        <sz val="10"/>
        <color theme="1"/>
        <rFont val="Arial"/>
        <family val="2"/>
      </rPr>
      <t xml:space="preserve">Asal Murid    </t>
    </r>
  </si>
  <si>
    <t>:  Rumah Tangga  / Taman Kanak-Kanak  *)</t>
  </si>
  <si>
    <r>
      <t>b.</t>
    </r>
    <r>
      <rPr>
        <sz val="7"/>
        <color theme="1"/>
        <rFont val="Times New Roman"/>
        <family val="1"/>
      </rPr>
      <t xml:space="preserve">    </t>
    </r>
    <r>
      <rPr>
        <sz val="10"/>
        <color theme="1"/>
        <rFont val="Arial"/>
        <family val="2"/>
      </rPr>
      <t>Nama Taman Kanak-Kanak</t>
    </r>
  </si>
  <si>
    <r>
      <t>c.</t>
    </r>
    <r>
      <rPr>
        <sz val="7"/>
        <color theme="1"/>
        <rFont val="Times New Roman"/>
        <family val="1"/>
      </rPr>
      <t xml:space="preserve">    </t>
    </r>
    <r>
      <rPr>
        <sz val="10"/>
        <color theme="1"/>
        <rFont val="Arial"/>
        <family val="2"/>
      </rPr>
      <t>Alamat</t>
    </r>
  </si>
  <si>
    <r>
      <t>d.</t>
    </r>
    <r>
      <rPr>
        <sz val="7"/>
        <color theme="1"/>
        <rFont val="Times New Roman"/>
        <family val="1"/>
      </rPr>
      <t xml:space="preserve">    </t>
    </r>
    <r>
      <rPr>
        <sz val="10"/>
        <color theme="1"/>
        <rFont val="Arial"/>
        <family val="2"/>
      </rPr>
      <t>Tanggal dan Nomor STTB</t>
    </r>
  </si>
  <si>
    <t>Pindahan dari sekolah lain</t>
  </si>
  <si>
    <r>
      <t>a.</t>
    </r>
    <r>
      <rPr>
        <sz val="7"/>
        <color theme="1"/>
        <rFont val="Times New Roman"/>
        <family val="1"/>
      </rPr>
      <t xml:space="preserve">    </t>
    </r>
    <r>
      <rPr>
        <sz val="10"/>
        <color theme="1"/>
        <rFont val="Arial"/>
        <family val="2"/>
      </rPr>
      <t>Nama Sekolah asal</t>
    </r>
  </si>
  <si>
    <r>
      <t>b.</t>
    </r>
    <r>
      <rPr>
        <sz val="7"/>
        <color theme="1"/>
        <rFont val="Times New Roman"/>
        <family val="1"/>
      </rPr>
      <t xml:space="preserve">    </t>
    </r>
    <r>
      <rPr>
        <sz val="10"/>
        <color theme="1"/>
        <rFont val="Arial"/>
        <family val="2"/>
      </rPr>
      <t>Dari Tingkat / kelas</t>
    </r>
  </si>
  <si>
    <r>
      <t>c.</t>
    </r>
    <r>
      <rPr>
        <sz val="7"/>
        <color theme="1"/>
        <rFont val="Times New Roman"/>
        <family val="1"/>
      </rPr>
      <t xml:space="preserve">    </t>
    </r>
    <r>
      <rPr>
        <sz val="10"/>
        <color theme="1"/>
        <rFont val="Arial"/>
        <family val="2"/>
      </rPr>
      <t>NIS</t>
    </r>
  </si>
  <si>
    <r>
      <t>d.</t>
    </r>
    <r>
      <rPr>
        <sz val="7"/>
        <color theme="1"/>
        <rFont val="Times New Roman"/>
        <family val="1"/>
      </rPr>
      <t xml:space="preserve">    </t>
    </r>
    <r>
      <rPr>
        <sz val="10"/>
        <color theme="1"/>
        <rFont val="Arial"/>
        <family val="2"/>
      </rPr>
      <t>Alasan pindah</t>
    </r>
  </si>
  <si>
    <t>Diterima  di sekolah ini</t>
  </si>
  <si>
    <r>
      <t>a.</t>
    </r>
    <r>
      <rPr>
        <sz val="7"/>
        <color theme="1"/>
        <rFont val="Times New Roman"/>
        <family val="1"/>
      </rPr>
      <t xml:space="preserve">     </t>
    </r>
    <r>
      <rPr>
        <sz val="10"/>
        <color theme="1"/>
        <rFont val="Arial"/>
        <family val="2"/>
      </rPr>
      <t>Diterima tanggal</t>
    </r>
  </si>
  <si>
    <r>
      <t>b.</t>
    </r>
    <r>
      <rPr>
        <sz val="7"/>
        <color theme="1"/>
        <rFont val="Times New Roman"/>
        <family val="1"/>
      </rPr>
      <t xml:space="preserve">    </t>
    </r>
    <r>
      <rPr>
        <sz val="10"/>
        <color theme="1"/>
        <rFont val="Arial"/>
        <family val="2"/>
      </rPr>
      <t>Di kelas / tingkat</t>
    </r>
  </si>
  <si>
    <t>E.  KETERANGAN TENTANG AYAH KANDUNG</t>
  </si>
  <si>
    <t>Pendidikan</t>
  </si>
  <si>
    <t>Alamat Rumah, Nomor Telp.</t>
  </si>
  <si>
    <t>F.</t>
  </si>
  <si>
    <t>KETERANGAN TENTANG IBU KANDUNG</t>
  </si>
  <si>
    <t>G.  KETERANGAN TENTANG WALI</t>
  </si>
  <si>
    <t>Hubungan keluarga</t>
  </si>
  <si>
    <t>H.  KETERANGAN PERKEMBANGAN PESERTA DIDIK</t>
  </si>
  <si>
    <t>Menerima beasiswa</t>
  </si>
  <si>
    <t>Tahun ........... /Kelas ...... dari .................................................................................</t>
  </si>
  <si>
    <t>Meninggalkan sekolah</t>
  </si>
  <si>
    <r>
      <t>a.</t>
    </r>
    <r>
      <rPr>
        <sz val="7"/>
        <color theme="1"/>
        <rFont val="Times New Roman"/>
        <family val="1"/>
      </rPr>
      <t xml:space="preserve">  </t>
    </r>
    <r>
      <rPr>
        <sz val="10"/>
        <color theme="1"/>
        <rFont val="Arial"/>
        <family val="2"/>
      </rPr>
      <t>Tanggal meninggalkan sekolah</t>
    </r>
  </si>
  <si>
    <r>
      <t>b.</t>
    </r>
    <r>
      <rPr>
        <sz val="7"/>
        <color theme="1"/>
        <rFont val="Times New Roman"/>
        <family val="1"/>
      </rPr>
      <t xml:space="preserve">  </t>
    </r>
    <r>
      <rPr>
        <sz val="10"/>
        <color theme="1"/>
        <rFont val="Arial"/>
        <family val="2"/>
      </rPr>
      <t>Kelas yang ditinggalkan</t>
    </r>
  </si>
  <si>
    <r>
      <t>c.</t>
    </r>
    <r>
      <rPr>
        <sz val="7"/>
        <color theme="1"/>
        <rFont val="Times New Roman"/>
        <family val="1"/>
      </rPr>
      <t xml:space="preserve">  </t>
    </r>
    <r>
      <rPr>
        <sz val="10"/>
        <color theme="1"/>
        <rFont val="Arial"/>
        <family val="2"/>
      </rPr>
      <t>Alasan</t>
    </r>
  </si>
  <si>
    <r>
      <t>d.</t>
    </r>
    <r>
      <rPr>
        <sz val="7"/>
        <color theme="1"/>
        <rFont val="Times New Roman"/>
        <family val="1"/>
      </rPr>
      <t xml:space="preserve">  </t>
    </r>
    <r>
      <rPr>
        <sz val="10"/>
        <color theme="1"/>
        <rFont val="Arial"/>
        <family val="2"/>
      </rPr>
      <t>Sekolah yang dituju</t>
    </r>
  </si>
  <si>
    <r>
      <t>e.</t>
    </r>
    <r>
      <rPr>
        <sz val="7"/>
        <color theme="1"/>
        <rFont val="Times New Roman"/>
        <family val="1"/>
      </rPr>
      <t xml:space="preserve">  </t>
    </r>
    <r>
      <rPr>
        <sz val="10"/>
        <color theme="1"/>
        <rFont val="Arial"/>
        <family val="2"/>
      </rPr>
      <t>Kecamatan</t>
    </r>
  </si>
  <si>
    <r>
      <t>f.</t>
    </r>
    <r>
      <rPr>
        <sz val="7"/>
        <color theme="1"/>
        <rFont val="Times New Roman"/>
        <family val="1"/>
      </rPr>
      <t xml:space="preserve">   </t>
    </r>
    <r>
      <rPr>
        <sz val="10"/>
        <color theme="1"/>
        <rFont val="Arial"/>
        <family val="2"/>
      </rPr>
      <t>Kabupaten</t>
    </r>
  </si>
  <si>
    <r>
      <t>g.</t>
    </r>
    <r>
      <rPr>
        <sz val="7"/>
        <color theme="1"/>
        <rFont val="Times New Roman"/>
        <family val="1"/>
      </rPr>
      <t xml:space="preserve">  </t>
    </r>
    <r>
      <rPr>
        <sz val="10"/>
        <color theme="1"/>
        <rFont val="Arial"/>
        <family val="2"/>
      </rPr>
      <t>Provinsi</t>
    </r>
  </si>
  <si>
    <t>Akhir Pendidikan</t>
  </si>
  <si>
    <r>
      <t>a.</t>
    </r>
    <r>
      <rPr>
        <sz val="7"/>
        <color theme="1"/>
        <rFont val="Times New Roman"/>
        <family val="1"/>
      </rPr>
      <t xml:space="preserve">  </t>
    </r>
    <r>
      <rPr>
        <sz val="10"/>
        <color theme="1"/>
        <rFont val="Arial"/>
        <family val="2"/>
      </rPr>
      <t>Tamat belajar / lulus tahun</t>
    </r>
  </si>
  <si>
    <r>
      <t>b.</t>
    </r>
    <r>
      <rPr>
        <sz val="7"/>
        <color theme="1"/>
        <rFont val="Times New Roman"/>
        <family val="1"/>
      </rPr>
      <t xml:space="preserve">  </t>
    </r>
    <r>
      <rPr>
        <sz val="10"/>
        <color theme="1"/>
        <rFont val="Arial"/>
        <family val="2"/>
      </rPr>
      <t>Nomor Ijazah / STL</t>
    </r>
  </si>
  <si>
    <r>
      <t>c.</t>
    </r>
    <r>
      <rPr>
        <sz val="7"/>
        <color theme="1"/>
        <rFont val="Times New Roman"/>
        <family val="1"/>
      </rPr>
      <t xml:space="preserve">  </t>
    </r>
    <r>
      <rPr>
        <sz val="10"/>
        <color theme="1"/>
        <rFont val="Arial"/>
        <family val="2"/>
      </rPr>
      <t xml:space="preserve">Akan melanjutkan ke </t>
    </r>
  </si>
  <si>
    <t>LAPORAN HASIL PENCAPAIAN KOMPETENSI PESERTA DIDIK</t>
  </si>
  <si>
    <t xml:space="preserve">A. NILAI SIKAP </t>
  </si>
  <si>
    <t>Kelas</t>
  </si>
  <si>
    <t>SikapSosial</t>
  </si>
  <si>
    <t>B. NILAI PENGETAHUAN</t>
  </si>
  <si>
    <t>SM 1</t>
  </si>
  <si>
    <t>SM 2</t>
  </si>
  <si>
    <t>MuatanPelajaran</t>
  </si>
  <si>
    <t>N</t>
  </si>
  <si>
    <t>P</t>
  </si>
  <si>
    <t>Pendidikan Agama dan Budi Pekerti</t>
  </si>
  <si>
    <t>Pendidikan Pancasila dan Kewarganegaraan</t>
  </si>
  <si>
    <t>Ilmu Pengetahuan Alam</t>
  </si>
  <si>
    <t>Ilmu Pengetahuan Sosial</t>
  </si>
  <si>
    <t>Seni Budaya dan Prakarya</t>
  </si>
  <si>
    <t>Pendidikan Jasmani, Olahraga dan Kesehatan</t>
  </si>
  <si>
    <t>C. NILAI KETRAMPILAN</t>
  </si>
  <si>
    <t>SMT1</t>
  </si>
  <si>
    <t>SMT2</t>
  </si>
  <si>
    <t>Anak ke</t>
  </si>
  <si>
    <t>Jumlah saudara</t>
  </si>
  <si>
    <t>Kandung</t>
  </si>
  <si>
    <t>Tiri</t>
  </si>
  <si>
    <t>Angkat</t>
  </si>
  <si>
    <t>Bahasa sehari hari</t>
  </si>
  <si>
    <t>Tinggal bersama</t>
  </si>
  <si>
    <t>AYAH</t>
  </si>
  <si>
    <t>Tahun lahir</t>
  </si>
  <si>
    <t>Tahun Lahir</t>
  </si>
  <si>
    <t xml:space="preserve">Pekerjaan </t>
  </si>
  <si>
    <t>IBU</t>
  </si>
  <si>
    <t>Hubungan dengan keluarga</t>
  </si>
  <si>
    <t xml:space="preserve">Kegiatan </t>
  </si>
  <si>
    <t>C. EKSTRA KURIKULER</t>
  </si>
  <si>
    <t>Semester 1</t>
  </si>
  <si>
    <t>Semester 2</t>
  </si>
  <si>
    <t>Izin</t>
  </si>
  <si>
    <t>D. KETIDAKHADIRAN</t>
  </si>
  <si>
    <t>E. KEPUTUSAN</t>
  </si>
  <si>
    <t>Berdasarkan hasil pencapaian kompetensi pada semester ke-1 dan ke-2, peserta didik ditetapkan :</t>
  </si>
  <si>
    <t>Naik ke kelas :...... (…….........) /
Tinggal di kelas : ....... (…...........)</t>
  </si>
  <si>
    <t>SMT 1</t>
  </si>
  <si>
    <t>SMT 2</t>
  </si>
  <si>
    <t>Nama Guru dan Tanda tangan</t>
  </si>
  <si>
    <t xml:space="preserve">APLIKASI RAPORT K13 KELAS 5 </t>
  </si>
  <si>
    <t>menelaah keberagaman sosial budaya masyarakat</t>
  </si>
  <si>
    <t>menyajikan hasil penggalian tentang manfaat persatuan dan kesatuan untuk membangun kerukunan.</t>
  </si>
  <si>
    <t>menjelaskan dan menemukan jaring-jaring bangun ruang sederhana (kubus dan balok)</t>
  </si>
  <si>
    <t>membuat jaring-jaring bangun ruang sederhana (kubus dan balok)</t>
  </si>
  <si>
    <t>menyajikan hasil identifikasi karakteristik geografis Indonesia sebagai negara kepulauan/maritim dan agraris serta pengaruhnya terhadap kehidupan ekonomi, sosial, budaya, komunikasi, serta transportasi.</t>
  </si>
  <si>
    <t>memahami gambar cerita</t>
  </si>
  <si>
    <t>membuat gambar cerita</t>
  </si>
  <si>
    <t>menyanyikan lagu-lagu dalam berbagai tangga nada dengan iringan musik</t>
  </si>
  <si>
    <t>memahami pola lantai dalam tari kreasi daerah</t>
  </si>
  <si>
    <t>memahami karya seni rupa daerah</t>
  </si>
  <si>
    <t>Untuk tutorialnya bisa Anda lihat VIDEOnya di sini</t>
  </si>
  <si>
    <t>https://www.youtube.com/watch?v=QnKMz6afshM&amp;t=86s</t>
  </si>
  <si>
    <t>Ada beberapa hal yang perlu diperhatikan</t>
  </si>
  <si>
    <r>
      <t xml:space="preserve">  </t>
    </r>
    <r>
      <rPr>
        <b/>
        <sz val="12"/>
        <color theme="0"/>
        <rFont val="Webdings"/>
        <family val="1"/>
        <charset val="2"/>
      </rPr>
      <t>@</t>
    </r>
    <r>
      <rPr>
        <b/>
        <sz val="12"/>
        <color theme="0"/>
        <rFont val="Calibri"/>
        <family val="2"/>
      </rPr>
      <t xml:space="preserve"> </t>
    </r>
    <r>
      <rPr>
        <b/>
        <sz val="12"/>
        <color theme="0"/>
        <rFont val="Calibri"/>
        <family val="2"/>
        <scheme val="minor"/>
      </rPr>
      <t>PROGRES PEKERJAAN</t>
    </r>
  </si>
  <si>
    <t>3.1</t>
  </si>
  <si>
    <t>3.2</t>
  </si>
  <si>
    <t>3.3</t>
  </si>
  <si>
    <t>3.4</t>
  </si>
  <si>
    <t>1 (Satu)</t>
  </si>
  <si>
    <t>2 (Dua)</t>
  </si>
  <si>
    <t>3 (Tiga)</t>
  </si>
  <si>
    <t>4 (Empat)</t>
  </si>
  <si>
    <t>2017/2018</t>
  </si>
  <si>
    <t>2016/2017</t>
  </si>
  <si>
    <t>2015/2016</t>
  </si>
  <si>
    <t>2014/2015</t>
  </si>
  <si>
    <t>PLH</t>
  </si>
  <si>
    <t>SD NEGERI 006 BUAHBATU</t>
  </si>
  <si>
    <t>20245122</t>
  </si>
  <si>
    <t xml:space="preserve">merespon instruksi sangat sederhana secara verbal </t>
  </si>
  <si>
    <t xml:space="preserve">bercakap-cakap untuk menyertai tindakan secara berterima yang melibatkan tindak tutur: memberi contoh melakukan sesuatu, memberi aba-aba, dan memberi petunjuk 
</t>
  </si>
  <si>
    <t xml:space="preserve">bercakap-cakap untuk meminta/memberi jasa/barang secara berterima yang melibatkan tindak tutur: meminta bantuan, memberi bantuan, meminta barang, dan memberi barang 
</t>
  </si>
  <si>
    <t xml:space="preserve">mengungkapkan kesantunan secara berterima yang melibatkan ungkapan: Do you mind... dan Shall we... </t>
  </si>
  <si>
    <t xml:space="preserve">memahami kalimat, pesan tertulis, dan teks dekriptif bergambar sangat sederhana secara tepat dan berterima </t>
  </si>
  <si>
    <t xml:space="preserve">mengeja kalimat sangat sederhana secara tepat dan berterima </t>
  </si>
  <si>
    <t>4.1.1</t>
  </si>
  <si>
    <t>4.1.2</t>
  </si>
  <si>
    <t>4.1.3</t>
  </si>
  <si>
    <t>4.5</t>
  </si>
  <si>
    <t>4.6</t>
  </si>
  <si>
    <t>4.7</t>
  </si>
  <si>
    <t>2018/2019</t>
  </si>
  <si>
    <t>Kota Bandung</t>
  </si>
  <si>
    <t>Jawa Barat</t>
  </si>
  <si>
    <t xml:space="preserve">PEMERINTAH KOTA BANDUNG </t>
  </si>
  <si>
    <t>DINAS PENDIDIKAN</t>
  </si>
  <si>
    <t>PEMERINTAH KOTA BANDUNG</t>
  </si>
  <si>
    <t xml:space="preserve"> 101020809001</t>
  </si>
  <si>
    <t>Jl. H. Ibrahim Adjie No.45</t>
  </si>
  <si>
    <t>E-mail: admin@sdnbubatselatan.sch.id</t>
  </si>
  <si>
    <t>Kode Pos 40287</t>
  </si>
  <si>
    <t>MASTER KELAS 5</t>
  </si>
  <si>
    <t>BAHASA dan SASTRA SUNDA</t>
  </si>
  <si>
    <t>BAHASA INGGRIS</t>
  </si>
  <si>
    <t>memahami makna Q.S. at-Tīn dan Q.S. al-Mā’ūn dengan benar.</t>
  </si>
  <si>
    <t>memahami nama-nama Rasul Allah dan Rasul Ulul ‘Azmi.</t>
  </si>
  <si>
    <t>3.8</t>
  </si>
  <si>
    <t>memahami makna sederhana dalam kehidupan sehari-hari.</t>
  </si>
  <si>
    <t>3.9</t>
  </si>
  <si>
    <t>memahami makna ikhlas beramal dalam kehidupan sehari-hari</t>
  </si>
  <si>
    <t>memahami pelaksanaan salat tarawih dan tadarus al-Qur'an.</t>
  </si>
  <si>
    <t>3.11</t>
  </si>
  <si>
    <t>memahami kisah keteladanan Luqman sebagaimana terdapat dalam al-Qur'an.</t>
  </si>
  <si>
    <t>3.17</t>
  </si>
  <si>
    <t>4.8</t>
  </si>
  <si>
    <t>4.9</t>
  </si>
  <si>
    <t>4.17</t>
  </si>
  <si>
    <t>membaca Q.S. at-Tīn dan Q.S. al-Mā’ūn dengan tartil.</t>
  </si>
  <si>
    <t>menulis kalimat-kalimat dalam Q.S. at-Tīn dan Q.S. al-Mā’ūn dengan benar.</t>
  </si>
  <si>
    <t>menunjukkan hafalan Q.S. at-Tīn dan Q.S. al-Mā’ūn dengan lancar</t>
  </si>
  <si>
    <t xml:space="preserve">menunjukkan hafalan nama-nama Rasul Allah dan Rasul Ulul ‘Azmi
</t>
  </si>
  <si>
    <t xml:space="preserve">mencontohkan sikap sederhana dalam kehidupan sehari-hari.
</t>
  </si>
  <si>
    <t>mencontohkan sikap ikhlas beramal dalam kehidupan sehari-hari</t>
  </si>
  <si>
    <t>mempraktikkan tata cara salat tarawih dan tadarus al-Qur'an</t>
  </si>
  <si>
    <t>menceritakan kisah keteladanan Luqman sebagaimana terdapat dalam al-Qur'an.</t>
  </si>
  <si>
    <t xml:space="preserve">memahami hak, kewajiban dan tanggung jawab sebagai warga dalam kehidupan sehari-hari.
</t>
  </si>
  <si>
    <t>menjelaskan hak, kewajiban, dan tanggung  jawab sebagai warga masyarakat dalam kehidupan sehari-hari</t>
  </si>
  <si>
    <t xml:space="preserve">Menyelenggarakan kegiatan yang mendukung keberagaman sosial budaya masyarakat
</t>
  </si>
  <si>
    <t xml:space="preserve">menggali manfaat persatuan dan kesatuan untuk membangun kerukunan hidup.
</t>
  </si>
  <si>
    <t>meringkas teks penjelasan (eksplanasi) dari media cetak atau elektronik.</t>
  </si>
  <si>
    <t xml:space="preserve">menyajikan ringkasan teks penjelasan (eksplanasi) dari media cetak atau elektronik dengan menggunakan kosakata baku dan kalimat efektif secara lisan, tulis, dan visual.
</t>
  </si>
  <si>
    <t>3.5</t>
  </si>
  <si>
    <t>menggali informasi penting dari teks narasi sejarah yang disajikan secara lisan dan tulis menggunakan aspek: apa, di mana, kapan, siapa, mengapa, dan bagaimana</t>
  </si>
  <si>
    <t xml:space="preserve">memaparkan informasi penting dari teks narasi sejarah menggunakan aspek: apa, di mana, kapan, siapa, mengapa, dan bagaimana serta kosakata baku dan kalimat efektif
</t>
  </si>
  <si>
    <t>mencermati penggunaan kalimat efektif dan ejaan dalam surat undangan (ulang tahun, kegiatan sekolah, kenaikan kelas, dll.)</t>
  </si>
  <si>
    <t xml:space="preserve">membuat surat undangan (ulang tahun, kegiatan sekolah, kenaikan kelas, dll.) dengan kalimat efektif dan memperhati kan penggunaan ejaan
</t>
  </si>
  <si>
    <t>menguraikan urutan peristiwa atau tindakan yang terdapat pada teks nonfiksi</t>
  </si>
  <si>
    <t>menyajikan kembali peristiwa atau tindakan dengan memperhatikan latar cerita yang terdapat pada teks fiksi</t>
  </si>
  <si>
    <t>menganalisis informasi yang disampaikan paparan iklan dari media cetak atau elektronik.</t>
  </si>
  <si>
    <t>memeragakan kembali informasi yang disampaikan paparan iklan dari media cetak atau elektronik dengan bantuan lisan, tulis, dan visual.</t>
  </si>
  <si>
    <t xml:space="preserve">menganalisis bentuk-bentuk interaksi manusia dengan lingkungan dan pengaruhnya terhadap pembangunan sosial, budaya, dan ekonomi masyarakat Indonesia
</t>
  </si>
  <si>
    <t>Mengidentifikasi karakteristik geografis Indonesia sebagai negara kepulauan/maritim dan agraris serta pengaruhnya terhadap kehidupan ekonomi, sosial, budaya, komunikasi, serta transportasi.</t>
  </si>
  <si>
    <t xml:space="preserve">menyajikan hasil analisis tentang interaksi manusia dengan lingkungan dan pengaruhnya terhadap pembangunan sosial, budaya dan ekonomi masyarakat Indonesia
</t>
  </si>
  <si>
    <t>Mengidentifikasi faktor-faktor penting penyebab penjajahan bangsa Indonesia dan upaya bangsa Indonesia dalam mempertahankan kedaulatannya</t>
  </si>
  <si>
    <t xml:space="preserve">menyajikan hasil identifikasi mengenai faktor-faktor penting penyebab penjajahan bangsa Indonesia dan upaya bangsa Indonesia dalam mempertahankan kedaulatannya.
</t>
  </si>
  <si>
    <t xml:space="preserve">menganalisis peran ekonomi dalam upaya menyejahterakan kehidupan masyarakat di bidang sosial dan budaya untuk memperkuat kesatuan dan persatuan bangsa Indonesia serta hubungannya dengan karakteristik ruang
</t>
  </si>
  <si>
    <t xml:space="preserve">menyajikan hasil analisis tentang peran ekonomi dalam upaya menyejahterakan kehidupan masyarakat di bidang sosial dan budaya untuk memperkuat kesatuan dan persatuan bangsa
</t>
  </si>
  <si>
    <t>3.6</t>
  </si>
  <si>
    <t xml:space="preserve">menerapkan konsep perpindahan kalor dalam kehidupan sehari-hari.
</t>
  </si>
  <si>
    <t>melaporkan hasil pengamatan tentang perpindahan kalor.</t>
  </si>
  <si>
    <t>3.7</t>
  </si>
  <si>
    <t xml:space="preserve">menganalisis pengaruh kalor terhadap perubahan suhu dan wujud benda dalam kehidupan seharihari
</t>
  </si>
  <si>
    <t xml:space="preserve">melaporkan hasil percobaan pengaruh kalor pada benda
</t>
  </si>
  <si>
    <t>menganalisis siklus air dan dampaknya pada peristiwa di bumi serta kelangsungan mahluk hidup</t>
  </si>
  <si>
    <t>membuat karya tentang skema siklus air berdasarkan informasi dari berbagai sumber</t>
  </si>
  <si>
    <t>Mengelompokkan materi dalam kehidupan sehari-hari berdasarkan komponen penyusunnya (zat tunggal dan campuran).</t>
  </si>
  <si>
    <t>melaporkan hasil pengamatan sifat-sifat campuran dan komponen penyusunnya dalam kehidupan sehari-hari.</t>
  </si>
  <si>
    <t xml:space="preserve">memahami tangga nada
</t>
  </si>
  <si>
    <t>mempraktikkan pola lantai pada gerak tari kreasi daerah</t>
  </si>
  <si>
    <t>membuat karya seni rupadaerah</t>
  </si>
  <si>
    <t xml:space="preserve">menjelaskan, dan menentukan volume bangun ruang dengan menggunakan satuan volume (seperti kubus satuan) serta hubungan pangkat tiga dengan akar pangkat tiga
</t>
  </si>
  <si>
    <t xml:space="preserve">menyelesaikan masalah yang berkaitan dengan volume bangun ruang dengan menggunakan satuan volume (seperti kubus satuan) melibatkan pangkat tiga dan akar pangkat tiga
</t>
  </si>
  <si>
    <t xml:space="preserve">menjelaskan data yang berkaitan dengan diri peserta didik atau lingkungan sekitar serta cara pengumpulannya
</t>
  </si>
  <si>
    <t xml:space="preserve">menganalisis data yang berkaitan dengan diri peserta didik atau lingkungan sekitar serta cara pengumpulannya
</t>
  </si>
  <si>
    <t xml:space="preserve">menjelaskan penyajian data yang berkaitan dengan diri peserta didik dan membandingkan dengan data dari lingkungan sekitar dalam bentuk daftar, tabel, diagram gambar (piktogram), diagram batang, atau diagram garis
</t>
  </si>
  <si>
    <t xml:space="preserve">mengorganisasikan dan menyajikan data yang berkaitan dengan diri peserta didik dan membandingkan dengan data dari lingkungan sekitar dalam bentuk daftar, tabel, diagram gambar (piktogram), diagram batang, atau diagram garis
</t>
  </si>
  <si>
    <t xml:space="preserve">memahami kombinasi pola gerak dominan (bertumpu, bergantung, keseimbangan, berpindah/lokomotor, tolakan, putaran, ayunan, melayang, dan mendarat) untuk membentuk keterampilan dasar senam menggunakan alat
</t>
  </si>
  <si>
    <t xml:space="preserve">mempraktikkan kombinasi pola gerak dominan (bertumpu, bergantung, keseimbangan, berpindah/ lokomotor, tolakan, putaran, ayunan, melayang, dan mendarat) untuk membentuk keterampilan dasar senam menggunakan alat
</t>
  </si>
  <si>
    <t>memahami penggunaan kombinasi gerak dasar langkah dan ayunan lengan mengikuti irama (ketukan) tanpa/dengan musik dalam aktivitas gerak berirama</t>
  </si>
  <si>
    <t>mempraktikkan pengunaan kombinasi gerak dasar langkah dan ayunan lengan mengikuti irama (ketukan) tanpa/dengan musik dalam aktivitas gerak berirama</t>
  </si>
  <si>
    <t>memahami salah satu gaya renang dengan koordinasi yang baik pada jarak tertentu</t>
  </si>
  <si>
    <t>mempraktikkan salah satu gaya renang dengan koordinasi yang baik pada jarak tertentu</t>
  </si>
  <si>
    <t>menerapkan konsep pemeliharaan diri dan orang lain dari penyakit menular dan tidak menular</t>
  </si>
  <si>
    <t xml:space="preserve">memahami bahaya merokok, minuman keras, dan narkotika, zat-zat aditif (NAPZA) dan obat berbahaya lainnya terhadap kesehatan tubuh
</t>
  </si>
  <si>
    <t>memaparkan bahaya merokok, meminum minuman keras, dan mengonsumsi narkotika, zat-zat aditif (NAPZA) dan obat berbahaya lainnya terhadap kesehatan tubuh</t>
  </si>
  <si>
    <t>memahami teks kawih tentang bangga sebagai bangsa Indonesia</t>
  </si>
  <si>
    <t>memahami teks sajak tentang menjaga kelestarian lingkungan melalui membaca nyaring dan membaca dalam hati</t>
  </si>
  <si>
    <t>memahami teks eksposisi sederhana tentang makanan sehat dan bergizi (makanan tradisional Sunda</t>
  </si>
  <si>
    <t>melantunkan dan menceritakan isi kawih tentang bangga sebagai bangsa Indonesia</t>
  </si>
  <si>
    <t>memahami teks eksposisisederhana tentang makanan sehat dan bergizi (makanan tradisional Sunda</t>
  </si>
  <si>
    <t xml:space="preserve">membacakan sajak tentang menjaga kelestarian lingkungan dengan lafal, intonasi, dan ekspresi yang benar
</t>
  </si>
  <si>
    <t>7.1</t>
  </si>
  <si>
    <t>8.1</t>
  </si>
  <si>
    <t>9.1</t>
  </si>
  <si>
    <t>10.1</t>
  </si>
  <si>
    <t>11.1</t>
  </si>
  <si>
    <t>12.1</t>
  </si>
  <si>
    <t>12.2</t>
  </si>
  <si>
    <t>memahami langkah-langkah pengawasan kelestarian lingkungan hidup</t>
  </si>
  <si>
    <t>senang memelihara/ merawat tanaman dalam pot</t>
  </si>
  <si>
    <t>melakukan pemeliharaan tanaman dalam pot atau kebun sekolah</t>
  </si>
  <si>
    <t>menggunakan IPTEK dalam mengelola barang bekas menjadi barang yang bermanfaat</t>
  </si>
  <si>
    <t>menerima pemanfaatan IPTEK dalam pengelolaan barang bekas menjadi barang yang bermanfaat</t>
  </si>
  <si>
    <t>membiasakan diri memanfaatkan IPTEK dalam mengelola lingkungan hidup</t>
  </si>
  <si>
    <t xml:space="preserve">menampilkan hasil karya dalam pameran kelas dan sekolah </t>
  </si>
  <si>
    <t xml:space="preserve">merespon instruksi sangat sederhana dengan tindakan secara berterima dalam konteks sekolah  </t>
  </si>
  <si>
    <t>5.1</t>
  </si>
  <si>
    <t>5.2</t>
  </si>
  <si>
    <t>6.1</t>
  </si>
  <si>
    <t>6.2</t>
  </si>
  <si>
    <t>6.3</t>
  </si>
  <si>
    <t xml:space="preserve">bercakap-cakap untuk meminta/memberi informasi secara berterima yang melibatkan tindak tutur: memberi informasi, memberi pendapat, dan meminta kejelasan 
</t>
  </si>
  <si>
    <t>6.4</t>
  </si>
  <si>
    <t xml:space="preserve">membaca nyaring dengan ucapan, tekanan, dan intonasi secara tepat dan berterima yang melibatkan: kata, frasa, kalimat sangat sederhana, dan teks sangat sederhana 
</t>
  </si>
  <si>
    <t>7.2</t>
  </si>
  <si>
    <t>8.2</t>
  </si>
  <si>
    <t>menyalin dan menulis kalimat sangat sederhana secara tepat dan berterima seperti: ucapan selamat, ucapan terima kasih, dan ucapan simpati</t>
  </si>
  <si>
    <t>Bandung, 21 Juni 2019</t>
  </si>
  <si>
    <t>20245034</t>
  </si>
  <si>
    <t>SD NEGERI 250 JAKAPURWA</t>
  </si>
  <si>
    <t>Eyen Soleha SPd M.MPd</t>
  </si>
  <si>
    <t>196409231983052001</t>
  </si>
  <si>
    <t>N Rina Sandrawati SPd</t>
  </si>
  <si>
    <t>Kujangsari</t>
  </si>
  <si>
    <t>197703202007012006</t>
  </si>
  <si>
    <t>Bandung Kidul</t>
  </si>
  <si>
    <t>1718250040305</t>
  </si>
  <si>
    <t>1718250040306</t>
  </si>
  <si>
    <t xml:space="preserve"> 1718250040307</t>
  </si>
  <si>
    <t xml:space="preserve"> 1718250040308</t>
  </si>
  <si>
    <t>1718250040309</t>
  </si>
  <si>
    <t>1718250040310</t>
  </si>
  <si>
    <t>1718250040311</t>
  </si>
  <si>
    <t>1718250040312</t>
  </si>
  <si>
    <t>1718250040313</t>
  </si>
  <si>
    <t>1718250040314</t>
  </si>
  <si>
    <t>1718250040315</t>
  </si>
  <si>
    <t>1718250040316</t>
  </si>
  <si>
    <t>1718250040317</t>
  </si>
  <si>
    <t>1718250040318</t>
  </si>
  <si>
    <t>1718250040319</t>
  </si>
  <si>
    <t>1718250040320</t>
  </si>
  <si>
    <t>1718250040321</t>
  </si>
  <si>
    <t>1718250040322</t>
  </si>
  <si>
    <t>1718250040323</t>
  </si>
  <si>
    <t>1718250040324</t>
  </si>
  <si>
    <t>1718250040325</t>
  </si>
  <si>
    <t>1718250040326</t>
  </si>
  <si>
    <t>1718250040327</t>
  </si>
  <si>
    <t>1718250040328</t>
  </si>
  <si>
    <t>1718250040329</t>
  </si>
  <si>
    <t>1718250040330</t>
  </si>
  <si>
    <t>1718250040331</t>
  </si>
  <si>
    <t>1718250040332</t>
  </si>
  <si>
    <t>1718250040333</t>
  </si>
  <si>
    <t>1718250040334</t>
  </si>
  <si>
    <t>1718250040335</t>
  </si>
  <si>
    <t>1718250040336</t>
  </si>
  <si>
    <t>1718250040337</t>
  </si>
  <si>
    <t>1718250040338</t>
  </si>
  <si>
    <t>1718250040339</t>
  </si>
  <si>
    <t>1718250040340</t>
  </si>
  <si>
    <t>1718250040341</t>
  </si>
  <si>
    <t>1718250040342</t>
  </si>
  <si>
    <t>1718250040343</t>
  </si>
  <si>
    <t>1718250040344</t>
  </si>
  <si>
    <t>1718250040345</t>
  </si>
  <si>
    <t>1718250040346</t>
  </si>
  <si>
    <t>1718250040347</t>
  </si>
  <si>
    <t xml:space="preserve"> </t>
  </si>
  <si>
    <t>ABDANI YAHYA</t>
  </si>
  <si>
    <t>ADHWA BARIQ RAMDAENI BADRUL YAMAN</t>
  </si>
  <si>
    <t>ANDHIKA ALDIYANSYAH</t>
  </si>
  <si>
    <t>ANGGARA</t>
  </si>
  <si>
    <t>ARIA RAY ANDARA</t>
  </si>
  <si>
    <t>CAHAYA MAHARANI</t>
  </si>
  <si>
    <t>CALISTA NABILA</t>
  </si>
  <si>
    <t>CARISSA VIRGIE NAFISHA</t>
  </si>
  <si>
    <t>CHAIDAR AHMAD FAISAL HARAHAP</t>
  </si>
  <si>
    <t>DAVKA MAULANA FABIANDRA</t>
  </si>
  <si>
    <t>DZIBRIL RYUKAI AL MALIKULMULKI</t>
  </si>
  <si>
    <t>ERICHA GABRIELA AVRILIANA</t>
  </si>
  <si>
    <t>FATIHUDDIN HISYAM FAUZI</t>
  </si>
  <si>
    <t>FAUZI PUTRA SUNTANA</t>
  </si>
  <si>
    <t>FIRLY GEMA ROBBANI</t>
  </si>
  <si>
    <t>HANA NUR ROHMAH</t>
  </si>
  <si>
    <t>HOERUL MALLA MAHARANI</t>
  </si>
  <si>
    <t>INTAN STEPANI PUTRI</t>
  </si>
  <si>
    <t>JORDY PARVEZ RAMADHAN</t>
  </si>
  <si>
    <t>KURNIA KARYADIREDJA</t>
  </si>
  <si>
    <t>LATIZA SYIFA AZURA</t>
  </si>
  <si>
    <t>MOCHAMAD RIZKY NUGRAHA</t>
  </si>
  <si>
    <t>MOEHAMAD RAMADHANDANI GUNAWAN</t>
  </si>
  <si>
    <t>MOKHAMAD SYAEPUL</t>
  </si>
  <si>
    <t>MUHAMAD ALIF BHANI SAPUTRA</t>
  </si>
  <si>
    <t>MUHAMMAD HIZKIEL AL-LABIBY</t>
  </si>
  <si>
    <t>MUHAMMAD LAEL ALAN PRASETYO</t>
  </si>
  <si>
    <t>MUHAMMAD NABIL ZHALIFUNNAS</t>
  </si>
  <si>
    <t>MUHAMMAD RASYA ANGGA YUDHA</t>
  </si>
  <si>
    <t>MUHAMMAD RIZKI MUJAHIDIN</t>
  </si>
  <si>
    <t>MUHAMMAD SATRIA GHALIZHA HERMAWAN</t>
  </si>
  <si>
    <t>NADIA RIFA FAKHIRA</t>
  </si>
  <si>
    <t>NAFILA SEPTIYANI</t>
  </si>
  <si>
    <t>NAZZALA PUTRI NURLAYLA</t>
  </si>
  <si>
    <t>RAFAREL RADIFAN PUTRA</t>
  </si>
  <si>
    <t>RAKHA ZAHRAN SUTRISNO</t>
  </si>
  <si>
    <t>RYU FRIKLI</t>
  </si>
  <si>
    <t>SAEPUL RAHAYU</t>
  </si>
  <si>
    <t>SALMA KHAIRUNISA</t>
  </si>
  <si>
    <t>SYAKILA PUTRI APRILIA</t>
  </si>
  <si>
    <t>SYIFA FADILLA KHOERUNNISA</t>
  </si>
  <si>
    <t>WAFDAN MUHAMMAD AMADDA</t>
  </si>
  <si>
    <t>ZEVA ABDEE SUGARA</t>
  </si>
  <si>
    <t>87519281</t>
  </si>
  <si>
    <t>72025516</t>
  </si>
  <si>
    <t>YAHYA</t>
  </si>
  <si>
    <t>ADHWA</t>
  </si>
  <si>
    <t>ANDHIKA</t>
  </si>
  <si>
    <t>ARIA</t>
  </si>
  <si>
    <t>CAHAYA</t>
  </si>
  <si>
    <t>CALISTA</t>
  </si>
  <si>
    <t>CARISSA</t>
  </si>
  <si>
    <t>CHAIDAR</t>
  </si>
  <si>
    <t>DAVKA</t>
  </si>
  <si>
    <t>DZIBRIL</t>
  </si>
  <si>
    <t>ERICHA</t>
  </si>
  <si>
    <t>HISYAM</t>
  </si>
  <si>
    <t>FAUZI</t>
  </si>
  <si>
    <t>FIRLY</t>
  </si>
  <si>
    <t>HANA</t>
  </si>
  <si>
    <t>MALLA</t>
  </si>
  <si>
    <t>INTAN</t>
  </si>
  <si>
    <t>JORDY</t>
  </si>
  <si>
    <t>KURNIA</t>
  </si>
  <si>
    <t>LATIZA</t>
  </si>
  <si>
    <t>RIZKY</t>
  </si>
  <si>
    <t>RAMADHANDANI</t>
  </si>
  <si>
    <t>SYAEPUL</t>
  </si>
  <si>
    <t>ALIF</t>
  </si>
  <si>
    <t>HIZKIEL</t>
  </si>
  <si>
    <t>LAEL</t>
  </si>
  <si>
    <t>NABIL</t>
  </si>
  <si>
    <t>RASYA</t>
  </si>
  <si>
    <t>RIZKI</t>
  </si>
  <si>
    <t>SATRIA</t>
  </si>
  <si>
    <t>NADIA</t>
  </si>
  <si>
    <t>NAFILA</t>
  </si>
  <si>
    <t>NAZZALA</t>
  </si>
  <si>
    <t>RAFAREL</t>
  </si>
  <si>
    <t>RAKHA</t>
  </si>
  <si>
    <t>RYU</t>
  </si>
  <si>
    <t>SAEPUL</t>
  </si>
  <si>
    <t>SALMA</t>
  </si>
  <si>
    <t>SYAKILA</t>
  </si>
  <si>
    <t>SYIFA</t>
  </si>
  <si>
    <t>WAFDAN</t>
  </si>
  <si>
    <t>ZEVA</t>
  </si>
  <si>
    <t>L</t>
  </si>
  <si>
    <t>Islam</t>
  </si>
  <si>
    <t>Kristen</t>
  </si>
  <si>
    <t>BANDUNG, 02 MEI 2008</t>
  </si>
  <si>
    <t>BANDUNG, 01 OKTOBER 2007</t>
  </si>
  <si>
    <t>BANDUNG, 30 JANUARI 2008</t>
  </si>
  <si>
    <t>BANDUNG, 13 APRIL 2008</t>
  </si>
  <si>
    <t>BANDUNG, 18 DESEMBER 2007</t>
  </si>
  <si>
    <t>BANDUNG, 05 NOVEMBER 2007</t>
  </si>
  <si>
    <t>BANDUNG, 15 AGUSTUS 2007</t>
  </si>
  <si>
    <t xml:space="preserve"> BANDUNG, 20 MEI 2008</t>
  </si>
  <si>
    <t>BANDUNG, 21 AGUSTUS 2007</t>
  </si>
  <si>
    <t>BANDUNG, 13 MARET 2008</t>
  </si>
  <si>
    <t>BANDUNG, 21 SEPTEMBER 2007</t>
  </si>
  <si>
    <t>BANDUNG, 02 APRIL 2007</t>
  </si>
  <si>
    <t>BANDUNG, 17 FEBRUARI 2008</t>
  </si>
  <si>
    <t>BANDUNG, 04 JULI 2007</t>
  </si>
  <si>
    <t>BANDUNG, 29 AGUSTUS 2007</t>
  </si>
  <si>
    <t>BANDUNG, 20 MARET 2008</t>
  </si>
  <si>
    <t>BANDUNG, 12 NOVEMBER 2007</t>
  </si>
  <si>
    <t>BANDUNG, 27 SEPTEMBER 2007</t>
  </si>
  <si>
    <t>BANDUNG, 31 AGUSTUS 2007</t>
  </si>
  <si>
    <t>GARUT , 14 APRIL 2008</t>
  </si>
  <si>
    <t>BANDUNG , 21 JUNI 2007</t>
  </si>
  <si>
    <t>BANDUNG, 14 MARET 2007</t>
  </si>
  <si>
    <t>BANDUNG, 25 OKTOBER 2007</t>
  </si>
  <si>
    <t>BANDUNG, 07 MARET 2007</t>
  </si>
  <si>
    <t>SURABAYA, 17 OKTOBER 2007</t>
  </si>
  <si>
    <t>BANDUNG, 06 JUNI 2008</t>
  </si>
  <si>
    <t>BANDUNG, 18 APRIL 2008</t>
  </si>
  <si>
    <t>BANDUNG, 02 SEPTEMBER 2007</t>
  </si>
  <si>
    <t>BANDUNG, 04 SEPTEMBER 2007</t>
  </si>
  <si>
    <t>BANDUNG, 19 APRIL 2008</t>
  </si>
  <si>
    <t>BANDUNG, 13 JUNI 2008</t>
  </si>
  <si>
    <t>BANDUNG, 29 SEPTEMBER 2007</t>
  </si>
  <si>
    <t>BANDUNG, 23 MEI 2007</t>
  </si>
  <si>
    <t>BANDUNG, 19 JUNI 2007</t>
  </si>
  <si>
    <t>BANDUNG ,24 JUNI 2007</t>
  </si>
  <si>
    <t>BANDUNG, 18 MEI 2007</t>
  </si>
  <si>
    <t>CILACAP, 09 MEI 2007</t>
  </si>
  <si>
    <t>BANDUNG, 09 JULI 2007</t>
  </si>
  <si>
    <t>BANDUNG, 08 APRIL 2008</t>
  </si>
  <si>
    <t>BANDUNG, 25 FEBRUARI 2008</t>
  </si>
  <si>
    <t>BANDUNG , 15 JULI 2007</t>
  </si>
  <si>
    <t>BANDUNG, 16 APRIL 2008</t>
  </si>
  <si>
    <t xml:space="preserve">  </t>
  </si>
  <si>
    <t>3 hari</t>
  </si>
  <si>
    <t>4 hari</t>
  </si>
  <si>
    <t>150 cm</t>
  </si>
  <si>
    <t>141 cm</t>
  </si>
  <si>
    <t>149 cm</t>
  </si>
  <si>
    <t>145 cm</t>
  </si>
  <si>
    <t xml:space="preserve">147 cm </t>
  </si>
  <si>
    <t>144 cm</t>
  </si>
  <si>
    <t xml:space="preserve">148 cm </t>
  </si>
  <si>
    <t>151 cm</t>
  </si>
  <si>
    <t>142 cm</t>
  </si>
  <si>
    <t>132 cm</t>
  </si>
  <si>
    <t>160 cm</t>
  </si>
  <si>
    <t>161 cm</t>
  </si>
  <si>
    <t>123 cm</t>
  </si>
  <si>
    <t>54 kg</t>
  </si>
  <si>
    <t>50 kg</t>
  </si>
  <si>
    <t>45 kg</t>
  </si>
  <si>
    <t>36 kg</t>
  </si>
  <si>
    <t>41 kg</t>
  </si>
  <si>
    <t>46 kg</t>
  </si>
  <si>
    <t>51 kg</t>
  </si>
  <si>
    <t>28 kg</t>
  </si>
  <si>
    <t>49 kg</t>
  </si>
  <si>
    <t>65 kg</t>
  </si>
  <si>
    <t>57 kg</t>
  </si>
  <si>
    <t>22 kg</t>
  </si>
  <si>
    <t>64 kg</t>
  </si>
  <si>
    <t>Berkacamata</t>
  </si>
  <si>
    <t>PERKUSI FESTIVAL ADIWIYATA KOTA BANDUNG</t>
  </si>
  <si>
    <t>Juara 2</t>
  </si>
  <si>
    <t>Juara 1</t>
  </si>
  <si>
    <t>Cipta Syair FL2SN Tingkat Kec Bandung Kidul</t>
  </si>
  <si>
    <t>PILDACIL Tingkat Kec Bandung kidul</t>
  </si>
  <si>
    <t>55 kg</t>
  </si>
  <si>
    <t>5 (LIMA)-/2 (DUA)</t>
  </si>
  <si>
    <t>Jln. Jakamulya no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</si>
</sst>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 #,##0.00_-;_-* &quot;-&quot;??_-;_-@_-"/>
    <numFmt numFmtId="164" formatCode="0.0"/>
    <numFmt numFmtId="165" formatCode="\-"/>
  </numFmts>
  <fonts count="150">
    <font>
      <sz val="11"/>
      <color theme="1"/>
      <name val="Calibri"/>
      <family val="2"/>
      <scheme val="minor"/>
    </font>
    <font>
      <sz val="11"/>
      <color theme="1"/>
      <name val="Calibri"/>
      <family val="2"/>
      <charset val="1"/>
      <scheme val="minor"/>
    </font>
    <font>
      <sz val="11"/>
      <color theme="1"/>
      <name val="Calibri"/>
      <family val="2"/>
      <charset val="1"/>
      <scheme val="minor"/>
    </font>
    <font>
      <sz val="11"/>
      <color rgb="FFFF0000"/>
      <name val="Calibri"/>
      <family val="2"/>
      <scheme val="minor"/>
    </font>
    <font>
      <b/>
      <sz val="11"/>
      <color theme="1"/>
      <name val="Calibri"/>
      <family val="2"/>
      <scheme val="minor"/>
    </font>
    <font>
      <b/>
      <sz val="20"/>
      <color theme="1"/>
      <name val="Calibri"/>
      <family val="2"/>
      <scheme val="minor"/>
    </font>
    <font>
      <sz val="18"/>
      <color theme="1"/>
      <name val="Calibri"/>
      <family val="2"/>
      <scheme val="minor"/>
    </font>
    <font>
      <sz val="20"/>
      <color theme="1"/>
      <name val="Calibri"/>
      <family val="2"/>
      <scheme val="minor"/>
    </font>
    <font>
      <b/>
      <sz val="12"/>
      <color theme="1"/>
      <name val="Calibri"/>
      <family val="2"/>
      <scheme val="minor"/>
    </font>
    <font>
      <b/>
      <sz val="10"/>
      <color theme="1"/>
      <name val="Calibri"/>
      <family val="2"/>
      <scheme val="minor"/>
    </font>
    <font>
      <sz val="7"/>
      <name val="Arial Narrow"/>
      <family val="2"/>
    </font>
    <font>
      <sz val="14"/>
      <color theme="1"/>
      <name val="Calibri"/>
      <family val="2"/>
      <scheme val="minor"/>
    </font>
    <font>
      <sz val="7"/>
      <color theme="1"/>
      <name val="Arial Narrow"/>
      <family val="2"/>
    </font>
    <font>
      <sz val="12"/>
      <name val="Arial"/>
      <family val="2"/>
    </font>
    <font>
      <sz val="10"/>
      <color theme="1"/>
      <name val="Calibri"/>
      <family val="2"/>
      <scheme val="minor"/>
    </font>
    <font>
      <b/>
      <sz val="9"/>
      <color theme="1"/>
      <name val="Aparajita"/>
      <family val="2"/>
    </font>
    <font>
      <b/>
      <sz val="12"/>
      <color theme="1"/>
      <name val="Aparajita"/>
      <family val="2"/>
    </font>
    <font>
      <sz val="12"/>
      <color theme="1"/>
      <name val="Calibri"/>
      <family val="2"/>
      <scheme val="minor"/>
    </font>
    <font>
      <sz val="14"/>
      <color theme="1"/>
      <name val="Calibri"/>
      <family val="2"/>
      <charset val="1"/>
      <scheme val="minor"/>
    </font>
    <font>
      <sz val="11"/>
      <color theme="0"/>
      <name val="Calibri"/>
      <family val="2"/>
      <scheme val="minor"/>
    </font>
    <font>
      <b/>
      <sz val="16"/>
      <color theme="1"/>
      <name val="Calibri"/>
      <family val="2"/>
      <scheme val="minor"/>
    </font>
    <font>
      <u/>
      <sz val="11"/>
      <color theme="10"/>
      <name val="Calibri"/>
      <family val="2"/>
    </font>
    <font>
      <b/>
      <sz val="22"/>
      <color theme="1"/>
      <name val="Arial Narrow"/>
      <family val="2"/>
    </font>
    <font>
      <b/>
      <sz val="22"/>
      <color theme="1"/>
      <name val="Calibri"/>
      <family val="2"/>
      <scheme val="minor"/>
    </font>
    <font>
      <b/>
      <sz val="18"/>
      <color theme="1"/>
      <name val="Calibri"/>
      <family val="2"/>
      <scheme val="minor"/>
    </font>
    <font>
      <sz val="11"/>
      <color theme="1"/>
      <name val="Arial"/>
      <family val="2"/>
    </font>
    <font>
      <sz val="12"/>
      <color theme="1"/>
      <name val="Arial Narrow"/>
      <family val="2"/>
    </font>
    <font>
      <b/>
      <sz val="12"/>
      <color theme="1"/>
      <name val="Arial Narrow"/>
      <family val="2"/>
    </font>
    <font>
      <b/>
      <sz val="7"/>
      <color theme="1"/>
      <name val="Arial Narrow"/>
      <family val="2"/>
    </font>
    <font>
      <sz val="16"/>
      <color theme="1"/>
      <name val="Calibri"/>
      <family val="2"/>
      <scheme val="minor"/>
    </font>
    <font>
      <sz val="11"/>
      <color theme="1" tint="4.9989318521683403E-2"/>
      <name val="Calibri"/>
      <family val="2"/>
      <scheme val="minor"/>
    </font>
    <font>
      <sz val="36"/>
      <color theme="0"/>
      <name val="Calibri"/>
      <family val="2"/>
      <scheme val="minor"/>
    </font>
    <font>
      <sz val="36"/>
      <name val="Calibri"/>
      <family val="2"/>
      <scheme val="minor"/>
    </font>
    <font>
      <sz val="12"/>
      <color theme="0"/>
      <name val="Calibri"/>
      <family val="2"/>
      <scheme val="minor"/>
    </font>
    <font>
      <sz val="10"/>
      <color theme="1"/>
      <name val="Calibri"/>
      <family val="2"/>
      <charset val="1"/>
      <scheme val="minor"/>
    </font>
    <font>
      <b/>
      <sz val="48"/>
      <color theme="1"/>
      <name val="Calibri"/>
      <family val="2"/>
      <scheme val="minor"/>
    </font>
    <font>
      <sz val="12"/>
      <color theme="1"/>
      <name val="Calibri"/>
      <family val="2"/>
      <charset val="1"/>
      <scheme val="minor"/>
    </font>
    <font>
      <b/>
      <sz val="24"/>
      <color theme="1"/>
      <name val="Calibri"/>
      <family val="2"/>
      <scheme val="minor"/>
    </font>
    <font>
      <b/>
      <sz val="26"/>
      <color theme="1"/>
      <name val="Calibri"/>
      <family val="2"/>
      <scheme val="minor"/>
    </font>
    <font>
      <b/>
      <sz val="22"/>
      <color theme="1"/>
      <name val="Arial Black"/>
      <family val="2"/>
    </font>
    <font>
      <sz val="14"/>
      <color theme="1"/>
      <name val="Arial"/>
      <family val="2"/>
    </font>
    <font>
      <b/>
      <sz val="14"/>
      <color rgb="FFFF0000"/>
      <name val="Calibri"/>
      <family val="2"/>
      <scheme val="minor"/>
    </font>
    <font>
      <b/>
      <u/>
      <sz val="16"/>
      <color theme="10"/>
      <name val="Calibri"/>
      <family val="2"/>
    </font>
    <font>
      <sz val="24"/>
      <color theme="0"/>
      <name val="Britannic Bold"/>
      <family val="2"/>
    </font>
    <font>
      <b/>
      <sz val="28"/>
      <color rgb="FFFFC000"/>
      <name val="Calibri"/>
      <family val="2"/>
      <scheme val="minor"/>
    </font>
    <font>
      <b/>
      <sz val="22"/>
      <color theme="1"/>
      <name val="Arial"/>
      <family val="2"/>
    </font>
    <font>
      <b/>
      <u/>
      <sz val="14"/>
      <color indexed="10"/>
      <name val="Calibri"/>
      <family val="2"/>
    </font>
    <font>
      <sz val="11"/>
      <color theme="1"/>
      <name val="Calibri"/>
      <family val="2"/>
      <scheme val="minor"/>
    </font>
    <font>
      <sz val="18"/>
      <color theme="1"/>
      <name val="Times New Roman"/>
      <family val="1"/>
    </font>
    <font>
      <b/>
      <sz val="16"/>
      <color theme="1"/>
      <name val="Times New Roman"/>
      <family val="1"/>
    </font>
    <font>
      <b/>
      <sz val="18"/>
      <color theme="1"/>
      <name val="Times New Roman"/>
      <family val="1"/>
    </font>
    <font>
      <sz val="12"/>
      <color theme="1"/>
      <name val="Times New Roman"/>
      <family val="1"/>
    </font>
    <font>
      <sz val="14"/>
      <color theme="1"/>
      <name val="Times New Roman"/>
      <family val="1"/>
    </font>
    <font>
      <sz val="16"/>
      <color theme="1"/>
      <name val="Times New Roman"/>
      <family val="1"/>
    </font>
    <font>
      <b/>
      <u/>
      <sz val="16"/>
      <color theme="1"/>
      <name val="Times New Roman"/>
      <family val="1"/>
    </font>
    <font>
      <sz val="18"/>
      <color theme="0"/>
      <name val="Times New Roman"/>
      <family val="1"/>
    </font>
    <font>
      <sz val="18"/>
      <name val="Times New Roman"/>
      <family val="1"/>
    </font>
    <font>
      <b/>
      <u/>
      <sz val="18"/>
      <color theme="1"/>
      <name val="Times New Roman"/>
      <family val="1"/>
    </font>
    <font>
      <b/>
      <sz val="22"/>
      <color theme="1"/>
      <name val="Times New Roman"/>
      <family val="1"/>
    </font>
    <font>
      <sz val="14"/>
      <name val="Times New Roman"/>
      <family val="1"/>
    </font>
    <font>
      <sz val="16"/>
      <color rgb="FF000000"/>
      <name val="Times New Roman"/>
      <family val="1"/>
    </font>
    <font>
      <sz val="16"/>
      <color rgb="FFFF0000"/>
      <name val="Calibri"/>
      <family val="2"/>
      <scheme val="minor"/>
    </font>
    <font>
      <b/>
      <sz val="12"/>
      <name val="Cambria"/>
      <family val="1"/>
      <scheme val="major"/>
    </font>
    <font>
      <b/>
      <sz val="14"/>
      <color theme="1"/>
      <name val="Calibri"/>
      <family val="2"/>
      <scheme val="minor"/>
    </font>
    <font>
      <sz val="20"/>
      <name val="Arial"/>
      <family val="2"/>
    </font>
    <font>
      <b/>
      <sz val="14"/>
      <name val="Arial"/>
      <family val="2"/>
    </font>
    <font>
      <b/>
      <sz val="12"/>
      <color rgb="FFFF0000"/>
      <name val="Calibri"/>
      <family val="2"/>
      <scheme val="minor"/>
    </font>
    <font>
      <sz val="16"/>
      <color theme="0"/>
      <name val="Calibri"/>
      <family val="2"/>
      <scheme val="minor"/>
    </font>
    <font>
      <sz val="14"/>
      <color theme="0"/>
      <name val="Calibri"/>
      <family val="2"/>
      <scheme val="minor"/>
    </font>
    <font>
      <b/>
      <sz val="16"/>
      <color theme="0"/>
      <name val="Calibri"/>
      <family val="2"/>
      <scheme val="minor"/>
    </font>
    <font>
      <b/>
      <sz val="14"/>
      <color theme="0"/>
      <name val="Calibri"/>
      <family val="2"/>
      <scheme val="minor"/>
    </font>
    <font>
      <b/>
      <sz val="12"/>
      <color theme="0"/>
      <name val="Calibri"/>
      <family val="2"/>
      <scheme val="minor"/>
    </font>
    <font>
      <b/>
      <sz val="11"/>
      <color theme="0"/>
      <name val="Calibri"/>
      <family val="2"/>
    </font>
    <font>
      <b/>
      <sz val="11"/>
      <color theme="1"/>
      <name val="Calibri"/>
      <family val="2"/>
    </font>
    <font>
      <b/>
      <sz val="9"/>
      <color theme="1"/>
      <name val="Calibri"/>
      <family val="2"/>
      <scheme val="minor"/>
    </font>
    <font>
      <b/>
      <sz val="22"/>
      <color theme="0"/>
      <name val="Calibri"/>
      <family val="2"/>
      <scheme val="minor"/>
    </font>
    <font>
      <b/>
      <sz val="16"/>
      <name val="Calibri"/>
      <family val="2"/>
      <scheme val="minor"/>
    </font>
    <font>
      <sz val="11"/>
      <color rgb="FFC00000"/>
      <name val="Times New Roman"/>
      <family val="1"/>
    </font>
    <font>
      <b/>
      <sz val="16"/>
      <color rgb="FFC00000"/>
      <name val="Times New Roman"/>
      <family val="1"/>
    </font>
    <font>
      <b/>
      <sz val="16"/>
      <color theme="1"/>
      <name val="Arial Narrow"/>
      <family val="2"/>
    </font>
    <font>
      <sz val="10"/>
      <color theme="1"/>
      <name val="Arial Narrow"/>
      <family val="2"/>
    </font>
    <font>
      <b/>
      <sz val="14"/>
      <color indexed="10"/>
      <name val="Calibri"/>
      <family val="2"/>
    </font>
    <font>
      <sz val="24"/>
      <color theme="1"/>
      <name val="Calibri"/>
      <family val="2"/>
      <scheme val="minor"/>
    </font>
    <font>
      <sz val="12"/>
      <color theme="1"/>
      <name val="Bookman Old Style"/>
      <family val="1"/>
    </font>
    <font>
      <sz val="9"/>
      <color theme="1"/>
      <name val="Arial"/>
      <family val="2"/>
    </font>
    <font>
      <sz val="9"/>
      <color theme="1"/>
      <name val="Calibri"/>
      <family val="2"/>
      <scheme val="minor"/>
    </font>
    <font>
      <b/>
      <sz val="18"/>
      <color rgb="FFFF0000"/>
      <name val="Calibri"/>
      <family val="2"/>
      <scheme val="minor"/>
    </font>
    <font>
      <sz val="22"/>
      <color theme="1"/>
      <name val="Calibri"/>
      <family val="2"/>
      <scheme val="minor"/>
    </font>
    <font>
      <sz val="6"/>
      <color theme="1"/>
      <name val="Arial Narrow"/>
      <family val="2"/>
    </font>
    <font>
      <sz val="6"/>
      <name val="Arial Narrow"/>
      <family val="2"/>
    </font>
    <font>
      <b/>
      <sz val="6"/>
      <color theme="1"/>
      <name val="Arial Narrow"/>
      <family val="2"/>
    </font>
    <font>
      <b/>
      <sz val="8"/>
      <color theme="1"/>
      <name val="Arial Narrow"/>
      <family val="2"/>
    </font>
    <font>
      <sz val="8"/>
      <color theme="1"/>
      <name val="Arial Narrow"/>
      <family val="2"/>
    </font>
    <font>
      <b/>
      <sz val="6"/>
      <name val="Arial Narrow"/>
      <family val="2"/>
    </font>
    <font>
      <b/>
      <sz val="24"/>
      <color theme="0"/>
      <name val="Times New Roman"/>
      <family val="1"/>
    </font>
    <font>
      <b/>
      <sz val="11"/>
      <color theme="0"/>
      <name val="Calibri"/>
      <family val="2"/>
      <scheme val="minor"/>
    </font>
    <font>
      <b/>
      <sz val="10"/>
      <name val="Calibri"/>
      <family val="2"/>
      <scheme val="minor"/>
    </font>
    <font>
      <sz val="14"/>
      <color theme="0"/>
      <name val="Webdings"/>
      <family val="1"/>
      <charset val="2"/>
    </font>
    <font>
      <sz val="18"/>
      <color theme="0"/>
      <name val="Britannic Bold"/>
      <family val="2"/>
    </font>
    <font>
      <b/>
      <sz val="20"/>
      <color theme="0"/>
      <name val="Calibri"/>
      <family val="2"/>
      <scheme val="minor"/>
    </font>
    <font>
      <sz val="11"/>
      <color theme="3" tint="0.39997558519241921"/>
      <name val="Calibri"/>
      <family val="2"/>
      <scheme val="minor"/>
    </font>
    <font>
      <sz val="11"/>
      <name val="Calibri"/>
      <family val="2"/>
      <scheme val="minor"/>
    </font>
    <font>
      <sz val="8"/>
      <color theme="0"/>
      <name val="Calibri"/>
      <family val="2"/>
      <scheme val="minor"/>
    </font>
    <font>
      <sz val="12"/>
      <color rgb="FFFF0000"/>
      <name val="Calibri"/>
      <family val="2"/>
      <scheme val="minor"/>
    </font>
    <font>
      <sz val="12"/>
      <name val="Calibri"/>
      <family val="2"/>
      <scheme val="minor"/>
    </font>
    <font>
      <b/>
      <sz val="28"/>
      <color theme="0"/>
      <name val="Wingdings"/>
      <charset val="2"/>
    </font>
    <font>
      <b/>
      <sz val="28"/>
      <color theme="0"/>
      <name val="Webdings"/>
      <family val="1"/>
      <charset val="2"/>
    </font>
    <font>
      <b/>
      <sz val="36"/>
      <color theme="0"/>
      <name val="Webdings"/>
      <family val="1"/>
      <charset val="2"/>
    </font>
    <font>
      <sz val="28"/>
      <color theme="0"/>
      <name val="Calibri"/>
      <family val="2"/>
      <scheme val="minor"/>
    </font>
    <font>
      <b/>
      <sz val="28"/>
      <color theme="0"/>
      <name val="Calibri"/>
      <family val="2"/>
      <scheme val="minor"/>
    </font>
    <font>
      <b/>
      <sz val="12"/>
      <color theme="0"/>
      <name val="Webdings"/>
      <family val="1"/>
      <charset val="2"/>
    </font>
    <font>
      <b/>
      <sz val="12"/>
      <color theme="0"/>
      <name val="Calibri"/>
      <family val="2"/>
    </font>
    <font>
      <b/>
      <sz val="12"/>
      <color theme="0"/>
      <name val="Wingdings"/>
      <charset val="2"/>
    </font>
    <font>
      <sz val="11"/>
      <color theme="10"/>
      <name val="Calibri"/>
      <family val="2"/>
    </font>
    <font>
      <b/>
      <sz val="29"/>
      <color theme="0"/>
      <name val="Webdings"/>
      <family val="1"/>
      <charset val="2"/>
    </font>
    <font>
      <sz val="29"/>
      <color theme="0"/>
      <name val="Calibri"/>
      <family val="2"/>
      <scheme val="minor"/>
    </font>
    <font>
      <b/>
      <sz val="20"/>
      <color theme="1"/>
      <name val="Arial Narrow"/>
      <family val="2"/>
    </font>
    <font>
      <sz val="8"/>
      <color theme="1"/>
      <name val="Calibri"/>
      <family val="2"/>
      <scheme val="minor"/>
    </font>
    <font>
      <i/>
      <sz val="11"/>
      <color theme="0"/>
      <name val="Calibri"/>
      <family val="2"/>
      <scheme val="minor"/>
    </font>
    <font>
      <i/>
      <sz val="10"/>
      <color theme="1"/>
      <name val="Calibri"/>
      <family val="2"/>
      <scheme val="minor"/>
    </font>
    <font>
      <i/>
      <sz val="8"/>
      <color theme="0"/>
      <name val="Calibri"/>
      <family val="2"/>
      <scheme val="minor"/>
    </font>
    <font>
      <sz val="11"/>
      <color rgb="FFFFFF00"/>
      <name val="Calibri"/>
      <family val="2"/>
      <scheme val="minor"/>
    </font>
    <font>
      <b/>
      <sz val="20"/>
      <color rgb="FFFFFF00"/>
      <name val="Calibri"/>
      <family val="2"/>
      <scheme val="minor"/>
    </font>
    <font>
      <b/>
      <sz val="40"/>
      <color theme="1"/>
      <name val="Arial Rounded MT Bold"/>
      <family val="2"/>
    </font>
    <font>
      <b/>
      <sz val="14"/>
      <color theme="1"/>
      <name val="Arial Rounded MT Bold"/>
      <family val="2"/>
    </font>
    <font>
      <b/>
      <sz val="24"/>
      <color theme="1"/>
      <name val="Arial Rounded MT Bold"/>
      <family val="2"/>
    </font>
    <font>
      <b/>
      <sz val="12"/>
      <color theme="1"/>
      <name val="Arial"/>
      <family val="2"/>
    </font>
    <font>
      <b/>
      <sz val="14"/>
      <color theme="1"/>
      <name val="Arial"/>
      <family val="2"/>
    </font>
    <font>
      <b/>
      <sz val="16"/>
      <color theme="1"/>
      <name val="Arial"/>
      <family val="2"/>
    </font>
    <font>
      <b/>
      <sz val="15"/>
      <color rgb="FF000000"/>
      <name val="Arial"/>
      <family val="2"/>
    </font>
    <font>
      <b/>
      <sz val="8"/>
      <color theme="1"/>
      <name val="Arial"/>
      <family val="2"/>
    </font>
    <font>
      <sz val="8"/>
      <color theme="1"/>
      <name val="Arial"/>
      <family val="2"/>
    </font>
    <font>
      <sz val="8"/>
      <color theme="1"/>
      <name val="Times New Roman"/>
      <family val="1"/>
    </font>
    <font>
      <i/>
      <sz val="8"/>
      <color theme="1"/>
      <name val="Arial"/>
      <family val="2"/>
    </font>
    <font>
      <b/>
      <i/>
      <sz val="8"/>
      <color theme="1"/>
      <name val="Arial"/>
      <family val="2"/>
    </font>
    <font>
      <b/>
      <sz val="15"/>
      <color theme="1"/>
      <name val="Arial"/>
      <family val="2"/>
    </font>
    <font>
      <b/>
      <sz val="4"/>
      <color theme="1"/>
      <name val="Arial"/>
      <family val="2"/>
    </font>
    <font>
      <b/>
      <sz val="13"/>
      <color theme="1"/>
      <name val="Arial"/>
      <family val="2"/>
    </font>
    <font>
      <b/>
      <sz val="10"/>
      <color theme="1"/>
      <name val="Arial"/>
      <family val="2"/>
    </font>
    <font>
      <sz val="10"/>
      <color theme="1"/>
      <name val="Arial"/>
      <family val="2"/>
    </font>
    <font>
      <sz val="10"/>
      <color rgb="FF000000"/>
      <name val="Arial"/>
      <family val="2"/>
    </font>
    <font>
      <sz val="7"/>
      <color theme="1"/>
      <name val="Times New Roman"/>
      <family val="1"/>
    </font>
    <font>
      <b/>
      <sz val="20"/>
      <color theme="9" tint="0.39997558519241921"/>
      <name val="Calibri"/>
      <family val="2"/>
      <scheme val="minor"/>
    </font>
    <font>
      <u/>
      <sz val="14"/>
      <color theme="10"/>
      <name val="Calibri"/>
      <family val="2"/>
    </font>
    <font>
      <sz val="11"/>
      <color theme="1"/>
      <name val="Arial Narrow"/>
      <family val="2"/>
    </font>
    <font>
      <sz val="11"/>
      <color rgb="FF231F20"/>
      <name val="Arial Narrow"/>
      <family val="2"/>
    </font>
    <font>
      <sz val="11"/>
      <color rgb="FF000000"/>
      <name val="Calibri"/>
      <family val="2"/>
    </font>
    <font>
      <sz val="12"/>
      <color theme="1"/>
      <name val="Calibri"/>
      <family val="2"/>
    </font>
    <font>
      <sz val="11"/>
      <color rgb="FF231F20"/>
      <name val="Calibri"/>
      <family val="2"/>
      <scheme val="minor"/>
    </font>
    <font>
      <sz val="12"/>
      <color rgb="FF000000"/>
      <name val="Calibri"/>
      <family val="2"/>
      <scheme val="minor"/>
    </font>
  </fonts>
  <fills count="52">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9" tint="-0.249977111117893"/>
        <bgColor indexed="64"/>
      </patternFill>
    </fill>
    <fill>
      <patternFill patternType="solid">
        <fgColor theme="0"/>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rgb="FF0070C0"/>
        <bgColor indexed="64"/>
      </patternFill>
    </fill>
    <fill>
      <patternFill patternType="solid">
        <fgColor rgb="FF00B050"/>
        <bgColor indexed="64"/>
      </patternFill>
    </fill>
    <fill>
      <patternFill patternType="solid">
        <fgColor rgb="FF92D050"/>
        <bgColor indexed="64"/>
      </patternFill>
    </fill>
    <fill>
      <patternFill patternType="solid">
        <fgColor rgb="FF00B0F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rgb="FFC0000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rgb="FFFFC000"/>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2"/>
        <bgColor indexed="64"/>
      </patternFill>
    </fill>
    <fill>
      <patternFill patternType="solid">
        <fgColor rgb="FFFFFF99"/>
        <bgColor indexed="64"/>
      </patternFill>
    </fill>
    <fill>
      <patternFill patternType="solid">
        <fgColor rgb="FFFF6699"/>
        <bgColor indexed="64"/>
      </patternFill>
    </fill>
    <fill>
      <patternFill patternType="solid">
        <fgColor rgb="FFFF0000"/>
        <bgColor indexed="64"/>
      </patternFill>
    </fill>
    <fill>
      <patternFill patternType="solid">
        <fgColor rgb="FF00E668"/>
        <bgColor indexed="64"/>
      </patternFill>
    </fill>
    <fill>
      <patternFill patternType="gray125">
        <bgColor theme="4" tint="0.79995117038483843"/>
      </patternFill>
    </fill>
    <fill>
      <patternFill patternType="solid">
        <fgColor theme="6" tint="-0.249977111117893"/>
        <bgColor indexed="64"/>
      </patternFill>
    </fill>
    <fill>
      <patternFill patternType="solid">
        <fgColor theme="1"/>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8"/>
        <bgColor indexed="64"/>
      </patternFill>
    </fill>
    <fill>
      <patternFill patternType="solid">
        <fgColor theme="6"/>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3" tint="0.39997558519241921"/>
        <bgColor indexed="64"/>
      </patternFill>
    </fill>
    <fill>
      <patternFill patternType="gray125">
        <bgColor theme="4" tint="0.79998168889431442"/>
      </patternFill>
    </fill>
    <fill>
      <patternFill patternType="solid">
        <fgColor rgb="FF339966"/>
        <bgColor indexed="64"/>
      </patternFill>
    </fill>
    <fill>
      <patternFill patternType="solid">
        <fgColor rgb="FF00CC66"/>
        <bgColor indexed="64"/>
      </patternFill>
    </fill>
    <fill>
      <patternFill patternType="solid">
        <fgColor theme="1" tint="0.249977111117893"/>
        <bgColor indexed="64"/>
      </patternFill>
    </fill>
    <fill>
      <patternFill patternType="solid">
        <fgColor theme="0" tint="-0.499984740745262"/>
        <bgColor indexed="64"/>
      </patternFill>
    </fill>
    <fill>
      <patternFill patternType="solid">
        <fgColor theme="7" tint="-0.249977111117893"/>
        <bgColor indexed="64"/>
      </patternFill>
    </fill>
    <fill>
      <patternFill patternType="solid">
        <fgColor theme="4" tint="-0.249977111117893"/>
        <bgColor indexed="64"/>
      </patternFill>
    </fill>
    <fill>
      <patternFill patternType="solid">
        <fgColor theme="6" tint="-0.499984740745262"/>
        <bgColor indexed="64"/>
      </patternFill>
    </fill>
    <fill>
      <patternFill patternType="solid">
        <fgColor rgb="FF002060"/>
        <bgColor indexed="64"/>
      </patternFill>
    </fill>
    <fill>
      <patternFill patternType="solid">
        <fgColor theme="7" tint="0.39997558519241921"/>
        <bgColor indexed="64"/>
      </patternFill>
    </fill>
  </fills>
  <borders count="5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diagonal/>
    </border>
    <border>
      <left/>
      <right style="thin">
        <color indexed="64"/>
      </right>
      <top/>
      <bottom/>
      <diagonal/>
    </border>
    <border>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9">
    <xf numFmtId="0" fontId="0" fillId="0" borderId="0"/>
    <xf numFmtId="0" fontId="21" fillId="0" borderId="0" applyNumberFormat="0" applyFill="0" applyBorder="0" applyAlignment="0" applyProtection="0">
      <alignment vertical="top"/>
      <protection locked="0"/>
    </xf>
    <xf numFmtId="43" fontId="47" fillId="0" borderId="0" applyFont="0" applyFill="0" applyBorder="0" applyAlignment="0" applyProtection="0"/>
    <xf numFmtId="43" fontId="47" fillId="0" borderId="0" applyFont="0" applyFill="0" applyBorder="0" applyAlignment="0" applyProtection="0"/>
    <xf numFmtId="0" fontId="36" fillId="0" borderId="0"/>
    <xf numFmtId="0" fontId="47" fillId="0" borderId="0"/>
    <xf numFmtId="0" fontId="2" fillId="0" borderId="0"/>
    <xf numFmtId="0" fontId="146" fillId="0" borderId="0"/>
    <xf numFmtId="0" fontId="1" fillId="0" borderId="0"/>
  </cellStyleXfs>
  <cellXfs count="1015">
    <xf numFmtId="0" fontId="0" fillId="0" borderId="0" xfId="0"/>
    <xf numFmtId="0" fontId="13" fillId="0" borderId="0" xfId="0" applyFont="1" applyFill="1" applyBorder="1" applyAlignment="1">
      <alignment vertical="center" wrapText="1"/>
    </xf>
    <xf numFmtId="0" fontId="0" fillId="0" borderId="0" xfId="0" applyFill="1"/>
    <xf numFmtId="0" fontId="6" fillId="0" borderId="0" xfId="0" applyFont="1" applyFill="1" applyBorder="1" applyAlignment="1">
      <alignment horizontal="center"/>
    </xf>
    <xf numFmtId="0" fontId="10" fillId="0" borderId="2" xfId="0" applyFont="1" applyFill="1" applyBorder="1" applyAlignment="1">
      <alignment horizontal="left" vertical="center" wrapText="1"/>
    </xf>
    <xf numFmtId="1" fontId="15" fillId="0" borderId="2" xfId="0" applyNumberFormat="1" applyFont="1" applyFill="1" applyBorder="1" applyAlignment="1" applyProtection="1">
      <alignment horizontal="center" vertical="center"/>
      <protection locked="0" hidden="1"/>
    </xf>
    <xf numFmtId="0" fontId="0" fillId="0" borderId="2" xfId="0" applyFill="1" applyBorder="1" applyAlignment="1">
      <alignment horizontal="center" vertical="center"/>
    </xf>
    <xf numFmtId="0" fontId="17" fillId="0" borderId="2" xfId="0" applyFont="1" applyFill="1" applyBorder="1" applyAlignment="1">
      <alignment horizontal="center" vertical="center"/>
    </xf>
    <xf numFmtId="1" fontId="4" fillId="0" borderId="2" xfId="0" applyNumberFormat="1" applyFont="1" applyFill="1" applyBorder="1" applyAlignment="1">
      <alignment horizontal="center" vertical="center" wrapText="1"/>
    </xf>
    <xf numFmtId="0" fontId="4" fillId="0" borderId="2" xfId="0" applyFont="1" applyFill="1" applyBorder="1" applyAlignment="1">
      <alignment horizontal="center" vertical="center" wrapText="1"/>
    </xf>
    <xf numFmtId="0" fontId="0" fillId="0" borderId="2" xfId="0" applyFill="1" applyBorder="1" applyAlignment="1">
      <alignment horizontal="center" vertical="center" wrapText="1"/>
    </xf>
    <xf numFmtId="1" fontId="18" fillId="0" borderId="2" xfId="0" applyNumberFormat="1" applyFont="1" applyFill="1" applyBorder="1" applyAlignment="1" applyProtection="1">
      <alignment horizontal="center" vertical="center"/>
      <protection locked="0" hidden="1"/>
    </xf>
    <xf numFmtId="0" fontId="0" fillId="0" borderId="5" xfId="0" applyFill="1" applyBorder="1"/>
    <xf numFmtId="0" fontId="0" fillId="0" borderId="2" xfId="0" applyFill="1" applyBorder="1" applyAlignment="1">
      <alignment vertical="center" wrapText="1"/>
    </xf>
    <xf numFmtId="0" fontId="0" fillId="0" borderId="0" xfId="0" applyFill="1" applyAlignment="1">
      <alignment vertical="center"/>
    </xf>
    <xf numFmtId="0" fontId="0" fillId="2" borderId="2" xfId="0" applyFill="1" applyBorder="1" applyAlignment="1">
      <alignment vertical="center"/>
    </xf>
    <xf numFmtId="0" fontId="0" fillId="2" borderId="2" xfId="0" applyFill="1" applyBorder="1" applyAlignment="1">
      <alignment vertical="center" wrapText="1"/>
    </xf>
    <xf numFmtId="0" fontId="14" fillId="0" borderId="4" xfId="0" quotePrefix="1" applyFont="1" applyFill="1" applyBorder="1" applyAlignment="1">
      <alignment horizontal="center" vertical="center" wrapText="1"/>
    </xf>
    <xf numFmtId="0" fontId="14" fillId="0" borderId="0" xfId="0" quotePrefix="1" applyFont="1" applyFill="1" applyBorder="1" applyAlignment="1">
      <alignment horizontal="center" vertical="center" wrapText="1"/>
    </xf>
    <xf numFmtId="0" fontId="0" fillId="0" borderId="0" xfId="0" applyAlignment="1">
      <alignment vertical="center"/>
    </xf>
    <xf numFmtId="0" fontId="0" fillId="0" borderId="2" xfId="0" applyBorder="1" applyAlignment="1">
      <alignment vertical="center" wrapText="1"/>
    </xf>
    <xf numFmtId="0" fontId="0" fillId="0" borderId="2" xfId="0" quotePrefix="1" applyBorder="1" applyAlignment="1">
      <alignment horizontal="center" vertical="center" wrapText="1"/>
    </xf>
    <xf numFmtId="0" fontId="0" fillId="0" borderId="0" xfId="0" applyAlignment="1">
      <alignment horizontal="center"/>
    </xf>
    <xf numFmtId="0" fontId="12" fillId="5" borderId="2" xfId="0" applyFont="1" applyFill="1" applyBorder="1" applyAlignment="1">
      <alignment horizontal="left" vertical="top" wrapText="1"/>
    </xf>
    <xf numFmtId="0" fontId="10" fillId="5" borderId="2" xfId="0" applyFont="1" applyFill="1" applyBorder="1" applyAlignment="1">
      <alignment horizontal="left" vertical="top" wrapText="1"/>
    </xf>
    <xf numFmtId="0" fontId="10" fillId="5" borderId="3" xfId="0" applyFont="1" applyFill="1" applyBorder="1" applyAlignment="1">
      <alignment horizontal="left" vertical="center" wrapText="1"/>
    </xf>
    <xf numFmtId="0" fontId="14" fillId="5" borderId="2" xfId="0" quotePrefix="1" applyFont="1" applyFill="1" applyBorder="1" applyAlignment="1">
      <alignment horizontal="center" vertical="center" wrapText="1"/>
    </xf>
    <xf numFmtId="0" fontId="12" fillId="17" borderId="2" xfId="0" applyFont="1" applyFill="1" applyBorder="1" applyAlignment="1">
      <alignment horizontal="left" vertical="center" wrapText="1"/>
    </xf>
    <xf numFmtId="0" fontId="14" fillId="17" borderId="4" xfId="0" quotePrefix="1" applyFont="1" applyFill="1" applyBorder="1" applyAlignment="1">
      <alignment horizontal="center" vertical="center" wrapText="1"/>
    </xf>
    <xf numFmtId="0" fontId="0" fillId="17" borderId="2" xfId="0" applyFill="1" applyBorder="1" applyAlignment="1">
      <alignment horizontal="center" vertical="center" wrapText="1"/>
    </xf>
    <xf numFmtId="0" fontId="10" fillId="13" borderId="2" xfId="0" applyFont="1" applyFill="1" applyBorder="1" applyAlignment="1">
      <alignment horizontal="left" vertical="center" wrapText="1"/>
    </xf>
    <xf numFmtId="0" fontId="12" fillId="13" borderId="2" xfId="0" applyFont="1" applyFill="1" applyBorder="1" applyAlignment="1">
      <alignment horizontal="left" vertical="center" wrapText="1"/>
    </xf>
    <xf numFmtId="0" fontId="10" fillId="13" borderId="4" xfId="0" applyFont="1" applyFill="1" applyBorder="1" applyAlignment="1">
      <alignment horizontal="left" vertical="center" wrapText="1"/>
    </xf>
    <xf numFmtId="1" fontId="15" fillId="13" borderId="2" xfId="0" applyNumberFormat="1" applyFont="1" applyFill="1" applyBorder="1" applyAlignment="1" applyProtection="1">
      <alignment horizontal="center" vertical="center"/>
      <protection locked="0" hidden="1"/>
    </xf>
    <xf numFmtId="164" fontId="16" fillId="13" borderId="2" xfId="0" applyNumberFormat="1" applyFont="1" applyFill="1" applyBorder="1" applyAlignment="1" applyProtection="1">
      <alignment horizontal="center" vertical="center"/>
      <protection locked="0" hidden="1"/>
    </xf>
    <xf numFmtId="1" fontId="18" fillId="13" borderId="2" xfId="0" applyNumberFormat="1" applyFont="1" applyFill="1" applyBorder="1" applyAlignment="1" applyProtection="1">
      <alignment horizontal="center" vertical="center"/>
      <protection locked="0" hidden="1"/>
    </xf>
    <xf numFmtId="0" fontId="0" fillId="0" borderId="2" xfId="0" applyFill="1" applyBorder="1"/>
    <xf numFmtId="0" fontId="17" fillId="10" borderId="2" xfId="0" applyFont="1" applyFill="1" applyBorder="1" applyAlignment="1" applyProtection="1">
      <alignment horizontal="center" vertical="center"/>
      <protection locked="0"/>
    </xf>
    <xf numFmtId="0" fontId="17" fillId="14" borderId="2" xfId="0" applyFont="1" applyFill="1" applyBorder="1" applyAlignment="1" applyProtection="1">
      <alignment horizontal="center" vertical="center"/>
      <protection locked="0"/>
    </xf>
    <xf numFmtId="0" fontId="17" fillId="14" borderId="2" xfId="0" applyFont="1" applyFill="1" applyBorder="1" applyAlignment="1" applyProtection="1">
      <alignment vertical="center"/>
      <protection locked="0"/>
    </xf>
    <xf numFmtId="0" fontId="17" fillId="14" borderId="2" xfId="0" applyFont="1" applyFill="1" applyBorder="1" applyAlignment="1" applyProtection="1">
      <alignment vertical="center" wrapText="1"/>
      <protection locked="0"/>
    </xf>
    <xf numFmtId="0" fontId="0" fillId="14" borderId="2" xfId="0" applyFill="1" applyBorder="1"/>
    <xf numFmtId="0" fontId="13" fillId="25" borderId="0" xfId="0" applyFont="1" applyFill="1" applyBorder="1" applyAlignment="1">
      <alignment vertical="center" wrapText="1"/>
    </xf>
    <xf numFmtId="0" fontId="0" fillId="25" borderId="2" xfId="0" applyFill="1" applyBorder="1" applyAlignment="1">
      <alignment vertical="center" wrapText="1"/>
    </xf>
    <xf numFmtId="0" fontId="0" fillId="0" borderId="2" xfId="0" applyFill="1" applyBorder="1" applyAlignment="1">
      <alignment vertical="center"/>
    </xf>
    <xf numFmtId="0" fontId="6" fillId="0" borderId="0" xfId="0" applyFont="1"/>
    <xf numFmtId="0" fontId="17" fillId="19" borderId="2" xfId="0" applyFont="1" applyFill="1" applyBorder="1" applyAlignment="1">
      <alignment horizontal="center"/>
    </xf>
    <xf numFmtId="0" fontId="17" fillId="20" borderId="2" xfId="0" applyFont="1" applyFill="1" applyBorder="1" applyAlignment="1">
      <alignment horizontal="center"/>
    </xf>
    <xf numFmtId="0" fontId="17" fillId="24" borderId="2" xfId="0" applyFont="1" applyFill="1" applyBorder="1" applyAlignment="1">
      <alignment horizontal="center"/>
    </xf>
    <xf numFmtId="0" fontId="17" fillId="0" borderId="0" xfId="0" applyFont="1"/>
    <xf numFmtId="0" fontId="17" fillId="10" borderId="2" xfId="0" applyFont="1" applyFill="1" applyBorder="1" applyAlignment="1" applyProtection="1">
      <alignment horizontal="left" vertical="center"/>
      <protection locked="0"/>
    </xf>
    <xf numFmtId="0" fontId="0" fillId="0" borderId="0" xfId="0" applyAlignment="1">
      <alignment horizontal="center" vertical="center"/>
    </xf>
    <xf numFmtId="0" fontId="17" fillId="21" borderId="2" xfId="0" applyFont="1" applyFill="1" applyBorder="1" applyAlignment="1">
      <alignment horizontal="center" vertical="center"/>
    </xf>
    <xf numFmtId="0" fontId="17" fillId="18" borderId="2" xfId="0" applyFont="1" applyFill="1" applyBorder="1" applyAlignment="1">
      <alignment horizontal="center" vertical="center"/>
    </xf>
    <xf numFmtId="0" fontId="9" fillId="2" borderId="2" xfId="0" applyFont="1" applyFill="1" applyBorder="1" applyAlignment="1" applyProtection="1">
      <alignment horizontal="center" vertical="center"/>
      <protection locked="0"/>
    </xf>
    <xf numFmtId="0" fontId="0" fillId="0" borderId="14" xfId="0" applyFill="1" applyBorder="1" applyAlignment="1">
      <alignment horizontal="center" vertical="center" wrapText="1"/>
    </xf>
    <xf numFmtId="0" fontId="0" fillId="0" borderId="2" xfId="0" applyFill="1" applyBorder="1" applyAlignment="1">
      <alignment vertical="top" wrapText="1"/>
    </xf>
    <xf numFmtId="0" fontId="0" fillId="0" borderId="0" xfId="0" applyProtection="1">
      <protection hidden="1"/>
    </xf>
    <xf numFmtId="0" fontId="0" fillId="7" borderId="0" xfId="0" applyFill="1" applyProtection="1">
      <protection hidden="1"/>
    </xf>
    <xf numFmtId="0" fontId="0" fillId="0" borderId="0" xfId="0" applyAlignment="1" applyProtection="1">
      <alignment horizontal="left"/>
      <protection hidden="1"/>
    </xf>
    <xf numFmtId="0" fontId="32" fillId="5" borderId="0" xfId="0" applyFont="1" applyFill="1" applyBorder="1" applyAlignment="1" applyProtection="1">
      <alignment horizontal="center" vertical="center"/>
      <protection hidden="1"/>
    </xf>
    <xf numFmtId="0" fontId="32" fillId="5" borderId="0" xfId="0" applyFont="1" applyFill="1" applyBorder="1" applyAlignment="1" applyProtection="1">
      <alignment vertical="center"/>
      <protection hidden="1"/>
    </xf>
    <xf numFmtId="0" fontId="33" fillId="5" borderId="0" xfId="0" applyFont="1" applyFill="1" applyBorder="1" applyAlignment="1" applyProtection="1">
      <alignment horizontal="center" vertical="center"/>
      <protection hidden="1"/>
    </xf>
    <xf numFmtId="0" fontId="20" fillId="0" borderId="0" xfId="0" applyFont="1" applyAlignment="1" applyProtection="1">
      <alignment horizontal="left" vertical="center"/>
      <protection hidden="1"/>
    </xf>
    <xf numFmtId="0" fontId="4" fillId="0" borderId="0" xfId="0" applyFont="1" applyBorder="1" applyAlignment="1" applyProtection="1">
      <alignment horizontal="center"/>
      <protection hidden="1"/>
    </xf>
    <xf numFmtId="0" fontId="0" fillId="0" borderId="0" xfId="0" applyBorder="1" applyProtection="1">
      <protection hidden="1"/>
    </xf>
    <xf numFmtId="0" fontId="34" fillId="0" borderId="0" xfId="0" applyFont="1" applyBorder="1" applyAlignment="1" applyProtection="1">
      <alignment horizontal="left" vertical="top" wrapText="1"/>
      <protection hidden="1"/>
    </xf>
    <xf numFmtId="0" fontId="0" fillId="0" borderId="0" xfId="0" applyBorder="1" applyAlignment="1" applyProtection="1">
      <protection hidden="1"/>
    </xf>
    <xf numFmtId="0" fontId="4" fillId="0" borderId="0" xfId="0" applyFont="1" applyBorder="1" applyAlignment="1" applyProtection="1">
      <alignment horizontal="center" vertical="center"/>
      <protection hidden="1"/>
    </xf>
    <xf numFmtId="0" fontId="0" fillId="0" borderId="0" xfId="0" applyFont="1" applyBorder="1" applyAlignment="1" applyProtection="1">
      <alignment vertical="top" wrapText="1"/>
      <protection hidden="1"/>
    </xf>
    <xf numFmtId="0" fontId="34" fillId="0" borderId="0" xfId="0" applyFont="1" applyBorder="1" applyAlignment="1" applyProtection="1">
      <alignment vertical="top" wrapText="1"/>
      <protection hidden="1"/>
    </xf>
    <xf numFmtId="0" fontId="11" fillId="0" borderId="0" xfId="0" applyFont="1" applyProtection="1">
      <protection hidden="1"/>
    </xf>
    <xf numFmtId="0" fontId="0" fillId="17" borderId="0" xfId="0" applyFill="1"/>
    <xf numFmtId="0" fontId="11" fillId="17" borderId="0" xfId="0" applyFont="1" applyFill="1" applyAlignment="1">
      <alignment horizontal="center"/>
    </xf>
    <xf numFmtId="0" fontId="11" fillId="17" borderId="0" xfId="0" applyFont="1" applyFill="1"/>
    <xf numFmtId="0" fontId="42" fillId="17" borderId="0" xfId="1" applyFont="1" applyFill="1" applyAlignment="1" applyProtection="1"/>
    <xf numFmtId="0" fontId="4" fillId="17" borderId="0" xfId="0" applyFont="1" applyFill="1"/>
    <xf numFmtId="0" fontId="5" fillId="2" borderId="0" xfId="0" applyFont="1" applyFill="1" applyBorder="1" applyAlignment="1"/>
    <xf numFmtId="0" fontId="0" fillId="0" borderId="0" xfId="0" applyAlignment="1" applyProtection="1">
      <alignment vertical="center"/>
    </xf>
    <xf numFmtId="0" fontId="25" fillId="0" borderId="0" xfId="0" applyFont="1" applyAlignment="1" applyProtection="1">
      <alignment vertical="center"/>
    </xf>
    <xf numFmtId="0" fontId="40" fillId="0" borderId="0" xfId="0" applyFont="1" applyAlignment="1" applyProtection="1">
      <alignment horizontal="left" vertical="center"/>
    </xf>
    <xf numFmtId="0" fontId="40" fillId="0" borderId="0" xfId="0" applyFont="1" applyAlignment="1" applyProtection="1">
      <alignment vertical="center"/>
    </xf>
    <xf numFmtId="0" fontId="40" fillId="0" borderId="0" xfId="0" quotePrefix="1" applyFont="1" applyAlignment="1" applyProtection="1">
      <alignment horizontal="left" vertical="center"/>
    </xf>
    <xf numFmtId="0" fontId="48" fillId="0" borderId="0" xfId="0" applyFont="1" applyBorder="1" applyProtection="1">
      <protection locked="0"/>
    </xf>
    <xf numFmtId="0" fontId="48" fillId="7" borderId="0" xfId="0" applyFont="1" applyFill="1" applyProtection="1">
      <protection hidden="1"/>
    </xf>
    <xf numFmtId="0" fontId="48" fillId="0" borderId="0" xfId="0" applyFont="1" applyProtection="1">
      <protection hidden="1"/>
    </xf>
    <xf numFmtId="0" fontId="48" fillId="0" borderId="0" xfId="0" applyFont="1" applyAlignment="1" applyProtection="1">
      <alignment horizontal="left"/>
      <protection hidden="1"/>
    </xf>
    <xf numFmtId="0" fontId="55" fillId="5" borderId="17" xfId="0" applyFont="1" applyFill="1" applyBorder="1" applyAlignment="1" applyProtection="1">
      <alignment horizontal="center" vertical="center"/>
      <protection hidden="1"/>
    </xf>
    <xf numFmtId="0" fontId="56" fillId="5" borderId="0" xfId="0" applyFont="1" applyFill="1" applyBorder="1" applyAlignment="1" applyProtection="1">
      <alignment horizontal="center" vertical="center"/>
      <protection hidden="1"/>
    </xf>
    <xf numFmtId="0" fontId="55" fillId="5" borderId="0" xfId="0" applyFont="1" applyFill="1" applyBorder="1" applyAlignment="1" applyProtection="1">
      <alignment horizontal="center" vertical="center"/>
      <protection hidden="1"/>
    </xf>
    <xf numFmtId="0" fontId="50" fillId="0" borderId="0" xfId="0" applyFont="1" applyAlignment="1" applyProtection="1">
      <alignment horizontal="left" vertical="center"/>
      <protection hidden="1"/>
    </xf>
    <xf numFmtId="0" fontId="48" fillId="0" borderId="0" xfId="0" applyFont="1" applyBorder="1"/>
    <xf numFmtId="0" fontId="56" fillId="5" borderId="0" xfId="0" applyFont="1" applyFill="1" applyBorder="1" applyAlignment="1" applyProtection="1">
      <alignment vertical="center"/>
      <protection hidden="1"/>
    </xf>
    <xf numFmtId="0" fontId="48" fillId="0" borderId="0" xfId="0" applyFont="1" applyAlignment="1" applyProtection="1">
      <alignment vertical="center"/>
      <protection hidden="1"/>
    </xf>
    <xf numFmtId="0" fontId="48" fillId="0" borderId="0" xfId="0" applyFont="1" applyAlignment="1" applyProtection="1">
      <alignment horizontal="center" vertical="center"/>
      <protection hidden="1"/>
    </xf>
    <xf numFmtId="0" fontId="48" fillId="0" borderId="0" xfId="0" applyFont="1" applyAlignment="1" applyProtection="1">
      <alignment horizontal="left" vertical="center"/>
      <protection hidden="1"/>
    </xf>
    <xf numFmtId="0" fontId="48" fillId="0" borderId="0" xfId="0" applyFont="1" applyBorder="1" applyAlignment="1">
      <alignment vertical="center"/>
    </xf>
    <xf numFmtId="0" fontId="50" fillId="0" borderId="0" xfId="0" applyFont="1" applyBorder="1" applyAlignment="1" applyProtection="1">
      <alignment horizontal="center"/>
      <protection hidden="1"/>
    </xf>
    <xf numFmtId="0" fontId="48" fillId="0" borderId="0" xfId="0" applyFont="1" applyBorder="1" applyAlignment="1" applyProtection="1">
      <alignment horizontal="left" vertical="top" wrapText="1"/>
      <protection hidden="1"/>
    </xf>
    <xf numFmtId="0" fontId="48" fillId="0" borderId="0" xfId="0" applyFont="1" applyBorder="1" applyAlignment="1" applyProtection="1">
      <alignment horizontal="left" vertical="center" wrapText="1"/>
      <protection hidden="1"/>
    </xf>
    <xf numFmtId="0" fontId="48" fillId="7" borderId="0" xfId="0" applyFont="1" applyFill="1" applyAlignment="1" applyProtection="1">
      <alignment vertical="center"/>
      <protection hidden="1"/>
    </xf>
    <xf numFmtId="0" fontId="48" fillId="0" borderId="0" xfId="0" applyFont="1" applyBorder="1" applyAlignment="1" applyProtection="1">
      <alignment vertical="center"/>
      <protection hidden="1"/>
    </xf>
    <xf numFmtId="0" fontId="48" fillId="0" borderId="0" xfId="0" applyFont="1" applyBorder="1" applyAlignment="1" applyProtection="1">
      <alignment vertical="center"/>
      <protection locked="0"/>
    </xf>
    <xf numFmtId="0" fontId="48" fillId="0" borderId="0" xfId="0" applyFont="1" applyBorder="1" applyAlignment="1" applyProtection="1">
      <alignment horizontal="left" vertical="center"/>
      <protection hidden="1"/>
    </xf>
    <xf numFmtId="0" fontId="48" fillId="0" borderId="0" xfId="0" applyFont="1" applyAlignment="1" applyProtection="1">
      <alignment horizontal="center"/>
      <protection hidden="1"/>
    </xf>
    <xf numFmtId="0" fontId="48" fillId="0" borderId="0" xfId="0" applyFont="1" applyBorder="1" applyProtection="1">
      <protection hidden="1"/>
    </xf>
    <xf numFmtId="0" fontId="48" fillId="0" borderId="6" xfId="0" applyFont="1" applyBorder="1" applyProtection="1">
      <protection hidden="1"/>
    </xf>
    <xf numFmtId="0" fontId="48" fillId="0" borderId="7" xfId="0" applyFont="1" applyBorder="1" applyProtection="1">
      <protection hidden="1"/>
    </xf>
    <xf numFmtId="0" fontId="48" fillId="0" borderId="8" xfId="0" applyFont="1" applyBorder="1" applyProtection="1">
      <protection hidden="1"/>
    </xf>
    <xf numFmtId="0" fontId="48" fillId="0" borderId="20" xfId="0" applyFont="1" applyBorder="1" applyProtection="1">
      <protection hidden="1"/>
    </xf>
    <xf numFmtId="0" fontId="48" fillId="0" borderId="21" xfId="0" applyFont="1" applyBorder="1" applyProtection="1">
      <protection hidden="1"/>
    </xf>
    <xf numFmtId="0" fontId="48" fillId="0" borderId="9" xfId="0" applyFont="1" applyBorder="1" applyProtection="1">
      <protection hidden="1"/>
    </xf>
    <xf numFmtId="0" fontId="48" fillId="0" borderId="10" xfId="0" applyFont="1" applyBorder="1" applyProtection="1">
      <protection hidden="1"/>
    </xf>
    <xf numFmtId="0" fontId="48" fillId="0" borderId="11" xfId="0" applyFont="1" applyBorder="1" applyProtection="1">
      <protection hidden="1"/>
    </xf>
    <xf numFmtId="0" fontId="58" fillId="0" borderId="0" xfId="0" applyFont="1" applyAlignment="1" applyProtection="1">
      <alignment horizontal="center"/>
      <protection hidden="1"/>
    </xf>
    <xf numFmtId="0" fontId="53" fillId="0" borderId="0" xfId="0" applyFont="1"/>
    <xf numFmtId="0" fontId="52" fillId="0" borderId="0" xfId="0" applyFont="1" applyAlignment="1">
      <alignment horizontal="left" vertical="center"/>
    </xf>
    <xf numFmtId="0" fontId="52" fillId="0" borderId="0" xfId="0" applyFont="1"/>
    <xf numFmtId="1" fontId="52" fillId="0" borderId="0" xfId="0" applyNumberFormat="1" applyFont="1" applyAlignment="1">
      <alignment horizontal="left" vertical="center"/>
    </xf>
    <xf numFmtId="0" fontId="52" fillId="0" borderId="0" xfId="0" applyFont="1" applyAlignment="1">
      <alignment vertical="center"/>
    </xf>
    <xf numFmtId="0" fontId="49" fillId="0" borderId="0" xfId="0" applyFont="1" applyAlignment="1">
      <alignment vertical="center"/>
    </xf>
    <xf numFmtId="0" fontId="53" fillId="0" borderId="2" xfId="0" applyFont="1" applyBorder="1" applyAlignment="1">
      <alignment horizontal="center" vertical="center"/>
    </xf>
    <xf numFmtId="0" fontId="53" fillId="0" borderId="0" xfId="0" applyFont="1" applyBorder="1" applyAlignment="1">
      <alignment horizontal="center" vertical="center"/>
    </xf>
    <xf numFmtId="0" fontId="53" fillId="0" borderId="0" xfId="0" applyFont="1" applyBorder="1" applyAlignment="1">
      <alignment horizontal="left" vertical="center"/>
    </xf>
    <xf numFmtId="0" fontId="53" fillId="0" borderId="2"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23" xfId="0" applyFont="1" applyBorder="1" applyAlignment="1">
      <alignment horizontal="center" vertical="center"/>
    </xf>
    <xf numFmtId="0" fontId="53" fillId="0" borderId="23" xfId="0" applyFont="1" applyBorder="1" applyAlignment="1">
      <alignment horizontal="center" vertical="center" wrapText="1"/>
    </xf>
    <xf numFmtId="0" fontId="53" fillId="0" borderId="23" xfId="0" applyFont="1" applyBorder="1" applyAlignment="1">
      <alignment vertical="center" wrapText="1"/>
    </xf>
    <xf numFmtId="0" fontId="49" fillId="0" borderId="0" xfId="0" applyFont="1"/>
    <xf numFmtId="0" fontId="53" fillId="0" borderId="2" xfId="0" quotePrefix="1" applyFont="1" applyBorder="1" applyAlignment="1">
      <alignment horizontal="center" vertical="center"/>
    </xf>
    <xf numFmtId="0" fontId="53" fillId="0" borderId="2" xfId="0" applyFont="1" applyBorder="1" applyAlignment="1">
      <alignment vertical="center"/>
    </xf>
    <xf numFmtId="0" fontId="60" fillId="0" borderId="0" xfId="0" applyFont="1" applyAlignment="1">
      <alignment horizontal="center"/>
    </xf>
    <xf numFmtId="0" fontId="53" fillId="0" borderId="0" xfId="0" applyFont="1" applyAlignment="1">
      <alignment horizontal="right"/>
    </xf>
    <xf numFmtId="0" fontId="53" fillId="0" borderId="0" xfId="0" applyFont="1" applyAlignment="1">
      <alignment horizontal="center"/>
    </xf>
    <xf numFmtId="0" fontId="51" fillId="30" borderId="2" xfId="0" applyFont="1" applyFill="1" applyBorder="1" applyAlignment="1">
      <alignment horizontal="center" vertical="center" wrapText="1"/>
    </xf>
    <xf numFmtId="0" fontId="51" fillId="30" borderId="2" xfId="0" applyFont="1" applyFill="1" applyBorder="1" applyAlignment="1">
      <alignment horizontal="center" vertical="center"/>
    </xf>
    <xf numFmtId="0" fontId="0" fillId="0" borderId="0" xfId="0" applyFill="1" applyProtection="1">
      <protection hidden="1"/>
    </xf>
    <xf numFmtId="0" fontId="10" fillId="5" borderId="3" xfId="0" applyFont="1" applyFill="1" applyBorder="1" applyAlignment="1" applyProtection="1">
      <alignment horizontal="left" vertical="center" wrapText="1"/>
      <protection hidden="1"/>
    </xf>
    <xf numFmtId="0" fontId="0" fillId="0" borderId="2" xfId="0" applyFill="1" applyBorder="1" applyAlignment="1" applyProtection="1">
      <alignment vertical="center"/>
      <protection hidden="1"/>
    </xf>
    <xf numFmtId="0" fontId="9" fillId="5" borderId="2" xfId="0" quotePrefix="1" applyFont="1" applyFill="1" applyBorder="1" applyAlignment="1" applyProtection="1">
      <alignment horizontal="center" vertical="center" wrapText="1"/>
      <protection hidden="1"/>
    </xf>
    <xf numFmtId="0" fontId="4" fillId="0" borderId="0" xfId="0" applyFont="1" applyFill="1" applyAlignment="1" applyProtection="1">
      <alignment horizontal="center" vertical="center"/>
      <protection hidden="1"/>
    </xf>
    <xf numFmtId="0" fontId="17" fillId="14" borderId="2" xfId="0" applyFont="1" applyFill="1" applyBorder="1" applyAlignment="1" applyProtection="1">
      <alignment horizontal="center" vertical="center"/>
      <protection hidden="1"/>
    </xf>
    <xf numFmtId="0" fontId="17" fillId="14" borderId="2" xfId="0" applyFont="1" applyFill="1" applyBorder="1" applyAlignment="1" applyProtection="1">
      <alignment vertical="center"/>
      <protection hidden="1"/>
    </xf>
    <xf numFmtId="0" fontId="17" fillId="14" borderId="2" xfId="0" applyFont="1" applyFill="1" applyBorder="1" applyAlignment="1" applyProtection="1">
      <alignment vertical="center" wrapText="1"/>
      <protection hidden="1"/>
    </xf>
    <xf numFmtId="0" fontId="0" fillId="0" borderId="2" xfId="0" applyFill="1" applyBorder="1" applyAlignment="1" applyProtection="1">
      <alignment horizontal="center" vertical="center"/>
      <protection hidden="1"/>
    </xf>
    <xf numFmtId="0" fontId="17" fillId="0" borderId="2" xfId="0" applyFont="1" applyFill="1" applyBorder="1" applyAlignment="1" applyProtection="1">
      <alignment horizontal="center" vertical="center"/>
      <protection hidden="1"/>
    </xf>
    <xf numFmtId="1" fontId="4" fillId="0" borderId="2" xfId="0" applyNumberFormat="1" applyFont="1" applyFill="1" applyBorder="1" applyAlignment="1" applyProtection="1">
      <alignment horizontal="center" vertical="center" wrapText="1"/>
      <protection hidden="1"/>
    </xf>
    <xf numFmtId="0" fontId="4" fillId="0" borderId="2" xfId="0" applyFont="1" applyFill="1" applyBorder="1" applyAlignment="1" applyProtection="1">
      <alignment horizontal="center" vertical="center" wrapText="1"/>
      <protection hidden="1"/>
    </xf>
    <xf numFmtId="0" fontId="0" fillId="0" borderId="2" xfId="0" applyFill="1" applyBorder="1" applyAlignment="1" applyProtection="1">
      <alignment horizontal="center" vertical="center" wrapText="1"/>
      <protection hidden="1"/>
    </xf>
    <xf numFmtId="0" fontId="0" fillId="25" borderId="2" xfId="0" applyFill="1" applyBorder="1" applyAlignment="1" applyProtection="1">
      <alignment vertical="center" wrapText="1"/>
      <protection hidden="1"/>
    </xf>
    <xf numFmtId="0" fontId="0" fillId="0" borderId="5" xfId="0" applyFill="1" applyBorder="1" applyProtection="1">
      <protection hidden="1"/>
    </xf>
    <xf numFmtId="0" fontId="0" fillId="2" borderId="2" xfId="0" applyFill="1" applyBorder="1" applyAlignment="1" applyProtection="1">
      <alignment vertical="center"/>
      <protection hidden="1"/>
    </xf>
    <xf numFmtId="0" fontId="0" fillId="0" borderId="0" xfId="0" applyFill="1" applyAlignment="1" applyProtection="1">
      <alignment vertical="center"/>
      <protection hidden="1"/>
    </xf>
    <xf numFmtId="0" fontId="0" fillId="14" borderId="2" xfId="0" applyFill="1" applyBorder="1" applyProtection="1">
      <protection hidden="1"/>
    </xf>
    <xf numFmtId="0" fontId="0" fillId="2" borderId="2" xfId="0" applyFill="1" applyBorder="1" applyAlignment="1" applyProtection="1">
      <alignment vertical="center" wrapText="1"/>
      <protection hidden="1"/>
    </xf>
    <xf numFmtId="0" fontId="0" fillId="0" borderId="2" xfId="0" applyFill="1" applyBorder="1" applyAlignment="1" applyProtection="1">
      <alignment vertical="center" wrapText="1"/>
      <protection hidden="1"/>
    </xf>
    <xf numFmtId="0" fontId="10" fillId="5" borderId="3" xfId="0" applyFont="1" applyFill="1" applyBorder="1" applyAlignment="1" applyProtection="1">
      <alignment horizontal="left" vertical="center" wrapText="1"/>
      <protection locked="0"/>
    </xf>
    <xf numFmtId="0" fontId="9" fillId="5" borderId="2" xfId="0" quotePrefix="1" applyFont="1" applyFill="1" applyBorder="1" applyAlignment="1" applyProtection="1">
      <alignment horizontal="center" vertical="center" wrapText="1"/>
      <protection locked="0"/>
    </xf>
    <xf numFmtId="0" fontId="0" fillId="0" borderId="2" xfId="0" applyFill="1" applyBorder="1" applyAlignment="1" applyProtection="1">
      <alignment horizontal="center" vertical="center"/>
      <protection locked="0"/>
    </xf>
    <xf numFmtId="0" fontId="17" fillId="0" borderId="2" xfId="0" applyFont="1" applyFill="1" applyBorder="1" applyAlignment="1" applyProtection="1">
      <alignment horizontal="center" vertical="center"/>
      <protection locked="0"/>
    </xf>
    <xf numFmtId="0" fontId="0" fillId="0" borderId="0" xfId="0" applyFont="1" applyProtection="1">
      <protection hidden="1"/>
    </xf>
    <xf numFmtId="0" fontId="3" fillId="0" borderId="0" xfId="0" applyFont="1" applyProtection="1">
      <protection hidden="1"/>
    </xf>
    <xf numFmtId="0" fontId="27" fillId="0" borderId="0" xfId="0" applyFont="1" applyAlignment="1" applyProtection="1">
      <alignment horizontal="center" vertical="center"/>
      <protection hidden="1"/>
    </xf>
    <xf numFmtId="0" fontId="0" fillId="3" borderId="2" xfId="0" applyFont="1" applyFill="1" applyBorder="1" applyAlignment="1" applyProtection="1">
      <alignment horizontal="center" vertical="center"/>
      <protection hidden="1"/>
    </xf>
    <xf numFmtId="0" fontId="25" fillId="3" borderId="2" xfId="0" applyFont="1" applyFill="1" applyBorder="1" applyAlignment="1" applyProtection="1">
      <alignment horizontal="center" vertical="center"/>
      <protection hidden="1"/>
    </xf>
    <xf numFmtId="0" fontId="25" fillId="3" borderId="2" xfId="0" applyFont="1" applyFill="1" applyBorder="1" applyAlignment="1" applyProtection="1">
      <alignment horizontal="left" vertical="center" wrapText="1"/>
      <protection hidden="1"/>
    </xf>
    <xf numFmtId="0" fontId="0" fillId="0" borderId="0" xfId="0" applyAlignment="1" applyProtection="1">
      <alignment vertical="center"/>
      <protection hidden="1"/>
    </xf>
    <xf numFmtId="0" fontId="0" fillId="12" borderId="2" xfId="0" applyFill="1" applyBorder="1" applyAlignment="1" applyProtection="1">
      <alignment vertical="top" wrapText="1"/>
      <protection hidden="1"/>
    </xf>
    <xf numFmtId="0" fontId="14" fillId="3" borderId="2" xfId="0" applyFont="1" applyFill="1" applyBorder="1" applyAlignment="1" applyProtection="1">
      <alignment horizontal="center" vertical="center"/>
      <protection hidden="1"/>
    </xf>
    <xf numFmtId="0" fontId="12" fillId="5" borderId="2" xfId="0" applyFont="1" applyFill="1" applyBorder="1" applyAlignment="1" applyProtection="1">
      <alignment horizontal="left" vertical="top" wrapText="1"/>
      <protection locked="0"/>
    </xf>
    <xf numFmtId="0" fontId="0" fillId="4" borderId="0" xfId="0" applyFill="1" applyProtection="1">
      <protection hidden="1"/>
    </xf>
    <xf numFmtId="0" fontId="0" fillId="4" borderId="0" xfId="0" applyFill="1" applyAlignment="1" applyProtection="1">
      <alignment horizontal="center"/>
      <protection hidden="1"/>
    </xf>
    <xf numFmtId="0" fontId="0" fillId="19" borderId="2" xfId="0" applyFill="1" applyBorder="1" applyAlignment="1" applyProtection="1">
      <alignment horizontal="center" vertical="center"/>
      <protection hidden="1"/>
    </xf>
    <xf numFmtId="0" fontId="0" fillId="19" borderId="2" xfId="0" applyFill="1" applyBorder="1" applyAlignment="1" applyProtection="1">
      <alignment horizontal="center" wrapText="1"/>
      <protection hidden="1"/>
    </xf>
    <xf numFmtId="0" fontId="0" fillId="26" borderId="2" xfId="0" applyFill="1" applyBorder="1" applyAlignment="1" applyProtection="1">
      <alignment horizontal="center" vertical="center"/>
      <protection hidden="1"/>
    </xf>
    <xf numFmtId="0" fontId="0" fillId="26" borderId="2" xfId="0" applyFill="1" applyBorder="1" applyAlignment="1" applyProtection="1">
      <alignment horizontal="center" wrapText="1"/>
      <protection hidden="1"/>
    </xf>
    <xf numFmtId="0" fontId="0" fillId="26" borderId="4" xfId="0" applyFill="1" applyBorder="1" applyAlignment="1" applyProtection="1">
      <alignment horizontal="center" vertical="center"/>
      <protection hidden="1"/>
    </xf>
    <xf numFmtId="0" fontId="0" fillId="7" borderId="2" xfId="0" applyFill="1" applyBorder="1" applyAlignment="1" applyProtection="1">
      <alignment horizontal="center" vertical="center"/>
      <protection hidden="1"/>
    </xf>
    <xf numFmtId="0" fontId="0" fillId="7" borderId="2" xfId="0" applyFill="1" applyBorder="1" applyAlignment="1" applyProtection="1">
      <alignment horizontal="center" wrapText="1"/>
      <protection hidden="1"/>
    </xf>
    <xf numFmtId="0" fontId="0" fillId="27" borderId="2" xfId="0" applyFill="1" applyBorder="1" applyAlignment="1" applyProtection="1">
      <alignment horizontal="center" vertical="center"/>
      <protection hidden="1"/>
    </xf>
    <xf numFmtId="0" fontId="0" fillId="27" borderId="2" xfId="0" applyFill="1" applyBorder="1" applyAlignment="1" applyProtection="1">
      <alignment horizontal="center" wrapText="1"/>
      <protection hidden="1"/>
    </xf>
    <xf numFmtId="0" fontId="0" fillId="2" borderId="2" xfId="0" applyFill="1" applyBorder="1" applyAlignment="1" applyProtection="1">
      <alignment horizontal="center" vertical="center"/>
      <protection hidden="1"/>
    </xf>
    <xf numFmtId="0" fontId="0" fillId="2" borderId="2" xfId="0" applyFill="1" applyBorder="1" applyAlignment="1" applyProtection="1">
      <alignment horizontal="center" wrapText="1"/>
      <protection hidden="1"/>
    </xf>
    <xf numFmtId="0" fontId="0" fillId="31" borderId="2" xfId="0" applyFill="1" applyBorder="1" applyAlignment="1" applyProtection="1">
      <alignment horizontal="center" vertical="center"/>
      <protection hidden="1"/>
    </xf>
    <xf numFmtId="0" fontId="0" fillId="31" borderId="2" xfId="0" applyFill="1" applyBorder="1" applyAlignment="1" applyProtection="1">
      <alignment horizontal="center" wrapText="1"/>
      <protection hidden="1"/>
    </xf>
    <xf numFmtId="0" fontId="0" fillId="19" borderId="2" xfId="0" applyFill="1" applyBorder="1" applyAlignment="1" applyProtection="1">
      <alignment horizontal="center" vertical="center" wrapText="1"/>
      <protection hidden="1"/>
    </xf>
    <xf numFmtId="0" fontId="0" fillId="19" borderId="0" xfId="0" applyFill="1" applyAlignment="1" applyProtection="1">
      <alignment horizontal="center" vertical="center"/>
      <protection hidden="1"/>
    </xf>
    <xf numFmtId="0" fontId="0" fillId="24" borderId="2" xfId="0" applyFill="1" applyBorder="1" applyAlignment="1" applyProtection="1">
      <alignment horizontal="center" vertical="center"/>
      <protection hidden="1"/>
    </xf>
    <xf numFmtId="0" fontId="0" fillId="24" borderId="2" xfId="0" applyFill="1" applyBorder="1" applyAlignment="1" applyProtection="1">
      <alignment horizontal="center" vertical="center" wrapText="1"/>
      <protection hidden="1"/>
    </xf>
    <xf numFmtId="0" fontId="0" fillId="24" borderId="0" xfId="0" applyFill="1" applyAlignment="1" applyProtection="1">
      <alignment horizontal="center" vertical="center"/>
      <protection hidden="1"/>
    </xf>
    <xf numFmtId="0" fontId="0" fillId="16" borderId="2" xfId="0" applyFill="1" applyBorder="1" applyAlignment="1" applyProtection="1">
      <alignment horizontal="center" vertical="center"/>
      <protection hidden="1"/>
    </xf>
    <xf numFmtId="0" fontId="0" fillId="16" borderId="2" xfId="0" applyFill="1" applyBorder="1" applyAlignment="1" applyProtection="1">
      <alignment horizontal="center" vertical="center" wrapText="1"/>
      <protection hidden="1"/>
    </xf>
    <xf numFmtId="0" fontId="0" fillId="16" borderId="0" xfId="0" applyFill="1" applyAlignment="1" applyProtection="1">
      <alignment horizontal="center" vertical="center"/>
      <protection hidden="1"/>
    </xf>
    <xf numFmtId="0" fontId="0" fillId="4" borderId="2" xfId="0" applyFill="1" applyBorder="1" applyAlignment="1" applyProtection="1">
      <alignment horizontal="center" vertical="center"/>
      <protection hidden="1"/>
    </xf>
    <xf numFmtId="0" fontId="0" fillId="4" borderId="2" xfId="0" applyFill="1" applyBorder="1" applyAlignment="1" applyProtection="1">
      <alignment horizontal="center" vertical="center" wrapText="1"/>
      <protection hidden="1"/>
    </xf>
    <xf numFmtId="0" fontId="0" fillId="4" borderId="0" xfId="0" applyFill="1" applyAlignment="1" applyProtection="1">
      <alignment horizontal="center" vertical="center"/>
      <protection hidden="1"/>
    </xf>
    <xf numFmtId="0" fontId="0" fillId="18" borderId="2" xfId="0" applyFill="1" applyBorder="1" applyAlignment="1" applyProtection="1">
      <alignment horizontal="center" vertical="center"/>
      <protection hidden="1"/>
    </xf>
    <xf numFmtId="0" fontId="0" fillId="18" borderId="2" xfId="0" applyFill="1" applyBorder="1" applyAlignment="1" applyProtection="1">
      <alignment horizontal="center" vertical="center" wrapText="1"/>
      <protection hidden="1"/>
    </xf>
    <xf numFmtId="0" fontId="0" fillId="18" borderId="0" xfId="0" applyFill="1" applyAlignment="1" applyProtection="1">
      <alignment horizontal="center" vertical="center"/>
      <protection hidden="1"/>
    </xf>
    <xf numFmtId="0" fontId="0" fillId="10" borderId="2" xfId="0" applyFill="1" applyBorder="1" applyAlignment="1" applyProtection="1">
      <alignment horizontal="center" vertical="center"/>
      <protection hidden="1"/>
    </xf>
    <xf numFmtId="0" fontId="0" fillId="10" borderId="2" xfId="0" applyFill="1" applyBorder="1" applyAlignment="1" applyProtection="1">
      <alignment horizontal="center" vertical="center" wrapText="1"/>
      <protection hidden="1"/>
    </xf>
    <xf numFmtId="0" fontId="0" fillId="10" borderId="0" xfId="0" applyFill="1" applyAlignment="1" applyProtection="1">
      <alignment horizontal="center" vertical="center"/>
      <protection hidden="1"/>
    </xf>
    <xf numFmtId="0" fontId="0" fillId="27" borderId="2" xfId="0" applyFill="1" applyBorder="1" applyAlignment="1" applyProtection="1">
      <alignment horizontal="center" vertical="center" wrapText="1"/>
      <protection hidden="1"/>
    </xf>
    <xf numFmtId="0" fontId="0" fillId="27" borderId="0" xfId="0" applyFill="1" applyAlignment="1" applyProtection="1">
      <alignment horizontal="center" vertical="center"/>
      <protection hidden="1"/>
    </xf>
    <xf numFmtId="0" fontId="0" fillId="22" borderId="2" xfId="0" applyFill="1" applyBorder="1" applyAlignment="1" applyProtection="1">
      <alignment horizontal="center" vertical="center"/>
      <protection hidden="1"/>
    </xf>
    <xf numFmtId="0" fontId="0" fillId="22" borderId="2" xfId="0" applyFill="1" applyBorder="1" applyAlignment="1" applyProtection="1">
      <alignment horizontal="center" vertical="center" wrapText="1"/>
      <protection hidden="1"/>
    </xf>
    <xf numFmtId="0" fontId="0" fillId="22" borderId="0" xfId="0" applyFill="1" applyAlignment="1" applyProtection="1">
      <alignment horizontal="center" vertical="center"/>
      <protection hidden="1"/>
    </xf>
    <xf numFmtId="0" fontId="0" fillId="28" borderId="2" xfId="0" applyFill="1" applyBorder="1" applyAlignment="1" applyProtection="1">
      <alignment horizontal="center" vertical="center"/>
      <protection hidden="1"/>
    </xf>
    <xf numFmtId="0" fontId="0" fillId="28" borderId="2" xfId="0" applyFill="1" applyBorder="1" applyAlignment="1" applyProtection="1">
      <alignment horizontal="center" vertical="center" wrapText="1"/>
      <protection hidden="1"/>
    </xf>
    <xf numFmtId="0" fontId="0" fillId="28" borderId="0" xfId="0" applyFill="1" applyAlignment="1" applyProtection="1">
      <alignment horizontal="center" vertical="center"/>
      <protection hidden="1"/>
    </xf>
    <xf numFmtId="0" fontId="0" fillId="20" borderId="2" xfId="0" applyFill="1" applyBorder="1" applyAlignment="1" applyProtection="1">
      <alignment horizontal="center" vertical="center"/>
      <protection hidden="1"/>
    </xf>
    <xf numFmtId="0" fontId="0" fillId="20" borderId="2" xfId="0" applyFill="1" applyBorder="1" applyAlignment="1" applyProtection="1">
      <alignment horizontal="center" vertical="center" wrapText="1"/>
      <protection hidden="1"/>
    </xf>
    <xf numFmtId="0" fontId="0" fillId="20" borderId="0" xfId="0" applyFill="1" applyAlignment="1" applyProtection="1">
      <alignment horizontal="center" vertical="center"/>
      <protection hidden="1"/>
    </xf>
    <xf numFmtId="0" fontId="0" fillId="21" borderId="2" xfId="0" applyFill="1" applyBorder="1" applyAlignment="1" applyProtection="1">
      <alignment horizontal="center" vertical="center"/>
      <protection hidden="1"/>
    </xf>
    <xf numFmtId="0" fontId="0" fillId="21" borderId="2" xfId="0" applyFill="1" applyBorder="1" applyAlignment="1" applyProtection="1">
      <alignment horizontal="center" vertical="center" wrapText="1"/>
      <protection hidden="1"/>
    </xf>
    <xf numFmtId="0" fontId="0" fillId="21" borderId="0" xfId="0" applyFill="1" applyAlignment="1" applyProtection="1">
      <alignment horizontal="center" vertical="center"/>
      <protection hidden="1"/>
    </xf>
    <xf numFmtId="0" fontId="0" fillId="23" borderId="2" xfId="0" applyFill="1" applyBorder="1" applyAlignment="1" applyProtection="1">
      <alignment horizontal="center" vertical="center"/>
      <protection hidden="1"/>
    </xf>
    <xf numFmtId="0" fontId="0" fillId="23" borderId="2" xfId="0" applyFill="1" applyBorder="1" applyAlignment="1" applyProtection="1">
      <alignment horizontal="center" vertical="center" wrapText="1"/>
      <protection hidden="1"/>
    </xf>
    <xf numFmtId="0" fontId="0" fillId="23" borderId="0" xfId="0" applyFill="1" applyAlignment="1" applyProtection="1">
      <alignment horizontal="center" vertical="center"/>
      <protection hidden="1"/>
    </xf>
    <xf numFmtId="0" fontId="0" fillId="29" borderId="2" xfId="0" applyFill="1" applyBorder="1" applyAlignment="1" applyProtection="1">
      <alignment horizontal="center" vertical="center"/>
      <protection hidden="1"/>
    </xf>
    <xf numFmtId="0" fontId="0" fillId="29" borderId="2" xfId="0" applyFill="1" applyBorder="1" applyAlignment="1" applyProtection="1">
      <alignment horizontal="center" vertical="center" wrapText="1"/>
      <protection hidden="1"/>
    </xf>
    <xf numFmtId="0" fontId="0" fillId="29" borderId="0" xfId="0" applyFill="1" applyAlignment="1" applyProtection="1">
      <alignment horizontal="center" vertical="center"/>
      <protection hidden="1"/>
    </xf>
    <xf numFmtId="0" fontId="0" fillId="11" borderId="2" xfId="0" applyFill="1" applyBorder="1" applyAlignment="1" applyProtection="1">
      <alignment horizontal="center" vertical="center"/>
      <protection hidden="1"/>
    </xf>
    <xf numFmtId="0" fontId="0" fillId="11" borderId="2" xfId="0" applyFill="1" applyBorder="1" applyAlignment="1" applyProtection="1">
      <alignment horizontal="center" vertical="center" wrapText="1"/>
      <protection hidden="1"/>
    </xf>
    <xf numFmtId="0" fontId="0" fillId="11" borderId="0" xfId="0" applyFill="1" applyAlignment="1" applyProtection="1">
      <alignment horizontal="center" vertical="center"/>
      <protection hidden="1"/>
    </xf>
    <xf numFmtId="0" fontId="0" fillId="18" borderId="2" xfId="0" applyFill="1" applyBorder="1" applyAlignment="1" applyProtection="1">
      <alignment horizontal="center"/>
      <protection hidden="1"/>
    </xf>
    <xf numFmtId="0" fontId="17" fillId="10" borderId="2" xfId="0" applyFont="1" applyFill="1" applyBorder="1" applyAlignment="1" applyProtection="1">
      <alignment horizontal="center" vertical="center"/>
      <protection hidden="1"/>
    </xf>
    <xf numFmtId="0" fontId="17" fillId="10" borderId="2" xfId="0" applyFont="1" applyFill="1" applyBorder="1" applyAlignment="1" applyProtection="1">
      <alignment horizontal="left" vertical="center"/>
      <protection hidden="1"/>
    </xf>
    <xf numFmtId="0" fontId="30" fillId="18" borderId="2" xfId="0" applyFont="1" applyFill="1" applyBorder="1" applyAlignment="1" applyProtection="1">
      <alignment vertical="top" wrapText="1"/>
      <protection hidden="1"/>
    </xf>
    <xf numFmtId="1" fontId="30" fillId="18" borderId="2" xfId="0" applyNumberFormat="1" applyFont="1" applyFill="1" applyBorder="1" applyAlignment="1" applyProtection="1">
      <alignment horizontal="center" vertical="center" wrapText="1"/>
      <protection hidden="1"/>
    </xf>
    <xf numFmtId="0" fontId="0" fillId="17" borderId="2" xfId="0" applyFill="1" applyBorder="1" applyAlignment="1" applyProtection="1">
      <alignment vertical="top" wrapText="1"/>
      <protection hidden="1"/>
    </xf>
    <xf numFmtId="1" fontId="0" fillId="17" borderId="2" xfId="0" applyNumberFormat="1" applyFill="1" applyBorder="1" applyAlignment="1" applyProtection="1">
      <alignment horizontal="center" vertical="center" wrapText="1"/>
      <protection hidden="1"/>
    </xf>
    <xf numFmtId="1" fontId="0" fillId="17" borderId="2" xfId="0" applyNumberFormat="1" applyFill="1" applyBorder="1" applyAlignment="1" applyProtection="1">
      <alignment vertical="top" wrapText="1"/>
      <protection hidden="1"/>
    </xf>
    <xf numFmtId="0" fontId="0" fillId="0" borderId="0" xfId="0" applyAlignment="1" applyProtection="1">
      <alignment horizontal="center"/>
      <protection hidden="1"/>
    </xf>
    <xf numFmtId="0" fontId="51" fillId="0" borderId="0" xfId="0" applyFont="1" applyBorder="1" applyAlignment="1">
      <alignment horizontal="center" vertical="center"/>
    </xf>
    <xf numFmtId="0" fontId="51" fillId="0" borderId="0" xfId="0" applyFont="1" applyBorder="1" applyAlignment="1">
      <alignment horizontal="center" vertical="center" wrapText="1"/>
    </xf>
    <xf numFmtId="0" fontId="51" fillId="0" borderId="0" xfId="0" applyFont="1" applyBorder="1" applyAlignment="1">
      <alignment vertical="center" wrapText="1"/>
    </xf>
    <xf numFmtId="0" fontId="51" fillId="0" borderId="0" xfId="0" applyFont="1" applyBorder="1" applyAlignment="1">
      <alignment horizontal="right" vertical="center" wrapText="1"/>
    </xf>
    <xf numFmtId="0" fontId="53" fillId="0" borderId="0" xfId="0" applyFont="1" applyBorder="1" applyAlignment="1">
      <alignment horizontal="center" vertical="center" wrapText="1"/>
    </xf>
    <xf numFmtId="0" fontId="53" fillId="0" borderId="0" xfId="0" applyFont="1" applyBorder="1" applyAlignment="1">
      <alignment horizontal="left" vertical="center" wrapText="1"/>
    </xf>
    <xf numFmtId="0" fontId="53" fillId="0" borderId="13" xfId="0" applyFont="1" applyBorder="1" applyAlignment="1">
      <alignment horizontal="left" vertical="center"/>
    </xf>
    <xf numFmtId="0" fontId="53" fillId="0" borderId="2" xfId="0" applyFont="1" applyBorder="1" applyAlignment="1">
      <alignment horizontal="center" vertical="center"/>
    </xf>
    <xf numFmtId="0" fontId="0" fillId="0" borderId="2" xfId="0" applyBorder="1" applyAlignment="1">
      <alignment horizontal="center" vertical="center" wrapText="1"/>
    </xf>
    <xf numFmtId="0" fontId="53" fillId="0" borderId="0" xfId="0" applyFont="1" applyBorder="1" applyAlignment="1" applyProtection="1">
      <protection hidden="1"/>
    </xf>
    <xf numFmtId="0" fontId="76" fillId="5" borderId="2" xfId="0" applyFont="1" applyFill="1" applyBorder="1" applyAlignment="1" applyProtection="1">
      <alignment vertical="center"/>
      <protection locked="0"/>
    </xf>
    <xf numFmtId="0" fontId="63" fillId="5" borderId="2" xfId="0" applyFont="1" applyFill="1" applyBorder="1" applyAlignment="1" applyProtection="1">
      <alignment vertical="center" wrapText="1"/>
      <protection locked="0"/>
    </xf>
    <xf numFmtId="0" fontId="63" fillId="5" borderId="2" xfId="0" applyFont="1" applyFill="1" applyBorder="1" applyAlignment="1" applyProtection="1">
      <alignment vertical="center"/>
      <protection locked="0"/>
    </xf>
    <xf numFmtId="0" fontId="28" fillId="17" borderId="2" xfId="0" applyFont="1" applyFill="1" applyBorder="1" applyAlignment="1">
      <alignment horizontal="center" vertical="center" wrapText="1"/>
    </xf>
    <xf numFmtId="0" fontId="28" fillId="16" borderId="2" xfId="0" applyFont="1" applyFill="1" applyBorder="1" applyAlignment="1">
      <alignment horizontal="center" vertical="center" wrapText="1"/>
    </xf>
    <xf numFmtId="0" fontId="28" fillId="13" borderId="2" xfId="0" applyFont="1" applyFill="1" applyBorder="1" applyAlignment="1">
      <alignment horizontal="center" vertical="center" wrapText="1"/>
    </xf>
    <xf numFmtId="0" fontId="28" fillId="19" borderId="2" xfId="0" applyFont="1" applyFill="1" applyBorder="1" applyAlignment="1">
      <alignment horizontal="center" vertical="center" wrapText="1"/>
    </xf>
    <xf numFmtId="0" fontId="0" fillId="10" borderId="2" xfId="0" applyFill="1" applyBorder="1" applyAlignment="1">
      <alignment vertical="center" wrapText="1"/>
    </xf>
    <xf numFmtId="0" fontId="0" fillId="5" borderId="0" xfId="0" applyFill="1" applyBorder="1"/>
    <xf numFmtId="0" fontId="20" fillId="37" borderId="2" xfId="0" applyFont="1" applyFill="1" applyBorder="1" applyAlignment="1">
      <alignment horizontal="center" vertical="center"/>
    </xf>
    <xf numFmtId="0" fontId="20" fillId="37" borderId="4" xfId="0" applyFont="1" applyFill="1" applyBorder="1" applyAlignment="1">
      <alignment horizontal="center" vertical="center"/>
    </xf>
    <xf numFmtId="0" fontId="0" fillId="0" borderId="5" xfId="0" applyFill="1" applyBorder="1" applyAlignment="1">
      <alignment wrapText="1"/>
    </xf>
    <xf numFmtId="0" fontId="80" fillId="37" borderId="2" xfId="0" applyFont="1" applyFill="1" applyBorder="1" applyAlignment="1" applyProtection="1">
      <alignment horizontal="left" vertical="center" wrapText="1"/>
    </xf>
    <xf numFmtId="0" fontId="80" fillId="37" borderId="4" xfId="0" applyFont="1" applyFill="1" applyBorder="1" applyAlignment="1" applyProtection="1">
      <alignment horizontal="left" vertical="center" wrapText="1"/>
    </xf>
    <xf numFmtId="0" fontId="12" fillId="5" borderId="3" xfId="0" applyFont="1" applyFill="1" applyBorder="1" applyAlignment="1" applyProtection="1">
      <alignment horizontal="left" vertical="top" wrapText="1"/>
      <protection locked="0"/>
    </xf>
    <xf numFmtId="0" fontId="49" fillId="0" borderId="0" xfId="0" applyFont="1" applyBorder="1" applyAlignment="1">
      <alignment horizontal="left" vertical="center"/>
    </xf>
    <xf numFmtId="0" fontId="53" fillId="0" borderId="0" xfId="0" applyFont="1" applyBorder="1"/>
    <xf numFmtId="0" fontId="53" fillId="0" borderId="2" xfId="0" applyFont="1" applyBorder="1" applyAlignment="1">
      <alignment horizontal="center" vertical="center" wrapText="1"/>
    </xf>
    <xf numFmtId="0" fontId="0" fillId="15" borderId="0" xfId="0" applyFill="1" applyProtection="1">
      <protection hidden="1"/>
    </xf>
    <xf numFmtId="0" fontId="0" fillId="5" borderId="0" xfId="0" applyFill="1" applyProtection="1">
      <protection hidden="1"/>
    </xf>
    <xf numFmtId="0" fontId="46" fillId="5" borderId="0" xfId="1" applyFont="1" applyFill="1" applyAlignment="1" applyProtection="1">
      <alignment vertical="center"/>
      <protection hidden="1"/>
    </xf>
    <xf numFmtId="0" fontId="4" fillId="5" borderId="0" xfId="0" applyFont="1" applyFill="1" applyProtection="1">
      <protection hidden="1"/>
    </xf>
    <xf numFmtId="0" fontId="0" fillId="17" borderId="0" xfId="0" applyFill="1" applyProtection="1">
      <protection hidden="1"/>
    </xf>
    <xf numFmtId="0" fontId="24" fillId="2" borderId="7" xfId="0" applyFont="1" applyFill="1" applyBorder="1" applyAlignment="1" applyProtection="1">
      <alignment vertical="center"/>
      <protection hidden="1"/>
    </xf>
    <xf numFmtId="0" fontId="0" fillId="2" borderId="7" xfId="0" applyFill="1" applyBorder="1" applyProtection="1">
      <protection hidden="1"/>
    </xf>
    <xf numFmtId="0" fontId="0" fillId="17" borderId="7" xfId="0" applyFill="1" applyBorder="1" applyProtection="1">
      <protection hidden="1"/>
    </xf>
    <xf numFmtId="0" fontId="61" fillId="32" borderId="20" xfId="0" applyFont="1" applyFill="1" applyBorder="1" applyAlignment="1" applyProtection="1">
      <alignment horizontal="center"/>
      <protection hidden="1"/>
    </xf>
    <xf numFmtId="0" fontId="3" fillId="32" borderId="0" xfId="0" applyFont="1" applyFill="1" applyBorder="1" applyAlignment="1" applyProtection="1">
      <alignment horizontal="center"/>
      <protection hidden="1"/>
    </xf>
    <xf numFmtId="0" fontId="61" fillId="32" borderId="0" xfId="0" applyFont="1" applyFill="1" applyBorder="1" applyAlignment="1" applyProtection="1">
      <alignment horizontal="center"/>
      <protection hidden="1"/>
    </xf>
    <xf numFmtId="0" fontId="0" fillId="17" borderId="0" xfId="0" applyFill="1" applyBorder="1" applyAlignment="1" applyProtection="1">
      <alignment horizontal="center"/>
      <protection hidden="1"/>
    </xf>
    <xf numFmtId="0" fontId="0" fillId="17" borderId="20" xfId="0" applyFill="1" applyBorder="1" applyProtection="1">
      <protection hidden="1"/>
    </xf>
    <xf numFmtId="0" fontId="0" fillId="17" borderId="0" xfId="0" applyFill="1" applyBorder="1" applyProtection="1">
      <protection hidden="1"/>
    </xf>
    <xf numFmtId="0" fontId="0" fillId="2" borderId="0" xfId="0" applyFill="1" applyBorder="1" applyProtection="1">
      <protection hidden="1"/>
    </xf>
    <xf numFmtId="0" fontId="0" fillId="2" borderId="0" xfId="0" applyFill="1" applyBorder="1" applyAlignment="1" applyProtection="1">
      <alignment horizontal="center"/>
      <protection hidden="1"/>
    </xf>
    <xf numFmtId="0" fontId="62" fillId="16" borderId="2" xfId="0" applyFont="1" applyFill="1" applyBorder="1" applyAlignment="1" applyProtection="1">
      <alignment horizontal="center" vertical="center" wrapText="1"/>
      <protection hidden="1"/>
    </xf>
    <xf numFmtId="0" fontId="63" fillId="17" borderId="0" xfId="0" applyFont="1" applyFill="1" applyBorder="1" applyAlignment="1" applyProtection="1">
      <alignment vertical="center"/>
      <protection hidden="1"/>
    </xf>
    <xf numFmtId="0" fontId="65" fillId="17" borderId="4" xfId="0" applyFont="1" applyFill="1" applyBorder="1" applyAlignment="1" applyProtection="1">
      <alignment horizontal="center" vertical="center"/>
      <protection hidden="1"/>
    </xf>
    <xf numFmtId="164" fontId="65" fillId="17" borderId="13" xfId="0" applyNumberFormat="1" applyFont="1" applyFill="1" applyBorder="1" applyAlignment="1" applyProtection="1">
      <alignment horizontal="center" vertical="center"/>
      <protection hidden="1"/>
    </xf>
    <xf numFmtId="1" fontId="40" fillId="17" borderId="13" xfId="0" applyNumberFormat="1" applyFont="1" applyFill="1" applyBorder="1" applyAlignment="1" applyProtection="1">
      <alignment horizontal="center" vertical="center"/>
      <protection hidden="1"/>
    </xf>
    <xf numFmtId="1" fontId="40" fillId="17" borderId="2" xfId="0" applyNumberFormat="1" applyFont="1" applyFill="1" applyBorder="1" applyAlignment="1" applyProtection="1">
      <alignment horizontal="center" vertical="center"/>
      <protection hidden="1"/>
    </xf>
    <xf numFmtId="0" fontId="40" fillId="17" borderId="2" xfId="0" applyFont="1" applyFill="1" applyBorder="1" applyAlignment="1" applyProtection="1">
      <alignment horizontal="center" vertical="center"/>
      <protection hidden="1"/>
    </xf>
    <xf numFmtId="0" fontId="25" fillId="17" borderId="0" xfId="0" applyFont="1" applyFill="1" applyBorder="1" applyAlignment="1" applyProtection="1">
      <alignment vertical="center"/>
      <protection hidden="1"/>
    </xf>
    <xf numFmtId="0" fontId="25" fillId="17" borderId="0" xfId="0" applyFont="1" applyFill="1" applyBorder="1" applyAlignment="1" applyProtection="1">
      <alignment horizontal="center" vertical="center"/>
      <protection hidden="1"/>
    </xf>
    <xf numFmtId="2" fontId="25" fillId="17" borderId="0" xfId="0" applyNumberFormat="1" applyFont="1" applyFill="1" applyBorder="1" applyAlignment="1" applyProtection="1">
      <alignment horizontal="center" vertical="center"/>
      <protection hidden="1"/>
    </xf>
    <xf numFmtId="1" fontId="25" fillId="17" borderId="0" xfId="0" applyNumberFormat="1" applyFont="1" applyFill="1" applyBorder="1" applyAlignment="1" applyProtection="1">
      <alignment horizontal="center" vertical="center"/>
      <protection hidden="1"/>
    </xf>
    <xf numFmtId="0" fontId="0" fillId="17" borderId="0" xfId="0" applyFill="1" applyBorder="1" applyAlignment="1" applyProtection="1">
      <alignment horizontal="center" vertical="center"/>
      <protection hidden="1"/>
    </xf>
    <xf numFmtId="0" fontId="0" fillId="17" borderId="0" xfId="0" applyFill="1" applyBorder="1" applyAlignment="1" applyProtection="1">
      <alignment vertical="center"/>
      <protection hidden="1"/>
    </xf>
    <xf numFmtId="0" fontId="65" fillId="17" borderId="0" xfId="0" applyFont="1" applyFill="1" applyBorder="1" applyAlignment="1" applyProtection="1">
      <alignment horizontal="center" vertical="center"/>
      <protection hidden="1"/>
    </xf>
    <xf numFmtId="164" fontId="65" fillId="17" borderId="0" xfId="0" applyNumberFormat="1" applyFont="1" applyFill="1" applyBorder="1" applyAlignment="1" applyProtection="1">
      <alignment horizontal="center" vertical="center"/>
      <protection hidden="1"/>
    </xf>
    <xf numFmtId="1" fontId="40" fillId="17" borderId="0" xfId="0" applyNumberFormat="1" applyFont="1" applyFill="1" applyBorder="1" applyAlignment="1" applyProtection="1">
      <alignment horizontal="center" vertical="center"/>
      <protection hidden="1"/>
    </xf>
    <xf numFmtId="0" fontId="40" fillId="17" borderId="0" xfId="0" applyFont="1" applyFill="1" applyBorder="1" applyAlignment="1" applyProtection="1">
      <alignment horizontal="center" vertical="center"/>
      <protection hidden="1"/>
    </xf>
    <xf numFmtId="0" fontId="66" fillId="17" borderId="0" xfId="0" applyFont="1" applyFill="1" applyBorder="1" applyAlignment="1" applyProtection="1">
      <alignment vertical="center"/>
      <protection hidden="1"/>
    </xf>
    <xf numFmtId="0" fontId="29" fillId="17" borderId="0" xfId="0" applyFont="1" applyFill="1" applyAlignment="1" applyProtection="1">
      <alignment horizontal="center"/>
      <protection hidden="1"/>
    </xf>
    <xf numFmtId="0" fontId="29" fillId="17" borderId="20" xfId="0" applyFont="1" applyFill="1" applyBorder="1" applyAlignment="1" applyProtection="1">
      <alignment horizontal="center"/>
      <protection hidden="1"/>
    </xf>
    <xf numFmtId="0" fontId="29" fillId="17" borderId="0" xfId="0" applyFont="1" applyFill="1" applyBorder="1" applyProtection="1">
      <protection hidden="1"/>
    </xf>
    <xf numFmtId="0" fontId="67" fillId="28" borderId="0" xfId="0" applyFont="1" applyFill="1" applyBorder="1" applyProtection="1">
      <protection hidden="1"/>
    </xf>
    <xf numFmtId="0" fontId="68" fillId="28" borderId="0" xfId="0" applyFont="1" applyFill="1" applyBorder="1" applyProtection="1">
      <protection hidden="1"/>
    </xf>
    <xf numFmtId="0" fontId="19" fillId="28" borderId="0" xfId="0" applyFont="1" applyFill="1" applyBorder="1" applyProtection="1">
      <protection hidden="1"/>
    </xf>
    <xf numFmtId="0" fontId="69" fillId="28" borderId="0" xfId="0" applyFont="1" applyFill="1" applyBorder="1" applyProtection="1">
      <protection hidden="1"/>
    </xf>
    <xf numFmtId="0" fontId="71" fillId="28" borderId="0" xfId="0" applyFont="1" applyFill="1" applyBorder="1" applyAlignment="1" applyProtection="1">
      <alignment horizontal="center"/>
      <protection hidden="1"/>
    </xf>
    <xf numFmtId="0" fontId="72" fillId="28" borderId="0" xfId="0" applyFont="1" applyFill="1" applyBorder="1" applyProtection="1">
      <protection hidden="1"/>
    </xf>
    <xf numFmtId="0" fontId="73" fillId="17" borderId="0" xfId="0" applyFont="1" applyFill="1" applyBorder="1" applyProtection="1">
      <protection hidden="1"/>
    </xf>
    <xf numFmtId="0" fontId="0" fillId="17" borderId="9" xfId="0" applyFill="1" applyBorder="1" applyProtection="1">
      <protection hidden="1"/>
    </xf>
    <xf numFmtId="0" fontId="20" fillId="17" borderId="10" xfId="0" applyFont="1" applyFill="1" applyBorder="1" applyProtection="1">
      <protection hidden="1"/>
    </xf>
    <xf numFmtId="0" fontId="0" fillId="17" borderId="10" xfId="0" applyFill="1" applyBorder="1" applyProtection="1">
      <protection hidden="1"/>
    </xf>
    <xf numFmtId="0" fontId="4" fillId="17" borderId="0" xfId="0" applyFont="1" applyFill="1" applyProtection="1">
      <protection hidden="1"/>
    </xf>
    <xf numFmtId="1" fontId="29" fillId="5" borderId="2" xfId="0" applyNumberFormat="1" applyFont="1" applyFill="1" applyBorder="1" applyAlignment="1" applyProtection="1">
      <alignment horizontal="center"/>
      <protection locked="0"/>
    </xf>
    <xf numFmtId="0" fontId="63" fillId="5" borderId="2" xfId="0" applyFont="1" applyFill="1" applyBorder="1" applyAlignment="1" applyProtection="1">
      <alignment horizontal="left" vertical="center"/>
      <protection locked="0"/>
    </xf>
    <xf numFmtId="0" fontId="64" fillId="5" borderId="4" xfId="0" applyFont="1" applyFill="1" applyBorder="1" applyAlignment="1" applyProtection="1">
      <alignment horizontal="center" vertical="center"/>
      <protection locked="0"/>
    </xf>
    <xf numFmtId="0" fontId="0" fillId="0" borderId="0" xfId="0" applyFont="1" applyAlignment="1" applyProtection="1">
      <alignment vertical="center"/>
      <protection hidden="1"/>
    </xf>
    <xf numFmtId="0" fontId="77" fillId="0" borderId="2" xfId="0" applyFont="1" applyFill="1" applyBorder="1" applyAlignment="1" applyProtection="1">
      <alignment horizontal="center" vertical="center"/>
      <protection hidden="1"/>
    </xf>
    <xf numFmtId="0" fontId="77" fillId="0" borderId="0" xfId="0" applyFont="1" applyFill="1" applyBorder="1" applyProtection="1">
      <protection hidden="1"/>
    </xf>
    <xf numFmtId="0" fontId="77" fillId="0" borderId="0" xfId="0" applyFont="1" applyFill="1" applyBorder="1" applyAlignment="1" applyProtection="1">
      <alignment vertical="top"/>
      <protection hidden="1"/>
    </xf>
    <xf numFmtId="0" fontId="27" fillId="18" borderId="2" xfId="0" quotePrefix="1" applyFont="1" applyFill="1" applyBorder="1" applyAlignment="1" applyProtection="1">
      <alignment horizontal="center" vertical="center"/>
      <protection hidden="1"/>
    </xf>
    <xf numFmtId="0" fontId="27" fillId="17" borderId="2" xfId="0" quotePrefix="1" applyFont="1" applyFill="1" applyBorder="1" applyAlignment="1" applyProtection="1">
      <alignment horizontal="center" vertical="center"/>
      <protection hidden="1"/>
    </xf>
    <xf numFmtId="0" fontId="27" fillId="11" borderId="2" xfId="0" quotePrefix="1" applyFont="1" applyFill="1" applyBorder="1" applyAlignment="1" applyProtection="1">
      <alignment horizontal="center" vertical="center"/>
      <protection hidden="1"/>
    </xf>
    <xf numFmtId="0" fontId="27" fillId="19" borderId="2" xfId="0" quotePrefix="1" applyFont="1" applyFill="1" applyBorder="1" applyAlignment="1" applyProtection="1">
      <alignment horizontal="center" vertical="center"/>
      <protection hidden="1"/>
    </xf>
    <xf numFmtId="0" fontId="26" fillId="0" borderId="0" xfId="0" applyFont="1" applyAlignment="1" applyProtection="1">
      <alignment horizontal="left" vertical="center"/>
      <protection hidden="1"/>
    </xf>
    <xf numFmtId="0" fontId="77" fillId="0" borderId="2" xfId="0" applyFont="1" applyFill="1" applyBorder="1" applyAlignment="1" applyProtection="1">
      <protection hidden="1"/>
    </xf>
    <xf numFmtId="0" fontId="77" fillId="0" borderId="2" xfId="0" applyFont="1" applyFill="1" applyBorder="1" applyAlignment="1" applyProtection="1">
      <alignment vertical="center"/>
      <protection hidden="1"/>
    </xf>
    <xf numFmtId="0" fontId="77" fillId="0" borderId="0" xfId="0" applyFont="1" applyFill="1" applyBorder="1" applyAlignment="1" applyProtection="1">
      <protection hidden="1"/>
    </xf>
    <xf numFmtId="0" fontId="14" fillId="33" borderId="2" xfId="0" applyFont="1" applyFill="1" applyBorder="1" applyAlignment="1" applyProtection="1">
      <alignment horizontal="left" vertical="top" wrapText="1"/>
      <protection hidden="1"/>
    </xf>
    <xf numFmtId="0" fontId="77" fillId="0" borderId="0" xfId="0" applyFont="1" applyFill="1" applyBorder="1" applyAlignment="1" applyProtection="1">
      <alignment horizontal="left" vertical="center" readingOrder="1"/>
      <protection hidden="1"/>
    </xf>
    <xf numFmtId="0" fontId="0" fillId="5" borderId="2" xfId="0" applyFill="1" applyBorder="1" applyAlignment="1" applyProtection="1">
      <alignment horizontal="center" vertical="center"/>
      <protection hidden="1"/>
    </xf>
    <xf numFmtId="0" fontId="25" fillId="5" borderId="2" xfId="0" applyFont="1" applyFill="1" applyBorder="1" applyAlignment="1" applyProtection="1">
      <alignment horizontal="center" vertical="center" wrapText="1"/>
      <protection locked="0"/>
    </xf>
    <xf numFmtId="0" fontId="78" fillId="0" borderId="2" xfId="0" applyFont="1" applyFill="1" applyBorder="1" applyAlignment="1" applyProtection="1">
      <alignment horizontal="center" vertical="center"/>
      <protection hidden="1"/>
    </xf>
    <xf numFmtId="0" fontId="69" fillId="0" borderId="0" xfId="0" applyFont="1" applyAlignment="1" applyProtection="1">
      <alignment vertical="center"/>
      <protection hidden="1"/>
    </xf>
    <xf numFmtId="0" fontId="20" fillId="0" borderId="0" xfId="0" applyFont="1" applyAlignment="1" applyProtection="1">
      <alignment vertical="center"/>
      <protection hidden="1"/>
    </xf>
    <xf numFmtId="0" fontId="27" fillId="34" borderId="2" xfId="0" quotePrefix="1" applyFont="1" applyFill="1" applyBorder="1" applyAlignment="1" applyProtection="1">
      <alignment horizontal="center" vertical="center"/>
      <protection hidden="1"/>
    </xf>
    <xf numFmtId="0" fontId="27" fillId="25" borderId="2" xfId="0" quotePrefix="1" applyFont="1" applyFill="1" applyBorder="1" applyAlignment="1" applyProtection="1">
      <alignment horizontal="center" vertical="center"/>
      <protection hidden="1"/>
    </xf>
    <xf numFmtId="0" fontId="78" fillId="0" borderId="2" xfId="0" applyFont="1" applyFill="1" applyBorder="1" applyAlignment="1" applyProtection="1">
      <alignment vertical="center"/>
      <protection hidden="1"/>
    </xf>
    <xf numFmtId="0" fontId="49" fillId="0" borderId="2" xfId="0" applyFont="1" applyBorder="1" applyAlignment="1" applyProtection="1">
      <alignment vertical="center"/>
      <protection hidden="1"/>
    </xf>
    <xf numFmtId="0" fontId="49" fillId="0" borderId="2" xfId="0" applyFont="1" applyBorder="1" applyAlignment="1" applyProtection="1">
      <alignment horizontal="center" vertical="center"/>
      <protection hidden="1"/>
    </xf>
    <xf numFmtId="0" fontId="79" fillId="0" borderId="0" xfId="0" applyFont="1" applyAlignment="1" applyProtection="1">
      <alignment horizontal="center" vertical="center"/>
      <protection hidden="1"/>
    </xf>
    <xf numFmtId="2" fontId="80" fillId="14" borderId="2" xfId="4" applyNumberFormat="1" applyFont="1" applyFill="1" applyBorder="1" applyAlignment="1" applyProtection="1">
      <alignment horizontal="left" vertical="center" wrapText="1"/>
      <protection hidden="1"/>
    </xf>
    <xf numFmtId="0" fontId="77" fillId="0" borderId="2" xfId="0" applyFont="1" applyFill="1" applyBorder="1" applyAlignment="1" applyProtection="1">
      <alignment horizontal="left" vertical="center"/>
      <protection hidden="1"/>
    </xf>
    <xf numFmtId="0" fontId="80" fillId="0" borderId="2" xfId="0" applyFont="1" applyBorder="1" applyAlignment="1" applyProtection="1">
      <alignment horizontal="left" vertical="center" wrapText="1"/>
      <protection hidden="1"/>
    </xf>
    <xf numFmtId="0" fontId="80" fillId="0" borderId="0" xfId="0" applyFont="1" applyAlignment="1" applyProtection="1">
      <alignment horizontal="left" vertical="center" wrapText="1"/>
      <protection hidden="1"/>
    </xf>
    <xf numFmtId="0" fontId="80" fillId="0" borderId="2" xfId="0" applyFont="1" applyBorder="1" applyAlignment="1" applyProtection="1">
      <alignment horizontal="left" vertical="center"/>
      <protection hidden="1"/>
    </xf>
    <xf numFmtId="0" fontId="63" fillId="5" borderId="2" xfId="0" applyFont="1" applyFill="1" applyBorder="1" applyAlignment="1" applyProtection="1">
      <alignment vertical="center" wrapText="1"/>
      <protection hidden="1"/>
    </xf>
    <xf numFmtId="0" fontId="63" fillId="5" borderId="2" xfId="0" applyFont="1" applyFill="1" applyBorder="1" applyAlignment="1" applyProtection="1">
      <alignment vertical="center"/>
      <protection hidden="1"/>
    </xf>
    <xf numFmtId="0" fontId="0" fillId="5" borderId="0" xfId="0" applyFill="1" applyBorder="1" applyProtection="1">
      <protection hidden="1"/>
    </xf>
    <xf numFmtId="0" fontId="28" fillId="17" borderId="2" xfId="0" applyFont="1" applyFill="1" applyBorder="1" applyAlignment="1" applyProtection="1">
      <alignment horizontal="center" vertical="center" wrapText="1"/>
      <protection hidden="1"/>
    </xf>
    <xf numFmtId="0" fontId="28" fillId="16" borderId="2" xfId="0" applyFont="1" applyFill="1" applyBorder="1" applyAlignment="1" applyProtection="1">
      <alignment horizontal="center" vertical="center" wrapText="1"/>
      <protection hidden="1"/>
    </xf>
    <xf numFmtId="0" fontId="28" fillId="13" borderId="2" xfId="0" applyFont="1" applyFill="1" applyBorder="1" applyAlignment="1" applyProtection="1">
      <alignment horizontal="center" vertical="center" wrapText="1"/>
      <protection hidden="1"/>
    </xf>
    <xf numFmtId="0" fontId="28" fillId="19" borderId="2" xfId="0" applyFont="1" applyFill="1" applyBorder="1" applyAlignment="1" applyProtection="1">
      <alignment horizontal="center" vertical="center" wrapText="1"/>
      <protection hidden="1"/>
    </xf>
    <xf numFmtId="0" fontId="20" fillId="37" borderId="2" xfId="0" applyFont="1" applyFill="1" applyBorder="1" applyAlignment="1" applyProtection="1">
      <alignment horizontal="center" vertical="center"/>
      <protection hidden="1"/>
    </xf>
    <xf numFmtId="0" fontId="20" fillId="37" borderId="4" xfId="0" applyFont="1" applyFill="1" applyBorder="1" applyAlignment="1" applyProtection="1">
      <alignment horizontal="center" vertical="center"/>
      <protection hidden="1"/>
    </xf>
    <xf numFmtId="0" fontId="0" fillId="10" borderId="2" xfId="0" applyFill="1" applyBorder="1" applyAlignment="1" applyProtection="1">
      <alignment vertical="center" wrapText="1"/>
      <protection hidden="1"/>
    </xf>
    <xf numFmtId="1" fontId="4" fillId="12" borderId="2" xfId="0" applyNumberFormat="1" applyFont="1" applyFill="1" applyBorder="1" applyAlignment="1" applyProtection="1">
      <alignment horizontal="center" vertical="center" wrapText="1"/>
      <protection hidden="1"/>
    </xf>
    <xf numFmtId="0" fontId="4" fillId="21" borderId="2" xfId="0" applyFont="1" applyFill="1" applyBorder="1" applyAlignment="1" applyProtection="1">
      <alignment horizontal="center" vertical="center" wrapText="1"/>
      <protection hidden="1"/>
    </xf>
    <xf numFmtId="0" fontId="4" fillId="17" borderId="2" xfId="0" applyFont="1" applyFill="1" applyBorder="1" applyAlignment="1" applyProtection="1">
      <alignment horizontal="center" vertical="center" wrapText="1"/>
      <protection hidden="1"/>
    </xf>
    <xf numFmtId="0" fontId="4" fillId="13" borderId="2" xfId="0" applyFont="1" applyFill="1" applyBorder="1" applyAlignment="1" applyProtection="1">
      <alignment horizontal="center" vertical="center" wrapText="1"/>
      <protection hidden="1"/>
    </xf>
    <xf numFmtId="0" fontId="0" fillId="0" borderId="5" xfId="0" applyFill="1" applyBorder="1" applyAlignment="1" applyProtection="1">
      <alignment wrapText="1"/>
      <protection hidden="1"/>
    </xf>
    <xf numFmtId="0" fontId="80" fillId="37" borderId="2" xfId="0" applyFont="1" applyFill="1" applyBorder="1" applyAlignment="1" applyProtection="1">
      <alignment horizontal="left" vertical="center" wrapText="1"/>
      <protection hidden="1"/>
    </xf>
    <xf numFmtId="0" fontId="80" fillId="37" borderId="4" xfId="0" applyFont="1" applyFill="1" applyBorder="1" applyAlignment="1" applyProtection="1">
      <alignment horizontal="left" vertical="center" wrapText="1"/>
      <protection hidden="1"/>
    </xf>
    <xf numFmtId="0" fontId="4" fillId="0" borderId="2" xfId="0" applyFont="1" applyFill="1" applyBorder="1" applyAlignment="1" applyProtection="1">
      <alignment horizontal="center" vertical="center" wrapText="1"/>
      <protection locked="0"/>
    </xf>
    <xf numFmtId="0" fontId="53" fillId="0" borderId="0" xfId="0" applyFont="1" applyAlignment="1">
      <alignment horizontal="center"/>
    </xf>
    <xf numFmtId="0" fontId="49" fillId="0" borderId="0" xfId="0" applyFont="1" applyAlignment="1">
      <alignment horizontal="center"/>
    </xf>
    <xf numFmtId="0" fontId="0" fillId="0" borderId="0" xfId="0" applyAlignment="1">
      <alignment vertical="center" wrapText="1"/>
    </xf>
    <xf numFmtId="0" fontId="8" fillId="0" borderId="2"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vertical="center" wrapText="1"/>
    </xf>
    <xf numFmtId="0" fontId="0" fillId="0" borderId="0" xfId="0" applyFill="1" applyBorder="1" applyAlignment="1">
      <alignment horizontal="center" vertical="center" wrapText="1"/>
    </xf>
    <xf numFmtId="0" fontId="83" fillId="0" borderId="0" xfId="0" applyFont="1" applyBorder="1" applyAlignment="1">
      <alignment horizontal="left" vertical="center" wrapText="1"/>
    </xf>
    <xf numFmtId="0" fontId="0" fillId="0" borderId="0" xfId="0" applyFont="1" applyBorder="1" applyAlignment="1">
      <alignment horizontal="center" vertical="center" wrapText="1"/>
    </xf>
    <xf numFmtId="0" fontId="0" fillId="0" borderId="0" xfId="0" applyFont="1" applyFill="1" applyBorder="1" applyAlignment="1">
      <alignment horizontal="center" vertical="center" wrapText="1"/>
    </xf>
    <xf numFmtId="0" fontId="4" fillId="0" borderId="0" xfId="0" applyFont="1" applyBorder="1" applyAlignment="1">
      <alignment horizontal="center" vertical="center" wrapText="1"/>
    </xf>
    <xf numFmtId="0" fontId="8" fillId="0" borderId="0" xfId="0" applyFont="1" applyBorder="1" applyAlignment="1">
      <alignment horizontal="center" vertical="center" wrapText="1"/>
    </xf>
    <xf numFmtId="0" fontId="0" fillId="0" borderId="0" xfId="0" quotePrefix="1" applyBorder="1" applyAlignment="1">
      <alignment horizontal="center" vertical="center" wrapText="1"/>
    </xf>
    <xf numFmtId="0" fontId="53" fillId="0" borderId="0" xfId="0" applyFont="1" applyBorder="1" applyAlignment="1">
      <alignment vertical="center"/>
    </xf>
    <xf numFmtId="0" fontId="53" fillId="0" borderId="4" xfId="0" applyFont="1" applyBorder="1" applyAlignment="1">
      <alignment horizontal="justify" vertical="center" wrapText="1"/>
    </xf>
    <xf numFmtId="0" fontId="53" fillId="0" borderId="2" xfId="0" applyFont="1" applyBorder="1" applyAlignment="1">
      <alignment horizontal="justify" vertical="center" wrapText="1"/>
    </xf>
    <xf numFmtId="0" fontId="84" fillId="5" borderId="2" xfId="0" applyFont="1" applyFill="1" applyBorder="1" applyAlignment="1" applyProtection="1">
      <alignment horizontal="left" vertical="center" wrapText="1"/>
      <protection locked="0"/>
    </xf>
    <xf numFmtId="0" fontId="84" fillId="5" borderId="2" xfId="0" applyFont="1" applyFill="1" applyBorder="1" applyAlignment="1" applyProtection="1">
      <alignment horizontal="center" vertical="center" wrapText="1"/>
      <protection locked="0"/>
    </xf>
    <xf numFmtId="0" fontId="85" fillId="0" borderId="0" xfId="0" applyFont="1" applyProtection="1">
      <protection hidden="1"/>
    </xf>
    <xf numFmtId="0" fontId="80" fillId="5" borderId="2" xfId="0" applyFont="1" applyFill="1" applyBorder="1" applyAlignment="1" applyProtection="1">
      <alignment vertical="center" wrapText="1"/>
      <protection locked="0"/>
    </xf>
    <xf numFmtId="0" fontId="23" fillId="18" borderId="24" xfId="0" applyFont="1" applyFill="1" applyBorder="1" applyAlignment="1" applyProtection="1">
      <alignment horizontal="center" vertical="center" wrapText="1"/>
      <protection hidden="1"/>
    </xf>
    <xf numFmtId="0" fontId="23" fillId="18" borderId="1" xfId="0" applyFont="1" applyFill="1" applyBorder="1" applyAlignment="1" applyProtection="1">
      <alignment horizontal="center" vertical="center" wrapText="1"/>
      <protection hidden="1"/>
    </xf>
    <xf numFmtId="0" fontId="23" fillId="22" borderId="3" xfId="0" applyFont="1" applyFill="1" applyBorder="1" applyAlignment="1" applyProtection="1">
      <alignment horizontal="center" vertical="center"/>
      <protection hidden="1"/>
    </xf>
    <xf numFmtId="0" fontId="87" fillId="0" borderId="0" xfId="0" applyFont="1" applyFill="1" applyAlignment="1" applyProtection="1">
      <alignment vertical="center"/>
      <protection hidden="1"/>
    </xf>
    <xf numFmtId="0" fontId="87" fillId="5" borderId="0" xfId="0" applyFont="1" applyFill="1" applyBorder="1" applyAlignment="1" applyProtection="1">
      <alignment vertical="center"/>
      <protection hidden="1"/>
    </xf>
    <xf numFmtId="0" fontId="0" fillId="39" borderId="2" xfId="0" applyFill="1" applyBorder="1" applyAlignment="1" applyProtection="1">
      <alignment horizontal="center" vertical="center"/>
      <protection locked="0"/>
    </xf>
    <xf numFmtId="0" fontId="6" fillId="22" borderId="3" xfId="0" applyFont="1" applyFill="1" applyBorder="1" applyAlignment="1" applyProtection="1">
      <alignment horizontal="center"/>
      <protection hidden="1"/>
    </xf>
    <xf numFmtId="0" fontId="91" fillId="0" borderId="0" xfId="0" applyFont="1" applyFill="1" applyAlignment="1" applyProtection="1">
      <alignment horizontal="center" vertical="center"/>
      <protection hidden="1"/>
    </xf>
    <xf numFmtId="0" fontId="88" fillId="10" borderId="3" xfId="0" applyFont="1" applyFill="1" applyBorder="1" applyAlignment="1" applyProtection="1">
      <alignment horizontal="left" vertical="center" wrapText="1"/>
      <protection hidden="1"/>
    </xf>
    <xf numFmtId="0" fontId="88" fillId="10" borderId="2" xfId="0" applyFont="1" applyFill="1" applyBorder="1" applyAlignment="1" applyProtection="1">
      <alignment horizontal="left" vertical="center" wrapText="1"/>
      <protection hidden="1"/>
    </xf>
    <xf numFmtId="0" fontId="89" fillId="11" borderId="3" xfId="0" applyFont="1" applyFill="1" applyBorder="1" applyAlignment="1" applyProtection="1">
      <alignment horizontal="left" vertical="center" wrapText="1"/>
      <protection hidden="1"/>
    </xf>
    <xf numFmtId="0" fontId="89" fillId="2" borderId="3" xfId="0" applyFont="1" applyFill="1" applyBorder="1" applyAlignment="1" applyProtection="1">
      <alignment horizontal="left" vertical="center" wrapText="1"/>
      <protection hidden="1"/>
    </xf>
    <xf numFmtId="0" fontId="89" fillId="41" borderId="3" xfId="0" applyFont="1" applyFill="1" applyBorder="1" applyAlignment="1" applyProtection="1">
      <alignment horizontal="left" vertical="center" wrapText="1"/>
      <protection hidden="1"/>
    </xf>
    <xf numFmtId="0" fontId="89" fillId="12" borderId="3" xfId="0" applyFont="1" applyFill="1" applyBorder="1" applyAlignment="1" applyProtection="1">
      <alignment horizontal="left" vertical="center" wrapText="1"/>
      <protection hidden="1"/>
    </xf>
    <xf numFmtId="0" fontId="89" fillId="40" borderId="3" xfId="0" applyFont="1" applyFill="1" applyBorder="1" applyAlignment="1" applyProtection="1">
      <alignment horizontal="left" vertical="center" wrapText="1"/>
      <protection hidden="1"/>
    </xf>
    <xf numFmtId="0" fontId="90" fillId="10" borderId="2" xfId="0" quotePrefix="1" applyFont="1" applyFill="1" applyBorder="1" applyAlignment="1" applyProtection="1">
      <alignment horizontal="center" vertical="center" wrapText="1"/>
      <protection hidden="1"/>
    </xf>
    <xf numFmtId="0" fontId="93" fillId="11" borderId="3" xfId="0" applyFont="1" applyFill="1" applyBorder="1" applyAlignment="1" applyProtection="1">
      <alignment horizontal="center" vertical="center" wrapText="1"/>
      <protection hidden="1"/>
    </xf>
    <xf numFmtId="0" fontId="90" fillId="2" borderId="2" xfId="0" quotePrefix="1" applyFont="1" applyFill="1" applyBorder="1" applyAlignment="1" applyProtection="1">
      <alignment horizontal="center" vertical="center" wrapText="1"/>
      <protection hidden="1"/>
    </xf>
    <xf numFmtId="0" fontId="93" fillId="41" borderId="3" xfId="0" applyFont="1" applyFill="1" applyBorder="1" applyAlignment="1" applyProtection="1">
      <alignment horizontal="center" vertical="center" wrapText="1"/>
      <protection hidden="1"/>
    </xf>
    <xf numFmtId="0" fontId="90" fillId="12" borderId="2" xfId="0" quotePrefix="1" applyFont="1" applyFill="1" applyBorder="1" applyAlignment="1" applyProtection="1">
      <alignment horizontal="center" vertical="center" wrapText="1"/>
      <protection hidden="1"/>
    </xf>
    <xf numFmtId="0" fontId="93" fillId="40" borderId="3" xfId="0" applyFont="1" applyFill="1" applyBorder="1" applyAlignment="1" applyProtection="1">
      <alignment horizontal="center" vertical="center" wrapText="1"/>
      <protection hidden="1"/>
    </xf>
    <xf numFmtId="0" fontId="63" fillId="18" borderId="24" xfId="0" applyFont="1" applyFill="1" applyBorder="1" applyAlignment="1" applyProtection="1">
      <alignment horizontal="center" vertical="center" wrapText="1"/>
      <protection hidden="1"/>
    </xf>
    <xf numFmtId="0" fontId="63" fillId="18" borderId="1" xfId="0" applyFont="1" applyFill="1" applyBorder="1" applyAlignment="1" applyProtection="1">
      <alignment horizontal="center" vertical="center" wrapText="1"/>
      <protection hidden="1"/>
    </xf>
    <xf numFmtId="0" fontId="88" fillId="10" borderId="2" xfId="0" quotePrefix="1" applyFont="1" applyFill="1" applyBorder="1" applyAlignment="1" applyProtection="1">
      <alignment horizontal="left" vertical="center" wrapText="1"/>
      <protection hidden="1"/>
    </xf>
    <xf numFmtId="0" fontId="88" fillId="0" borderId="2" xfId="0" quotePrefix="1" applyFont="1" applyFill="1" applyBorder="1" applyAlignment="1" applyProtection="1">
      <alignment horizontal="left" vertical="center" wrapText="1"/>
      <protection hidden="1"/>
    </xf>
    <xf numFmtId="0" fontId="90" fillId="0" borderId="2" xfId="0" quotePrefix="1" applyFont="1" applyFill="1" applyBorder="1" applyAlignment="1" applyProtection="1">
      <alignment horizontal="center" vertical="center" wrapText="1"/>
      <protection hidden="1"/>
    </xf>
    <xf numFmtId="0" fontId="12" fillId="5" borderId="2" xfId="0" applyFont="1" applyFill="1" applyBorder="1" applyAlignment="1" applyProtection="1">
      <alignment horizontal="left" vertical="top" wrapText="1"/>
      <protection hidden="1"/>
    </xf>
    <xf numFmtId="0" fontId="12" fillId="5" borderId="3" xfId="0" applyFont="1" applyFill="1" applyBorder="1" applyAlignment="1" applyProtection="1">
      <alignment horizontal="left" vertical="top" wrapText="1"/>
      <protection hidden="1"/>
    </xf>
    <xf numFmtId="0" fontId="12" fillId="0" borderId="3" xfId="0" applyFont="1" applyFill="1" applyBorder="1" applyAlignment="1" applyProtection="1">
      <alignment horizontal="left" vertical="center" wrapText="1"/>
      <protection hidden="1"/>
    </xf>
    <xf numFmtId="0" fontId="89" fillId="39" borderId="3" xfId="0" applyFont="1" applyFill="1" applyBorder="1" applyAlignment="1" applyProtection="1">
      <alignment horizontal="left" vertical="center" wrapText="1"/>
      <protection hidden="1"/>
    </xf>
    <xf numFmtId="0" fontId="89" fillId="5" borderId="3" xfId="0" applyFont="1" applyFill="1" applyBorder="1" applyAlignment="1" applyProtection="1">
      <alignment horizontal="left" vertical="center" wrapText="1"/>
      <protection hidden="1"/>
    </xf>
    <xf numFmtId="0" fontId="91" fillId="5" borderId="2" xfId="0" quotePrefix="1" applyFont="1" applyFill="1" applyBorder="1" applyAlignment="1" applyProtection="1">
      <alignment horizontal="center" vertical="center" wrapText="1"/>
      <protection hidden="1"/>
    </xf>
    <xf numFmtId="0" fontId="93" fillId="39" borderId="3" xfId="0" applyFont="1" applyFill="1" applyBorder="1" applyAlignment="1" applyProtection="1">
      <alignment horizontal="center" vertical="center" wrapText="1"/>
      <protection hidden="1"/>
    </xf>
    <xf numFmtId="0" fontId="90" fillId="5" borderId="2" xfId="0" quotePrefix="1" applyFont="1" applyFill="1" applyBorder="1" applyAlignment="1" applyProtection="1">
      <alignment horizontal="center" vertical="center" wrapText="1"/>
      <protection hidden="1"/>
    </xf>
    <xf numFmtId="0" fontId="91" fillId="17" borderId="2" xfId="0" applyFont="1" applyFill="1" applyBorder="1" applyAlignment="1" applyProtection="1">
      <alignment horizontal="center" vertical="center" wrapText="1"/>
      <protection hidden="1"/>
    </xf>
    <xf numFmtId="0" fontId="91" fillId="16" borderId="2" xfId="0" applyFont="1" applyFill="1" applyBorder="1" applyAlignment="1" applyProtection="1">
      <alignment horizontal="center" vertical="center" wrapText="1"/>
      <protection hidden="1"/>
    </xf>
    <xf numFmtId="0" fontId="91" fillId="13" borderId="2" xfId="0" applyFont="1" applyFill="1" applyBorder="1" applyAlignment="1" applyProtection="1">
      <alignment horizontal="center" vertical="center" wrapText="1"/>
      <protection hidden="1"/>
    </xf>
    <xf numFmtId="0" fontId="91" fillId="19" borderId="2" xfId="0" applyFont="1" applyFill="1" applyBorder="1" applyAlignment="1" applyProtection="1">
      <alignment horizontal="center" vertical="center" wrapText="1"/>
      <protection hidden="1"/>
    </xf>
    <xf numFmtId="0" fontId="92" fillId="0" borderId="0" xfId="0" applyFont="1" applyFill="1" applyProtection="1">
      <protection hidden="1"/>
    </xf>
    <xf numFmtId="0" fontId="91" fillId="37" borderId="2" xfId="0" applyFont="1" applyFill="1" applyBorder="1" applyAlignment="1" applyProtection="1">
      <alignment horizontal="center" vertical="center"/>
      <protection hidden="1"/>
    </xf>
    <xf numFmtId="0" fontId="91" fillId="37" borderId="4" xfId="0" applyFont="1" applyFill="1" applyBorder="1" applyAlignment="1" applyProtection="1">
      <alignment horizontal="center" vertical="center"/>
      <protection hidden="1"/>
    </xf>
    <xf numFmtId="0" fontId="92" fillId="10" borderId="2" xfId="0" applyFont="1" applyFill="1" applyBorder="1" applyAlignment="1" applyProtection="1">
      <alignment vertical="center" wrapText="1"/>
      <protection hidden="1"/>
    </xf>
    <xf numFmtId="0" fontId="0" fillId="0" borderId="2" xfId="0" applyFill="1" applyBorder="1" applyAlignment="1" applyProtection="1">
      <alignment horizontal="center" vertical="center" wrapText="1"/>
      <protection locked="0"/>
    </xf>
    <xf numFmtId="0" fontId="10" fillId="5" borderId="2" xfId="0" applyFont="1" applyFill="1" applyBorder="1" applyAlignment="1" applyProtection="1">
      <alignment horizontal="left" vertical="top" wrapText="1"/>
      <protection hidden="1"/>
    </xf>
    <xf numFmtId="0" fontId="67" fillId="28" borderId="0" xfId="0" applyFont="1" applyFill="1" applyBorder="1" applyAlignment="1" applyProtection="1">
      <alignment horizontal="center" vertical="center" wrapText="1"/>
      <protection hidden="1"/>
    </xf>
    <xf numFmtId="0" fontId="63" fillId="2" borderId="0" xfId="0" applyFont="1" applyFill="1" applyBorder="1" applyAlignment="1" applyProtection="1">
      <alignment horizontal="center" vertical="center"/>
      <protection hidden="1"/>
    </xf>
    <xf numFmtId="0" fontId="96" fillId="5" borderId="0" xfId="0" applyFont="1" applyFill="1" applyBorder="1" applyAlignment="1" applyProtection="1">
      <protection hidden="1"/>
    </xf>
    <xf numFmtId="0" fontId="96" fillId="5" borderId="0" xfId="0" applyFont="1" applyFill="1" applyBorder="1" applyAlignment="1" applyProtection="1">
      <alignment vertical="center"/>
      <protection hidden="1"/>
    </xf>
    <xf numFmtId="0" fontId="14" fillId="5" borderId="0" xfId="0" applyFont="1" applyFill="1" applyBorder="1" applyAlignment="1" applyProtection="1">
      <alignment horizontal="left" vertical="center"/>
      <protection locked="0"/>
    </xf>
    <xf numFmtId="0" fontId="14" fillId="5" borderId="0" xfId="0" applyFont="1" applyFill="1" applyBorder="1" applyAlignment="1" applyProtection="1">
      <alignment vertical="center"/>
      <protection locked="0"/>
    </xf>
    <xf numFmtId="0" fontId="81" fillId="5" borderId="0" xfId="1" applyFont="1" applyFill="1" applyBorder="1" applyAlignment="1" applyProtection="1">
      <alignment horizontal="center" vertical="center"/>
      <protection hidden="1"/>
    </xf>
    <xf numFmtId="0" fontId="36" fillId="5" borderId="0" xfId="0" applyFont="1" applyFill="1" applyBorder="1" applyProtection="1">
      <protection hidden="1"/>
    </xf>
    <xf numFmtId="0" fontId="97" fillId="44" borderId="0" xfId="0" quotePrefix="1" applyFont="1" applyFill="1" applyAlignment="1" applyProtection="1">
      <alignment horizontal="center" vertical="center"/>
      <protection hidden="1"/>
    </xf>
    <xf numFmtId="0" fontId="98" fillId="44" borderId="0" xfId="0" applyFont="1" applyFill="1" applyAlignment="1" applyProtection="1">
      <alignment vertical="center"/>
      <protection hidden="1"/>
    </xf>
    <xf numFmtId="0" fontId="43" fillId="5" borderId="0" xfId="0" applyFont="1" applyFill="1" applyAlignment="1" applyProtection="1">
      <alignment vertical="center"/>
      <protection hidden="1"/>
    </xf>
    <xf numFmtId="0" fontId="43" fillId="0" borderId="0" xfId="0" applyFont="1" applyFill="1" applyAlignment="1" applyProtection="1">
      <alignment vertical="center"/>
      <protection hidden="1"/>
    </xf>
    <xf numFmtId="0" fontId="0" fillId="0" borderId="0" xfId="0" applyFill="1" applyBorder="1" applyProtection="1">
      <protection hidden="1"/>
    </xf>
    <xf numFmtId="0" fontId="44" fillId="0" borderId="0" xfId="0" applyFont="1" applyFill="1" applyAlignment="1" applyProtection="1">
      <alignment vertical="center"/>
      <protection hidden="1"/>
    </xf>
    <xf numFmtId="0" fontId="46" fillId="0" borderId="0" xfId="1" applyFont="1" applyFill="1" applyAlignment="1" applyProtection="1">
      <alignment vertical="center"/>
      <protection hidden="1"/>
    </xf>
    <xf numFmtId="0" fontId="0" fillId="45" borderId="0" xfId="0" applyFill="1" applyProtection="1">
      <protection hidden="1"/>
    </xf>
    <xf numFmtId="0" fontId="19" fillId="32" borderId="0" xfId="0" applyFont="1" applyFill="1" applyAlignment="1" applyProtection="1">
      <alignment vertical="center"/>
      <protection hidden="1"/>
    </xf>
    <xf numFmtId="0" fontId="100" fillId="32" borderId="0" xfId="0" applyFont="1" applyFill="1" applyAlignment="1" applyProtection="1">
      <alignment vertical="center"/>
      <protection locked="0"/>
    </xf>
    <xf numFmtId="0" fontId="19" fillId="45" borderId="0" xfId="0" applyFont="1" applyFill="1" applyAlignment="1" applyProtection="1">
      <alignment vertical="center"/>
      <protection hidden="1"/>
    </xf>
    <xf numFmtId="0" fontId="19" fillId="45" borderId="0" xfId="0" applyFont="1" applyFill="1" applyAlignment="1" applyProtection="1">
      <alignment vertical="center"/>
      <protection locked="0"/>
    </xf>
    <xf numFmtId="0" fontId="100" fillId="45" borderId="0" xfId="0" applyFont="1" applyFill="1" applyProtection="1">
      <protection hidden="1"/>
    </xf>
    <xf numFmtId="0" fontId="101" fillId="32" borderId="0" xfId="0" applyFont="1" applyFill="1" applyBorder="1" applyProtection="1">
      <protection hidden="1"/>
    </xf>
    <xf numFmtId="0" fontId="71" fillId="32" borderId="0" xfId="0" applyFont="1" applyFill="1" applyBorder="1" applyAlignment="1" applyProtection="1">
      <alignment vertical="center"/>
      <protection hidden="1"/>
    </xf>
    <xf numFmtId="0" fontId="102" fillId="32" borderId="0" xfId="0" applyFont="1" applyFill="1" applyBorder="1" applyAlignment="1" applyProtection="1">
      <alignment vertical="center"/>
      <protection hidden="1"/>
    </xf>
    <xf numFmtId="0" fontId="103" fillId="32" borderId="0" xfId="0" applyFont="1" applyFill="1" applyBorder="1" applyAlignment="1" applyProtection="1">
      <alignment vertical="top"/>
      <protection hidden="1"/>
    </xf>
    <xf numFmtId="0" fontId="101" fillId="17" borderId="0" xfId="0" applyFont="1" applyFill="1" applyBorder="1" applyProtection="1">
      <protection hidden="1"/>
    </xf>
    <xf numFmtId="0" fontId="71" fillId="11" borderId="0" xfId="0" applyFont="1" applyFill="1" applyBorder="1" applyAlignment="1" applyProtection="1">
      <alignment horizontal="right"/>
      <protection hidden="1"/>
    </xf>
    <xf numFmtId="0" fontId="71" fillId="21" borderId="0" xfId="0" applyFont="1" applyFill="1" applyBorder="1" applyAlignment="1" applyProtection="1">
      <alignment horizontal="right"/>
      <protection hidden="1"/>
    </xf>
    <xf numFmtId="0" fontId="71" fillId="47" borderId="0" xfId="0" applyFont="1" applyFill="1" applyBorder="1" applyAlignment="1" applyProtection="1">
      <alignment horizontal="right"/>
      <protection hidden="1"/>
    </xf>
    <xf numFmtId="0" fontId="95" fillId="9" borderId="0" xfId="0" applyFont="1" applyFill="1" applyBorder="1" applyAlignment="1" applyProtection="1">
      <alignment horizontal="right"/>
      <protection hidden="1"/>
    </xf>
    <xf numFmtId="0" fontId="71" fillId="15" borderId="0" xfId="0" applyFont="1" applyFill="1" applyBorder="1" applyAlignment="1" applyProtection="1">
      <alignment horizontal="right"/>
      <protection hidden="1"/>
    </xf>
    <xf numFmtId="0" fontId="104" fillId="21" borderId="0" xfId="0" applyFont="1" applyFill="1" applyBorder="1" applyProtection="1">
      <protection hidden="1"/>
    </xf>
    <xf numFmtId="0" fontId="0" fillId="47" borderId="0" xfId="0" applyFill="1" applyProtection="1">
      <protection hidden="1"/>
    </xf>
    <xf numFmtId="0" fontId="0" fillId="9" borderId="0" xfId="0" applyFill="1" applyProtection="1">
      <protection hidden="1"/>
    </xf>
    <xf numFmtId="0" fontId="0" fillId="0" borderId="0" xfId="0" applyFill="1" applyBorder="1" applyAlignment="1" applyProtection="1">
      <protection hidden="1"/>
    </xf>
    <xf numFmtId="0" fontId="0" fillId="32" borderId="0" xfId="0" applyFill="1" applyBorder="1" applyAlignment="1" applyProtection="1">
      <protection hidden="1"/>
    </xf>
    <xf numFmtId="0" fontId="14" fillId="5" borderId="0" xfId="0" applyFont="1" applyFill="1" applyProtection="1">
      <protection hidden="1"/>
    </xf>
    <xf numFmtId="0" fontId="101" fillId="5" borderId="0" xfId="0" applyFont="1" applyFill="1" applyBorder="1" applyProtection="1">
      <protection hidden="1"/>
    </xf>
    <xf numFmtId="0" fontId="113" fillId="5" borderId="0" xfId="1" applyFont="1" applyFill="1" applyAlignment="1" applyProtection="1">
      <protection hidden="1"/>
    </xf>
    <xf numFmtId="0" fontId="101" fillId="0" borderId="0" xfId="0" applyFont="1" applyFill="1" applyBorder="1" applyProtection="1">
      <protection hidden="1"/>
    </xf>
    <xf numFmtId="0" fontId="0" fillId="0" borderId="0" xfId="0" applyFill="1" applyAlignment="1" applyProtection="1">
      <alignment horizontal="center"/>
      <protection hidden="1"/>
    </xf>
    <xf numFmtId="0" fontId="0" fillId="0" borderId="2" xfId="0" applyFill="1" applyBorder="1" applyAlignment="1" applyProtection="1">
      <alignment horizontal="center" wrapText="1"/>
      <protection hidden="1"/>
    </xf>
    <xf numFmtId="0" fontId="0" fillId="0" borderId="4" xfId="0" applyFill="1" applyBorder="1" applyAlignment="1" applyProtection="1">
      <alignment horizontal="center" vertical="center"/>
      <protection hidden="1"/>
    </xf>
    <xf numFmtId="0" fontId="0" fillId="0" borderId="0" xfId="0" applyFill="1" applyAlignment="1" applyProtection="1">
      <alignment horizontal="center" vertical="center"/>
      <protection hidden="1"/>
    </xf>
    <xf numFmtId="0" fontId="0" fillId="0" borderId="2" xfId="0" applyFill="1" applyBorder="1" applyAlignment="1" applyProtection="1">
      <alignment horizontal="center"/>
      <protection hidden="1"/>
    </xf>
    <xf numFmtId="0" fontId="17" fillId="0" borderId="2" xfId="0" applyFont="1" applyFill="1" applyBorder="1" applyAlignment="1" applyProtection="1">
      <alignment horizontal="left" vertical="center"/>
      <protection hidden="1"/>
    </xf>
    <xf numFmtId="0" fontId="30" fillId="0" borderId="2" xfId="0" applyFont="1" applyFill="1" applyBorder="1" applyAlignment="1" applyProtection="1">
      <alignment vertical="top" wrapText="1"/>
      <protection hidden="1"/>
    </xf>
    <xf numFmtId="1" fontId="30" fillId="0" borderId="2" xfId="0" applyNumberFormat="1" applyFont="1" applyFill="1" applyBorder="1" applyAlignment="1" applyProtection="1">
      <alignment horizontal="center" vertical="center" wrapText="1"/>
      <protection hidden="1"/>
    </xf>
    <xf numFmtId="0" fontId="0" fillId="0" borderId="2" xfId="0" applyFill="1" applyBorder="1" applyAlignment="1" applyProtection="1">
      <alignment vertical="top" wrapText="1"/>
      <protection hidden="1"/>
    </xf>
    <xf numFmtId="1" fontId="0" fillId="0" borderId="2" xfId="0" applyNumberFormat="1" applyFill="1" applyBorder="1" applyAlignment="1" applyProtection="1">
      <alignment horizontal="center" vertical="center" wrapText="1"/>
      <protection hidden="1"/>
    </xf>
    <xf numFmtId="1" fontId="0" fillId="0" borderId="2" xfId="0" applyNumberFormat="1" applyFill="1" applyBorder="1" applyAlignment="1" applyProtection="1">
      <alignment vertical="top" wrapText="1"/>
      <protection hidden="1"/>
    </xf>
    <xf numFmtId="1" fontId="0" fillId="0" borderId="0" xfId="0" applyNumberFormat="1" applyFill="1" applyAlignment="1" applyProtection="1">
      <alignment horizontal="center" vertical="center"/>
      <protection hidden="1"/>
    </xf>
    <xf numFmtId="1" fontId="0" fillId="5" borderId="15" xfId="0" applyNumberFormat="1" applyFill="1" applyBorder="1" applyAlignment="1">
      <alignment horizontal="center" vertical="center"/>
    </xf>
    <xf numFmtId="0" fontId="63" fillId="5" borderId="0" xfId="0" applyFont="1" applyFill="1" applyBorder="1" applyAlignment="1" applyProtection="1">
      <alignment horizontal="left" vertical="center"/>
      <protection locked="0"/>
    </xf>
    <xf numFmtId="0" fontId="0" fillId="17" borderId="0" xfId="0" applyFill="1" applyBorder="1" applyAlignment="1" applyProtection="1">
      <alignment horizontal="left"/>
      <protection hidden="1"/>
    </xf>
    <xf numFmtId="10" fontId="117" fillId="0" borderId="0" xfId="0" applyNumberFormat="1" applyFont="1" applyFill="1" applyBorder="1" applyAlignment="1" applyProtection="1">
      <protection hidden="1"/>
    </xf>
    <xf numFmtId="0" fontId="81" fillId="0" borderId="0" xfId="1" applyFont="1" applyFill="1" applyAlignment="1" applyProtection="1">
      <alignment vertical="center"/>
      <protection hidden="1"/>
    </xf>
    <xf numFmtId="0" fontId="81" fillId="5" borderId="0" xfId="1" applyFont="1" applyFill="1" applyAlignment="1" applyProtection="1">
      <alignment vertical="center"/>
      <protection hidden="1"/>
    </xf>
    <xf numFmtId="10" fontId="0" fillId="17" borderId="0" xfId="0" applyNumberFormat="1" applyFill="1" applyBorder="1" applyAlignment="1" applyProtection="1">
      <alignment horizontal="left"/>
      <protection hidden="1"/>
    </xf>
    <xf numFmtId="0" fontId="0" fillId="0" borderId="5" xfId="0" applyFill="1" applyBorder="1" applyAlignment="1" applyProtection="1">
      <alignment horizontal="center" vertical="center" wrapText="1"/>
      <protection hidden="1"/>
    </xf>
    <xf numFmtId="0" fontId="96" fillId="5" borderId="0" xfId="0" applyFont="1" applyFill="1" applyBorder="1" applyAlignment="1" applyProtection="1">
      <alignment vertical="top"/>
      <protection hidden="1"/>
    </xf>
    <xf numFmtId="0" fontId="14" fillId="5" borderId="0" xfId="0" applyFont="1" applyFill="1" applyBorder="1" applyAlignment="1" applyProtection="1">
      <alignment horizontal="left" vertical="top"/>
      <protection locked="0"/>
    </xf>
    <xf numFmtId="0" fontId="0" fillId="5" borderId="0" xfId="0" applyFill="1" applyBorder="1" applyAlignment="1" applyProtection="1">
      <protection locked="0"/>
    </xf>
    <xf numFmtId="0" fontId="0" fillId="0" borderId="2" xfId="0" applyBorder="1" applyAlignment="1" applyProtection="1">
      <alignment horizontal="center" vertical="center"/>
      <protection locked="0"/>
    </xf>
    <xf numFmtId="0" fontId="0" fillId="0" borderId="2" xfId="0" applyBorder="1" applyAlignment="1" applyProtection="1">
      <alignment vertical="center" wrapText="1"/>
      <protection locked="0"/>
    </xf>
    <xf numFmtId="0" fontId="0" fillId="0" borderId="2" xfId="0" applyBorder="1" applyAlignment="1" applyProtection="1">
      <alignment horizontal="center" vertical="center" wrapText="1"/>
      <protection locked="0"/>
    </xf>
    <xf numFmtId="0" fontId="0" fillId="0" borderId="2" xfId="0" applyFill="1" applyBorder="1" applyAlignment="1" applyProtection="1">
      <alignment vertical="center" wrapText="1"/>
      <protection locked="0"/>
    </xf>
    <xf numFmtId="0" fontId="0" fillId="0" borderId="2" xfId="0" quotePrefix="1" applyBorder="1" applyAlignment="1" applyProtection="1">
      <alignment horizontal="center" vertical="center" wrapText="1"/>
      <protection locked="0"/>
    </xf>
    <xf numFmtId="0" fontId="0" fillId="2" borderId="0" xfId="0" applyFill="1" applyAlignment="1" applyProtection="1">
      <alignment vertical="center"/>
      <protection hidden="1"/>
    </xf>
    <xf numFmtId="0" fontId="0" fillId="6" borderId="0" xfId="0" applyFill="1" applyAlignment="1" applyProtection="1">
      <alignment vertical="center"/>
      <protection hidden="1"/>
    </xf>
    <xf numFmtId="0" fontId="0" fillId="0" borderId="2" xfId="0" applyBorder="1" applyAlignment="1" applyProtection="1">
      <alignment horizontal="center" vertical="center"/>
      <protection hidden="1"/>
    </xf>
    <xf numFmtId="0" fontId="0" fillId="0" borderId="2" xfId="0" applyBorder="1" applyAlignment="1" applyProtection="1">
      <alignment horizontal="center" vertical="center" wrapText="1"/>
      <protection hidden="1"/>
    </xf>
    <xf numFmtId="0" fontId="0" fillId="0" borderId="0" xfId="0" applyAlignment="1" applyProtection="1">
      <alignment horizontal="center" vertical="center"/>
      <protection hidden="1"/>
    </xf>
    <xf numFmtId="9" fontId="0" fillId="0" borderId="0" xfId="0" applyNumberFormat="1" applyAlignment="1" applyProtection="1">
      <alignment horizontal="center" vertical="center"/>
      <protection hidden="1"/>
    </xf>
    <xf numFmtId="0" fontId="111" fillId="19" borderId="0" xfId="0" applyFont="1" applyFill="1" applyAlignment="1" applyProtection="1">
      <alignment vertical="center"/>
      <protection hidden="1"/>
    </xf>
    <xf numFmtId="0" fontId="0" fillId="19" borderId="0" xfId="0" applyFill="1" applyProtection="1">
      <protection hidden="1"/>
    </xf>
    <xf numFmtId="0" fontId="17" fillId="0" borderId="0" xfId="0" applyFont="1" applyFill="1" applyAlignment="1" applyProtection="1">
      <alignment horizontal="center" vertical="center"/>
      <protection hidden="1"/>
    </xf>
    <xf numFmtId="9" fontId="0" fillId="0" borderId="0" xfId="0" applyNumberFormat="1" applyFill="1" applyAlignment="1" applyProtection="1">
      <alignment horizontal="center" vertical="center"/>
      <protection hidden="1"/>
    </xf>
    <xf numFmtId="0" fontId="0" fillId="0" borderId="0" xfId="0" applyFill="1" applyBorder="1" applyAlignment="1" applyProtection="1">
      <alignment horizontal="center"/>
      <protection hidden="1"/>
    </xf>
    <xf numFmtId="1" fontId="0" fillId="0" borderId="2" xfId="0" applyNumberFormat="1" applyFill="1" applyBorder="1" applyAlignment="1" applyProtection="1">
      <alignment horizontal="center" vertical="center"/>
      <protection hidden="1"/>
    </xf>
    <xf numFmtId="1" fontId="0" fillId="0" borderId="0" xfId="0" applyNumberFormat="1" applyFill="1" applyAlignment="1" applyProtection="1">
      <alignment horizontal="center"/>
      <protection hidden="1"/>
    </xf>
    <xf numFmtId="0" fontId="0" fillId="50" borderId="0" xfId="0" applyFill="1" applyProtection="1">
      <protection hidden="1"/>
    </xf>
    <xf numFmtId="0" fontId="87" fillId="50" borderId="0" xfId="0" applyFont="1" applyFill="1" applyAlignment="1" applyProtection="1">
      <alignment vertical="center"/>
      <protection hidden="1"/>
    </xf>
    <xf numFmtId="0" fontId="4" fillId="50" borderId="0" xfId="0" applyFont="1" applyFill="1" applyAlignment="1" applyProtection="1">
      <alignment horizontal="center" vertical="center"/>
      <protection hidden="1"/>
    </xf>
    <xf numFmtId="0" fontId="121" fillId="50" borderId="0" xfId="0" applyFont="1" applyFill="1" applyProtection="1">
      <protection hidden="1"/>
    </xf>
    <xf numFmtId="0" fontId="91" fillId="4" borderId="0" xfId="0" applyFont="1" applyFill="1" applyAlignment="1" applyProtection="1">
      <alignment horizontal="center" vertical="center"/>
      <protection hidden="1"/>
    </xf>
    <xf numFmtId="0" fontId="19" fillId="4" borderId="0" xfId="0" applyFont="1" applyFill="1" applyProtection="1">
      <protection hidden="1"/>
    </xf>
    <xf numFmtId="0" fontId="99" fillId="4" borderId="0" xfId="0" applyFont="1" applyFill="1" applyBorder="1" applyAlignment="1" applyProtection="1">
      <alignment vertical="center"/>
      <protection hidden="1"/>
    </xf>
    <xf numFmtId="0" fontId="4" fillId="4" borderId="0" xfId="0" applyFont="1" applyFill="1" applyAlignment="1" applyProtection="1">
      <alignment horizontal="center" vertical="center"/>
      <protection hidden="1"/>
    </xf>
    <xf numFmtId="0" fontId="0" fillId="7" borderId="2" xfId="0" applyFill="1" applyBorder="1" applyAlignment="1" applyProtection="1">
      <alignment horizontal="center" vertical="center" wrapText="1"/>
      <protection hidden="1"/>
    </xf>
    <xf numFmtId="0" fontId="48" fillId="0" borderId="0" xfId="0" applyFont="1" applyAlignment="1" applyProtection="1">
      <alignment horizontal="left" vertical="center"/>
      <protection hidden="1"/>
    </xf>
    <xf numFmtId="0" fontId="135" fillId="0" borderId="0" xfId="0" applyFont="1" applyAlignment="1">
      <alignment horizontal="center"/>
    </xf>
    <xf numFmtId="0" fontId="136" fillId="0" borderId="0" xfId="0" applyFont="1" applyAlignment="1">
      <alignment horizontal="center"/>
    </xf>
    <xf numFmtId="0" fontId="137" fillId="0" borderId="0" xfId="0" applyFont="1" applyAlignment="1"/>
    <xf numFmtId="0" fontId="137" fillId="0" borderId="0" xfId="0" applyFont="1" applyAlignment="1">
      <alignment horizontal="left"/>
    </xf>
    <xf numFmtId="0" fontId="138" fillId="0" borderId="0" xfId="0" applyFont="1" applyAlignment="1">
      <alignment horizontal="left" indent="15"/>
    </xf>
    <xf numFmtId="0" fontId="138" fillId="0" borderId="0" xfId="0" applyFont="1"/>
    <xf numFmtId="0" fontId="139" fillId="0" borderId="0" xfId="0" applyFont="1" applyAlignment="1">
      <alignment horizontal="center"/>
    </xf>
    <xf numFmtId="0" fontId="139" fillId="0" borderId="0" xfId="0" applyFont="1" applyAlignment="1"/>
    <xf numFmtId="0" fontId="139" fillId="0" borderId="0" xfId="0" applyFont="1"/>
    <xf numFmtId="0" fontId="139" fillId="0" borderId="0" xfId="0" applyFont="1" applyAlignment="1">
      <alignment horizontal="left"/>
    </xf>
    <xf numFmtId="0" fontId="139" fillId="0" borderId="0" xfId="0" applyFont="1" applyAlignment="1">
      <alignment horizontal="left" indent="5"/>
    </xf>
    <xf numFmtId="0" fontId="138" fillId="0" borderId="0" xfId="0" applyFont="1" applyAlignment="1">
      <alignment horizontal="center"/>
    </xf>
    <xf numFmtId="0" fontId="0" fillId="0" borderId="0" xfId="0" applyAlignment="1">
      <alignment horizontal="left"/>
    </xf>
    <xf numFmtId="0" fontId="4" fillId="0" borderId="0" xfId="0" applyFont="1" applyAlignment="1">
      <alignment horizontal="center"/>
    </xf>
    <xf numFmtId="0" fontId="0" fillId="0" borderId="2" xfId="0" applyBorder="1"/>
    <xf numFmtId="0" fontId="139" fillId="0" borderId="0" xfId="0" applyFont="1" applyAlignment="1">
      <alignment horizontal="left" indent="8"/>
    </xf>
    <xf numFmtId="0" fontId="139" fillId="0" borderId="0" xfId="0" applyFont="1" applyAlignment="1">
      <alignment horizontal="left" indent="7"/>
    </xf>
    <xf numFmtId="0" fontId="4" fillId="0" borderId="0" xfId="0" applyFont="1"/>
    <xf numFmtId="0" fontId="4" fillId="0" borderId="2" xfId="0" applyFont="1" applyBorder="1" applyAlignment="1">
      <alignment vertical="center"/>
    </xf>
    <xf numFmtId="0" fontId="4" fillId="0" borderId="2" xfId="0" applyFont="1" applyBorder="1" applyAlignment="1">
      <alignment horizontal="left" vertical="center"/>
    </xf>
    <xf numFmtId="0" fontId="0" fillId="0" borderId="2" xfId="0" applyBorder="1" applyAlignment="1">
      <alignment horizontal="center" vertical="center"/>
    </xf>
    <xf numFmtId="0" fontId="104" fillId="32" borderId="0" xfId="0" applyFont="1" applyFill="1" applyBorder="1" applyProtection="1">
      <protection hidden="1"/>
    </xf>
    <xf numFmtId="0" fontId="0" fillId="0" borderId="2" xfId="0" quotePrefix="1" applyFill="1" applyBorder="1" applyAlignment="1" applyProtection="1">
      <alignment horizontal="center" vertical="center" wrapText="1"/>
      <protection locked="0"/>
    </xf>
    <xf numFmtId="0" fontId="22" fillId="2" borderId="0" xfId="0" applyFont="1" applyFill="1" applyAlignment="1" applyProtection="1">
      <alignment vertical="center"/>
      <protection hidden="1"/>
    </xf>
    <xf numFmtId="0" fontId="0" fillId="0" borderId="2" xfId="0" applyBorder="1" applyAlignment="1" applyProtection="1">
      <alignment vertical="center" wrapText="1"/>
      <protection hidden="1"/>
    </xf>
    <xf numFmtId="0" fontId="0" fillId="0" borderId="2" xfId="0" quotePrefix="1" applyBorder="1" applyAlignment="1" applyProtection="1">
      <alignment horizontal="center" vertical="center" wrapText="1"/>
      <protection hidden="1"/>
    </xf>
    <xf numFmtId="0" fontId="0" fillId="0" borderId="4" xfId="0" applyFont="1" applyBorder="1" applyAlignment="1">
      <alignment horizontal="left" vertical="center"/>
    </xf>
    <xf numFmtId="165" fontId="0" fillId="0" borderId="4" xfId="0" applyNumberFormat="1" applyFont="1" applyBorder="1" applyAlignment="1">
      <alignment vertical="center"/>
    </xf>
    <xf numFmtId="0" fontId="0" fillId="0" borderId="24" xfId="0" applyFont="1" applyBorder="1" applyAlignment="1">
      <alignment vertical="center"/>
    </xf>
    <xf numFmtId="0" fontId="4" fillId="0" borderId="33" xfId="0" applyFont="1" applyBorder="1" applyAlignment="1">
      <alignment vertical="center"/>
    </xf>
    <xf numFmtId="0" fontId="4" fillId="0" borderId="39" xfId="0" applyFont="1" applyBorder="1" applyAlignment="1">
      <alignment vertical="center"/>
    </xf>
    <xf numFmtId="0" fontId="0" fillId="0" borderId="39" xfId="0" applyBorder="1"/>
    <xf numFmtId="0" fontId="63" fillId="0" borderId="0" xfId="0" applyFont="1" applyBorder="1" applyAlignment="1" applyProtection="1">
      <alignment horizontal="left" vertical="center" wrapText="1"/>
      <protection hidden="1"/>
    </xf>
    <xf numFmtId="0" fontId="24" fillId="0" borderId="0" xfId="0" applyFont="1" applyBorder="1" applyAlignment="1" applyProtection="1">
      <alignment horizontal="left" vertical="center" wrapText="1"/>
      <protection hidden="1"/>
    </xf>
    <xf numFmtId="0" fontId="24" fillId="0" borderId="0" xfId="0" applyFont="1" applyBorder="1" applyAlignment="1" applyProtection="1">
      <alignment horizontal="center" vertical="center" wrapText="1"/>
      <protection hidden="1"/>
    </xf>
    <xf numFmtId="0" fontId="8" fillId="0" borderId="0" xfId="0" applyFont="1" applyAlignment="1" applyProtection="1">
      <alignment horizontal="center"/>
      <protection hidden="1"/>
    </xf>
    <xf numFmtId="0" fontId="124" fillId="0" borderId="0" xfId="0" applyFont="1" applyAlignment="1" applyProtection="1">
      <alignment horizontal="center"/>
      <protection hidden="1"/>
    </xf>
    <xf numFmtId="0" fontId="126" fillId="0" borderId="0" xfId="0" applyFont="1" applyAlignment="1" applyProtection="1">
      <alignment horizontal="center"/>
      <protection hidden="1"/>
    </xf>
    <xf numFmtId="0" fontId="127" fillId="0" borderId="0" xfId="0" applyFont="1" applyProtection="1">
      <protection hidden="1"/>
    </xf>
    <xf numFmtId="0" fontId="126" fillId="0" borderId="0" xfId="0" applyFont="1" applyProtection="1">
      <protection hidden="1"/>
    </xf>
    <xf numFmtId="0" fontId="17" fillId="0" borderId="0" xfId="0" applyFont="1" applyProtection="1">
      <protection hidden="1"/>
    </xf>
    <xf numFmtId="0" fontId="128" fillId="0" borderId="0" xfId="0" applyFont="1" applyProtection="1">
      <protection hidden="1"/>
    </xf>
    <xf numFmtId="0" fontId="129" fillId="0" borderId="0" xfId="0" applyFont="1" applyAlignment="1" applyProtection="1">
      <alignment horizontal="center"/>
      <protection hidden="1"/>
    </xf>
    <xf numFmtId="0" fontId="117" fillId="0" borderId="0" xfId="0" applyFont="1" applyProtection="1">
      <protection hidden="1"/>
    </xf>
    <xf numFmtId="0" fontId="131" fillId="0" borderId="0" xfId="0" applyFont="1" applyAlignment="1" applyProtection="1">
      <alignment horizontal="left" wrapText="1"/>
      <protection hidden="1"/>
    </xf>
    <xf numFmtId="0" fontId="0" fillId="0" borderId="2" xfId="0" quotePrefix="1" applyBorder="1" applyAlignment="1" applyProtection="1">
      <alignment horizontal="center" vertical="center"/>
      <protection locked="0"/>
    </xf>
    <xf numFmtId="0" fontId="14" fillId="5" borderId="0" xfId="0" applyFont="1" applyFill="1" applyBorder="1" applyAlignment="1" applyProtection="1">
      <alignment horizontal="left" vertical="center"/>
      <protection locked="0"/>
    </xf>
    <xf numFmtId="0" fontId="143" fillId="17" borderId="0" xfId="1" applyFont="1" applyFill="1" applyAlignment="1" applyProtection="1"/>
    <xf numFmtId="0" fontId="0" fillId="0" borderId="2" xfId="0" applyBorder="1" applyAlignment="1">
      <alignment horizontal="center" vertical="center"/>
    </xf>
    <xf numFmtId="0" fontId="144" fillId="0" borderId="2" xfId="5" applyFont="1" applyBorder="1" applyAlignment="1">
      <alignment horizontal="center" vertical="center"/>
    </xf>
    <xf numFmtId="0" fontId="145" fillId="0" borderId="2" xfId="0" applyFont="1" applyBorder="1" applyAlignment="1">
      <alignment vertical="center" wrapText="1"/>
    </xf>
    <xf numFmtId="0" fontId="144" fillId="0" borderId="4" xfId="5" applyFont="1" applyBorder="1" applyAlignment="1">
      <alignment horizontal="center" vertical="center"/>
    </xf>
    <xf numFmtId="0" fontId="145" fillId="0" borderId="2" xfId="0" applyFont="1" applyBorder="1" applyAlignment="1">
      <alignment horizontal="left" vertical="center" wrapText="1"/>
    </xf>
    <xf numFmtId="0" fontId="146" fillId="0" borderId="2" xfId="7" applyFill="1" applyBorder="1" applyAlignment="1">
      <alignment horizontal="center" vertical="center"/>
    </xf>
    <xf numFmtId="0" fontId="146" fillId="0" borderId="2" xfId="7" applyFill="1" applyBorder="1" applyAlignment="1">
      <alignment vertical="center"/>
    </xf>
    <xf numFmtId="0" fontId="146" fillId="0" borderId="2" xfId="7" applyFill="1" applyBorder="1" applyAlignment="1">
      <alignment horizontal="right" vertical="center"/>
    </xf>
    <xf numFmtId="0" fontId="17" fillId="2" borderId="2" xfId="0" applyFont="1" applyFill="1" applyBorder="1" applyAlignment="1" applyProtection="1">
      <alignment horizontal="center" vertical="center"/>
      <protection locked="0"/>
    </xf>
    <xf numFmtId="0" fontId="0" fillId="2" borderId="2" xfId="0" applyFill="1" applyBorder="1" applyAlignment="1" applyProtection="1">
      <alignment horizontal="center" vertical="center"/>
      <protection locked="0"/>
    </xf>
    <xf numFmtId="0" fontId="17" fillId="0" borderId="2" xfId="0" applyFont="1" applyBorder="1" applyAlignment="1">
      <alignment horizontal="center" vertical="center" wrapText="1"/>
    </xf>
    <xf numFmtId="0" fontId="0" fillId="0" borderId="15" xfId="0" applyBorder="1" applyAlignment="1">
      <alignment horizontal="center" vertical="center" wrapText="1"/>
    </xf>
    <xf numFmtId="0" fontId="8" fillId="0" borderId="15" xfId="0" applyFont="1" applyBorder="1" applyAlignment="1">
      <alignment horizontal="center" vertical="center" wrapText="1"/>
    </xf>
    <xf numFmtId="0" fontId="17" fillId="0" borderId="2" xfId="0" applyFont="1" applyBorder="1" applyAlignment="1">
      <alignment horizontal="left" vertical="center" wrapText="1" indent="2"/>
    </xf>
    <xf numFmtId="0" fontId="17" fillId="0" borderId="2" xfId="0" applyFont="1" applyBorder="1" applyAlignment="1">
      <alignment horizontal="left" vertical="top" wrapText="1" indent="2"/>
    </xf>
    <xf numFmtId="0" fontId="147" fillId="0" borderId="2" xfId="0" applyFont="1" applyBorder="1" applyAlignment="1">
      <alignment horizontal="left" vertical="center" wrapText="1" indent="2"/>
    </xf>
    <xf numFmtId="0" fontId="148" fillId="0" borderId="2" xfId="0" applyFont="1" applyBorder="1" applyAlignment="1">
      <alignment vertical="center" wrapText="1"/>
    </xf>
    <xf numFmtId="0" fontId="17" fillId="0" borderId="2" xfId="0" applyFont="1" applyBorder="1" applyAlignment="1">
      <alignment horizontal="center" vertical="center"/>
    </xf>
    <xf numFmtId="0" fontId="149" fillId="0" borderId="2" xfId="0" applyFont="1" applyBorder="1" applyAlignment="1">
      <alignment vertical="center" wrapText="1"/>
    </xf>
    <xf numFmtId="0" fontId="0" fillId="0" borderId="2" xfId="0" applyBorder="1" applyAlignment="1"/>
    <xf numFmtId="0" fontId="0" fillId="0" borderId="2" xfId="0" applyBorder="1" applyAlignment="1">
      <alignment horizontal="left" vertical="center" wrapText="1"/>
    </xf>
    <xf numFmtId="0" fontId="0" fillId="0" borderId="2" xfId="0" applyBorder="1" applyAlignment="1">
      <alignment horizontal="center" vertical="center" wrapText="1"/>
    </xf>
    <xf numFmtId="0" fontId="148" fillId="0" borderId="2" xfId="0" applyFont="1" applyBorder="1" applyAlignment="1">
      <alignment horizontal="left" vertical="center" wrapText="1"/>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quotePrefix="1" applyBorder="1" applyAlignment="1">
      <alignment horizontal="center" vertical="center"/>
    </xf>
    <xf numFmtId="0" fontId="0" fillId="0" borderId="2" xfId="0" applyBorder="1" applyAlignment="1">
      <alignment vertical="center"/>
    </xf>
    <xf numFmtId="0" fontId="0" fillId="0" borderId="14" xfId="0" applyFill="1" applyBorder="1"/>
    <xf numFmtId="0" fontId="0" fillId="0" borderId="2" xfId="0" applyBorder="1" applyProtection="1">
      <protection locked="0"/>
    </xf>
    <xf numFmtId="1" fontId="0" fillId="0" borderId="2" xfId="0" applyNumberFormat="1" applyBorder="1" applyProtection="1">
      <protection locked="0"/>
    </xf>
    <xf numFmtId="0" fontId="0" fillId="0" borderId="2" xfId="0" applyFill="1" applyBorder="1" applyAlignment="1" applyProtection="1">
      <alignment horizontal="left" vertical="center" indent="1"/>
      <protection locked="0"/>
    </xf>
    <xf numFmtId="0" fontId="69" fillId="45" borderId="0" xfId="0" applyFont="1" applyFill="1" applyAlignment="1" applyProtection="1">
      <alignment horizontal="center"/>
      <protection hidden="1"/>
    </xf>
    <xf numFmtId="0" fontId="19" fillId="45" borderId="0" xfId="0" applyFont="1" applyFill="1" applyAlignment="1" applyProtection="1">
      <alignment horizontal="center"/>
      <protection hidden="1"/>
    </xf>
    <xf numFmtId="0" fontId="142" fillId="46" borderId="0" xfId="0" applyFont="1" applyFill="1" applyAlignment="1" applyProtection="1">
      <alignment horizontal="center" vertical="center"/>
      <protection hidden="1"/>
    </xf>
    <xf numFmtId="0" fontId="120" fillId="45" borderId="0" xfId="0" applyFont="1" applyFill="1" applyAlignment="1" applyProtection="1">
      <alignment horizontal="center" vertical="center" wrapText="1"/>
      <protection hidden="1"/>
    </xf>
    <xf numFmtId="0" fontId="14" fillId="5" borderId="0" xfId="0" applyFont="1" applyFill="1" applyBorder="1" applyAlignment="1" applyProtection="1">
      <alignment horizontal="left" vertical="center"/>
      <protection locked="0"/>
    </xf>
    <xf numFmtId="0" fontId="71" fillId="43" borderId="0" xfId="0" applyFont="1" applyFill="1" applyAlignment="1" applyProtection="1">
      <alignment horizontal="center" vertical="center" wrapText="1"/>
      <protection hidden="1"/>
    </xf>
    <xf numFmtId="0" fontId="105" fillId="21" borderId="0" xfId="0" applyFont="1" applyFill="1" applyBorder="1" applyAlignment="1" applyProtection="1">
      <alignment horizontal="left" vertical="top"/>
      <protection hidden="1"/>
    </xf>
    <xf numFmtId="0" fontId="107" fillId="21" borderId="0" xfId="0" applyFont="1" applyFill="1" applyBorder="1" applyAlignment="1" applyProtection="1">
      <alignment horizontal="left" vertical="top"/>
      <protection hidden="1"/>
    </xf>
    <xf numFmtId="0" fontId="14" fillId="5" borderId="0" xfId="0" quotePrefix="1" applyFont="1" applyFill="1" applyBorder="1" applyAlignment="1" applyProtection="1">
      <alignment horizontal="left" vertical="center"/>
      <protection locked="0"/>
    </xf>
    <xf numFmtId="0" fontId="106" fillId="47" borderId="0" xfId="0" applyFont="1" applyFill="1" applyAlignment="1" applyProtection="1">
      <alignment horizontal="center" vertical="top"/>
      <protection hidden="1"/>
    </xf>
    <xf numFmtId="0" fontId="108" fillId="47" borderId="0" xfId="0" applyFont="1" applyFill="1" applyAlignment="1" applyProtection="1">
      <alignment horizontal="center" vertical="top"/>
      <protection hidden="1"/>
    </xf>
    <xf numFmtId="0" fontId="114" fillId="9" borderId="0" xfId="0" applyFont="1" applyFill="1" applyAlignment="1" applyProtection="1">
      <alignment horizontal="center" vertical="top"/>
      <protection hidden="1"/>
    </xf>
    <xf numFmtId="0" fontId="115" fillId="9" borderId="0" xfId="0" applyFont="1" applyFill="1" applyAlignment="1" applyProtection="1">
      <alignment horizontal="center" vertical="top"/>
      <protection hidden="1"/>
    </xf>
    <xf numFmtId="0" fontId="106" fillId="15" borderId="0" xfId="0" applyFont="1" applyFill="1" applyAlignment="1" applyProtection="1">
      <alignment horizontal="center" vertical="top"/>
      <protection hidden="1"/>
    </xf>
    <xf numFmtId="0" fontId="108" fillId="15" borderId="0" xfId="0" applyFont="1" applyFill="1" applyAlignment="1" applyProtection="1">
      <alignment horizontal="center" vertical="top"/>
      <protection hidden="1"/>
    </xf>
    <xf numFmtId="0" fontId="109" fillId="11" borderId="0" xfId="0" applyFont="1" applyFill="1" applyBorder="1" applyAlignment="1" applyProtection="1">
      <alignment horizontal="right"/>
      <protection hidden="1"/>
    </xf>
    <xf numFmtId="0" fontId="109" fillId="21" borderId="0" xfId="0" applyFont="1" applyFill="1" applyBorder="1" applyAlignment="1" applyProtection="1">
      <alignment horizontal="right"/>
      <protection hidden="1"/>
    </xf>
    <xf numFmtId="1" fontId="109" fillId="47" borderId="0" xfId="0" applyNumberFormat="1" applyFont="1" applyFill="1" applyBorder="1" applyAlignment="1" applyProtection="1">
      <alignment horizontal="right"/>
      <protection hidden="1"/>
    </xf>
    <xf numFmtId="1" fontId="109" fillId="9" borderId="0" xfId="0" applyNumberFormat="1" applyFont="1" applyFill="1" applyBorder="1" applyAlignment="1" applyProtection="1">
      <alignment horizontal="right"/>
      <protection hidden="1"/>
    </xf>
    <xf numFmtId="0" fontId="101" fillId="5" borderId="0" xfId="0" applyFont="1" applyFill="1" applyBorder="1" applyAlignment="1" applyProtection="1">
      <alignment horizontal="left" vertical="top" wrapText="1"/>
      <protection hidden="1"/>
    </xf>
    <xf numFmtId="9" fontId="109" fillId="15" borderId="0" xfId="0" applyNumberFormat="1" applyFont="1" applyFill="1" applyBorder="1" applyAlignment="1" applyProtection="1">
      <alignment horizontal="right"/>
      <protection hidden="1"/>
    </xf>
    <xf numFmtId="0" fontId="109" fillId="15" borderId="0" xfId="0" applyFont="1" applyFill="1" applyBorder="1" applyAlignment="1" applyProtection="1">
      <alignment horizontal="right"/>
      <protection hidden="1"/>
    </xf>
    <xf numFmtId="0" fontId="71" fillId="48" borderId="0" xfId="0" applyFont="1" applyFill="1" applyBorder="1" applyAlignment="1" applyProtection="1">
      <alignment horizontal="left" vertical="center"/>
      <protection hidden="1"/>
    </xf>
    <xf numFmtId="0" fontId="71" fillId="49" borderId="0" xfId="0" applyFont="1" applyFill="1" applyAlignment="1" applyProtection="1">
      <alignment horizontal="left" vertical="center"/>
      <protection hidden="1"/>
    </xf>
    <xf numFmtId="9" fontId="14" fillId="5" borderId="0" xfId="0" applyNumberFormat="1" applyFont="1" applyFill="1" applyAlignment="1" applyProtection="1">
      <alignment horizontal="right" vertical="center"/>
      <protection hidden="1"/>
    </xf>
    <xf numFmtId="0" fontId="119" fillId="5" borderId="0" xfId="0" applyFont="1" applyFill="1" applyAlignment="1" applyProtection="1">
      <alignment horizontal="left" vertical="top" wrapText="1"/>
      <protection hidden="1"/>
    </xf>
    <xf numFmtId="0" fontId="14" fillId="5" borderId="0" xfId="0" applyFont="1" applyFill="1" applyBorder="1" applyAlignment="1" applyProtection="1">
      <alignment horizontal="left" vertical="center" wrapText="1"/>
      <protection locked="0"/>
    </xf>
    <xf numFmtId="0" fontId="67" fillId="28" borderId="0" xfId="0" applyFont="1" applyFill="1" applyBorder="1" applyAlignment="1" applyProtection="1">
      <alignment horizontal="center" vertical="center" wrapText="1"/>
      <protection hidden="1"/>
    </xf>
    <xf numFmtId="0" fontId="63" fillId="2" borderId="0" xfId="0" applyFont="1" applyFill="1" applyBorder="1" applyAlignment="1" applyProtection="1">
      <alignment horizontal="center" vertical="center"/>
      <protection hidden="1"/>
    </xf>
    <xf numFmtId="0" fontId="23" fillId="2" borderId="6" xfId="0" applyFont="1" applyFill="1" applyBorder="1" applyAlignment="1" applyProtection="1">
      <alignment horizontal="center" vertical="center"/>
      <protection hidden="1"/>
    </xf>
    <xf numFmtId="0" fontId="23" fillId="2" borderId="7" xfId="0" applyFont="1" applyFill="1" applyBorder="1" applyAlignment="1" applyProtection="1">
      <alignment horizontal="center" vertical="center"/>
      <protection hidden="1"/>
    </xf>
    <xf numFmtId="0" fontId="62" fillId="16" borderId="2" xfId="0" applyFont="1" applyFill="1" applyBorder="1" applyAlignment="1" applyProtection="1">
      <alignment horizontal="center" vertical="center" wrapText="1"/>
      <protection hidden="1"/>
    </xf>
    <xf numFmtId="0" fontId="62" fillId="16" borderId="15" xfId="0" applyFont="1" applyFill="1" applyBorder="1" applyAlignment="1" applyProtection="1">
      <alignment horizontal="center" vertical="center" wrapText="1"/>
      <protection hidden="1"/>
    </xf>
    <xf numFmtId="0" fontId="62" fillId="16" borderId="2" xfId="0" applyFont="1" applyFill="1" applyBorder="1" applyAlignment="1" applyProtection="1">
      <alignment horizontal="center" vertical="center"/>
      <protection hidden="1"/>
    </xf>
    <xf numFmtId="0" fontId="0" fillId="7" borderId="0" xfId="0" applyFill="1" applyAlignment="1">
      <alignment horizontal="center" vertical="center" wrapText="1"/>
    </xf>
    <xf numFmtId="0" fontId="82" fillId="2" borderId="0" xfId="0" applyFont="1" applyFill="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0" fontId="116" fillId="2" borderId="0" xfId="0" applyFont="1" applyFill="1" applyAlignment="1" applyProtection="1">
      <alignment horizontal="center" vertical="center"/>
      <protection hidden="1"/>
    </xf>
    <xf numFmtId="0" fontId="0" fillId="7" borderId="2" xfId="0" applyFill="1" applyBorder="1" applyAlignment="1" applyProtection="1">
      <alignment horizontal="center" vertical="center" wrapText="1"/>
      <protection hidden="1"/>
    </xf>
    <xf numFmtId="0" fontId="63" fillId="21" borderId="2" xfId="0" applyFont="1" applyFill="1" applyBorder="1" applyAlignment="1" applyProtection="1">
      <alignment horizontal="center" vertical="center" wrapText="1"/>
      <protection hidden="1"/>
    </xf>
    <xf numFmtId="0" fontId="63" fillId="51" borderId="4" xfId="0" applyFont="1" applyFill="1" applyBorder="1" applyAlignment="1" applyProtection="1">
      <alignment horizontal="center" vertical="center" wrapText="1"/>
      <protection hidden="1"/>
    </xf>
    <xf numFmtId="0" fontId="63" fillId="51" borderId="12" xfId="0" applyFont="1" applyFill="1" applyBorder="1" applyAlignment="1" applyProtection="1">
      <alignment horizontal="center" vertical="center" wrapText="1"/>
      <protection hidden="1"/>
    </xf>
    <xf numFmtId="0" fontId="63" fillId="51" borderId="13" xfId="0" applyFont="1" applyFill="1" applyBorder="1" applyAlignment="1" applyProtection="1">
      <alignment horizontal="center" vertical="center" wrapText="1"/>
      <protection hidden="1"/>
    </xf>
    <xf numFmtId="0" fontId="63" fillId="23" borderId="2" xfId="0" applyFont="1" applyFill="1" applyBorder="1" applyAlignment="1" applyProtection="1">
      <alignment horizontal="center" vertical="center" wrapText="1"/>
      <protection hidden="1"/>
    </xf>
    <xf numFmtId="0" fontId="0" fillId="7" borderId="15" xfId="0" applyFill="1" applyBorder="1" applyAlignment="1" applyProtection="1">
      <alignment horizontal="center" vertical="center" wrapText="1"/>
      <protection hidden="1"/>
    </xf>
    <xf numFmtId="0" fontId="0" fillId="7" borderId="16" xfId="0" applyFill="1" applyBorder="1" applyAlignment="1" applyProtection="1">
      <alignment horizontal="center" vertical="center" wrapText="1"/>
      <protection hidden="1"/>
    </xf>
    <xf numFmtId="0" fontId="63" fillId="8" borderId="2" xfId="0" applyFont="1" applyFill="1" applyBorder="1" applyAlignment="1" applyProtection="1">
      <alignment horizontal="center" vertical="center" wrapText="1"/>
      <protection hidden="1"/>
    </xf>
    <xf numFmtId="0" fontId="0" fillId="7" borderId="3" xfId="0" applyFill="1" applyBorder="1" applyAlignment="1" applyProtection="1">
      <alignment horizontal="center" vertical="center" wrapText="1"/>
      <protection hidden="1"/>
    </xf>
    <xf numFmtId="0" fontId="0" fillId="7" borderId="23" xfId="0" applyFill="1" applyBorder="1" applyAlignment="1" applyProtection="1">
      <alignment horizontal="center" vertical="center" wrapText="1"/>
      <protection hidden="1"/>
    </xf>
    <xf numFmtId="0" fontId="0" fillId="7" borderId="22" xfId="0" applyFill="1" applyBorder="1" applyAlignment="1" applyProtection="1">
      <alignment horizontal="center" vertical="center" wrapText="1"/>
      <protection hidden="1"/>
    </xf>
    <xf numFmtId="0" fontId="77" fillId="0" borderId="2" xfId="0" applyFont="1" applyFill="1" applyBorder="1" applyAlignment="1" applyProtection="1">
      <alignment horizontal="center" vertical="center"/>
      <protection hidden="1"/>
    </xf>
    <xf numFmtId="0" fontId="75" fillId="8" borderId="0" xfId="0" applyFont="1" applyFill="1" applyBorder="1" applyAlignment="1" applyProtection="1">
      <alignment horizontal="left" vertical="center"/>
      <protection hidden="1"/>
    </xf>
    <xf numFmtId="0" fontId="24" fillId="9" borderId="0" xfId="0" applyFont="1" applyFill="1" applyAlignment="1" applyProtection="1">
      <alignment horizontal="center" vertical="center" wrapText="1"/>
      <protection hidden="1"/>
    </xf>
    <xf numFmtId="0" fontId="24" fillId="9" borderId="1" xfId="0" applyFont="1" applyFill="1" applyBorder="1" applyAlignment="1" applyProtection="1">
      <alignment horizontal="center" vertical="center" wrapText="1"/>
      <protection hidden="1"/>
    </xf>
    <xf numFmtId="0" fontId="71" fillId="15" borderId="26" xfId="0" applyFont="1" applyFill="1" applyBorder="1" applyAlignment="1" applyProtection="1">
      <alignment horizontal="left" vertical="center" wrapText="1"/>
      <protection hidden="1"/>
    </xf>
    <xf numFmtId="0" fontId="71" fillId="15" borderId="27" xfId="0" applyFont="1" applyFill="1" applyBorder="1" applyAlignment="1" applyProtection="1">
      <alignment horizontal="left" vertical="center" wrapText="1"/>
      <protection hidden="1"/>
    </xf>
    <xf numFmtId="0" fontId="71" fillId="15" borderId="28" xfId="0" applyFont="1" applyFill="1" applyBorder="1" applyAlignment="1" applyProtection="1">
      <alignment horizontal="left" vertical="center" wrapText="1"/>
      <protection hidden="1"/>
    </xf>
    <xf numFmtId="0" fontId="27" fillId="2" borderId="16" xfId="0" applyFont="1" applyFill="1" applyBorder="1" applyAlignment="1" applyProtection="1">
      <alignment horizontal="center" vertical="center"/>
      <protection hidden="1"/>
    </xf>
    <xf numFmtId="0" fontId="27" fillId="2" borderId="2" xfId="0" applyFont="1" applyFill="1" applyBorder="1" applyAlignment="1" applyProtection="1">
      <alignment horizontal="center" vertical="center"/>
      <protection hidden="1"/>
    </xf>
    <xf numFmtId="0" fontId="74" fillId="13" borderId="16" xfId="0" applyFont="1" applyFill="1" applyBorder="1" applyAlignment="1" applyProtection="1">
      <alignment horizontal="center" vertical="center" wrapText="1"/>
      <protection hidden="1"/>
    </xf>
    <xf numFmtId="0" fontId="74" fillId="17" borderId="16" xfId="0" applyFont="1" applyFill="1" applyBorder="1" applyAlignment="1" applyProtection="1">
      <alignment horizontal="center" vertical="center" wrapText="1"/>
      <protection hidden="1"/>
    </xf>
    <xf numFmtId="0" fontId="74" fillId="11" borderId="16" xfId="0" applyFont="1" applyFill="1" applyBorder="1" applyAlignment="1" applyProtection="1">
      <alignment horizontal="center" vertical="center" wrapText="1"/>
      <protection hidden="1"/>
    </xf>
    <xf numFmtId="0" fontId="74" fillId="19" borderId="16" xfId="0" applyFont="1" applyFill="1" applyBorder="1" applyAlignment="1" applyProtection="1">
      <alignment horizontal="center" vertical="center" wrapText="1"/>
      <protection hidden="1"/>
    </xf>
    <xf numFmtId="0" fontId="27" fillId="12" borderId="29" xfId="0" applyFont="1" applyFill="1" applyBorder="1" applyAlignment="1" applyProtection="1">
      <alignment horizontal="center" vertical="center"/>
      <protection hidden="1"/>
    </xf>
    <xf numFmtId="0" fontId="27" fillId="12" borderId="24" xfId="0" applyFont="1" applyFill="1" applyBorder="1" applyAlignment="1" applyProtection="1">
      <alignment horizontal="center" vertical="center"/>
      <protection hidden="1"/>
    </xf>
    <xf numFmtId="0" fontId="86" fillId="21" borderId="29" xfId="0" applyFont="1" applyFill="1" applyBorder="1" applyAlignment="1" applyProtection="1">
      <alignment horizontal="center" vertical="center" wrapText="1"/>
      <protection hidden="1"/>
    </xf>
    <xf numFmtId="0" fontId="86" fillId="21" borderId="7" xfId="0" applyFont="1" applyFill="1" applyBorder="1" applyAlignment="1" applyProtection="1">
      <alignment horizontal="center" vertical="center" wrapText="1"/>
      <protection hidden="1"/>
    </xf>
    <xf numFmtId="0" fontId="86" fillId="21" borderId="31" xfId="0" applyFont="1" applyFill="1" applyBorder="1" applyAlignment="1" applyProtection="1">
      <alignment horizontal="center" vertical="center" wrapText="1"/>
      <protection hidden="1"/>
    </xf>
    <xf numFmtId="0" fontId="86" fillId="21" borderId="24" xfId="0" applyFont="1" applyFill="1" applyBorder="1" applyAlignment="1" applyProtection="1">
      <alignment horizontal="center" vertical="center" wrapText="1"/>
      <protection hidden="1"/>
    </xf>
    <xf numFmtId="0" fontId="86" fillId="21" borderId="1" xfId="0" applyFont="1" applyFill="1" applyBorder="1" applyAlignment="1" applyProtection="1">
      <alignment horizontal="center" vertical="center" wrapText="1"/>
      <protection hidden="1"/>
    </xf>
    <xf numFmtId="0" fontId="86" fillId="21" borderId="25" xfId="0" applyFont="1" applyFill="1" applyBorder="1" applyAlignment="1" applyProtection="1">
      <alignment horizontal="center" vertical="center" wrapText="1"/>
      <protection hidden="1"/>
    </xf>
    <xf numFmtId="0" fontId="23" fillId="25" borderId="0" xfId="0" applyFont="1" applyFill="1" applyBorder="1" applyAlignment="1" applyProtection="1">
      <alignment horizontal="left" vertical="center"/>
      <protection hidden="1"/>
    </xf>
    <xf numFmtId="0" fontId="71" fillId="15" borderId="20" xfId="0" applyFont="1" applyFill="1" applyBorder="1" applyAlignment="1" applyProtection="1">
      <alignment horizontal="left" vertical="center" wrapText="1"/>
      <protection hidden="1"/>
    </xf>
    <xf numFmtId="0" fontId="71" fillId="15" borderId="0" xfId="0" applyFont="1" applyFill="1" applyBorder="1" applyAlignment="1" applyProtection="1">
      <alignment horizontal="left" vertical="center" wrapText="1"/>
      <protection hidden="1"/>
    </xf>
    <xf numFmtId="0" fontId="74" fillId="34" borderId="16" xfId="0" applyFont="1" applyFill="1" applyBorder="1" applyAlignment="1" applyProtection="1">
      <alignment horizontal="center" vertical="center" wrapText="1"/>
      <protection hidden="1"/>
    </xf>
    <xf numFmtId="0" fontId="74" fillId="25" borderId="16" xfId="0" applyFont="1" applyFill="1" applyBorder="1" applyAlignment="1" applyProtection="1">
      <alignment horizontal="center" vertical="center" wrapText="1"/>
      <protection hidden="1"/>
    </xf>
    <xf numFmtId="0" fontId="49" fillId="35" borderId="4" xfId="0" applyFont="1" applyFill="1" applyBorder="1" applyAlignment="1" applyProtection="1">
      <alignment horizontal="center" vertical="center"/>
      <protection hidden="1"/>
    </xf>
    <xf numFmtId="0" fontId="49" fillId="35" borderId="12" xfId="0" applyFont="1" applyFill="1" applyBorder="1" applyAlignment="1" applyProtection="1">
      <alignment horizontal="center" vertical="center"/>
      <protection hidden="1"/>
    </xf>
    <xf numFmtId="0" fontId="49" fillId="35" borderId="13" xfId="0" applyFont="1" applyFill="1" applyBorder="1" applyAlignment="1" applyProtection="1">
      <alignment horizontal="center" vertical="center"/>
      <protection hidden="1"/>
    </xf>
    <xf numFmtId="0" fontId="27" fillId="14" borderId="29" xfId="0" applyFont="1" applyFill="1" applyBorder="1" applyAlignment="1" applyProtection="1">
      <alignment horizontal="center" vertical="center"/>
      <protection hidden="1"/>
    </xf>
    <xf numFmtId="0" fontId="27" fillId="14" borderId="24" xfId="0" applyFont="1" applyFill="1" applyBorder="1" applyAlignment="1" applyProtection="1">
      <alignment horizontal="center" vertical="center"/>
      <protection hidden="1"/>
    </xf>
    <xf numFmtId="0" fontId="7" fillId="10" borderId="22" xfId="0" applyFont="1" applyFill="1" applyBorder="1" applyAlignment="1" applyProtection="1">
      <alignment horizontal="center" vertical="center"/>
      <protection hidden="1"/>
    </xf>
    <xf numFmtId="0" fontId="7" fillId="10" borderId="30" xfId="0" applyFont="1" applyFill="1" applyBorder="1" applyAlignment="1" applyProtection="1">
      <alignment horizontal="center" vertical="center"/>
      <protection hidden="1"/>
    </xf>
    <xf numFmtId="0" fontId="7" fillId="10" borderId="25" xfId="0" applyFont="1" applyFill="1" applyBorder="1" applyAlignment="1" applyProtection="1">
      <alignment horizontal="center" vertical="center"/>
      <protection hidden="1"/>
    </xf>
    <xf numFmtId="0" fontId="63" fillId="36" borderId="4" xfId="0" applyFont="1" applyFill="1" applyBorder="1" applyAlignment="1" applyProtection="1">
      <alignment horizontal="center" vertical="center" wrapText="1"/>
      <protection hidden="1"/>
    </xf>
    <xf numFmtId="0" fontId="63" fillId="36" borderId="13" xfId="0" applyFont="1" applyFill="1" applyBorder="1" applyAlignment="1" applyProtection="1">
      <alignment horizontal="center" vertical="center" wrapText="1"/>
      <protection hidden="1"/>
    </xf>
    <xf numFmtId="0" fontId="63" fillId="12" borderId="4" xfId="0" applyFont="1" applyFill="1" applyBorder="1" applyAlignment="1" applyProtection="1">
      <alignment horizontal="center" vertical="center" wrapText="1"/>
      <protection hidden="1"/>
    </xf>
    <xf numFmtId="0" fontId="63" fillId="12" borderId="13" xfId="0" applyFont="1" applyFill="1" applyBorder="1" applyAlignment="1" applyProtection="1">
      <alignment horizontal="center" vertical="center" wrapText="1"/>
      <protection hidden="1"/>
    </xf>
    <xf numFmtId="0" fontId="122" fillId="50" borderId="0" xfId="0" applyFont="1" applyFill="1" applyBorder="1" applyAlignment="1" applyProtection="1">
      <alignment horizontal="left" vertical="center"/>
      <protection hidden="1"/>
    </xf>
    <xf numFmtId="0" fontId="8" fillId="38" borderId="2" xfId="0" applyFont="1" applyFill="1" applyBorder="1" applyAlignment="1" applyProtection="1">
      <alignment horizontal="center" vertical="center"/>
      <protection hidden="1"/>
    </xf>
    <xf numFmtId="0" fontId="9" fillId="38" borderId="2" xfId="0" applyFont="1" applyFill="1" applyBorder="1" applyAlignment="1" applyProtection="1">
      <alignment horizontal="center" vertical="center" wrapText="1"/>
      <protection hidden="1"/>
    </xf>
    <xf numFmtId="0" fontId="8" fillId="38" borderId="2" xfId="0" applyFont="1" applyFill="1" applyBorder="1" applyAlignment="1" applyProtection="1">
      <alignment horizontal="center" vertical="center" wrapText="1"/>
      <protection hidden="1"/>
    </xf>
    <xf numFmtId="0" fontId="37" fillId="22" borderId="2" xfId="0" applyFont="1" applyFill="1" applyBorder="1" applyAlignment="1" applyProtection="1">
      <alignment horizontal="center"/>
      <protection hidden="1"/>
    </xf>
    <xf numFmtId="0" fontId="63" fillId="12" borderId="2" xfId="0" applyFont="1" applyFill="1" applyBorder="1" applyAlignment="1" applyProtection="1">
      <alignment horizontal="center" vertical="center" textRotation="90" wrapText="1"/>
      <protection hidden="1"/>
    </xf>
    <xf numFmtId="0" fontId="63" fillId="21" borderId="2" xfId="0" applyFont="1" applyFill="1" applyBorder="1" applyAlignment="1" applyProtection="1">
      <alignment horizontal="center" vertical="center" textRotation="90" wrapText="1"/>
      <protection hidden="1"/>
    </xf>
    <xf numFmtId="0" fontId="63" fillId="18" borderId="24" xfId="0" applyFont="1" applyFill="1" applyBorder="1" applyAlignment="1" applyProtection="1">
      <alignment horizontal="center" vertical="center" wrapText="1"/>
      <protection hidden="1"/>
    </xf>
    <xf numFmtId="0" fontId="63" fillId="18" borderId="1" xfId="0" applyFont="1" applyFill="1" applyBorder="1" applyAlignment="1" applyProtection="1">
      <alignment horizontal="center" vertical="center" wrapText="1"/>
      <protection hidden="1"/>
    </xf>
    <xf numFmtId="0" fontId="23" fillId="10" borderId="4" xfId="0" applyFont="1" applyFill="1" applyBorder="1" applyAlignment="1" applyProtection="1">
      <alignment horizontal="center" vertical="center"/>
      <protection hidden="1"/>
    </xf>
    <xf numFmtId="0" fontId="23" fillId="10" borderId="12" xfId="0" applyFont="1" applyFill="1" applyBorder="1" applyAlignment="1" applyProtection="1">
      <alignment horizontal="center" vertical="center"/>
      <protection hidden="1"/>
    </xf>
    <xf numFmtId="0" fontId="23" fillId="10" borderId="13" xfId="0" applyFont="1" applyFill="1" applyBorder="1" applyAlignment="1" applyProtection="1">
      <alignment horizontal="center" vertical="center"/>
      <protection hidden="1"/>
    </xf>
    <xf numFmtId="0" fontId="23" fillId="11" borderId="4" xfId="0" applyFont="1" applyFill="1" applyBorder="1" applyAlignment="1" applyProtection="1">
      <alignment horizontal="center" vertical="center"/>
      <protection hidden="1"/>
    </xf>
    <xf numFmtId="0" fontId="23" fillId="11" borderId="12" xfId="0" applyFont="1" applyFill="1" applyBorder="1" applyAlignment="1" applyProtection="1">
      <alignment horizontal="center" vertical="center"/>
      <protection hidden="1"/>
    </xf>
    <xf numFmtId="0" fontId="23" fillId="11" borderId="13"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23" fillId="2" borderId="12" xfId="0" applyFont="1" applyFill="1" applyBorder="1" applyAlignment="1" applyProtection="1">
      <alignment horizontal="center" vertical="center"/>
      <protection hidden="1"/>
    </xf>
    <xf numFmtId="0" fontId="23" fillId="2" borderId="13" xfId="0" applyFont="1" applyFill="1" applyBorder="1" applyAlignment="1" applyProtection="1">
      <alignment horizontal="center" vertical="center"/>
      <protection hidden="1"/>
    </xf>
    <xf numFmtId="0" fontId="23" fillId="41" borderId="4" xfId="0" applyFont="1" applyFill="1" applyBorder="1" applyAlignment="1" applyProtection="1">
      <alignment horizontal="center" vertical="center"/>
      <protection hidden="1"/>
    </xf>
    <xf numFmtId="0" fontId="23" fillId="41" borderId="12" xfId="0" applyFont="1" applyFill="1" applyBorder="1" applyAlignment="1" applyProtection="1">
      <alignment horizontal="center" vertical="center"/>
      <protection hidden="1"/>
    </xf>
    <xf numFmtId="0" fontId="23" fillId="41" borderId="13" xfId="0" applyFont="1" applyFill="1" applyBorder="1" applyAlignment="1" applyProtection="1">
      <alignment horizontal="center" vertical="center"/>
      <protection hidden="1"/>
    </xf>
    <xf numFmtId="0" fontId="23" fillId="12" borderId="4" xfId="0" applyFont="1" applyFill="1" applyBorder="1" applyAlignment="1" applyProtection="1">
      <alignment horizontal="center" vertical="center"/>
      <protection hidden="1"/>
    </xf>
    <xf numFmtId="0" fontId="23" fillId="12" borderId="12" xfId="0" applyFont="1" applyFill="1" applyBorder="1" applyAlignment="1" applyProtection="1">
      <alignment horizontal="center" vertical="center"/>
      <protection hidden="1"/>
    </xf>
    <xf numFmtId="0" fontId="23" fillId="12" borderId="13" xfId="0" applyFont="1" applyFill="1" applyBorder="1" applyAlignment="1" applyProtection="1">
      <alignment horizontal="center" vertical="center"/>
      <protection hidden="1"/>
    </xf>
    <xf numFmtId="0" fontId="23" fillId="40" borderId="4" xfId="0" applyFont="1" applyFill="1" applyBorder="1" applyAlignment="1" applyProtection="1">
      <alignment horizontal="center" vertical="center"/>
      <protection hidden="1"/>
    </xf>
    <xf numFmtId="0" fontId="23" fillId="40" borderId="12" xfId="0" applyFont="1" applyFill="1" applyBorder="1" applyAlignment="1" applyProtection="1">
      <alignment horizontal="center" vertical="center"/>
      <protection hidden="1"/>
    </xf>
    <xf numFmtId="0" fontId="23" fillId="40" borderId="13" xfId="0" applyFont="1" applyFill="1" applyBorder="1" applyAlignment="1" applyProtection="1">
      <alignment horizontal="center" vertical="center"/>
      <protection hidden="1"/>
    </xf>
    <xf numFmtId="0" fontId="63" fillId="36" borderId="4" xfId="0" applyFont="1" applyFill="1" applyBorder="1" applyAlignment="1">
      <alignment horizontal="center" vertical="center" wrapText="1"/>
    </xf>
    <xf numFmtId="0" fontId="63" fillId="36" borderId="13" xfId="0" applyFont="1" applyFill="1" applyBorder="1" applyAlignment="1">
      <alignment horizontal="center" vertical="center" wrapText="1"/>
    </xf>
    <xf numFmtId="0" fontId="63" fillId="12" borderId="4" xfId="0" applyFont="1" applyFill="1" applyBorder="1" applyAlignment="1">
      <alignment horizontal="center" vertical="center" wrapText="1"/>
    </xf>
    <xf numFmtId="0" fontId="63" fillId="12" borderId="13" xfId="0" applyFont="1" applyFill="1" applyBorder="1" applyAlignment="1">
      <alignment horizontal="center" vertical="center" wrapText="1"/>
    </xf>
    <xf numFmtId="0" fontId="8" fillId="14" borderId="2" xfId="0" applyFont="1" applyFill="1" applyBorder="1" applyAlignment="1" applyProtection="1">
      <alignment horizontal="center" vertical="center"/>
      <protection hidden="1"/>
    </xf>
    <xf numFmtId="0" fontId="9" fillId="14" borderId="2" xfId="0" applyFont="1" applyFill="1" applyBorder="1" applyAlignment="1" applyProtection="1">
      <alignment horizontal="center" vertical="center" wrapText="1"/>
      <protection hidden="1"/>
    </xf>
    <xf numFmtId="0" fontId="8" fillId="14" borderId="2" xfId="0" applyFont="1" applyFill="1" applyBorder="1" applyAlignment="1" applyProtection="1">
      <alignment horizontal="center" vertical="center" wrapText="1"/>
      <protection hidden="1"/>
    </xf>
    <xf numFmtId="0" fontId="6" fillId="22" borderId="2" xfId="0" applyFont="1" applyFill="1" applyBorder="1" applyAlignment="1" applyProtection="1">
      <alignment horizontal="center"/>
      <protection hidden="1"/>
    </xf>
    <xf numFmtId="0" fontId="63" fillId="12" borderId="2" xfId="0" applyFont="1" applyFill="1" applyBorder="1" applyAlignment="1">
      <alignment horizontal="center" vertical="center" textRotation="90" wrapText="1"/>
    </xf>
    <xf numFmtId="0" fontId="63" fillId="21" borderId="2" xfId="0" applyFont="1" applyFill="1" applyBorder="1" applyAlignment="1">
      <alignment horizontal="center" vertical="center" textRotation="90" wrapText="1"/>
    </xf>
    <xf numFmtId="0" fontId="63" fillId="18" borderId="24" xfId="0" applyFont="1" applyFill="1" applyBorder="1" applyAlignment="1">
      <alignment horizontal="center" vertical="center" wrapText="1"/>
    </xf>
    <xf numFmtId="0" fontId="63" fillId="18" borderId="1" xfId="0" applyFont="1" applyFill="1" applyBorder="1" applyAlignment="1">
      <alignment horizontal="center" vertical="center" wrapText="1"/>
    </xf>
    <xf numFmtId="0" fontId="23" fillId="8" borderId="4" xfId="0" applyFont="1" applyFill="1" applyBorder="1" applyAlignment="1" applyProtection="1">
      <alignment horizontal="center" vertical="center"/>
      <protection hidden="1"/>
    </xf>
    <xf numFmtId="0" fontId="23" fillId="8" borderId="12" xfId="0" applyFont="1" applyFill="1" applyBorder="1" applyAlignment="1" applyProtection="1">
      <alignment horizontal="center" vertical="center"/>
      <protection hidden="1"/>
    </xf>
    <xf numFmtId="0" fontId="23" fillId="8" borderId="13" xfId="0" applyFont="1" applyFill="1" applyBorder="1" applyAlignment="1" applyProtection="1">
      <alignment horizontal="center" vertical="center"/>
      <protection hidden="1"/>
    </xf>
    <xf numFmtId="0" fontId="23" fillId="19" borderId="4" xfId="0" applyFont="1" applyFill="1" applyBorder="1" applyAlignment="1" applyProtection="1">
      <alignment horizontal="center" vertical="center"/>
      <protection hidden="1"/>
    </xf>
    <xf numFmtId="0" fontId="23" fillId="19" borderId="12" xfId="0"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protection hidden="1"/>
    </xf>
    <xf numFmtId="0" fontId="23" fillId="38" borderId="4" xfId="0" applyFont="1" applyFill="1" applyBorder="1" applyAlignment="1" applyProtection="1">
      <alignment horizontal="center" vertical="center"/>
      <protection hidden="1"/>
    </xf>
    <xf numFmtId="0" fontId="23" fillId="38" borderId="12" xfId="0" applyFont="1" applyFill="1" applyBorder="1" applyAlignment="1" applyProtection="1">
      <alignment horizontal="center" vertical="center"/>
      <protection hidden="1"/>
    </xf>
    <xf numFmtId="0" fontId="23" fillId="38" borderId="13" xfId="0" applyFont="1" applyFill="1" applyBorder="1" applyAlignment="1" applyProtection="1">
      <alignment horizontal="center" vertical="center"/>
      <protection hidden="1"/>
    </xf>
    <xf numFmtId="0" fontId="0" fillId="31" borderId="12" xfId="0" applyFill="1" applyBorder="1" applyAlignment="1" applyProtection="1">
      <alignment horizontal="center"/>
      <protection hidden="1"/>
    </xf>
    <xf numFmtId="0" fontId="0" fillId="31" borderId="13" xfId="0" applyFill="1" applyBorder="1" applyAlignment="1" applyProtection="1">
      <alignment horizontal="center"/>
      <protection hidden="1"/>
    </xf>
    <xf numFmtId="0" fontId="0" fillId="2" borderId="4" xfId="0" applyFill="1" applyBorder="1" applyAlignment="1" applyProtection="1">
      <alignment horizontal="center"/>
      <protection hidden="1"/>
    </xf>
    <xf numFmtId="0" fontId="0" fillId="2" borderId="12" xfId="0" applyFill="1" applyBorder="1" applyAlignment="1" applyProtection="1">
      <alignment horizontal="center"/>
      <protection hidden="1"/>
    </xf>
    <xf numFmtId="0" fontId="0" fillId="11" borderId="4" xfId="0" applyFill="1" applyBorder="1" applyAlignment="1" applyProtection="1">
      <alignment horizontal="center"/>
      <protection hidden="1"/>
    </xf>
    <xf numFmtId="0" fontId="0" fillId="11" borderId="12" xfId="0" applyFill="1" applyBorder="1" applyAlignment="1" applyProtection="1">
      <alignment horizontal="center"/>
      <protection hidden="1"/>
    </xf>
    <xf numFmtId="0" fontId="0" fillId="11" borderId="13" xfId="0" applyFill="1" applyBorder="1" applyAlignment="1" applyProtection="1">
      <alignment horizontal="center"/>
      <protection hidden="1"/>
    </xf>
    <xf numFmtId="0" fontId="0" fillId="18" borderId="4" xfId="0" applyFill="1" applyBorder="1" applyAlignment="1" applyProtection="1">
      <alignment horizontal="center"/>
      <protection hidden="1"/>
    </xf>
    <xf numFmtId="0" fontId="0" fillId="18" borderId="12" xfId="0" applyFill="1" applyBorder="1" applyAlignment="1" applyProtection="1">
      <alignment horizontal="center"/>
      <protection hidden="1"/>
    </xf>
    <xf numFmtId="0" fontId="0" fillId="18" borderId="13" xfId="0" applyFill="1" applyBorder="1" applyAlignment="1" applyProtection="1">
      <alignment horizontal="center"/>
      <protection hidden="1"/>
    </xf>
    <xf numFmtId="0" fontId="0" fillId="10" borderId="4" xfId="0" applyFill="1" applyBorder="1" applyAlignment="1" applyProtection="1">
      <alignment horizontal="center"/>
      <protection hidden="1"/>
    </xf>
    <xf numFmtId="0" fontId="0" fillId="10" borderId="12" xfId="0" applyFill="1" applyBorder="1" applyAlignment="1" applyProtection="1">
      <alignment horizontal="center"/>
      <protection hidden="1"/>
    </xf>
    <xf numFmtId="0" fontId="0" fillId="10" borderId="13" xfId="0" applyFill="1" applyBorder="1" applyAlignment="1" applyProtection="1">
      <alignment horizontal="center"/>
      <protection hidden="1"/>
    </xf>
    <xf numFmtId="0" fontId="0" fillId="27" borderId="4" xfId="0" applyFill="1" applyBorder="1" applyAlignment="1" applyProtection="1">
      <alignment horizontal="center"/>
      <protection hidden="1"/>
    </xf>
    <xf numFmtId="0" fontId="0" fillId="27" borderId="12" xfId="0" applyFill="1" applyBorder="1" applyAlignment="1" applyProtection="1">
      <alignment horizontal="center"/>
      <protection hidden="1"/>
    </xf>
    <xf numFmtId="0" fontId="0" fillId="27" borderId="13" xfId="0" applyFill="1" applyBorder="1" applyAlignment="1" applyProtection="1">
      <alignment horizontal="center"/>
      <protection hidden="1"/>
    </xf>
    <xf numFmtId="0" fontId="0" fillId="22" borderId="4" xfId="0" applyFill="1" applyBorder="1" applyAlignment="1" applyProtection="1">
      <alignment horizontal="center"/>
      <protection hidden="1"/>
    </xf>
    <xf numFmtId="0" fontId="0" fillId="22" borderId="12" xfId="0" applyFill="1" applyBorder="1" applyAlignment="1" applyProtection="1">
      <alignment horizontal="center"/>
      <protection hidden="1"/>
    </xf>
    <xf numFmtId="0" fontId="0" fillId="22" borderId="13" xfId="0" applyFill="1" applyBorder="1" applyAlignment="1" applyProtection="1">
      <alignment horizontal="center"/>
      <protection hidden="1"/>
    </xf>
    <xf numFmtId="0" fontId="0" fillId="28" borderId="4" xfId="0" applyFill="1" applyBorder="1" applyAlignment="1" applyProtection="1">
      <alignment horizontal="center"/>
      <protection hidden="1"/>
    </xf>
    <xf numFmtId="0" fontId="0" fillId="28" borderId="12" xfId="0" applyFill="1" applyBorder="1" applyAlignment="1" applyProtection="1">
      <alignment horizontal="center"/>
      <protection hidden="1"/>
    </xf>
    <xf numFmtId="0" fontId="0" fillId="28" borderId="13" xfId="0" applyFill="1" applyBorder="1" applyAlignment="1" applyProtection="1">
      <alignment horizontal="center"/>
      <protection hidden="1"/>
    </xf>
    <xf numFmtId="0" fontId="0" fillId="20" borderId="4" xfId="0" applyFill="1" applyBorder="1" applyAlignment="1" applyProtection="1">
      <alignment horizontal="center"/>
      <protection hidden="1"/>
    </xf>
    <xf numFmtId="0" fontId="0" fillId="20" borderId="12" xfId="0" applyFill="1" applyBorder="1" applyAlignment="1" applyProtection="1">
      <alignment horizontal="center"/>
      <protection hidden="1"/>
    </xf>
    <xf numFmtId="0" fontId="0" fillId="20" borderId="13" xfId="0" applyFill="1" applyBorder="1" applyAlignment="1" applyProtection="1">
      <alignment horizontal="center"/>
      <protection hidden="1"/>
    </xf>
    <xf numFmtId="0" fontId="0" fillId="21" borderId="4" xfId="0" applyFill="1" applyBorder="1" applyAlignment="1" applyProtection="1">
      <alignment horizontal="center"/>
      <protection hidden="1"/>
    </xf>
    <xf numFmtId="0" fontId="0" fillId="21" borderId="12" xfId="0" applyFill="1" applyBorder="1" applyAlignment="1" applyProtection="1">
      <alignment horizontal="center"/>
      <protection hidden="1"/>
    </xf>
    <xf numFmtId="0" fontId="0" fillId="21" borderId="13" xfId="0" applyFill="1" applyBorder="1" applyAlignment="1" applyProtection="1">
      <alignment horizontal="center"/>
      <protection hidden="1"/>
    </xf>
    <xf numFmtId="0" fontId="0" fillId="23" borderId="4" xfId="0" applyFill="1" applyBorder="1" applyAlignment="1" applyProtection="1">
      <alignment horizontal="center"/>
      <protection hidden="1"/>
    </xf>
    <xf numFmtId="0" fontId="0" fillId="23" borderId="12" xfId="0" applyFill="1" applyBorder="1" applyAlignment="1" applyProtection="1">
      <alignment horizontal="center"/>
      <protection hidden="1"/>
    </xf>
    <xf numFmtId="0" fontId="0" fillId="23" borderId="13" xfId="0" applyFill="1" applyBorder="1" applyAlignment="1" applyProtection="1">
      <alignment horizontal="center"/>
      <protection hidden="1"/>
    </xf>
    <xf numFmtId="0" fontId="0" fillId="29" borderId="4" xfId="0" applyFill="1" applyBorder="1" applyAlignment="1" applyProtection="1">
      <alignment horizontal="center"/>
      <protection hidden="1"/>
    </xf>
    <xf numFmtId="0" fontId="0" fillId="29" borderId="12" xfId="0" applyFill="1" applyBorder="1" applyAlignment="1" applyProtection="1">
      <alignment horizontal="center"/>
      <protection hidden="1"/>
    </xf>
    <xf numFmtId="0" fontId="0" fillId="29" borderId="13" xfId="0" applyFill="1" applyBorder="1" applyAlignment="1" applyProtection="1">
      <alignment horizontal="center"/>
      <protection hidden="1"/>
    </xf>
    <xf numFmtId="0" fontId="0" fillId="4" borderId="4" xfId="0" applyFill="1" applyBorder="1" applyAlignment="1" applyProtection="1">
      <alignment horizontal="center"/>
      <protection hidden="1"/>
    </xf>
    <xf numFmtId="0" fontId="0" fillId="4" borderId="12" xfId="0" applyFill="1" applyBorder="1" applyAlignment="1" applyProtection="1">
      <alignment horizontal="center"/>
      <protection hidden="1"/>
    </xf>
    <xf numFmtId="0" fontId="0" fillId="4" borderId="13" xfId="0" applyFill="1" applyBorder="1" applyAlignment="1" applyProtection="1">
      <alignment horizontal="center"/>
      <protection hidden="1"/>
    </xf>
    <xf numFmtId="0" fontId="5" fillId="2" borderId="0" xfId="0" applyFont="1" applyFill="1" applyBorder="1" applyAlignment="1" applyProtection="1">
      <alignment horizontal="left" vertical="center"/>
      <protection hidden="1"/>
    </xf>
    <xf numFmtId="0" fontId="29" fillId="4" borderId="2" xfId="0" applyFont="1" applyFill="1" applyBorder="1" applyAlignment="1" applyProtection="1">
      <alignment horizontal="center"/>
      <protection hidden="1"/>
    </xf>
    <xf numFmtId="0" fontId="6" fillId="4" borderId="2" xfId="0" applyFont="1" applyFill="1" applyBorder="1" applyAlignment="1" applyProtection="1">
      <alignment horizontal="center"/>
      <protection hidden="1"/>
    </xf>
    <xf numFmtId="0" fontId="8" fillId="2" borderId="2" xfId="0"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wrapText="1"/>
      <protection hidden="1"/>
    </xf>
    <xf numFmtId="0" fontId="0" fillId="18" borderId="2" xfId="0" applyFill="1" applyBorder="1" applyAlignment="1" applyProtection="1">
      <alignment horizontal="center" vertical="center"/>
      <protection hidden="1"/>
    </xf>
    <xf numFmtId="0" fontId="0" fillId="19" borderId="4" xfId="0" applyFill="1" applyBorder="1" applyAlignment="1" applyProtection="1">
      <alignment horizontal="center" vertical="center"/>
      <protection hidden="1"/>
    </xf>
    <xf numFmtId="0" fontId="0" fillId="19" borderId="12" xfId="0" applyFill="1" applyBorder="1" applyAlignment="1" applyProtection="1">
      <alignment horizontal="center" vertical="center"/>
      <protection hidden="1"/>
    </xf>
    <xf numFmtId="0" fontId="0" fillId="19" borderId="13" xfId="0" applyFill="1" applyBorder="1" applyAlignment="1" applyProtection="1">
      <alignment horizontal="center" vertical="center"/>
      <protection hidden="1"/>
    </xf>
    <xf numFmtId="0" fontId="0" fillId="26" borderId="4" xfId="0" applyFill="1" applyBorder="1" applyAlignment="1" applyProtection="1">
      <alignment horizontal="center"/>
      <protection hidden="1"/>
    </xf>
    <xf numFmtId="0" fontId="0" fillId="26" borderId="12" xfId="0" applyFill="1" applyBorder="1" applyAlignment="1" applyProtection="1">
      <alignment horizontal="center"/>
      <protection hidden="1"/>
    </xf>
    <xf numFmtId="0" fontId="0" fillId="7" borderId="2" xfId="0" applyFill="1" applyBorder="1" applyAlignment="1" applyProtection="1">
      <alignment horizontal="center"/>
      <protection hidden="1"/>
    </xf>
    <xf numFmtId="0" fontId="0" fillId="19" borderId="4" xfId="0" applyFill="1" applyBorder="1" applyAlignment="1" applyProtection="1">
      <alignment horizontal="center"/>
      <protection hidden="1"/>
    </xf>
    <xf numFmtId="0" fontId="0" fillId="19" borderId="12" xfId="0" applyFill="1" applyBorder="1" applyAlignment="1" applyProtection="1">
      <alignment horizontal="center"/>
      <protection hidden="1"/>
    </xf>
    <xf numFmtId="0" fontId="0" fillId="19" borderId="13" xfId="0" applyFill="1" applyBorder="1" applyAlignment="1" applyProtection="1">
      <alignment horizontal="center"/>
      <protection hidden="1"/>
    </xf>
    <xf numFmtId="0" fontId="0" fillId="24" borderId="4" xfId="0" applyFill="1" applyBorder="1" applyAlignment="1" applyProtection="1">
      <alignment horizontal="center"/>
      <protection hidden="1"/>
    </xf>
    <xf numFmtId="0" fontId="0" fillId="24" borderId="12" xfId="0" applyFill="1" applyBorder="1" applyAlignment="1" applyProtection="1">
      <alignment horizontal="center"/>
      <protection hidden="1"/>
    </xf>
    <xf numFmtId="0" fontId="0" fillId="24" borderId="13" xfId="0" applyFill="1" applyBorder="1" applyAlignment="1" applyProtection="1">
      <alignment horizontal="center"/>
      <protection hidden="1"/>
    </xf>
    <xf numFmtId="0" fontId="0" fillId="16" borderId="4" xfId="0" applyFill="1" applyBorder="1" applyAlignment="1" applyProtection="1">
      <alignment horizontal="center"/>
      <protection hidden="1"/>
    </xf>
    <xf numFmtId="0" fontId="0" fillId="16" borderId="12" xfId="0" applyFill="1" applyBorder="1" applyAlignment="1" applyProtection="1">
      <alignment horizontal="center"/>
      <protection hidden="1"/>
    </xf>
    <xf numFmtId="0" fontId="0" fillId="16" borderId="13" xfId="0" applyFill="1" applyBorder="1" applyAlignment="1" applyProtection="1">
      <alignment horizontal="center"/>
      <protection hidden="1"/>
    </xf>
    <xf numFmtId="0" fontId="5" fillId="0" borderId="0" xfId="0" applyFont="1" applyFill="1" applyBorder="1" applyAlignment="1" applyProtection="1">
      <alignment horizontal="left" vertical="center"/>
      <protection hidden="1"/>
    </xf>
    <xf numFmtId="0" fontId="29" fillId="0" borderId="2" xfId="0" applyFont="1" applyFill="1" applyBorder="1" applyAlignment="1" applyProtection="1">
      <alignment horizontal="center"/>
      <protection hidden="1"/>
    </xf>
    <xf numFmtId="0" fontId="6" fillId="0" borderId="2" xfId="0" applyFont="1" applyFill="1" applyBorder="1" applyAlignment="1" applyProtection="1">
      <alignment horizontal="center"/>
      <protection hidden="1"/>
    </xf>
    <xf numFmtId="0" fontId="6" fillId="0" borderId="4" xfId="0" applyFont="1" applyFill="1" applyBorder="1" applyAlignment="1" applyProtection="1">
      <alignment horizontal="center"/>
      <protection hidden="1"/>
    </xf>
    <xf numFmtId="0" fontId="8" fillId="0" borderId="2" xfId="0" applyFont="1" applyFill="1" applyBorder="1" applyAlignment="1" applyProtection="1">
      <alignment horizontal="center" vertical="center"/>
      <protection hidden="1"/>
    </xf>
    <xf numFmtId="0" fontId="9" fillId="0" borderId="2" xfId="0" applyFont="1" applyFill="1" applyBorder="1" applyAlignment="1" applyProtection="1">
      <alignment horizontal="center" vertical="center" wrapText="1"/>
      <protection hidden="1"/>
    </xf>
    <xf numFmtId="0" fontId="0" fillId="0" borderId="2" xfId="0"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12" xfId="0" applyFill="1" applyBorder="1" applyAlignment="1" applyProtection="1">
      <alignment horizontal="center" vertical="center"/>
      <protection hidden="1"/>
    </xf>
    <xf numFmtId="0" fontId="0" fillId="0" borderId="13" xfId="0" applyFill="1" applyBorder="1" applyAlignment="1" applyProtection="1">
      <alignment horizontal="center" vertical="center"/>
      <protection hidden="1"/>
    </xf>
    <xf numFmtId="0" fontId="0" fillId="0" borderId="4" xfId="0" applyFill="1" applyBorder="1" applyAlignment="1" applyProtection="1">
      <alignment horizontal="center"/>
      <protection hidden="1"/>
    </xf>
    <xf numFmtId="0" fontId="0" fillId="0" borderId="12" xfId="0" applyFill="1" applyBorder="1" applyAlignment="1" applyProtection="1">
      <alignment horizontal="center"/>
      <protection hidden="1"/>
    </xf>
    <xf numFmtId="0" fontId="0" fillId="0" borderId="13" xfId="0" applyFill="1" applyBorder="1" applyAlignment="1" applyProtection="1">
      <alignment horizontal="center"/>
      <protection hidden="1"/>
    </xf>
    <xf numFmtId="0" fontId="0" fillId="0" borderId="2" xfId="0" applyFill="1" applyBorder="1" applyAlignment="1" applyProtection="1">
      <alignment horizontal="center"/>
      <protection hidden="1"/>
    </xf>
    <xf numFmtId="0" fontId="85" fillId="0" borderId="2" xfId="0" applyFont="1" applyFill="1" applyBorder="1" applyAlignment="1" applyProtection="1">
      <alignment horizontal="center" vertical="center" wrapText="1"/>
      <protection hidden="1"/>
    </xf>
    <xf numFmtId="0" fontId="5" fillId="2" borderId="0" xfId="0" applyFont="1" applyFill="1" applyBorder="1" applyAlignment="1">
      <alignment horizontal="left"/>
    </xf>
    <xf numFmtId="0" fontId="24" fillId="2" borderId="2" xfId="0" applyFont="1" applyFill="1" applyBorder="1" applyAlignment="1" applyProtection="1">
      <alignment horizontal="center" vertical="center"/>
      <protection locked="0"/>
    </xf>
    <xf numFmtId="0" fontId="24" fillId="2" borderId="2" xfId="0" applyFont="1" applyFill="1" applyBorder="1" applyAlignment="1">
      <alignment horizontal="center" vertical="center" wrapText="1"/>
    </xf>
    <xf numFmtId="0" fontId="6" fillId="11" borderId="15" xfId="0" applyFont="1" applyFill="1" applyBorder="1" applyAlignment="1">
      <alignment horizontal="center" vertical="center"/>
    </xf>
    <xf numFmtId="0" fontId="6" fillId="11" borderId="14" xfId="0" applyFont="1" applyFill="1" applyBorder="1" applyAlignment="1">
      <alignment horizontal="center" vertical="center"/>
    </xf>
    <xf numFmtId="0" fontId="6" fillId="11" borderId="16" xfId="0" applyFont="1" applyFill="1" applyBorder="1" applyAlignment="1">
      <alignment horizontal="center" vertical="center"/>
    </xf>
    <xf numFmtId="0" fontId="6" fillId="19" borderId="4" xfId="0" applyFont="1" applyFill="1" applyBorder="1" applyAlignment="1">
      <alignment horizontal="center"/>
    </xf>
    <xf numFmtId="0" fontId="6" fillId="19" borderId="12" xfId="0" applyFont="1" applyFill="1" applyBorder="1" applyAlignment="1">
      <alignment horizontal="center"/>
    </xf>
    <xf numFmtId="0" fontId="6" fillId="19" borderId="13" xfId="0" applyFont="1" applyFill="1" applyBorder="1" applyAlignment="1">
      <alignment horizontal="center"/>
    </xf>
    <xf numFmtId="0" fontId="6" fillId="19" borderId="2" xfId="0" applyFont="1" applyFill="1" applyBorder="1" applyAlignment="1">
      <alignment horizontal="center"/>
    </xf>
    <xf numFmtId="0" fontId="6" fillId="18" borderId="3" xfId="0" applyFont="1" applyFill="1" applyBorder="1" applyAlignment="1">
      <alignment horizontal="center" vertical="center"/>
    </xf>
    <xf numFmtId="0" fontId="6" fillId="18" borderId="23" xfId="0" applyFont="1" applyFill="1" applyBorder="1" applyAlignment="1">
      <alignment horizontal="center" vertical="center"/>
    </xf>
    <xf numFmtId="0" fontId="6" fillId="18" borderId="22" xfId="0" applyFont="1" applyFill="1" applyBorder="1" applyAlignment="1">
      <alignment horizontal="center" vertical="center"/>
    </xf>
    <xf numFmtId="0" fontId="6" fillId="18" borderId="24" xfId="0" applyFont="1" applyFill="1" applyBorder="1" applyAlignment="1">
      <alignment horizontal="center" vertical="center"/>
    </xf>
    <xf numFmtId="0" fontId="6" fillId="18" borderId="1" xfId="0" applyFont="1" applyFill="1" applyBorder="1" applyAlignment="1">
      <alignment horizontal="center" vertical="center"/>
    </xf>
    <xf numFmtId="0" fontId="6" fillId="18" borderId="25" xfId="0" applyFont="1" applyFill="1" applyBorder="1" applyAlignment="1">
      <alignment horizontal="center" vertical="center"/>
    </xf>
    <xf numFmtId="0" fontId="6" fillId="21" borderId="3" xfId="0" applyFont="1" applyFill="1" applyBorder="1" applyAlignment="1">
      <alignment horizontal="center" vertical="center"/>
    </xf>
    <xf numFmtId="0" fontId="6" fillId="21" borderId="23" xfId="0" applyFont="1" applyFill="1" applyBorder="1" applyAlignment="1">
      <alignment horizontal="center" vertical="center"/>
    </xf>
    <xf numFmtId="0" fontId="6" fillId="21" borderId="22" xfId="0" applyFont="1" applyFill="1" applyBorder="1" applyAlignment="1">
      <alignment horizontal="center" vertical="center"/>
    </xf>
    <xf numFmtId="0" fontId="6" fillId="21" borderId="24" xfId="0" applyFont="1" applyFill="1" applyBorder="1" applyAlignment="1">
      <alignment horizontal="center" vertical="center"/>
    </xf>
    <xf numFmtId="0" fontId="6" fillId="21" borderId="1" xfId="0" applyFont="1" applyFill="1" applyBorder="1" applyAlignment="1">
      <alignment horizontal="center" vertical="center"/>
    </xf>
    <xf numFmtId="0" fontId="6" fillId="21" borderId="25" xfId="0" applyFont="1" applyFill="1" applyBorder="1" applyAlignment="1">
      <alignment horizontal="center" vertical="center"/>
    </xf>
    <xf numFmtId="0" fontId="6" fillId="20" borderId="3" xfId="0" applyFont="1" applyFill="1" applyBorder="1" applyAlignment="1">
      <alignment horizontal="center" vertical="center"/>
    </xf>
    <xf numFmtId="0" fontId="6" fillId="20" borderId="23" xfId="0" applyFont="1" applyFill="1" applyBorder="1" applyAlignment="1">
      <alignment horizontal="center" vertical="center"/>
    </xf>
    <xf numFmtId="0" fontId="6" fillId="20" borderId="22" xfId="0" applyFont="1" applyFill="1" applyBorder="1" applyAlignment="1">
      <alignment horizontal="center" vertical="center"/>
    </xf>
    <xf numFmtId="0" fontId="6" fillId="20" borderId="24" xfId="0" applyFont="1" applyFill="1" applyBorder="1" applyAlignment="1">
      <alignment horizontal="center" vertical="center"/>
    </xf>
    <xf numFmtId="0" fontId="6" fillId="20" borderId="1" xfId="0" applyFont="1" applyFill="1" applyBorder="1" applyAlignment="1">
      <alignment horizontal="center" vertical="center"/>
    </xf>
    <xf numFmtId="0" fontId="6" fillId="20" borderId="25" xfId="0" applyFont="1" applyFill="1" applyBorder="1" applyAlignment="1">
      <alignment horizontal="center" vertical="center"/>
    </xf>
    <xf numFmtId="0" fontId="6" fillId="24" borderId="3" xfId="0" applyFont="1" applyFill="1" applyBorder="1" applyAlignment="1">
      <alignment horizontal="center" vertical="center"/>
    </xf>
    <xf numFmtId="0" fontId="6" fillId="24" borderId="22" xfId="0" applyFont="1" applyFill="1" applyBorder="1" applyAlignment="1">
      <alignment horizontal="center" vertical="center"/>
    </xf>
    <xf numFmtId="0" fontId="6" fillId="24" borderId="24" xfId="0" applyFont="1" applyFill="1" applyBorder="1" applyAlignment="1">
      <alignment horizontal="center" vertical="center"/>
    </xf>
    <xf numFmtId="0" fontId="6" fillId="24" borderId="25" xfId="0" applyFont="1" applyFill="1" applyBorder="1" applyAlignment="1">
      <alignment horizontal="center" vertical="center"/>
    </xf>
    <xf numFmtId="0" fontId="17" fillId="21" borderId="4" xfId="0" applyFont="1" applyFill="1" applyBorder="1" applyAlignment="1">
      <alignment horizontal="center" vertical="center"/>
    </xf>
    <xf numFmtId="0" fontId="17" fillId="21" borderId="13" xfId="0" applyFont="1" applyFill="1" applyBorder="1" applyAlignment="1">
      <alignment horizontal="center" vertical="center"/>
    </xf>
    <xf numFmtId="0" fontId="7" fillId="25" borderId="2" xfId="0" applyFont="1" applyFill="1" applyBorder="1" applyAlignment="1">
      <alignment horizontal="center" vertical="center"/>
    </xf>
    <xf numFmtId="0" fontId="7" fillId="25" borderId="4" xfId="0" applyFont="1" applyFill="1" applyBorder="1" applyAlignment="1">
      <alignment horizontal="center" vertical="center"/>
    </xf>
    <xf numFmtId="0" fontId="3" fillId="0" borderId="2" xfId="0" applyFont="1" applyFill="1" applyBorder="1" applyAlignment="1">
      <alignment horizontal="left" vertical="center" wrapText="1"/>
    </xf>
    <xf numFmtId="0" fontId="5" fillId="0" borderId="0" xfId="0" applyFont="1" applyFill="1" applyBorder="1" applyAlignment="1">
      <alignment horizontal="left" vertical="center"/>
    </xf>
    <xf numFmtId="0" fontId="8" fillId="14" borderId="2" xfId="0" applyFont="1" applyFill="1" applyBorder="1" applyAlignment="1" applyProtection="1">
      <alignment horizontal="center" vertical="center"/>
      <protection locked="0"/>
    </xf>
    <xf numFmtId="0" fontId="9" fillId="14" borderId="2" xfId="0" applyFont="1" applyFill="1" applyBorder="1" applyAlignment="1">
      <alignment horizontal="center" vertical="center" wrapText="1"/>
    </xf>
    <xf numFmtId="0" fontId="8" fillId="14" borderId="2" xfId="0" applyFont="1" applyFill="1" applyBorder="1" applyAlignment="1" applyProtection="1">
      <alignment horizontal="center" vertical="center" wrapText="1"/>
      <protection locked="0"/>
    </xf>
    <xf numFmtId="0" fontId="6" fillId="22" borderId="2" xfId="0" applyFont="1" applyFill="1" applyBorder="1" applyAlignment="1">
      <alignment horizontal="center"/>
    </xf>
    <xf numFmtId="0" fontId="11" fillId="12" borderId="2" xfId="0" applyFont="1" applyFill="1" applyBorder="1" applyAlignment="1">
      <alignment horizontal="center" vertical="center" textRotation="90" wrapText="1"/>
    </xf>
    <xf numFmtId="0" fontId="6" fillId="17" borderId="2" xfId="0" applyFont="1" applyFill="1" applyBorder="1" applyAlignment="1">
      <alignment horizontal="center"/>
    </xf>
    <xf numFmtId="0" fontId="6" fillId="13" borderId="2" xfId="0" applyFont="1" applyFill="1" applyBorder="1" applyAlignment="1">
      <alignment horizontal="center"/>
    </xf>
    <xf numFmtId="0" fontId="45" fillId="0" borderId="0" xfId="0" applyFont="1" applyAlignment="1" applyProtection="1">
      <alignment horizontal="center" vertical="center"/>
    </xf>
    <xf numFmtId="0" fontId="37" fillId="0" borderId="0" xfId="0" applyFont="1" applyBorder="1" applyAlignment="1" applyProtection="1">
      <alignment horizontal="center"/>
      <protection hidden="1"/>
    </xf>
    <xf numFmtId="0" fontId="31" fillId="5" borderId="17" xfId="0" applyFont="1" applyFill="1" applyBorder="1" applyAlignment="1" applyProtection="1">
      <alignment horizontal="center" vertical="center"/>
      <protection hidden="1"/>
    </xf>
    <xf numFmtId="0" fontId="31" fillId="5" borderId="18" xfId="0" applyFont="1" applyFill="1" applyBorder="1" applyAlignment="1" applyProtection="1">
      <alignment horizontal="center" vertical="center"/>
      <protection hidden="1"/>
    </xf>
    <xf numFmtId="0" fontId="31" fillId="5" borderId="19" xfId="0" applyFont="1" applyFill="1" applyBorder="1" applyAlignment="1" applyProtection="1">
      <alignment horizontal="center" vertical="center"/>
      <protection hidden="1"/>
    </xf>
    <xf numFmtId="0" fontId="35" fillId="0" borderId="0" xfId="0" applyFont="1" applyBorder="1" applyAlignment="1" applyProtection="1">
      <alignment horizontal="center" vertical="center"/>
      <protection hidden="1"/>
    </xf>
    <xf numFmtId="0" fontId="38" fillId="0" borderId="0" xfId="0" applyFont="1" applyBorder="1" applyAlignment="1" applyProtection="1">
      <alignment horizontal="center"/>
      <protection hidden="1"/>
    </xf>
    <xf numFmtId="0" fontId="39" fillId="0" borderId="0" xfId="0" applyFont="1" applyBorder="1" applyAlignment="1" applyProtection="1">
      <alignment horizontal="center" vertical="center"/>
      <protection hidden="1"/>
    </xf>
    <xf numFmtId="0" fontId="49" fillId="0" borderId="26" xfId="0" applyFont="1" applyBorder="1" applyAlignment="1" applyProtection="1">
      <alignment horizontal="center" vertical="center"/>
      <protection hidden="1"/>
    </xf>
    <xf numFmtId="0" fontId="49" fillId="0" borderId="27" xfId="0" applyFont="1" applyBorder="1" applyAlignment="1" applyProtection="1">
      <alignment horizontal="center" vertical="center"/>
      <protection hidden="1"/>
    </xf>
    <xf numFmtId="0" fontId="49" fillId="0" borderId="28" xfId="0" applyFont="1" applyBorder="1" applyAlignment="1" applyProtection="1">
      <alignment horizontal="center" vertical="center"/>
      <protection hidden="1"/>
    </xf>
    <xf numFmtId="0" fontId="53" fillId="0" borderId="0" xfId="0" applyFont="1" applyBorder="1" applyAlignment="1" applyProtection="1">
      <alignment horizontal="center"/>
      <protection hidden="1"/>
    </xf>
    <xf numFmtId="0" fontId="53" fillId="0" borderId="7"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48" fillId="0" borderId="0" xfId="0" applyFont="1" applyAlignment="1" applyProtection="1">
      <alignment horizontal="left" vertical="center"/>
      <protection hidden="1"/>
    </xf>
    <xf numFmtId="0" fontId="57" fillId="0" borderId="0" xfId="0" applyFont="1" applyAlignment="1" applyProtection="1">
      <alignment horizontal="center"/>
      <protection hidden="1"/>
    </xf>
    <xf numFmtId="0" fontId="50" fillId="0" borderId="0" xfId="0" applyFont="1" applyAlignment="1" applyProtection="1">
      <alignment horizontal="center"/>
      <protection hidden="1"/>
    </xf>
    <xf numFmtId="0" fontId="48" fillId="0" borderId="0" xfId="0" applyFont="1" applyAlignment="1" applyProtection="1">
      <alignment horizontal="center"/>
      <protection hidden="1"/>
    </xf>
    <xf numFmtId="0" fontId="58" fillId="0" borderId="0" xfId="0" applyFont="1" applyAlignment="1" applyProtection="1">
      <alignment horizontal="center"/>
      <protection hidden="1"/>
    </xf>
    <xf numFmtId="0" fontId="60" fillId="0" borderId="0" xfId="0" applyFont="1" applyAlignment="1">
      <alignment horizontal="center"/>
    </xf>
    <xf numFmtId="0" fontId="54" fillId="0" borderId="0" xfId="0" applyFont="1" applyBorder="1" applyAlignment="1">
      <alignment horizontal="center"/>
    </xf>
    <xf numFmtId="0" fontId="53" fillId="0" borderId="0" xfId="0" applyFont="1" applyAlignment="1">
      <alignment horizontal="center"/>
    </xf>
    <xf numFmtId="0" fontId="53" fillId="0" borderId="4" xfId="0" applyFont="1" applyBorder="1" applyAlignment="1">
      <alignment horizontal="justify" vertical="center" wrapText="1"/>
    </xf>
    <xf numFmtId="0" fontId="53" fillId="0" borderId="13" xfId="0" applyFont="1" applyBorder="1" applyAlignment="1">
      <alignment horizontal="justify" vertical="center" wrapText="1"/>
    </xf>
    <xf numFmtId="0" fontId="51" fillId="30" borderId="2" xfId="0" applyFont="1" applyFill="1" applyBorder="1" applyAlignment="1">
      <alignment horizontal="center" vertical="center" wrapText="1"/>
    </xf>
    <xf numFmtId="0" fontId="49" fillId="0" borderId="1" xfId="0" applyFont="1" applyBorder="1" applyAlignment="1">
      <alignment horizontal="left" vertical="center" wrapText="1"/>
    </xf>
    <xf numFmtId="0" fontId="51" fillId="30" borderId="4" xfId="0" applyFont="1" applyFill="1" applyBorder="1" applyAlignment="1">
      <alignment horizontal="center" vertical="center" wrapText="1"/>
    </xf>
    <xf numFmtId="0" fontId="51" fillId="30" borderId="12" xfId="0" applyFont="1" applyFill="1" applyBorder="1" applyAlignment="1">
      <alignment horizontal="center" vertical="center" wrapText="1"/>
    </xf>
    <xf numFmtId="0" fontId="51" fillId="30" borderId="13" xfId="0" applyFont="1" applyFill="1" applyBorder="1" applyAlignment="1">
      <alignment horizontal="center" vertical="center" wrapText="1"/>
    </xf>
    <xf numFmtId="0" fontId="51" fillId="30" borderId="4" xfId="0" applyFont="1" applyFill="1" applyBorder="1" applyAlignment="1">
      <alignment horizontal="center" vertical="center"/>
    </xf>
    <xf numFmtId="0" fontId="51" fillId="30" borderId="13" xfId="0" applyFont="1" applyFill="1" applyBorder="1" applyAlignment="1">
      <alignment horizontal="center" vertical="center"/>
    </xf>
    <xf numFmtId="0" fontId="53" fillId="0" borderId="2" xfId="0" applyFont="1" applyBorder="1" applyAlignment="1">
      <alignment horizontal="center" vertical="center" wrapText="1"/>
    </xf>
    <xf numFmtId="0" fontId="53" fillId="0" borderId="2" xfId="0" applyFont="1" applyBorder="1" applyAlignment="1">
      <alignment horizontal="center" vertical="center"/>
    </xf>
    <xf numFmtId="0" fontId="53" fillId="0" borderId="4" xfId="0" applyFont="1" applyBorder="1" applyAlignment="1">
      <alignment horizontal="center" vertical="center"/>
    </xf>
    <xf numFmtId="0" fontId="53" fillId="0" borderId="12" xfId="0" applyFont="1" applyBorder="1" applyAlignment="1">
      <alignment horizontal="center" vertical="center"/>
    </xf>
    <xf numFmtId="0" fontId="53" fillId="0" borderId="13" xfId="0" applyFont="1" applyBorder="1" applyAlignment="1">
      <alignment horizontal="center" vertical="center"/>
    </xf>
    <xf numFmtId="0" fontId="49" fillId="0" borderId="4" xfId="0" applyFont="1" applyBorder="1" applyAlignment="1">
      <alignment horizontal="left" vertical="center"/>
    </xf>
    <xf numFmtId="0" fontId="49" fillId="0" borderId="12" xfId="0" applyFont="1" applyBorder="1" applyAlignment="1">
      <alignment horizontal="left" vertical="center"/>
    </xf>
    <xf numFmtId="0" fontId="49" fillId="0" borderId="2" xfId="0" applyFont="1" applyBorder="1" applyAlignment="1">
      <alignment horizontal="center" vertical="center"/>
    </xf>
    <xf numFmtId="0" fontId="53" fillId="0" borderId="2" xfId="0" applyFont="1" applyBorder="1" applyAlignment="1">
      <alignment horizontal="left" vertical="center"/>
    </xf>
    <xf numFmtId="0" fontId="49" fillId="0" borderId="2" xfId="0" applyFont="1" applyBorder="1" applyAlignment="1">
      <alignment horizontal="left" vertical="center"/>
    </xf>
    <xf numFmtId="0" fontId="53" fillId="0" borderId="2" xfId="0" applyFont="1" applyBorder="1" applyAlignment="1">
      <alignment horizontal="center"/>
    </xf>
    <xf numFmtId="165" fontId="53" fillId="0" borderId="2" xfId="0" applyNumberFormat="1" applyFont="1" applyBorder="1" applyAlignment="1">
      <alignment horizontal="center" vertical="center"/>
    </xf>
    <xf numFmtId="165" fontId="49" fillId="0" borderId="2" xfId="0" applyNumberFormat="1" applyFont="1" applyBorder="1" applyAlignment="1">
      <alignment horizontal="center" vertical="center"/>
    </xf>
    <xf numFmtId="0" fontId="94" fillId="0" borderId="17" xfId="0" applyFont="1" applyBorder="1" applyAlignment="1">
      <alignment horizontal="center" vertical="center"/>
    </xf>
    <xf numFmtId="0" fontId="94" fillId="0" borderId="19" xfId="0" applyFont="1" applyBorder="1" applyAlignment="1">
      <alignment horizontal="center" vertical="center"/>
    </xf>
    <xf numFmtId="0" fontId="59" fillId="0" borderId="0" xfId="0" applyFont="1" applyAlignment="1">
      <alignment horizontal="left" vertical="center"/>
    </xf>
    <xf numFmtId="0" fontId="49" fillId="30" borderId="2" xfId="0" applyFont="1" applyFill="1" applyBorder="1" applyAlignment="1">
      <alignment horizontal="center" vertical="center"/>
    </xf>
    <xf numFmtId="0" fontId="53" fillId="0" borderId="4" xfId="0" applyFont="1" applyBorder="1" applyAlignment="1">
      <alignment horizontal="left" vertical="center" wrapText="1"/>
    </xf>
    <xf numFmtId="0" fontId="53" fillId="0" borderId="12" xfId="0" applyFont="1" applyBorder="1" applyAlignment="1">
      <alignment horizontal="left" vertical="center" wrapText="1"/>
    </xf>
    <xf numFmtId="0" fontId="53" fillId="0" borderId="13" xfId="0" applyFont="1" applyBorder="1" applyAlignment="1">
      <alignment horizontal="left" vertical="center" wrapText="1"/>
    </xf>
    <xf numFmtId="0" fontId="52" fillId="0" borderId="0" xfId="0" applyFont="1" applyAlignment="1">
      <alignment horizontal="left" vertical="top"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0" fontId="53" fillId="0" borderId="3" xfId="0" applyFont="1" applyBorder="1" applyAlignment="1">
      <alignment horizontal="center" vertical="center" wrapText="1"/>
    </xf>
    <xf numFmtId="0" fontId="53" fillId="0" borderId="22" xfId="0" applyFont="1" applyBorder="1" applyAlignment="1">
      <alignment horizontal="center" vertical="center" wrapText="1"/>
    </xf>
    <xf numFmtId="0" fontId="53" fillId="0" borderId="24" xfId="0" applyFont="1" applyBorder="1" applyAlignment="1">
      <alignment horizontal="center" vertical="center" wrapText="1"/>
    </xf>
    <xf numFmtId="0" fontId="53" fillId="0" borderId="25" xfId="0" applyFont="1" applyBorder="1" applyAlignment="1">
      <alignment horizontal="center" vertical="center" wrapText="1"/>
    </xf>
    <xf numFmtId="0" fontId="53" fillId="0" borderId="15" xfId="0" applyFont="1" applyBorder="1" applyAlignment="1">
      <alignment horizontal="center" vertical="center"/>
    </xf>
    <xf numFmtId="0" fontId="53" fillId="0" borderId="16" xfId="0" applyFont="1" applyBorder="1" applyAlignment="1">
      <alignment horizontal="center" vertical="center"/>
    </xf>
    <xf numFmtId="0" fontId="49" fillId="0" borderId="0" xfId="0" applyFont="1" applyAlignment="1">
      <alignment horizontal="center"/>
    </xf>
    <xf numFmtId="165" fontId="53" fillId="0" borderId="2" xfId="0" applyNumberFormat="1" applyFont="1" applyBorder="1" applyAlignment="1">
      <alignment horizontal="left" vertical="center"/>
    </xf>
    <xf numFmtId="0" fontId="51" fillId="42" borderId="2" xfId="0" applyFont="1" applyFill="1" applyBorder="1" applyAlignment="1">
      <alignment horizontal="center" vertical="center" wrapText="1"/>
    </xf>
    <xf numFmtId="0" fontId="53" fillId="0" borderId="3" xfId="0" applyFont="1" applyBorder="1" applyAlignment="1">
      <alignment horizontal="justify" vertical="center" wrapText="1"/>
    </xf>
    <xf numFmtId="0" fontId="53" fillId="0" borderId="22" xfId="0" applyFont="1" applyBorder="1" applyAlignment="1">
      <alignment horizontal="justify" vertical="center" wrapText="1"/>
    </xf>
    <xf numFmtId="0" fontId="53" fillId="0" borderId="24" xfId="0" applyFont="1" applyBorder="1" applyAlignment="1">
      <alignment horizontal="justify" vertical="center" wrapText="1"/>
    </xf>
    <xf numFmtId="0" fontId="53" fillId="0" borderId="25" xfId="0" applyFont="1" applyBorder="1" applyAlignment="1">
      <alignment horizontal="justify" vertical="center" wrapText="1"/>
    </xf>
    <xf numFmtId="0" fontId="53" fillId="0" borderId="15" xfId="0" applyFont="1" applyBorder="1" applyAlignment="1">
      <alignment horizontal="justify" vertical="center" wrapText="1"/>
    </xf>
    <xf numFmtId="0" fontId="53" fillId="0" borderId="16" xfId="0" applyFont="1" applyBorder="1" applyAlignment="1">
      <alignment horizontal="justify" vertical="center" wrapText="1"/>
    </xf>
    <xf numFmtId="0" fontId="125" fillId="0" borderId="0" xfId="0" applyFont="1" applyAlignment="1" applyProtection="1">
      <alignment horizontal="center"/>
      <protection hidden="1"/>
    </xf>
    <xf numFmtId="0" fontId="63" fillId="0" borderId="2" xfId="0" applyFont="1" applyBorder="1" applyAlignment="1" applyProtection="1">
      <alignment horizontal="left" vertical="center" wrapText="1"/>
      <protection hidden="1"/>
    </xf>
    <xf numFmtId="0" fontId="123" fillId="0" borderId="0" xfId="0" applyFont="1" applyAlignment="1" applyProtection="1">
      <alignment horizontal="center"/>
      <protection hidden="1"/>
    </xf>
    <xf numFmtId="0" fontId="129" fillId="0" borderId="0" xfId="0" applyFont="1" applyAlignment="1" applyProtection="1">
      <alignment horizontal="center"/>
      <protection hidden="1"/>
    </xf>
    <xf numFmtId="0" fontId="126" fillId="0" borderId="0" xfId="0" applyFont="1" applyAlignment="1" applyProtection="1">
      <alignment horizontal="left"/>
      <protection hidden="1"/>
    </xf>
    <xf numFmtId="0" fontId="131" fillId="0" borderId="0" xfId="0" applyFont="1" applyAlignment="1" applyProtection="1">
      <alignment horizontal="left" wrapText="1"/>
      <protection hidden="1"/>
    </xf>
    <xf numFmtId="0" fontId="4" fillId="0" borderId="0" xfId="0" applyFont="1" applyAlignment="1" applyProtection="1">
      <alignment horizontal="center"/>
      <protection hidden="1"/>
    </xf>
    <xf numFmtId="0" fontId="130" fillId="0" borderId="0" xfId="0" applyFont="1" applyAlignment="1" applyProtection="1">
      <alignment horizontal="left"/>
      <protection hidden="1"/>
    </xf>
    <xf numFmtId="0" fontId="131" fillId="0" borderId="0" xfId="0" applyFont="1" applyAlignment="1" applyProtection="1">
      <alignment horizontal="left"/>
      <protection hidden="1"/>
    </xf>
    <xf numFmtId="0" fontId="130" fillId="0" borderId="0" xfId="0" applyFont="1" applyAlignment="1" applyProtection="1">
      <alignment horizontal="left" vertical="top" wrapText="1"/>
      <protection hidden="1"/>
    </xf>
    <xf numFmtId="0" fontId="131" fillId="0" borderId="0" xfId="0" applyFont="1" applyAlignment="1" applyProtection="1">
      <alignment horizontal="left" vertical="top" wrapText="1"/>
      <protection hidden="1"/>
    </xf>
    <xf numFmtId="0" fontId="131" fillId="0" borderId="0" xfId="0" applyFont="1" applyAlignment="1" applyProtection="1">
      <alignment horizontal="left" vertical="center" wrapText="1"/>
      <protection hidden="1"/>
    </xf>
    <xf numFmtId="0" fontId="130" fillId="0" borderId="0" xfId="0" applyFont="1" applyAlignment="1" applyProtection="1">
      <alignment horizontal="left" wrapText="1"/>
      <protection hidden="1"/>
    </xf>
    <xf numFmtId="0" fontId="134" fillId="0" borderId="0" xfId="0" applyFont="1" applyAlignment="1" applyProtection="1">
      <alignment horizontal="left" vertical="top" wrapText="1"/>
      <protection hidden="1"/>
    </xf>
    <xf numFmtId="0" fontId="135" fillId="0" borderId="0" xfId="0" applyFont="1" applyAlignment="1">
      <alignment horizontal="center"/>
    </xf>
    <xf numFmtId="0" fontId="140" fillId="0" borderId="0" xfId="0" applyFont="1" applyAlignment="1">
      <alignment horizontal="left"/>
    </xf>
    <xf numFmtId="0" fontId="23" fillId="0" borderId="17" xfId="0" applyFont="1" applyBorder="1" applyAlignment="1">
      <alignment horizontal="center" vertical="center"/>
    </xf>
    <xf numFmtId="0" fontId="23" fillId="0" borderId="18" xfId="0" applyFont="1" applyBorder="1" applyAlignment="1">
      <alignment horizontal="center" vertical="center"/>
    </xf>
    <xf numFmtId="0" fontId="23" fillId="0" borderId="19" xfId="0" applyFont="1" applyBorder="1" applyAlignment="1">
      <alignment horizontal="center" vertical="center"/>
    </xf>
    <xf numFmtId="0" fontId="0" fillId="0" borderId="2" xfId="0" applyBorder="1" applyAlignment="1">
      <alignment horizontal="center"/>
    </xf>
    <xf numFmtId="0" fontId="117" fillId="0" borderId="4" xfId="0" applyFont="1" applyBorder="1" applyAlignment="1">
      <alignment horizontal="center"/>
    </xf>
    <xf numFmtId="0" fontId="117" fillId="0" borderId="13" xfId="0" applyFont="1" applyBorder="1" applyAlignment="1">
      <alignment horizontal="center"/>
    </xf>
    <xf numFmtId="0" fontId="137" fillId="0" borderId="0" xfId="0" applyFont="1" applyAlignment="1">
      <alignment horizontal="left"/>
    </xf>
    <xf numFmtId="0" fontId="0" fillId="0" borderId="4"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3" xfId="0" applyBorder="1" applyAlignment="1">
      <alignment horizontal="left" vertical="center"/>
    </xf>
    <xf numFmtId="0" fontId="0" fillId="0" borderId="23" xfId="0" applyBorder="1" applyAlignment="1">
      <alignment horizontal="left" vertical="center"/>
    </xf>
    <xf numFmtId="0" fontId="0" fillId="0" borderId="22"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xf>
    <xf numFmtId="0" fontId="0" fillId="0" borderId="25" xfId="0" applyBorder="1" applyAlignment="1">
      <alignment horizontal="left" vertical="center"/>
    </xf>
    <xf numFmtId="0" fontId="19" fillId="0" borderId="3" xfId="0" applyFont="1" applyBorder="1" applyAlignment="1">
      <alignment horizontal="center" wrapText="1"/>
    </xf>
    <xf numFmtId="0" fontId="19" fillId="0" borderId="23" xfId="0" applyFont="1" applyBorder="1" applyAlignment="1">
      <alignment horizontal="center"/>
    </xf>
    <xf numFmtId="0" fontId="19" fillId="0" borderId="22" xfId="0" applyFont="1" applyBorder="1" applyAlignment="1">
      <alignment horizontal="center"/>
    </xf>
    <xf numFmtId="0" fontId="0" fillId="0" borderId="3" xfId="0" applyBorder="1" applyAlignment="1">
      <alignment horizontal="center" wrapText="1"/>
    </xf>
    <xf numFmtId="0" fontId="0" fillId="0" borderId="23" xfId="0" applyBorder="1" applyAlignment="1">
      <alignment horizontal="center"/>
    </xf>
    <xf numFmtId="0" fontId="0" fillId="0" borderId="22" xfId="0" applyBorder="1" applyAlignment="1">
      <alignment horizontal="center"/>
    </xf>
    <xf numFmtId="0" fontId="19" fillId="0" borderId="24" xfId="0" applyFont="1" applyBorder="1" applyAlignment="1">
      <alignment horizontal="center" wrapText="1"/>
    </xf>
    <xf numFmtId="0" fontId="19" fillId="0" borderId="1" xfId="0" applyFont="1" applyBorder="1" applyAlignment="1">
      <alignment horizontal="center"/>
    </xf>
    <xf numFmtId="0" fontId="19" fillId="0" borderId="25" xfId="0" applyFont="1" applyBorder="1" applyAlignment="1">
      <alignment horizontal="center"/>
    </xf>
    <xf numFmtId="0" fontId="0" fillId="0" borderId="24" xfId="0" applyBorder="1" applyAlignment="1">
      <alignment horizontal="center" wrapText="1"/>
    </xf>
    <xf numFmtId="0" fontId="0" fillId="0" borderId="1" xfId="0" applyBorder="1" applyAlignment="1">
      <alignment horizontal="center"/>
    </xf>
    <xf numFmtId="0" fontId="0" fillId="0" borderId="25" xfId="0" applyBorder="1" applyAlignment="1">
      <alignment horizontal="center"/>
    </xf>
    <xf numFmtId="0" fontId="74" fillId="0" borderId="2" xfId="0" applyFont="1" applyBorder="1" applyAlignment="1">
      <alignment horizontal="left" vertical="center" wrapText="1"/>
    </xf>
    <xf numFmtId="0" fontId="0" fillId="0" borderId="2" xfId="0" applyBorder="1" applyAlignment="1">
      <alignment horizontal="center" vertical="center" wrapText="1"/>
    </xf>
    <xf numFmtId="0" fontId="0" fillId="0" borderId="2" xfId="0" applyBorder="1" applyAlignment="1">
      <alignment horizontal="center" vertical="center"/>
    </xf>
    <xf numFmtId="0" fontId="4" fillId="0" borderId="2" xfId="0" applyFont="1" applyBorder="1" applyAlignment="1">
      <alignment horizontal="left" vertical="center"/>
    </xf>
    <xf numFmtId="0" fontId="0" fillId="0" borderId="2" xfId="0" applyBorder="1" applyAlignment="1">
      <alignment horizontal="left" vertical="center"/>
    </xf>
    <xf numFmtId="0" fontId="0" fillId="0" borderId="42" xfId="0" applyBorder="1" applyAlignment="1">
      <alignment horizontal="center"/>
    </xf>
    <xf numFmtId="0" fontId="0" fillId="0" borderId="47" xfId="0" applyBorder="1" applyAlignment="1">
      <alignment horizontal="center" vertical="center"/>
    </xf>
    <xf numFmtId="0" fontId="0" fillId="0" borderId="48" xfId="0" applyBorder="1" applyAlignment="1">
      <alignment horizontal="center" vertical="center"/>
    </xf>
    <xf numFmtId="0" fontId="0" fillId="0" borderId="49" xfId="0" applyBorder="1" applyAlignment="1">
      <alignment horizontal="center" vertical="center"/>
    </xf>
    <xf numFmtId="0" fontId="0" fillId="0" borderId="50" xfId="0" applyBorder="1" applyAlignment="1">
      <alignment horizontal="center" vertical="center"/>
    </xf>
    <xf numFmtId="0" fontId="0" fillId="0" borderId="4"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24" xfId="0" applyBorder="1" applyAlignment="1">
      <alignment horizontal="center" vertical="center"/>
    </xf>
    <xf numFmtId="0" fontId="0" fillId="0" borderId="1" xfId="0" applyBorder="1" applyAlignment="1">
      <alignment horizontal="center" vertical="center"/>
    </xf>
    <xf numFmtId="0" fontId="0" fillId="0" borderId="25" xfId="0" applyBorder="1" applyAlignment="1">
      <alignment horizontal="center" vertical="center"/>
    </xf>
    <xf numFmtId="0" fontId="0" fillId="0" borderId="44"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vertical="center"/>
    </xf>
    <xf numFmtId="0" fontId="0" fillId="0" borderId="20" xfId="0" applyBorder="1" applyAlignment="1">
      <alignment horizontal="center" vertical="center"/>
    </xf>
    <xf numFmtId="0" fontId="0" fillId="0" borderId="30" xfId="0" applyBorder="1" applyAlignment="1">
      <alignment horizontal="center" vertical="center"/>
    </xf>
    <xf numFmtId="0" fontId="0" fillId="0" borderId="43" xfId="0" applyBorder="1" applyAlignment="1">
      <alignment horizontal="center" vertical="center"/>
    </xf>
    <xf numFmtId="0" fontId="0" fillId="0" borderId="45" xfId="0" applyBorder="1" applyAlignment="1">
      <alignment horizontal="center" vertical="center"/>
    </xf>
    <xf numFmtId="0" fontId="0" fillId="0" borderId="22" xfId="0" applyBorder="1" applyAlignment="1">
      <alignment horizontal="center" vertical="center"/>
    </xf>
    <xf numFmtId="0" fontId="0" fillId="0" borderId="9" xfId="0" applyBorder="1" applyAlignment="1">
      <alignment horizontal="center" vertical="center"/>
    </xf>
    <xf numFmtId="0" fontId="0" fillId="0" borderId="46" xfId="0" applyBorder="1" applyAlignment="1">
      <alignment horizontal="center" vertical="center"/>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8" xfId="0" applyFont="1" applyBorder="1" applyAlignment="1">
      <alignment horizontal="center" vertical="center" wrapText="1"/>
    </xf>
    <xf numFmtId="0" fontId="4" fillId="0" borderId="39" xfId="0" applyFont="1" applyBorder="1" applyAlignment="1">
      <alignment horizontal="center" vertical="center" wrapText="1"/>
    </xf>
    <xf numFmtId="0" fontId="0" fillId="0" borderId="16" xfId="0" applyFont="1" applyBorder="1" applyAlignment="1">
      <alignment horizontal="center" vertical="center"/>
    </xf>
    <xf numFmtId="0" fontId="0" fillId="0" borderId="2" xfId="0" applyFont="1" applyBorder="1" applyAlignment="1">
      <alignment horizontal="center" vertical="center"/>
    </xf>
    <xf numFmtId="0" fontId="4" fillId="0" borderId="2" xfId="0" applyFont="1" applyBorder="1" applyAlignment="1">
      <alignment horizontal="center" vertical="center" wrapText="1"/>
    </xf>
    <xf numFmtId="0" fontId="0" fillId="0" borderId="4" xfId="0" applyBorder="1" applyAlignment="1">
      <alignment horizontal="left" vertical="center" wrapText="1"/>
    </xf>
    <xf numFmtId="0" fontId="0" fillId="0" borderId="12" xfId="0" applyBorder="1" applyAlignment="1">
      <alignment horizontal="left" vertical="center" wrapText="1"/>
    </xf>
    <xf numFmtId="0" fontId="0" fillId="0" borderId="13" xfId="0" applyBorder="1" applyAlignment="1">
      <alignment horizontal="left" vertical="center" wrapText="1"/>
    </xf>
    <xf numFmtId="0" fontId="4" fillId="0" borderId="2" xfId="0" applyFont="1" applyBorder="1" applyAlignment="1">
      <alignment horizontal="center" vertical="center"/>
    </xf>
    <xf numFmtId="0" fontId="8" fillId="0" borderId="2" xfId="0" applyFont="1" applyBorder="1" applyAlignment="1">
      <alignment horizontal="left" vertical="center"/>
    </xf>
    <xf numFmtId="0" fontId="0" fillId="0" borderId="2" xfId="0" applyBorder="1" applyAlignment="1">
      <alignment horizontal="left" vertical="center" wrapText="1"/>
    </xf>
    <xf numFmtId="0" fontId="0" fillId="0" borderId="4" xfId="0" applyBorder="1" applyAlignment="1">
      <alignment horizontal="left"/>
    </xf>
    <xf numFmtId="0" fontId="0" fillId="0" borderId="13" xfId="0" applyBorder="1" applyAlignment="1">
      <alignment horizontal="left"/>
    </xf>
    <xf numFmtId="0" fontId="5" fillId="0" borderId="6"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11" xfId="0" applyFont="1" applyBorder="1" applyAlignment="1">
      <alignment horizontal="center" vertical="center"/>
    </xf>
    <xf numFmtId="0" fontId="20" fillId="0" borderId="0" xfId="0" applyFont="1" applyAlignment="1">
      <alignment horizontal="center"/>
    </xf>
  </cellXfs>
  <cellStyles count="9">
    <cellStyle name="Comma 2" xfId="3"/>
    <cellStyle name="Comma 3" xfId="2"/>
    <cellStyle name="Hyperlink" xfId="1" builtinId="8"/>
    <cellStyle name="Normal" xfId="0" builtinId="0"/>
    <cellStyle name="Normal 2" xfId="5"/>
    <cellStyle name="Normal 2 2" xfId="4"/>
    <cellStyle name="Normal 2 3" xfId="7"/>
    <cellStyle name="Normal 3" xfId="6"/>
    <cellStyle name="Normal 4" xfId="8"/>
  </cellStyles>
  <dxfs count="2">
    <dxf>
      <font>
        <condense val="0"/>
        <extend val="0"/>
        <color rgb="FF9C6500"/>
      </font>
      <fill>
        <patternFill>
          <bgColor rgb="FFFFFF00"/>
        </patternFill>
      </fill>
    </dxf>
    <dxf>
      <font>
        <color rgb="FF9C0006"/>
      </font>
      <fill>
        <patternFill>
          <bgColor rgb="FFFFC7CE"/>
        </patternFill>
      </fill>
    </dxf>
  </dxfs>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ctrlProps/ctrlProp1.xml><?xml version="1.0" encoding="utf-8"?>
<formControlPr xmlns="http://schemas.microsoft.com/office/spreadsheetml/2009/9/main" objectType="Spin" dx="22" fmlaLink="$N$8" max="30000" min="1" page="10" val="86"/>
</file>

<file path=xl/ctrlProps/ctrlProp2.xml><?xml version="1.0" encoding="utf-8"?>
<formControlPr xmlns="http://schemas.microsoft.com/office/spreadsheetml/2009/9/main" objectType="Spin" dx="16" fmlaLink="$J$2" max="50" min="1" page="10" val="2"/>
</file>

<file path=xl/ctrlProps/ctrlProp3.xml><?xml version="1.0" encoding="utf-8"?>
<formControlPr xmlns="http://schemas.microsoft.com/office/spreadsheetml/2009/9/main" objectType="Spin" dx="16" fmlaLink="$R$2" max="50" min="1" page="10"/>
</file>

<file path=xl/ctrlProps/ctrlProp4.xml><?xml version="1.0" encoding="utf-8"?>
<formControlPr xmlns="http://schemas.microsoft.com/office/spreadsheetml/2009/9/main" objectType="Spin" dx="16" fmlaLink="$M$3" max="50" min="1" page="10"/>
</file>

<file path=xl/ctrlProps/ctrlProp5.xml><?xml version="1.0" encoding="utf-8"?>
<formControlPr xmlns="http://schemas.microsoft.com/office/spreadsheetml/2009/9/main" objectType="Spin" dx="16" fmlaLink="$U$5" max="100" min="1" page="10" val="2"/>
</file>

<file path=xl/ctrlProps/ctrlProp6.xml><?xml version="1.0" encoding="utf-8"?>
<formControlPr xmlns="http://schemas.microsoft.com/office/spreadsheetml/2009/9/main" objectType="Spin" dx="16" fmlaLink="$AI$4" max="100" min="1" page="10"/>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DEPAN!A1"/><Relationship Id="rId1" Type="http://schemas.openxmlformats.org/officeDocument/2006/relationships/image" Target="../media/image1.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hyperlink" Target="#'PAI4'!A1"/><Relationship Id="rId13" Type="http://schemas.openxmlformats.org/officeDocument/2006/relationships/hyperlink" Target="#RAPORT!A1"/><Relationship Id="rId3" Type="http://schemas.openxmlformats.org/officeDocument/2006/relationships/hyperlink" Target="#SISWA!A1"/><Relationship Id="rId7" Type="http://schemas.openxmlformats.org/officeDocument/2006/relationships/hyperlink" Target="#'PAI3'!A1"/><Relationship Id="rId12" Type="http://schemas.openxmlformats.org/officeDocument/2006/relationships/hyperlink" Target="#LEGER!A1"/><Relationship Id="rId2" Type="http://schemas.openxmlformats.org/officeDocument/2006/relationships/image" Target="../media/image4.png"/><Relationship Id="rId16" Type="http://schemas.openxmlformats.org/officeDocument/2006/relationships/image" Target="../media/image6.png"/><Relationship Id="rId1" Type="http://schemas.openxmlformats.org/officeDocument/2006/relationships/hyperlink" Target="#LOGIN!A1"/><Relationship Id="rId6" Type="http://schemas.openxmlformats.org/officeDocument/2006/relationships/hyperlink" Target="#SPIRIT!A1"/><Relationship Id="rId11" Type="http://schemas.openxmlformats.org/officeDocument/2006/relationships/hyperlink" Target="#TUTOR!A1"/><Relationship Id="rId5" Type="http://schemas.openxmlformats.org/officeDocument/2006/relationships/hyperlink" Target="#'KI-KD'!A1"/><Relationship Id="rId15" Type="http://schemas.openxmlformats.org/officeDocument/2006/relationships/hyperlink" Target="#INDUK1!A1"/><Relationship Id="rId10" Type="http://schemas.openxmlformats.org/officeDocument/2006/relationships/hyperlink" Target="#ABSEN!A1"/><Relationship Id="rId4" Type="http://schemas.openxmlformats.org/officeDocument/2006/relationships/hyperlink" Target="#KKM!A1"/><Relationship Id="rId9" Type="http://schemas.openxmlformats.org/officeDocument/2006/relationships/hyperlink" Target="#REKAP!A1"/><Relationship Id="rId1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2" Type="http://schemas.openxmlformats.org/officeDocument/2006/relationships/image" Target="../media/image7.gif"/><Relationship Id="rId1" Type="http://schemas.openxmlformats.org/officeDocument/2006/relationships/hyperlink" Target="#DEPAN!A1"/></Relationships>
</file>

<file path=xl/drawings/_rels/drawing4.xml.rels><?xml version="1.0" encoding="UTF-8" standalone="yes"?>
<Relationships xmlns="http://schemas.openxmlformats.org/package/2006/relationships"><Relationship Id="rId8" Type="http://schemas.openxmlformats.org/officeDocument/2006/relationships/hyperlink" Target="#'KI-KD'!A53"/><Relationship Id="rId13" Type="http://schemas.openxmlformats.org/officeDocument/2006/relationships/hyperlink" Target="#'KI-KD'!A107"/><Relationship Id="rId18" Type="http://schemas.openxmlformats.org/officeDocument/2006/relationships/image" Target="../media/image8.gif"/><Relationship Id="rId3" Type="http://schemas.openxmlformats.org/officeDocument/2006/relationships/hyperlink" Target="#'KI-KD'!A145"/><Relationship Id="rId7" Type="http://schemas.openxmlformats.org/officeDocument/2006/relationships/hyperlink" Target="#'KI-KD'!A27"/><Relationship Id="rId12" Type="http://schemas.openxmlformats.org/officeDocument/2006/relationships/hyperlink" Target="#'KI-KD'!A82"/><Relationship Id="rId17" Type="http://schemas.openxmlformats.org/officeDocument/2006/relationships/hyperlink" Target="#DEPAN!A1"/><Relationship Id="rId2" Type="http://schemas.openxmlformats.org/officeDocument/2006/relationships/hyperlink" Target="#'KI-KD'!A160"/><Relationship Id="rId16" Type="http://schemas.openxmlformats.org/officeDocument/2006/relationships/hyperlink" Target="#'KI-KD'!A129"/><Relationship Id="rId1" Type="http://schemas.openxmlformats.org/officeDocument/2006/relationships/hyperlink" Target="#'KI-KD'!A2"/><Relationship Id="rId6" Type="http://schemas.openxmlformats.org/officeDocument/2006/relationships/hyperlink" Target="#'KI-KD'!A190"/><Relationship Id="rId11" Type="http://schemas.openxmlformats.org/officeDocument/2006/relationships/hyperlink" Target="#'KI-KD'!A92"/><Relationship Id="rId5" Type="http://schemas.openxmlformats.org/officeDocument/2006/relationships/hyperlink" Target="#'KI-KD'!A205"/><Relationship Id="rId15" Type="http://schemas.openxmlformats.org/officeDocument/2006/relationships/hyperlink" Target="#'KI-KD'!A137"/><Relationship Id="rId10" Type="http://schemas.openxmlformats.org/officeDocument/2006/relationships/hyperlink" Target="#'KI-KD'!A68"/><Relationship Id="rId4" Type="http://schemas.openxmlformats.org/officeDocument/2006/relationships/hyperlink" Target="#'KI-KD'!A175"/><Relationship Id="rId9" Type="http://schemas.openxmlformats.org/officeDocument/2006/relationships/hyperlink" Target="#'KI-KD'!A38"/><Relationship Id="rId14" Type="http://schemas.openxmlformats.org/officeDocument/2006/relationships/hyperlink" Target="#'KI-KD'!A121"/></Relationships>
</file>

<file path=xl/drawings/_rels/drawing5.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hyperlink" Target="#DEPAN!A1"/></Relationships>
</file>

<file path=xl/drawings/_rels/drawing6.xml.rels><?xml version="1.0" encoding="UTF-8" standalone="yes"?>
<Relationships xmlns="http://schemas.openxmlformats.org/package/2006/relationships"><Relationship Id="rId3" Type="http://schemas.openxmlformats.org/officeDocument/2006/relationships/image" Target="../media/image8.gif"/><Relationship Id="rId2" Type="http://schemas.openxmlformats.org/officeDocument/2006/relationships/hyperlink" Target="#DEPAN!A1"/><Relationship Id="rId1" Type="http://schemas.openxmlformats.org/officeDocument/2006/relationships/hyperlink" Target="#SOSIAL!A1"/></Relationships>
</file>

<file path=xl/drawings/_rels/drawing7.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hyperlink" Target="#DEPAN!A1"/></Relationships>
</file>

<file path=xl/drawings/_rels/drawing8.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9.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10.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11.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12.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13.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14.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15.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16.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17.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18.xml.rels><?xml version="1.0" encoding="UTF-8" standalone="yes"?>
<Relationships xmlns="http://schemas.openxmlformats.org/package/2006/relationships"><Relationship Id="rId8" Type="http://schemas.openxmlformats.org/officeDocument/2006/relationships/hyperlink" Target="#'IPS3'!A1"/><Relationship Id="rId13" Type="http://schemas.openxmlformats.org/officeDocument/2006/relationships/hyperlink" Target="#'MLK3-3'!A1"/><Relationship Id="rId3" Type="http://schemas.openxmlformats.org/officeDocument/2006/relationships/hyperlink" Target="#'PAI3'!A1"/><Relationship Id="rId7" Type="http://schemas.openxmlformats.org/officeDocument/2006/relationships/hyperlink" Target="#'IPA3'!A1"/><Relationship Id="rId12" Type="http://schemas.openxmlformats.org/officeDocument/2006/relationships/hyperlink" Target="#'MLK2-3'!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3'!A1"/><Relationship Id="rId11" Type="http://schemas.openxmlformats.org/officeDocument/2006/relationships/hyperlink" Target="#'MLK1-3'!A1"/><Relationship Id="rId5" Type="http://schemas.openxmlformats.org/officeDocument/2006/relationships/hyperlink" Target="#BIND3!A1"/><Relationship Id="rId10" Type="http://schemas.openxmlformats.org/officeDocument/2006/relationships/hyperlink" Target="#PJOK3!A1"/><Relationship Id="rId4" Type="http://schemas.openxmlformats.org/officeDocument/2006/relationships/hyperlink" Target="#'PKN3'!A1"/><Relationship Id="rId9" Type="http://schemas.openxmlformats.org/officeDocument/2006/relationships/hyperlink" Target="#SBDP3!A1"/></Relationships>
</file>

<file path=xl/drawings/_rels/drawing19.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20.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21.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22.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23.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24.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25.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26.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27.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28.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29.xml.rels><?xml version="1.0" encoding="UTF-8" standalone="yes"?>
<Relationships xmlns="http://schemas.openxmlformats.org/package/2006/relationships"><Relationship Id="rId8" Type="http://schemas.openxmlformats.org/officeDocument/2006/relationships/hyperlink" Target="#'IPS4'!A1"/><Relationship Id="rId13" Type="http://schemas.openxmlformats.org/officeDocument/2006/relationships/hyperlink" Target="#'MLK3-4'!A1"/><Relationship Id="rId3" Type="http://schemas.openxmlformats.org/officeDocument/2006/relationships/hyperlink" Target="#'PAI4'!A1"/><Relationship Id="rId7" Type="http://schemas.openxmlformats.org/officeDocument/2006/relationships/hyperlink" Target="#'IPA4'!A1"/><Relationship Id="rId12" Type="http://schemas.openxmlformats.org/officeDocument/2006/relationships/hyperlink" Target="#'MLK2-4'!A1"/><Relationship Id="rId2" Type="http://schemas.openxmlformats.org/officeDocument/2006/relationships/image" Target="../media/image8.gif"/><Relationship Id="rId1" Type="http://schemas.openxmlformats.org/officeDocument/2006/relationships/hyperlink" Target="#DEPAN!A1"/><Relationship Id="rId6" Type="http://schemas.openxmlformats.org/officeDocument/2006/relationships/hyperlink" Target="#'MTK4'!A1"/><Relationship Id="rId11" Type="http://schemas.openxmlformats.org/officeDocument/2006/relationships/hyperlink" Target="#'MLK1-4'!A1"/><Relationship Id="rId5" Type="http://schemas.openxmlformats.org/officeDocument/2006/relationships/hyperlink" Target="#BIND4!A1"/><Relationship Id="rId10" Type="http://schemas.openxmlformats.org/officeDocument/2006/relationships/hyperlink" Target="#PJOK4!A1"/><Relationship Id="rId4" Type="http://schemas.openxmlformats.org/officeDocument/2006/relationships/hyperlink" Target="#'PKN4'!A1"/><Relationship Id="rId9" Type="http://schemas.openxmlformats.org/officeDocument/2006/relationships/hyperlink" Target="#SBDP4!A1"/></Relationships>
</file>

<file path=xl/drawings/_rels/drawing30.xml.rels><?xml version="1.0" encoding="UTF-8" standalone="yes"?>
<Relationships xmlns="http://schemas.openxmlformats.org/package/2006/relationships"><Relationship Id="rId2" Type="http://schemas.openxmlformats.org/officeDocument/2006/relationships/image" Target="../media/image7.gif"/><Relationship Id="rId1" Type="http://schemas.openxmlformats.org/officeDocument/2006/relationships/hyperlink" Target="#DEPAN!A1"/></Relationships>
</file>

<file path=xl/drawings/_rels/drawing31.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hyperlink" Target="#DEPAN!A1"/></Relationships>
</file>

<file path=xl/drawings/_rels/drawing32.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hyperlink" Target="#DEPAN!A1"/></Relationships>
</file>

<file path=xl/drawings/_rels/drawing33.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hyperlink" Target="#DEPAN!A1"/></Relationships>
</file>

<file path=xl/drawings/_rels/drawing34.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hyperlink" Target="#DEPAN!A1"/></Relationships>
</file>

<file path=xl/drawings/_rels/drawing35.xml.rels><?xml version="1.0" encoding="UTF-8" standalone="yes"?>
<Relationships xmlns="http://schemas.openxmlformats.org/package/2006/relationships"><Relationship Id="rId8" Type="http://schemas.openxmlformats.org/officeDocument/2006/relationships/image" Target="../media/image7.gif"/><Relationship Id="rId3" Type="http://schemas.openxmlformats.org/officeDocument/2006/relationships/image" Target="../media/image11.jpeg"/><Relationship Id="rId7" Type="http://schemas.openxmlformats.org/officeDocument/2006/relationships/hyperlink" Target="#DEPAN!A1"/><Relationship Id="rId2" Type="http://schemas.openxmlformats.org/officeDocument/2006/relationships/hyperlink" Target="#'DATA RAPORT'!A1"/><Relationship Id="rId1" Type="http://schemas.openxmlformats.org/officeDocument/2006/relationships/image" Target="../media/image10.jpeg"/><Relationship Id="rId6" Type="http://schemas.openxmlformats.org/officeDocument/2006/relationships/image" Target="../media/image12.png"/><Relationship Id="rId5" Type="http://schemas.openxmlformats.org/officeDocument/2006/relationships/hyperlink" Target="#HOME!A1"/><Relationship Id="rId4" Type="http://schemas.openxmlformats.org/officeDocument/2006/relationships/hyperlink" Target="#'DES RAPORT'!A1"/><Relationship Id="rId9" Type="http://schemas.openxmlformats.org/officeDocument/2006/relationships/image" Target="../media/image13.png"/></Relationships>
</file>

<file path=xl/drawings/_rels/drawing36.xml.rels><?xml version="1.0" encoding="UTF-8" standalone="yes"?>
<Relationships xmlns="http://schemas.openxmlformats.org/package/2006/relationships"><Relationship Id="rId3" Type="http://schemas.openxmlformats.org/officeDocument/2006/relationships/hyperlink" Target="#'DES RAPORT'!A1"/><Relationship Id="rId7" Type="http://schemas.openxmlformats.org/officeDocument/2006/relationships/image" Target="../media/image7.gif"/><Relationship Id="rId2" Type="http://schemas.openxmlformats.org/officeDocument/2006/relationships/image" Target="../media/image11.jpeg"/><Relationship Id="rId1" Type="http://schemas.openxmlformats.org/officeDocument/2006/relationships/hyperlink" Target="#RAPORT!A1"/><Relationship Id="rId6" Type="http://schemas.openxmlformats.org/officeDocument/2006/relationships/hyperlink" Target="#DEPAN!A1"/><Relationship Id="rId5" Type="http://schemas.openxmlformats.org/officeDocument/2006/relationships/image" Target="../media/image14.png"/><Relationship Id="rId4" Type="http://schemas.openxmlformats.org/officeDocument/2006/relationships/hyperlink" Target="#HOME!A1"/></Relationships>
</file>

<file path=xl/drawings/_rels/drawing37.xml.rels><?xml version="1.0" encoding="UTF-8" standalone="yes"?>
<Relationships xmlns="http://schemas.openxmlformats.org/package/2006/relationships"><Relationship Id="rId3" Type="http://schemas.openxmlformats.org/officeDocument/2006/relationships/hyperlink" Target="#'DATA RAPORT'!A1"/><Relationship Id="rId2" Type="http://schemas.openxmlformats.org/officeDocument/2006/relationships/image" Target="../media/image11.jpeg"/><Relationship Id="rId1" Type="http://schemas.openxmlformats.org/officeDocument/2006/relationships/hyperlink" Target="#RAPORT!A1"/><Relationship Id="rId5" Type="http://schemas.openxmlformats.org/officeDocument/2006/relationships/image" Target="../media/image7.gif"/><Relationship Id="rId4" Type="http://schemas.openxmlformats.org/officeDocument/2006/relationships/hyperlink" Target="#DEPAN!A1"/></Relationships>
</file>

<file path=xl/drawings/_rels/drawing38.xml.rels><?xml version="1.0" encoding="UTF-8" standalone="yes"?>
<Relationships xmlns="http://schemas.openxmlformats.org/package/2006/relationships"><Relationship Id="rId3" Type="http://schemas.openxmlformats.org/officeDocument/2006/relationships/hyperlink" Target="#INDUK2!A1"/><Relationship Id="rId2" Type="http://schemas.openxmlformats.org/officeDocument/2006/relationships/image" Target="../media/image7.gif"/><Relationship Id="rId1" Type="http://schemas.openxmlformats.org/officeDocument/2006/relationships/hyperlink" Target="#DEPAN!A1"/><Relationship Id="rId6" Type="http://schemas.openxmlformats.org/officeDocument/2006/relationships/image" Target="../media/image15.png"/><Relationship Id="rId5" Type="http://schemas.openxmlformats.org/officeDocument/2006/relationships/hyperlink" Target="#INDUK3!A1"/><Relationship Id="rId4" Type="http://schemas.openxmlformats.org/officeDocument/2006/relationships/image" Target="../media/image11.jpeg"/></Relationships>
</file>

<file path=xl/drawings/_rels/drawing39.xml.rels><?xml version="1.0" encoding="UTF-8" standalone="yes"?>
<Relationships xmlns="http://schemas.openxmlformats.org/package/2006/relationships"><Relationship Id="rId3" Type="http://schemas.openxmlformats.org/officeDocument/2006/relationships/hyperlink" Target="#INDUK1!A1"/><Relationship Id="rId2" Type="http://schemas.openxmlformats.org/officeDocument/2006/relationships/image" Target="../media/image7.gif"/><Relationship Id="rId1" Type="http://schemas.openxmlformats.org/officeDocument/2006/relationships/hyperlink" Target="#DEPAN!A1"/><Relationship Id="rId5" Type="http://schemas.openxmlformats.org/officeDocument/2006/relationships/hyperlink" Target="#INDUK3!A1"/><Relationship Id="rId4" Type="http://schemas.openxmlformats.org/officeDocument/2006/relationships/image" Target="../media/image11.jpeg"/></Relationships>
</file>

<file path=xl/drawings/_rels/drawing40.xml.rels><?xml version="1.0" encoding="UTF-8" standalone="yes"?>
<Relationships xmlns="http://schemas.openxmlformats.org/package/2006/relationships"><Relationship Id="rId3" Type="http://schemas.openxmlformats.org/officeDocument/2006/relationships/hyperlink" Target="#INDUK1!A1"/><Relationship Id="rId2" Type="http://schemas.openxmlformats.org/officeDocument/2006/relationships/image" Target="../media/image7.gif"/><Relationship Id="rId1" Type="http://schemas.openxmlformats.org/officeDocument/2006/relationships/hyperlink" Target="#DEPAN!A1"/><Relationship Id="rId5" Type="http://schemas.openxmlformats.org/officeDocument/2006/relationships/hyperlink" Target="#INDUK2!A1"/><Relationship Id="rId4"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xdr:twoCellAnchor editAs="oneCell">
    <xdr:from>
      <xdr:col>11</xdr:col>
      <xdr:colOff>0</xdr:colOff>
      <xdr:row>12</xdr:row>
      <xdr:rowOff>0</xdr:rowOff>
    </xdr:from>
    <xdr:to>
      <xdr:col>12</xdr:col>
      <xdr:colOff>19050</xdr:colOff>
      <xdr:row>20</xdr:row>
      <xdr:rowOff>161925</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rotWithShape="1">
        <a:blip xmlns:r="http://schemas.openxmlformats.org/officeDocument/2006/relationships" r:embed="rId1" cstate="print"/>
        <a:srcRect t="38366" r="93633" b="27157"/>
        <a:stretch/>
      </xdr:blipFill>
      <xdr:spPr>
        <a:xfrm>
          <a:off x="7981950" y="2505075"/>
          <a:ext cx="228600" cy="1685925"/>
        </a:xfrm>
        <a:prstGeom prst="rect">
          <a:avLst/>
        </a:prstGeom>
      </xdr:spPr>
    </xdr:pic>
    <xdr:clientData/>
  </xdr:twoCellAnchor>
  <xdr:twoCellAnchor editAs="oneCell">
    <xdr:from>
      <xdr:col>6</xdr:col>
      <xdr:colOff>0</xdr:colOff>
      <xdr:row>12</xdr:row>
      <xdr:rowOff>0</xdr:rowOff>
    </xdr:from>
    <xdr:to>
      <xdr:col>7</xdr:col>
      <xdr:colOff>9525</xdr:colOff>
      <xdr:row>20</xdr:row>
      <xdr:rowOff>161925</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rotWithShape="1">
        <a:blip xmlns:r="http://schemas.openxmlformats.org/officeDocument/2006/relationships" r:embed="rId1" cstate="print"/>
        <a:srcRect t="38366" r="93633" b="27157"/>
        <a:stretch/>
      </xdr:blipFill>
      <xdr:spPr>
        <a:xfrm>
          <a:off x="3752850" y="2505075"/>
          <a:ext cx="228600" cy="1685925"/>
        </a:xfrm>
        <a:prstGeom prst="rect">
          <a:avLst/>
        </a:prstGeom>
      </xdr:spPr>
    </xdr:pic>
    <xdr:clientData/>
  </xdr:twoCellAnchor>
  <xdr:twoCellAnchor>
    <xdr:from>
      <xdr:col>11</xdr:col>
      <xdr:colOff>17746</xdr:colOff>
      <xdr:row>12</xdr:row>
      <xdr:rowOff>14094</xdr:rowOff>
    </xdr:from>
    <xdr:to>
      <xdr:col>11</xdr:col>
      <xdr:colOff>186147</xdr:colOff>
      <xdr:row>13</xdr:row>
      <xdr:rowOff>4263</xdr:rowOff>
    </xdr:to>
    <xdr:sp macro="" textlink="">
      <xdr:nvSpPr>
        <xdr:cNvPr id="2" name="Right Triangle 1">
          <a:extLst>
            <a:ext uri="{FF2B5EF4-FFF2-40B4-BE49-F238E27FC236}">
              <a16:creationId xmlns:a16="http://schemas.microsoft.com/office/drawing/2014/main" id="{00000000-0008-0000-0000-000002000000}"/>
            </a:ext>
          </a:extLst>
        </xdr:cNvPr>
        <xdr:cNvSpPr/>
      </xdr:nvSpPr>
      <xdr:spPr>
        <a:xfrm rot="10630347" flipH="1">
          <a:off x="7999696" y="2576319"/>
          <a:ext cx="168401" cy="180669"/>
        </a:xfrm>
        <a:prstGeom prst="rtTriangle">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6</xdr:col>
      <xdr:colOff>23769</xdr:colOff>
      <xdr:row>11</xdr:row>
      <xdr:rowOff>380686</xdr:rowOff>
    </xdr:from>
    <xdr:to>
      <xdr:col>7</xdr:col>
      <xdr:colOff>41590</xdr:colOff>
      <xdr:row>13</xdr:row>
      <xdr:rowOff>4610</xdr:rowOff>
    </xdr:to>
    <xdr:sp macro="" textlink="">
      <xdr:nvSpPr>
        <xdr:cNvPr id="3" name="Right Triangle 2">
          <a:extLst>
            <a:ext uri="{FF2B5EF4-FFF2-40B4-BE49-F238E27FC236}">
              <a16:creationId xmlns:a16="http://schemas.microsoft.com/office/drawing/2014/main" id="{00000000-0008-0000-0000-000003000000}"/>
            </a:ext>
          </a:extLst>
        </xdr:cNvPr>
        <xdr:cNvSpPr/>
      </xdr:nvSpPr>
      <xdr:spPr>
        <a:xfrm rot="11023586">
          <a:off x="3776619" y="2552386"/>
          <a:ext cx="236896" cy="204949"/>
        </a:xfrm>
        <a:prstGeom prst="rtTriangle">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8</xdr:col>
      <xdr:colOff>1276350</xdr:colOff>
      <xdr:row>18</xdr:row>
      <xdr:rowOff>19050</xdr:rowOff>
    </xdr:from>
    <xdr:to>
      <xdr:col>9</xdr:col>
      <xdr:colOff>923925</xdr:colOff>
      <xdr:row>19</xdr:row>
      <xdr:rowOff>76200</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5915025" y="3667125"/>
          <a:ext cx="1028700" cy="247650"/>
        </a:xfrm>
        <a:prstGeom prst="rect">
          <a:avLst/>
        </a:prstGeom>
        <a:solidFill>
          <a:schemeClr val="tx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MASUK</a:t>
          </a:r>
        </a:p>
      </xdr:txBody>
    </xdr:sp>
    <xdr:clientData/>
  </xdr:twoCellAnchor>
  <xdr:twoCellAnchor editAs="oneCell">
    <xdr:from>
      <xdr:col>8</xdr:col>
      <xdr:colOff>1285876</xdr:colOff>
      <xdr:row>1</xdr:row>
      <xdr:rowOff>26202</xdr:rowOff>
    </xdr:from>
    <xdr:to>
      <xdr:col>8</xdr:col>
      <xdr:colOff>1285876</xdr:colOff>
      <xdr:row>6</xdr:row>
      <xdr:rowOff>19050</xdr:rowOff>
    </xdr:to>
    <xdr:pic>
      <xdr:nvPicPr>
        <xdr:cNvPr id="5" name="Picture 4" descr="Hasil gambar untuk tut wuri handayani">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57826" y="216702"/>
          <a:ext cx="923924" cy="9453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304801</xdr:colOff>
      <xdr:row>0</xdr:row>
      <xdr:rowOff>0</xdr:rowOff>
    </xdr:from>
    <xdr:to>
      <xdr:col>13</xdr:col>
      <xdr:colOff>304801</xdr:colOff>
      <xdr:row>27</xdr:row>
      <xdr:rowOff>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r="69965"/>
        <a:stretch/>
      </xdr:blipFill>
      <xdr:spPr>
        <a:xfrm>
          <a:off x="9105901" y="0"/>
          <a:ext cx="3840955" cy="5638800"/>
        </a:xfrm>
        <a:prstGeom prst="rect">
          <a:avLst/>
        </a:prstGeom>
      </xdr:spPr>
    </xdr:pic>
    <xdr:clientData/>
  </xdr:twoCellAnchor>
  <xdr:twoCellAnchor editAs="oneCell">
    <xdr:from>
      <xdr:col>0</xdr:col>
      <xdr:colOff>0</xdr:colOff>
      <xdr:row>0</xdr:row>
      <xdr:rowOff>0</xdr:rowOff>
    </xdr:from>
    <xdr:to>
      <xdr:col>5</xdr:col>
      <xdr:colOff>228599</xdr:colOff>
      <xdr:row>27</xdr:row>
      <xdr:rowOff>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stretch>
          <a:fillRect/>
        </a:stretch>
      </xdr:blipFill>
      <xdr:spPr>
        <a:xfrm>
          <a:off x="0" y="0"/>
          <a:ext cx="3743324" cy="5362575"/>
        </a:xfrm>
        <a:prstGeom prst="rect">
          <a:avLst/>
        </a:prstGeom>
      </xdr:spPr>
    </xdr:pic>
    <xdr:clientData/>
  </xdr:twoCellAnchor>
  <xdr:twoCellAnchor editAs="oneCell">
    <xdr:from>
      <xdr:col>12</xdr:col>
      <xdr:colOff>0</xdr:colOff>
      <xdr:row>0</xdr:row>
      <xdr:rowOff>0</xdr:rowOff>
    </xdr:from>
    <xdr:to>
      <xdr:col>17</xdr:col>
      <xdr:colOff>180974</xdr:colOff>
      <xdr:row>27</xdr:row>
      <xdr:rowOff>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stretch>
          <a:fillRect/>
        </a:stretch>
      </xdr:blipFill>
      <xdr:spPr>
        <a:xfrm>
          <a:off x="8191500" y="0"/>
          <a:ext cx="3743324" cy="5362575"/>
        </a:xfrm>
        <a:prstGeom prst="rect">
          <a:avLst/>
        </a:prstGeom>
      </xdr:spPr>
    </xdr:pic>
    <xdr:clientData/>
  </xdr:twoCellAnchor>
  <xdr:twoCellAnchor editAs="oneCell">
    <xdr:from>
      <xdr:col>13</xdr:col>
      <xdr:colOff>438151</xdr:colOff>
      <xdr:row>0</xdr:row>
      <xdr:rowOff>0</xdr:rowOff>
    </xdr:from>
    <xdr:to>
      <xdr:col>16384</xdr:col>
      <xdr:colOff>0</xdr:colOff>
      <xdr:row>27</xdr:row>
      <xdr:rowOff>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tretch>
          <a:fillRect/>
        </a:stretch>
      </xdr:blipFill>
      <xdr:spPr>
        <a:xfrm>
          <a:off x="9239251" y="0"/>
          <a:ext cx="3743324" cy="5362575"/>
        </a:xfrm>
        <a:prstGeom prst="rect">
          <a:avLst/>
        </a:prstGeom>
      </xdr:spPr>
    </xdr:pic>
    <xdr:clientData/>
  </xdr:twoCellAnchor>
  <xdr:twoCellAnchor editAs="oneCell">
    <xdr:from>
      <xdr:col>5</xdr:col>
      <xdr:colOff>657225</xdr:colOff>
      <xdr:row>21</xdr:row>
      <xdr:rowOff>0</xdr:rowOff>
    </xdr:from>
    <xdr:to>
      <xdr:col>9</xdr:col>
      <xdr:colOff>1895474</xdr:colOff>
      <xdr:row>27</xdr:row>
      <xdr:rowOff>0</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rotWithShape="1">
        <a:blip xmlns:r="http://schemas.openxmlformats.org/officeDocument/2006/relationships" r:embed="rId1" cstate="print"/>
        <a:srcRect t="76350"/>
        <a:stretch/>
      </xdr:blipFill>
      <xdr:spPr>
        <a:xfrm>
          <a:off x="3705225" y="4219575"/>
          <a:ext cx="3743324" cy="1143000"/>
        </a:xfrm>
        <a:prstGeom prst="rect">
          <a:avLst/>
        </a:prstGeom>
      </xdr:spPr>
    </xdr:pic>
    <xdr:clientData/>
  </xdr:twoCellAnchor>
  <xdr:twoCellAnchor editAs="oneCell">
    <xdr:from>
      <xdr:col>9</xdr:col>
      <xdr:colOff>0</xdr:colOff>
      <xdr:row>21</xdr:row>
      <xdr:rowOff>0</xdr:rowOff>
    </xdr:from>
    <xdr:to>
      <xdr:col>13</xdr:col>
      <xdr:colOff>495299</xdr:colOff>
      <xdr:row>27</xdr:row>
      <xdr:rowOff>0</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1" cstate="print"/>
        <a:srcRect t="76350"/>
        <a:stretch/>
      </xdr:blipFill>
      <xdr:spPr>
        <a:xfrm>
          <a:off x="5553075" y="4219575"/>
          <a:ext cx="3743324" cy="1143000"/>
        </a:xfrm>
        <a:prstGeom prst="rect">
          <a:avLst/>
        </a:prstGeom>
      </xdr:spPr>
    </xdr:pic>
    <xdr:clientData/>
  </xdr:twoCellAnchor>
  <xdr:twoCellAnchor editAs="oneCell">
    <xdr:from>
      <xdr:col>5</xdr:col>
      <xdr:colOff>676275</xdr:colOff>
      <xdr:row>0</xdr:row>
      <xdr:rowOff>0</xdr:rowOff>
    </xdr:from>
    <xdr:to>
      <xdr:col>9</xdr:col>
      <xdr:colOff>1914524</xdr:colOff>
      <xdr:row>4</xdr:row>
      <xdr:rowOff>0</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1" cstate="print"/>
        <a:srcRect t="76350" b="7883"/>
        <a:stretch/>
      </xdr:blipFill>
      <xdr:spPr>
        <a:xfrm>
          <a:off x="3724275" y="0"/>
          <a:ext cx="3743324" cy="762000"/>
        </a:xfrm>
        <a:prstGeom prst="rect">
          <a:avLst/>
        </a:prstGeom>
      </xdr:spPr>
    </xdr:pic>
    <xdr:clientData/>
  </xdr:twoCellAnchor>
  <xdr:twoCellAnchor editAs="oneCell">
    <xdr:from>
      <xdr:col>8</xdr:col>
      <xdr:colOff>361950</xdr:colOff>
      <xdr:row>0</xdr:row>
      <xdr:rowOff>0</xdr:rowOff>
    </xdr:from>
    <xdr:to>
      <xdr:col>12</xdr:col>
      <xdr:colOff>85724</xdr:colOff>
      <xdr:row>4</xdr:row>
      <xdr:rowOff>0</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rotWithShape="1">
        <a:blip xmlns:r="http://schemas.openxmlformats.org/officeDocument/2006/relationships" r:embed="rId1" cstate="print"/>
        <a:srcRect t="76350" b="7883"/>
        <a:stretch/>
      </xdr:blipFill>
      <xdr:spPr>
        <a:xfrm>
          <a:off x="4533900" y="0"/>
          <a:ext cx="3743324" cy="762000"/>
        </a:xfrm>
        <a:prstGeom prst="rect">
          <a:avLst/>
        </a:prstGeom>
      </xdr:spPr>
    </xdr:pic>
    <xdr:clientData/>
  </xdr:twoCellAnchor>
  <xdr:twoCellAnchor editAs="oneCell">
    <xdr:from>
      <xdr:col>11</xdr:col>
      <xdr:colOff>2</xdr:colOff>
      <xdr:row>0</xdr:row>
      <xdr:rowOff>0</xdr:rowOff>
    </xdr:from>
    <xdr:to>
      <xdr:col>12</xdr:col>
      <xdr:colOff>9526</xdr:colOff>
      <xdr:row>10</xdr:row>
      <xdr:rowOff>180975</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rotWithShape="1">
        <a:blip xmlns:r="http://schemas.openxmlformats.org/officeDocument/2006/relationships" r:embed="rId1" cstate="print"/>
        <a:srcRect t="38366" r="93899" b="19366"/>
        <a:stretch/>
      </xdr:blipFill>
      <xdr:spPr>
        <a:xfrm>
          <a:off x="7981952" y="0"/>
          <a:ext cx="219074" cy="2162175"/>
        </a:xfrm>
        <a:prstGeom prst="rect">
          <a:avLst/>
        </a:prstGeom>
      </xdr:spPr>
    </xdr:pic>
    <xdr:clientData/>
  </xdr:twoCellAnchor>
  <xdr:twoCellAnchor editAs="oneCell">
    <xdr:from>
      <xdr:col>5</xdr:col>
      <xdr:colOff>695325</xdr:colOff>
      <xdr:row>0</xdr:row>
      <xdr:rowOff>0</xdr:rowOff>
    </xdr:from>
    <xdr:to>
      <xdr:col>6</xdr:col>
      <xdr:colOff>209549</xdr:colOff>
      <xdr:row>10</xdr:row>
      <xdr:rowOff>180975</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rotWithShape="1">
        <a:blip xmlns:r="http://schemas.openxmlformats.org/officeDocument/2006/relationships" r:embed="rId1" cstate="print"/>
        <a:srcRect t="38366" r="93899" b="19366"/>
        <a:stretch/>
      </xdr:blipFill>
      <xdr:spPr>
        <a:xfrm>
          <a:off x="3743325" y="0"/>
          <a:ext cx="219074" cy="2162175"/>
        </a:xfrm>
        <a:prstGeom prst="rect">
          <a:avLst/>
        </a:prstGeom>
      </xdr:spPr>
    </xdr:pic>
    <xdr:clientData/>
  </xdr:twoCellAnchor>
  <xdr:twoCellAnchor editAs="oneCell">
    <xdr:from>
      <xdr:col>8</xdr:col>
      <xdr:colOff>1276350</xdr:colOff>
      <xdr:row>1</xdr:row>
      <xdr:rowOff>47625</xdr:rowOff>
    </xdr:from>
    <xdr:to>
      <xdr:col>9</xdr:col>
      <xdr:colOff>825953</xdr:colOff>
      <xdr:row>6</xdr:row>
      <xdr:rowOff>40473</xdr:rowOff>
    </xdr:to>
    <xdr:pic>
      <xdr:nvPicPr>
        <xdr:cNvPr id="18" name="Picture 17" descr="Hasil gambar untuk tut wuri handayani">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0" y="238125"/>
          <a:ext cx="930728" cy="9453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476250</xdr:colOff>
      <xdr:row>0</xdr:row>
      <xdr:rowOff>0</xdr:rowOff>
    </xdr:from>
    <xdr:to>
      <xdr:col>5</xdr:col>
      <xdr:colOff>704849</xdr:colOff>
      <xdr:row>26</xdr:row>
      <xdr:rowOff>161925</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 cstate="print"/>
        <a:stretch>
          <a:fillRect/>
        </a:stretch>
      </xdr:blipFill>
      <xdr:spPr>
        <a:xfrm>
          <a:off x="476250" y="0"/>
          <a:ext cx="3743324" cy="533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52668</xdr:colOff>
      <xdr:row>1</xdr:row>
      <xdr:rowOff>60512</xdr:rowOff>
    </xdr:from>
    <xdr:to>
      <xdr:col>0</xdr:col>
      <xdr:colOff>702609</xdr:colOff>
      <xdr:row>5</xdr:row>
      <xdr:rowOff>143234</xdr:rowOff>
    </xdr:to>
    <xdr:pic>
      <xdr:nvPicPr>
        <xdr:cNvPr id="52" name="Picture 51">
          <a:hlinkClick xmlns:r="http://schemas.openxmlformats.org/officeDocument/2006/relationships" r:id="rId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2" cstate="print"/>
        <a:stretch>
          <a:fillRect/>
        </a:stretch>
      </xdr:blipFill>
      <xdr:spPr>
        <a:xfrm>
          <a:off x="52668" y="498662"/>
          <a:ext cx="649941" cy="663747"/>
        </a:xfrm>
        <a:prstGeom prst="rect">
          <a:avLst/>
        </a:prstGeom>
      </xdr:spPr>
    </xdr:pic>
    <xdr:clientData/>
  </xdr:twoCellAnchor>
  <xdr:twoCellAnchor>
    <xdr:from>
      <xdr:col>0</xdr:col>
      <xdr:colOff>180975</xdr:colOff>
      <xdr:row>7</xdr:row>
      <xdr:rowOff>0</xdr:rowOff>
    </xdr:from>
    <xdr:to>
      <xdr:col>1</xdr:col>
      <xdr:colOff>466725</xdr:colOff>
      <xdr:row>7</xdr:row>
      <xdr:rowOff>171450</xdr:rowOff>
    </xdr:to>
    <xdr:sp macro="" textlink="">
      <xdr:nvSpPr>
        <xdr:cNvPr id="53" name="Rectangle 52">
          <a:hlinkClick xmlns:r="http://schemas.openxmlformats.org/officeDocument/2006/relationships" r:id="rId3"/>
          <a:extLst>
            <a:ext uri="{FF2B5EF4-FFF2-40B4-BE49-F238E27FC236}">
              <a16:creationId xmlns:a16="http://schemas.microsoft.com/office/drawing/2014/main" id="{00000000-0008-0000-0100-000035000000}"/>
            </a:ext>
          </a:extLst>
        </xdr:cNvPr>
        <xdr:cNvSpPr/>
      </xdr:nvSpPr>
      <xdr:spPr>
        <a:xfrm>
          <a:off x="180975" y="1228725"/>
          <a:ext cx="1038225" cy="171450"/>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100">
              <a:sym typeface="Wingdings"/>
            </a:rPr>
            <a:t></a:t>
          </a:r>
          <a:r>
            <a:rPr lang="en-US" sz="1000">
              <a:sym typeface="Wingdings"/>
            </a:rPr>
            <a:t>  </a:t>
          </a:r>
          <a:r>
            <a:rPr lang="en-US" sz="1000"/>
            <a:t>Siswa</a:t>
          </a:r>
        </a:p>
      </xdr:txBody>
    </xdr:sp>
    <xdr:clientData/>
  </xdr:twoCellAnchor>
  <xdr:twoCellAnchor>
    <xdr:from>
      <xdr:col>0</xdr:col>
      <xdr:colOff>171450</xdr:colOff>
      <xdr:row>8</xdr:row>
      <xdr:rowOff>9527</xdr:rowOff>
    </xdr:from>
    <xdr:to>
      <xdr:col>1</xdr:col>
      <xdr:colOff>457200</xdr:colOff>
      <xdr:row>8</xdr:row>
      <xdr:rowOff>228601</xdr:rowOff>
    </xdr:to>
    <xdr:sp macro="" textlink="">
      <xdr:nvSpPr>
        <xdr:cNvPr id="54" name="Rectangle 53">
          <a:hlinkClick xmlns:r="http://schemas.openxmlformats.org/officeDocument/2006/relationships" r:id="rId4"/>
          <a:extLst>
            <a:ext uri="{FF2B5EF4-FFF2-40B4-BE49-F238E27FC236}">
              <a16:creationId xmlns:a16="http://schemas.microsoft.com/office/drawing/2014/main" id="{00000000-0008-0000-0100-000036000000}"/>
            </a:ext>
          </a:extLst>
        </xdr:cNvPr>
        <xdr:cNvSpPr/>
      </xdr:nvSpPr>
      <xdr:spPr>
        <a:xfrm>
          <a:off x="171450" y="1685927"/>
          <a:ext cx="1038225" cy="219074"/>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200">
              <a:sym typeface="Wingdings"/>
            </a:rPr>
            <a:t></a:t>
          </a:r>
          <a:r>
            <a:rPr lang="en-US" sz="1000"/>
            <a:t> </a:t>
          </a:r>
          <a:r>
            <a:rPr lang="en-US" sz="1000" b="0"/>
            <a:t>KKM</a:t>
          </a:r>
        </a:p>
      </xdr:txBody>
    </xdr:sp>
    <xdr:clientData/>
  </xdr:twoCellAnchor>
  <xdr:twoCellAnchor>
    <xdr:from>
      <xdr:col>0</xdr:col>
      <xdr:colOff>161925</xdr:colOff>
      <xdr:row>9</xdr:row>
      <xdr:rowOff>48768</xdr:rowOff>
    </xdr:from>
    <xdr:to>
      <xdr:col>1</xdr:col>
      <xdr:colOff>447675</xdr:colOff>
      <xdr:row>10</xdr:row>
      <xdr:rowOff>57150</xdr:rowOff>
    </xdr:to>
    <xdr:sp macro="" textlink="">
      <xdr:nvSpPr>
        <xdr:cNvPr id="55" name="Rectangle 54">
          <a:hlinkClick xmlns:r="http://schemas.openxmlformats.org/officeDocument/2006/relationships" r:id="rId5"/>
          <a:extLst>
            <a:ext uri="{FF2B5EF4-FFF2-40B4-BE49-F238E27FC236}">
              <a16:creationId xmlns:a16="http://schemas.microsoft.com/office/drawing/2014/main" id="{00000000-0008-0000-0100-000037000000}"/>
            </a:ext>
          </a:extLst>
        </xdr:cNvPr>
        <xdr:cNvSpPr/>
      </xdr:nvSpPr>
      <xdr:spPr>
        <a:xfrm>
          <a:off x="161925" y="1672159"/>
          <a:ext cx="1039467" cy="190600"/>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050">
              <a:sym typeface="Wingdings"/>
            </a:rPr>
            <a:t></a:t>
          </a:r>
          <a:r>
            <a:rPr lang="en-US" sz="1000"/>
            <a:t>  Kurikulum</a:t>
          </a:r>
        </a:p>
      </xdr:txBody>
    </xdr:sp>
    <xdr:clientData/>
  </xdr:twoCellAnchor>
  <xdr:twoCellAnchor>
    <xdr:from>
      <xdr:col>0</xdr:col>
      <xdr:colOff>161925</xdr:colOff>
      <xdr:row>10</xdr:row>
      <xdr:rowOff>104775</xdr:rowOff>
    </xdr:from>
    <xdr:to>
      <xdr:col>1</xdr:col>
      <xdr:colOff>447675</xdr:colOff>
      <xdr:row>11</xdr:row>
      <xdr:rowOff>133350</xdr:rowOff>
    </xdr:to>
    <xdr:sp macro="" textlink="">
      <xdr:nvSpPr>
        <xdr:cNvPr id="56" name="Rectangle 55">
          <a:hlinkClick xmlns:r="http://schemas.openxmlformats.org/officeDocument/2006/relationships" r:id="rId6"/>
          <a:extLst>
            <a:ext uri="{FF2B5EF4-FFF2-40B4-BE49-F238E27FC236}">
              <a16:creationId xmlns:a16="http://schemas.microsoft.com/office/drawing/2014/main" id="{00000000-0008-0000-0100-000038000000}"/>
            </a:ext>
          </a:extLst>
        </xdr:cNvPr>
        <xdr:cNvSpPr/>
      </xdr:nvSpPr>
      <xdr:spPr>
        <a:xfrm>
          <a:off x="161925" y="1905000"/>
          <a:ext cx="1038225" cy="209550"/>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050">
              <a:sym typeface="Wingdings"/>
            </a:rPr>
            <a:t> </a:t>
          </a:r>
          <a:r>
            <a:rPr lang="en-US" sz="1000"/>
            <a:t> Nilai Sikap</a:t>
          </a:r>
        </a:p>
      </xdr:txBody>
    </xdr:sp>
    <xdr:clientData/>
  </xdr:twoCellAnchor>
  <xdr:twoCellAnchor>
    <xdr:from>
      <xdr:col>0</xdr:col>
      <xdr:colOff>161925</xdr:colOff>
      <xdr:row>12</xdr:row>
      <xdr:rowOff>1143</xdr:rowOff>
    </xdr:from>
    <xdr:to>
      <xdr:col>1</xdr:col>
      <xdr:colOff>857250</xdr:colOff>
      <xdr:row>13</xdr:row>
      <xdr:rowOff>9525</xdr:rowOff>
    </xdr:to>
    <xdr:sp macro="" textlink="">
      <xdr:nvSpPr>
        <xdr:cNvPr id="57" name="Rectangle 56">
          <a:hlinkClick xmlns:r="http://schemas.openxmlformats.org/officeDocument/2006/relationships" r:id="rId7"/>
          <a:extLst>
            <a:ext uri="{FF2B5EF4-FFF2-40B4-BE49-F238E27FC236}">
              <a16:creationId xmlns:a16="http://schemas.microsoft.com/office/drawing/2014/main" id="{00000000-0008-0000-0100-000039000000}"/>
            </a:ext>
          </a:extLst>
        </xdr:cNvPr>
        <xdr:cNvSpPr/>
      </xdr:nvSpPr>
      <xdr:spPr>
        <a:xfrm>
          <a:off x="161925" y="2163318"/>
          <a:ext cx="1447800" cy="189357"/>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050">
              <a:sym typeface="Wingdings"/>
            </a:rPr>
            <a:t> </a:t>
          </a:r>
          <a:r>
            <a:rPr lang="en-US" sz="1000"/>
            <a:t> Nilai</a:t>
          </a:r>
          <a:r>
            <a:rPr lang="en-US" sz="1000" baseline="0"/>
            <a:t> Pengetahuan</a:t>
          </a:r>
          <a:endParaRPr lang="en-US" sz="1000"/>
        </a:p>
      </xdr:txBody>
    </xdr:sp>
    <xdr:clientData/>
  </xdr:twoCellAnchor>
  <xdr:twoCellAnchor>
    <xdr:from>
      <xdr:col>0</xdr:col>
      <xdr:colOff>171450</xdr:colOff>
      <xdr:row>13</xdr:row>
      <xdr:rowOff>57150</xdr:rowOff>
    </xdr:from>
    <xdr:to>
      <xdr:col>1</xdr:col>
      <xdr:colOff>742950</xdr:colOff>
      <xdr:row>14</xdr:row>
      <xdr:rowOff>76200</xdr:rowOff>
    </xdr:to>
    <xdr:sp macro="" textlink="">
      <xdr:nvSpPr>
        <xdr:cNvPr id="58" name="Rectangle 57">
          <a:hlinkClick xmlns:r="http://schemas.openxmlformats.org/officeDocument/2006/relationships" r:id="rId8"/>
          <a:extLst>
            <a:ext uri="{FF2B5EF4-FFF2-40B4-BE49-F238E27FC236}">
              <a16:creationId xmlns:a16="http://schemas.microsoft.com/office/drawing/2014/main" id="{00000000-0008-0000-0100-00003A000000}"/>
            </a:ext>
          </a:extLst>
        </xdr:cNvPr>
        <xdr:cNvSpPr/>
      </xdr:nvSpPr>
      <xdr:spPr>
        <a:xfrm>
          <a:off x="171450" y="2400300"/>
          <a:ext cx="1323975" cy="200025"/>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200">
              <a:sym typeface="Wingdings"/>
            </a:rPr>
            <a:t></a:t>
          </a:r>
          <a:r>
            <a:rPr lang="en-US" sz="1000">
              <a:sym typeface="Wingdings"/>
            </a:rPr>
            <a:t> </a:t>
          </a:r>
          <a:r>
            <a:rPr lang="en-US" sz="1000"/>
            <a:t> Nilai</a:t>
          </a:r>
          <a:r>
            <a:rPr lang="en-US" sz="1000" baseline="0"/>
            <a:t> Ketrampilan</a:t>
          </a:r>
          <a:endParaRPr lang="en-US" sz="1000"/>
        </a:p>
      </xdr:txBody>
    </xdr:sp>
    <xdr:clientData/>
  </xdr:twoCellAnchor>
  <xdr:twoCellAnchor>
    <xdr:from>
      <xdr:col>0</xdr:col>
      <xdr:colOff>161925</xdr:colOff>
      <xdr:row>14</xdr:row>
      <xdr:rowOff>124968</xdr:rowOff>
    </xdr:from>
    <xdr:to>
      <xdr:col>1</xdr:col>
      <xdr:colOff>628650</xdr:colOff>
      <xdr:row>15</xdr:row>
      <xdr:rowOff>142875</xdr:rowOff>
    </xdr:to>
    <xdr:sp macro="" textlink="">
      <xdr:nvSpPr>
        <xdr:cNvPr id="59" name="Rectangle 58">
          <a:hlinkClick xmlns:r="http://schemas.openxmlformats.org/officeDocument/2006/relationships" r:id="rId9"/>
          <a:extLst>
            <a:ext uri="{FF2B5EF4-FFF2-40B4-BE49-F238E27FC236}">
              <a16:creationId xmlns:a16="http://schemas.microsoft.com/office/drawing/2014/main" id="{00000000-0008-0000-0100-00003B000000}"/>
            </a:ext>
          </a:extLst>
        </xdr:cNvPr>
        <xdr:cNvSpPr/>
      </xdr:nvSpPr>
      <xdr:spPr>
        <a:xfrm>
          <a:off x="161925" y="2649093"/>
          <a:ext cx="1219200" cy="198882"/>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050">
              <a:sym typeface="Wingdings"/>
            </a:rPr>
            <a:t></a:t>
          </a:r>
          <a:r>
            <a:rPr lang="en-US" sz="1000"/>
            <a:t> Rekap nilai</a:t>
          </a:r>
        </a:p>
      </xdr:txBody>
    </xdr:sp>
    <xdr:clientData/>
  </xdr:twoCellAnchor>
  <xdr:twoCellAnchor>
    <xdr:from>
      <xdr:col>0</xdr:col>
      <xdr:colOff>171450</xdr:colOff>
      <xdr:row>16</xdr:row>
      <xdr:rowOff>10668</xdr:rowOff>
    </xdr:from>
    <xdr:to>
      <xdr:col>1</xdr:col>
      <xdr:colOff>552450</xdr:colOff>
      <xdr:row>17</xdr:row>
      <xdr:rowOff>9525</xdr:rowOff>
    </xdr:to>
    <xdr:sp macro="" textlink="">
      <xdr:nvSpPr>
        <xdr:cNvPr id="60" name="Rectangle 59">
          <a:hlinkClick xmlns:r="http://schemas.openxmlformats.org/officeDocument/2006/relationships" r:id="rId10"/>
          <a:extLst>
            <a:ext uri="{FF2B5EF4-FFF2-40B4-BE49-F238E27FC236}">
              <a16:creationId xmlns:a16="http://schemas.microsoft.com/office/drawing/2014/main" id="{00000000-0008-0000-0100-00003C000000}"/>
            </a:ext>
          </a:extLst>
        </xdr:cNvPr>
        <xdr:cNvSpPr/>
      </xdr:nvSpPr>
      <xdr:spPr>
        <a:xfrm>
          <a:off x="171450" y="2896743"/>
          <a:ext cx="1133475" cy="179832"/>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200">
              <a:sym typeface="Wingdings"/>
            </a:rPr>
            <a:t></a:t>
          </a:r>
          <a:r>
            <a:rPr lang="en-US" sz="1000"/>
            <a:t>  Absen</a:t>
          </a:r>
        </a:p>
      </xdr:txBody>
    </xdr:sp>
    <xdr:clientData/>
  </xdr:twoCellAnchor>
  <xdr:twoCellAnchor>
    <xdr:from>
      <xdr:col>0</xdr:col>
      <xdr:colOff>161925</xdr:colOff>
      <xdr:row>19</xdr:row>
      <xdr:rowOff>172593</xdr:rowOff>
    </xdr:from>
    <xdr:to>
      <xdr:col>1</xdr:col>
      <xdr:colOff>971550</xdr:colOff>
      <xdr:row>20</xdr:row>
      <xdr:rowOff>171450</xdr:rowOff>
    </xdr:to>
    <xdr:sp macro="" textlink="">
      <xdr:nvSpPr>
        <xdr:cNvPr id="61" name="Rectangle 60">
          <a:hlinkClick xmlns:r="http://schemas.openxmlformats.org/officeDocument/2006/relationships" r:id="rId11"/>
          <a:extLst>
            <a:ext uri="{FF2B5EF4-FFF2-40B4-BE49-F238E27FC236}">
              <a16:creationId xmlns:a16="http://schemas.microsoft.com/office/drawing/2014/main" id="{00000000-0008-0000-0100-00003D000000}"/>
            </a:ext>
          </a:extLst>
        </xdr:cNvPr>
        <xdr:cNvSpPr/>
      </xdr:nvSpPr>
      <xdr:spPr>
        <a:xfrm>
          <a:off x="161925" y="3601593"/>
          <a:ext cx="1562100" cy="179832"/>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100">
              <a:sym typeface="Wingdings"/>
            </a:rPr>
            <a:t></a:t>
          </a:r>
          <a:r>
            <a:rPr lang="en-US" sz="1000">
              <a:sym typeface="Wingdings"/>
            </a:rPr>
            <a:t> </a:t>
          </a:r>
          <a:r>
            <a:rPr lang="en-US" sz="1000"/>
            <a:t>Tutorial</a:t>
          </a:r>
        </a:p>
      </xdr:txBody>
    </xdr:sp>
    <xdr:clientData/>
  </xdr:twoCellAnchor>
  <xdr:twoCellAnchor>
    <xdr:from>
      <xdr:col>0</xdr:col>
      <xdr:colOff>171450</xdr:colOff>
      <xdr:row>17</xdr:row>
      <xdr:rowOff>67818</xdr:rowOff>
    </xdr:from>
    <xdr:to>
      <xdr:col>1</xdr:col>
      <xdr:colOff>552450</xdr:colOff>
      <xdr:row>18</xdr:row>
      <xdr:rowOff>66675</xdr:rowOff>
    </xdr:to>
    <xdr:sp macro="" textlink="">
      <xdr:nvSpPr>
        <xdr:cNvPr id="62" name="Rectangle 61">
          <a:hlinkClick xmlns:r="http://schemas.openxmlformats.org/officeDocument/2006/relationships" r:id="rId12"/>
          <a:extLst>
            <a:ext uri="{FF2B5EF4-FFF2-40B4-BE49-F238E27FC236}">
              <a16:creationId xmlns:a16="http://schemas.microsoft.com/office/drawing/2014/main" id="{00000000-0008-0000-0100-00003E000000}"/>
            </a:ext>
          </a:extLst>
        </xdr:cNvPr>
        <xdr:cNvSpPr/>
      </xdr:nvSpPr>
      <xdr:spPr>
        <a:xfrm>
          <a:off x="171450" y="3134868"/>
          <a:ext cx="1133475" cy="179832"/>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100">
              <a:sym typeface="Wingdings"/>
            </a:rPr>
            <a:t> </a:t>
          </a:r>
          <a:r>
            <a:rPr lang="en-US" sz="1000"/>
            <a:t> LEGER</a:t>
          </a:r>
        </a:p>
      </xdr:txBody>
    </xdr:sp>
    <xdr:clientData/>
  </xdr:twoCellAnchor>
  <xdr:twoCellAnchor>
    <xdr:from>
      <xdr:col>0</xdr:col>
      <xdr:colOff>161925</xdr:colOff>
      <xdr:row>21</xdr:row>
      <xdr:rowOff>29718</xdr:rowOff>
    </xdr:from>
    <xdr:to>
      <xdr:col>1</xdr:col>
      <xdr:colOff>971550</xdr:colOff>
      <xdr:row>22</xdr:row>
      <xdr:rowOff>38100</xdr:rowOff>
    </xdr:to>
    <xdr:sp macro="" textlink="">
      <xdr:nvSpPr>
        <xdr:cNvPr id="64" name="Rectangle 63">
          <a:hlinkClick xmlns:r="http://schemas.openxmlformats.org/officeDocument/2006/relationships" r:id="rId13"/>
          <a:extLst>
            <a:ext uri="{FF2B5EF4-FFF2-40B4-BE49-F238E27FC236}">
              <a16:creationId xmlns:a16="http://schemas.microsoft.com/office/drawing/2014/main" id="{00000000-0008-0000-0100-000040000000}"/>
            </a:ext>
          </a:extLst>
        </xdr:cNvPr>
        <xdr:cNvSpPr/>
      </xdr:nvSpPr>
      <xdr:spPr>
        <a:xfrm>
          <a:off x="161925" y="3839718"/>
          <a:ext cx="1562100" cy="179832"/>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100">
              <a:sym typeface="Wingdings 2"/>
            </a:rPr>
            <a:t></a:t>
          </a:r>
          <a:r>
            <a:rPr lang="en-US" sz="1100"/>
            <a:t> </a:t>
          </a:r>
          <a:r>
            <a:rPr lang="en-US" sz="1000"/>
            <a:t>Cetak</a:t>
          </a:r>
          <a:r>
            <a:rPr lang="en-US" sz="1000" baseline="0"/>
            <a:t> Raport</a:t>
          </a:r>
          <a:endParaRPr lang="en-US" sz="1000"/>
        </a:p>
      </xdr:txBody>
    </xdr:sp>
    <xdr:clientData/>
  </xdr:twoCellAnchor>
  <xdr:twoCellAnchor>
    <xdr:from>
      <xdr:col>3</xdr:col>
      <xdr:colOff>66675</xdr:colOff>
      <xdr:row>2</xdr:row>
      <xdr:rowOff>57149</xdr:rowOff>
    </xdr:from>
    <xdr:to>
      <xdr:col>3</xdr:col>
      <xdr:colOff>466725</xdr:colOff>
      <xdr:row>3</xdr:row>
      <xdr:rowOff>190499</xdr:rowOff>
    </xdr:to>
    <xdr:sp macro="" textlink="">
      <xdr:nvSpPr>
        <xdr:cNvPr id="65" name="Smiley Face 64">
          <a:extLst>
            <a:ext uri="{FF2B5EF4-FFF2-40B4-BE49-F238E27FC236}">
              <a16:creationId xmlns:a16="http://schemas.microsoft.com/office/drawing/2014/main" id="{00000000-0008-0000-0100-000041000000}"/>
            </a:ext>
          </a:extLst>
        </xdr:cNvPr>
        <xdr:cNvSpPr/>
      </xdr:nvSpPr>
      <xdr:spPr>
        <a:xfrm>
          <a:off x="2314575" y="600074"/>
          <a:ext cx="400050" cy="342900"/>
        </a:xfrm>
        <a:prstGeom prst="smileyFace">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7</xdr:col>
      <xdr:colOff>48069</xdr:colOff>
      <xdr:row>9</xdr:row>
      <xdr:rowOff>142875</xdr:rowOff>
    </xdr:from>
    <xdr:to>
      <xdr:col>9</xdr:col>
      <xdr:colOff>1172475</xdr:colOff>
      <xdr:row>21</xdr:row>
      <xdr:rowOff>133350</xdr:rowOff>
    </xdr:to>
    <xdr:pic>
      <xdr:nvPicPr>
        <xdr:cNvPr id="17" name="Picture 16" descr="IMAGE DAPO.jpg">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4" cstate="print"/>
        <a:stretch>
          <a:fillRect/>
        </a:stretch>
      </xdr:blipFill>
      <xdr:spPr>
        <a:xfrm>
          <a:off x="6077394" y="1762125"/>
          <a:ext cx="1876881" cy="2181225"/>
        </a:xfrm>
        <a:prstGeom prst="rect">
          <a:avLst/>
        </a:prstGeom>
      </xdr:spPr>
    </xdr:pic>
    <xdr:clientData/>
  </xdr:twoCellAnchor>
  <xdr:twoCellAnchor>
    <xdr:from>
      <xdr:col>0</xdr:col>
      <xdr:colOff>161925</xdr:colOff>
      <xdr:row>18</xdr:row>
      <xdr:rowOff>123825</xdr:rowOff>
    </xdr:from>
    <xdr:to>
      <xdr:col>1</xdr:col>
      <xdr:colOff>542925</xdr:colOff>
      <xdr:row>19</xdr:row>
      <xdr:rowOff>122682</xdr:rowOff>
    </xdr:to>
    <xdr:sp macro="" textlink="">
      <xdr:nvSpPr>
        <xdr:cNvPr id="18" name="Rectangle 17">
          <a:hlinkClick xmlns:r="http://schemas.openxmlformats.org/officeDocument/2006/relationships" r:id="rId15"/>
          <a:extLst>
            <a:ext uri="{FF2B5EF4-FFF2-40B4-BE49-F238E27FC236}">
              <a16:creationId xmlns:a16="http://schemas.microsoft.com/office/drawing/2014/main" id="{00000000-0008-0000-0100-000012000000}"/>
            </a:ext>
          </a:extLst>
        </xdr:cNvPr>
        <xdr:cNvSpPr/>
      </xdr:nvSpPr>
      <xdr:spPr>
        <a:xfrm>
          <a:off x="161925" y="3371850"/>
          <a:ext cx="1133475" cy="179832"/>
        </a:xfrm>
        <a:prstGeom prst="rect">
          <a:avLst/>
        </a:prstGeom>
        <a:solidFill>
          <a:schemeClr val="tx1"/>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050">
              <a:sym typeface="Wingdings"/>
            </a:rPr>
            <a:t> </a:t>
          </a:r>
          <a:r>
            <a:rPr lang="en-US" sz="1000"/>
            <a:t>Buku</a:t>
          </a:r>
          <a:r>
            <a:rPr lang="en-US" sz="1000" baseline="0"/>
            <a:t> Induk</a:t>
          </a:r>
          <a:endParaRPr lang="en-US" sz="1000"/>
        </a:p>
      </xdr:txBody>
    </xdr:sp>
    <xdr:clientData/>
  </xdr:twoCellAnchor>
  <xdr:twoCellAnchor editAs="oneCell">
    <xdr:from>
      <xdr:col>0</xdr:col>
      <xdr:colOff>38100</xdr:colOff>
      <xdr:row>0</xdr:row>
      <xdr:rowOff>6361</xdr:rowOff>
    </xdr:from>
    <xdr:to>
      <xdr:col>0</xdr:col>
      <xdr:colOff>371475</xdr:colOff>
      <xdr:row>0</xdr:row>
      <xdr:rowOff>352425</xdr:rowOff>
    </xdr:to>
    <xdr:pic>
      <xdr:nvPicPr>
        <xdr:cNvPr id="34817" name="Picture 1" descr="Hasil gambar untuk TUT WURI">
          <a:hlinkClick xmlns:r="http://schemas.openxmlformats.org/officeDocument/2006/relationships" r:id="rId1"/>
          <a:extLst>
            <a:ext uri="{FF2B5EF4-FFF2-40B4-BE49-F238E27FC236}">
              <a16:creationId xmlns:a16="http://schemas.microsoft.com/office/drawing/2014/main" id="{00000000-0008-0000-0100-00000188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38100" y="6361"/>
          <a:ext cx="333375" cy="346064"/>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6</xdr:col>
      <xdr:colOff>391584</xdr:colOff>
      <xdr:row>7</xdr:row>
      <xdr:rowOff>381000</xdr:rowOff>
    </xdr:from>
    <xdr:to>
      <xdr:col>6</xdr:col>
      <xdr:colOff>666750</xdr:colOff>
      <xdr:row>8</xdr:row>
      <xdr:rowOff>370416</xdr:rowOff>
    </xdr:to>
    <xdr:cxnSp macro="">
      <xdr:nvCxnSpPr>
        <xdr:cNvPr id="6" name="Straight Arrow Connector 5">
          <a:extLst>
            <a:ext uri="{FF2B5EF4-FFF2-40B4-BE49-F238E27FC236}">
              <a16:creationId xmlns:a16="http://schemas.microsoft.com/office/drawing/2014/main" id="{00000000-0008-0000-0200-000006000000}"/>
            </a:ext>
          </a:extLst>
        </xdr:cNvPr>
        <xdr:cNvCxnSpPr/>
      </xdr:nvCxnSpPr>
      <xdr:spPr>
        <a:xfrm flipH="1" flipV="1">
          <a:off x="4353984" y="1924050"/>
          <a:ext cx="275166" cy="437091"/>
        </a:xfrm>
        <a:prstGeom prst="straightConnector1">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190498</xdr:colOff>
      <xdr:row>5</xdr:row>
      <xdr:rowOff>21166</xdr:rowOff>
    </xdr:from>
    <xdr:to>
      <xdr:col>2</xdr:col>
      <xdr:colOff>44884</xdr:colOff>
      <xdr:row>8</xdr:row>
      <xdr:rowOff>94191</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0998" y="783166"/>
          <a:ext cx="978336" cy="1035050"/>
        </a:xfrm>
        <a:prstGeom prst="rect">
          <a:avLst/>
        </a:prstGeom>
      </xdr:spPr>
    </xdr:pic>
    <xdr:clientData/>
  </xdr:twoCellAnchor>
  <xdr:twoCellAnchor>
    <xdr:from>
      <xdr:col>7</xdr:col>
      <xdr:colOff>317500</xdr:colOff>
      <xdr:row>7</xdr:row>
      <xdr:rowOff>402167</xdr:rowOff>
    </xdr:from>
    <xdr:to>
      <xdr:col>7</xdr:col>
      <xdr:colOff>603250</xdr:colOff>
      <xdr:row>8</xdr:row>
      <xdr:rowOff>391583</xdr:rowOff>
    </xdr:to>
    <xdr:cxnSp macro="">
      <xdr:nvCxnSpPr>
        <xdr:cNvPr id="8" name="Straight Arrow Connector 7">
          <a:extLst>
            <a:ext uri="{FF2B5EF4-FFF2-40B4-BE49-F238E27FC236}">
              <a16:creationId xmlns:a16="http://schemas.microsoft.com/office/drawing/2014/main" id="{00000000-0008-0000-0200-000008000000}"/>
            </a:ext>
          </a:extLst>
        </xdr:cNvPr>
        <xdr:cNvCxnSpPr/>
      </xdr:nvCxnSpPr>
      <xdr:spPr>
        <a:xfrm flipH="1" flipV="1">
          <a:off x="5661025" y="1945217"/>
          <a:ext cx="285750" cy="437091"/>
        </a:xfrm>
        <a:prstGeom prst="straightConnector1">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296333</xdr:colOff>
      <xdr:row>7</xdr:row>
      <xdr:rowOff>402168</xdr:rowOff>
    </xdr:from>
    <xdr:to>
      <xdr:col>8</xdr:col>
      <xdr:colOff>613834</xdr:colOff>
      <xdr:row>8</xdr:row>
      <xdr:rowOff>402166</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H="1" flipV="1">
          <a:off x="6811433" y="1945218"/>
          <a:ext cx="317501" cy="447673"/>
        </a:xfrm>
        <a:prstGeom prst="straightConnector1">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11</xdr:col>
          <xdr:colOff>0</xdr:colOff>
          <xdr:row>9</xdr:row>
          <xdr:rowOff>95250</xdr:rowOff>
        </xdr:from>
        <xdr:to>
          <xdr:col>11</xdr:col>
          <xdr:colOff>0</xdr:colOff>
          <xdr:row>14</xdr:row>
          <xdr:rowOff>152400</xdr:rowOff>
        </xdr:to>
        <xdr:sp macro="" textlink="">
          <xdr:nvSpPr>
            <xdr:cNvPr id="3073" name="Spinner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xdr:colOff>
      <xdr:row>0</xdr:row>
      <xdr:rowOff>381000</xdr:rowOff>
    </xdr:from>
    <xdr:to>
      <xdr:col>2</xdr:col>
      <xdr:colOff>1262064</xdr:colOff>
      <xdr:row>0</xdr:row>
      <xdr:rowOff>583406</xdr:rowOff>
    </xdr:to>
    <xdr:sp macro="" textlink="">
      <xdr:nvSpPr>
        <xdr:cNvPr id="3" name="Rounded Rectangle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1381127" y="381000"/>
          <a:ext cx="1262062" cy="202406"/>
        </a:xfrm>
        <a:prstGeom prst="roundRect">
          <a:avLst/>
        </a:prstGeom>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ISLAM</a:t>
          </a:r>
        </a:p>
      </xdr:txBody>
    </xdr:sp>
    <xdr:clientData/>
  </xdr:twoCellAnchor>
  <xdr:twoCellAnchor>
    <xdr:from>
      <xdr:col>1</xdr:col>
      <xdr:colOff>487870</xdr:colOff>
      <xdr:row>0</xdr:row>
      <xdr:rowOff>828791</xdr:rowOff>
    </xdr:from>
    <xdr:to>
      <xdr:col>2</xdr:col>
      <xdr:colOff>1252773</xdr:colOff>
      <xdr:row>0</xdr:row>
      <xdr:rowOff>1031197</xdr:rowOff>
    </xdr:to>
    <xdr:sp macro="" textlink="">
      <xdr:nvSpPr>
        <xdr:cNvPr id="4" name="Rounded Rectangle 3">
          <a:hlinkClick xmlns:r="http://schemas.openxmlformats.org/officeDocument/2006/relationships" r:id="rId2"/>
          <a:extLst>
            <a:ext uri="{FF2B5EF4-FFF2-40B4-BE49-F238E27FC236}">
              <a16:creationId xmlns:a16="http://schemas.microsoft.com/office/drawing/2014/main" id="{00000000-0008-0000-0300-000004000000}"/>
            </a:ext>
          </a:extLst>
        </xdr:cNvPr>
        <xdr:cNvSpPr/>
      </xdr:nvSpPr>
      <xdr:spPr>
        <a:xfrm>
          <a:off x="1375321" y="828791"/>
          <a:ext cx="1262062" cy="202406"/>
        </a:xfrm>
        <a:prstGeom prst="roundRect">
          <a:avLst/>
        </a:prstGeom>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KATOLIK</a:t>
          </a:r>
        </a:p>
      </xdr:txBody>
    </xdr:sp>
    <xdr:clientData/>
  </xdr:twoCellAnchor>
  <xdr:twoCellAnchor>
    <xdr:from>
      <xdr:col>1</xdr:col>
      <xdr:colOff>488157</xdr:colOff>
      <xdr:row>0</xdr:row>
      <xdr:rowOff>630565</xdr:rowOff>
    </xdr:from>
    <xdr:to>
      <xdr:col>2</xdr:col>
      <xdr:colOff>1250157</xdr:colOff>
      <xdr:row>0</xdr:row>
      <xdr:rowOff>832971</xdr:rowOff>
    </xdr:to>
    <xdr:sp macro="" textlink="">
      <xdr:nvSpPr>
        <xdr:cNvPr id="5" name="Rounded Rectangle 4">
          <a:hlinkClick xmlns:r="http://schemas.openxmlformats.org/officeDocument/2006/relationships" r:id="rId3"/>
          <a:extLst>
            <a:ext uri="{FF2B5EF4-FFF2-40B4-BE49-F238E27FC236}">
              <a16:creationId xmlns:a16="http://schemas.microsoft.com/office/drawing/2014/main" id="{00000000-0008-0000-0300-000005000000}"/>
            </a:ext>
          </a:extLst>
        </xdr:cNvPr>
        <xdr:cNvSpPr/>
      </xdr:nvSpPr>
      <xdr:spPr>
        <a:xfrm>
          <a:off x="1373982" y="630565"/>
          <a:ext cx="1257300" cy="202406"/>
        </a:xfrm>
        <a:prstGeom prst="roundRect">
          <a:avLst/>
        </a:prstGeom>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KRISTEN</a:t>
          </a:r>
        </a:p>
      </xdr:txBody>
    </xdr:sp>
    <xdr:clientData/>
  </xdr:twoCellAnchor>
  <xdr:twoCellAnchor>
    <xdr:from>
      <xdr:col>2</xdr:col>
      <xdr:colOff>1357316</xdr:colOff>
      <xdr:row>0</xdr:row>
      <xdr:rowOff>381001</xdr:rowOff>
    </xdr:from>
    <xdr:to>
      <xdr:col>2</xdr:col>
      <xdr:colOff>2619378</xdr:colOff>
      <xdr:row>0</xdr:row>
      <xdr:rowOff>583407</xdr:rowOff>
    </xdr:to>
    <xdr:sp macro="" textlink="">
      <xdr:nvSpPr>
        <xdr:cNvPr id="6" name="Rounded Rectangle 5">
          <a:hlinkClick xmlns:r="http://schemas.openxmlformats.org/officeDocument/2006/relationships" r:id="rId4"/>
          <a:extLst>
            <a:ext uri="{FF2B5EF4-FFF2-40B4-BE49-F238E27FC236}">
              <a16:creationId xmlns:a16="http://schemas.microsoft.com/office/drawing/2014/main" id="{00000000-0008-0000-0300-000006000000}"/>
            </a:ext>
          </a:extLst>
        </xdr:cNvPr>
        <xdr:cNvSpPr/>
      </xdr:nvSpPr>
      <xdr:spPr>
        <a:xfrm>
          <a:off x="2738441" y="381001"/>
          <a:ext cx="1262062" cy="202406"/>
        </a:xfrm>
        <a:prstGeom prst="roundRect">
          <a:avLst/>
        </a:prstGeom>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HINDU</a:t>
          </a:r>
        </a:p>
      </xdr:txBody>
    </xdr:sp>
    <xdr:clientData/>
  </xdr:twoCellAnchor>
  <xdr:twoCellAnchor>
    <xdr:from>
      <xdr:col>2</xdr:col>
      <xdr:colOff>1352671</xdr:colOff>
      <xdr:row>0</xdr:row>
      <xdr:rowOff>828792</xdr:rowOff>
    </xdr:from>
    <xdr:to>
      <xdr:col>2</xdr:col>
      <xdr:colOff>2614733</xdr:colOff>
      <xdr:row>0</xdr:row>
      <xdr:rowOff>1031198</xdr:rowOff>
    </xdr:to>
    <xdr:sp macro="" textlink="">
      <xdr:nvSpPr>
        <xdr:cNvPr id="7" name="Rounded Rectangle 6">
          <a:hlinkClick xmlns:r="http://schemas.openxmlformats.org/officeDocument/2006/relationships" r:id="rId5"/>
          <a:extLst>
            <a:ext uri="{FF2B5EF4-FFF2-40B4-BE49-F238E27FC236}">
              <a16:creationId xmlns:a16="http://schemas.microsoft.com/office/drawing/2014/main" id="{00000000-0008-0000-0300-000007000000}"/>
            </a:ext>
          </a:extLst>
        </xdr:cNvPr>
        <xdr:cNvSpPr/>
      </xdr:nvSpPr>
      <xdr:spPr>
        <a:xfrm>
          <a:off x="2737281" y="828792"/>
          <a:ext cx="1262062" cy="202406"/>
        </a:xfrm>
        <a:prstGeom prst="roundRect">
          <a:avLst/>
        </a:prstGeom>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KHONGHUCU</a:t>
          </a:r>
        </a:p>
      </xdr:txBody>
    </xdr:sp>
    <xdr:clientData/>
  </xdr:twoCellAnchor>
  <xdr:twoCellAnchor>
    <xdr:from>
      <xdr:col>2</xdr:col>
      <xdr:colOff>1354701</xdr:colOff>
      <xdr:row>0</xdr:row>
      <xdr:rowOff>606637</xdr:rowOff>
    </xdr:from>
    <xdr:to>
      <xdr:col>2</xdr:col>
      <xdr:colOff>2616763</xdr:colOff>
      <xdr:row>0</xdr:row>
      <xdr:rowOff>809043</xdr:rowOff>
    </xdr:to>
    <xdr:sp macro="" textlink="">
      <xdr:nvSpPr>
        <xdr:cNvPr id="8" name="Rounded Rectangle 7">
          <a:hlinkClick xmlns:r="http://schemas.openxmlformats.org/officeDocument/2006/relationships" r:id="rId6"/>
          <a:extLst>
            <a:ext uri="{FF2B5EF4-FFF2-40B4-BE49-F238E27FC236}">
              <a16:creationId xmlns:a16="http://schemas.microsoft.com/office/drawing/2014/main" id="{00000000-0008-0000-0300-000008000000}"/>
            </a:ext>
          </a:extLst>
        </xdr:cNvPr>
        <xdr:cNvSpPr/>
      </xdr:nvSpPr>
      <xdr:spPr>
        <a:xfrm>
          <a:off x="2739311" y="606637"/>
          <a:ext cx="1262062" cy="202406"/>
        </a:xfrm>
        <a:prstGeom prst="roundRect">
          <a:avLst/>
        </a:prstGeom>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BUDHA</a:t>
          </a:r>
        </a:p>
      </xdr:txBody>
    </xdr:sp>
    <xdr:clientData/>
  </xdr:twoCellAnchor>
  <xdr:twoCellAnchor>
    <xdr:from>
      <xdr:col>2</xdr:col>
      <xdr:colOff>2715385</xdr:colOff>
      <xdr:row>0</xdr:row>
      <xdr:rowOff>385647</xdr:rowOff>
    </xdr:from>
    <xdr:to>
      <xdr:col>2</xdr:col>
      <xdr:colOff>3977447</xdr:colOff>
      <xdr:row>0</xdr:row>
      <xdr:rowOff>588053</xdr:rowOff>
    </xdr:to>
    <xdr:sp macro="" textlink="">
      <xdr:nvSpPr>
        <xdr:cNvPr id="9" name="Rounded Rectangle 8">
          <a:hlinkClick xmlns:r="http://schemas.openxmlformats.org/officeDocument/2006/relationships" r:id="rId7"/>
          <a:extLst>
            <a:ext uri="{FF2B5EF4-FFF2-40B4-BE49-F238E27FC236}">
              <a16:creationId xmlns:a16="http://schemas.microsoft.com/office/drawing/2014/main" id="{00000000-0008-0000-0300-000009000000}"/>
            </a:ext>
          </a:extLst>
        </xdr:cNvPr>
        <xdr:cNvSpPr/>
      </xdr:nvSpPr>
      <xdr:spPr>
        <a:xfrm>
          <a:off x="4094868" y="385647"/>
          <a:ext cx="1262062" cy="202406"/>
        </a:xfrm>
        <a:prstGeom prst="roundRect">
          <a:avLst/>
        </a:prstGeom>
        <a:solidFill>
          <a:srgbClr val="FFC000"/>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PKn</a:t>
          </a:r>
        </a:p>
      </xdr:txBody>
    </xdr:sp>
    <xdr:clientData/>
  </xdr:twoCellAnchor>
  <xdr:twoCellAnchor>
    <xdr:from>
      <xdr:col>2</xdr:col>
      <xdr:colOff>2715385</xdr:colOff>
      <xdr:row>0</xdr:row>
      <xdr:rowOff>822403</xdr:rowOff>
    </xdr:from>
    <xdr:to>
      <xdr:col>2</xdr:col>
      <xdr:colOff>3977447</xdr:colOff>
      <xdr:row>0</xdr:row>
      <xdr:rowOff>1024809</xdr:rowOff>
    </xdr:to>
    <xdr:sp macro="" textlink="">
      <xdr:nvSpPr>
        <xdr:cNvPr id="10" name="Rounded Rectangle 9">
          <a:hlinkClick xmlns:r="http://schemas.openxmlformats.org/officeDocument/2006/relationships" r:id="rId8"/>
          <a:extLst>
            <a:ext uri="{FF2B5EF4-FFF2-40B4-BE49-F238E27FC236}">
              <a16:creationId xmlns:a16="http://schemas.microsoft.com/office/drawing/2014/main" id="{00000000-0008-0000-0300-00000A000000}"/>
            </a:ext>
          </a:extLst>
        </xdr:cNvPr>
        <xdr:cNvSpPr/>
      </xdr:nvSpPr>
      <xdr:spPr>
        <a:xfrm>
          <a:off x="4094868" y="822403"/>
          <a:ext cx="1262062" cy="202406"/>
        </a:xfrm>
        <a:prstGeom prst="roundRect">
          <a:avLst/>
        </a:prstGeom>
        <a:solidFill>
          <a:srgbClr val="FFC000"/>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MTK</a:t>
          </a:r>
        </a:p>
      </xdr:txBody>
    </xdr:sp>
    <xdr:clientData/>
  </xdr:twoCellAnchor>
  <xdr:twoCellAnchor>
    <xdr:from>
      <xdr:col>2</xdr:col>
      <xdr:colOff>2706093</xdr:colOff>
      <xdr:row>0</xdr:row>
      <xdr:rowOff>604025</xdr:rowOff>
    </xdr:from>
    <xdr:to>
      <xdr:col>2</xdr:col>
      <xdr:colOff>3968155</xdr:colOff>
      <xdr:row>0</xdr:row>
      <xdr:rowOff>806431</xdr:rowOff>
    </xdr:to>
    <xdr:sp macro="" textlink="">
      <xdr:nvSpPr>
        <xdr:cNvPr id="11" name="Rounded Rectangle 10">
          <a:hlinkClick xmlns:r="http://schemas.openxmlformats.org/officeDocument/2006/relationships" r:id="rId9"/>
          <a:extLst>
            <a:ext uri="{FF2B5EF4-FFF2-40B4-BE49-F238E27FC236}">
              <a16:creationId xmlns:a16="http://schemas.microsoft.com/office/drawing/2014/main" id="{00000000-0008-0000-0300-00000B000000}"/>
            </a:ext>
          </a:extLst>
        </xdr:cNvPr>
        <xdr:cNvSpPr/>
      </xdr:nvSpPr>
      <xdr:spPr>
        <a:xfrm>
          <a:off x="4085576" y="604025"/>
          <a:ext cx="1262062" cy="202406"/>
        </a:xfrm>
        <a:prstGeom prst="roundRect">
          <a:avLst/>
        </a:prstGeom>
        <a:solidFill>
          <a:srgbClr val="FFC000"/>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B.INDO</a:t>
          </a:r>
        </a:p>
      </xdr:txBody>
    </xdr:sp>
    <xdr:clientData/>
  </xdr:twoCellAnchor>
  <xdr:twoCellAnchor>
    <xdr:from>
      <xdr:col>2</xdr:col>
      <xdr:colOff>4042316</xdr:colOff>
      <xdr:row>0</xdr:row>
      <xdr:rowOff>372509</xdr:rowOff>
    </xdr:from>
    <xdr:to>
      <xdr:col>2</xdr:col>
      <xdr:colOff>5304378</xdr:colOff>
      <xdr:row>0</xdr:row>
      <xdr:rowOff>574915</xdr:rowOff>
    </xdr:to>
    <xdr:sp macro="" textlink="">
      <xdr:nvSpPr>
        <xdr:cNvPr id="12" name="Rounded Rectangle 11">
          <a:hlinkClick xmlns:r="http://schemas.openxmlformats.org/officeDocument/2006/relationships" r:id="rId10"/>
          <a:extLst>
            <a:ext uri="{FF2B5EF4-FFF2-40B4-BE49-F238E27FC236}">
              <a16:creationId xmlns:a16="http://schemas.microsoft.com/office/drawing/2014/main" id="{00000000-0008-0000-0300-00000C000000}"/>
            </a:ext>
          </a:extLst>
        </xdr:cNvPr>
        <xdr:cNvSpPr/>
      </xdr:nvSpPr>
      <xdr:spPr>
        <a:xfrm>
          <a:off x="5421799" y="372509"/>
          <a:ext cx="1262062" cy="202406"/>
        </a:xfrm>
        <a:prstGeom prst="roundRect">
          <a:avLst/>
        </a:prstGeom>
        <a:solidFill>
          <a:srgbClr val="FFC000"/>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IPA</a:t>
          </a:r>
        </a:p>
      </xdr:txBody>
    </xdr:sp>
    <xdr:clientData/>
  </xdr:twoCellAnchor>
  <xdr:twoCellAnchor>
    <xdr:from>
      <xdr:col>2</xdr:col>
      <xdr:colOff>4042316</xdr:colOff>
      <xdr:row>0</xdr:row>
      <xdr:rowOff>809265</xdr:rowOff>
    </xdr:from>
    <xdr:to>
      <xdr:col>2</xdr:col>
      <xdr:colOff>5304378</xdr:colOff>
      <xdr:row>0</xdr:row>
      <xdr:rowOff>1011671</xdr:rowOff>
    </xdr:to>
    <xdr:sp macro="" textlink="">
      <xdr:nvSpPr>
        <xdr:cNvPr id="13" name="Rounded Rectangle 12">
          <a:hlinkClick xmlns:r="http://schemas.openxmlformats.org/officeDocument/2006/relationships" r:id="rId11"/>
          <a:extLst>
            <a:ext uri="{FF2B5EF4-FFF2-40B4-BE49-F238E27FC236}">
              <a16:creationId xmlns:a16="http://schemas.microsoft.com/office/drawing/2014/main" id="{00000000-0008-0000-0300-00000D000000}"/>
            </a:ext>
          </a:extLst>
        </xdr:cNvPr>
        <xdr:cNvSpPr/>
      </xdr:nvSpPr>
      <xdr:spPr>
        <a:xfrm>
          <a:off x="5421799" y="809265"/>
          <a:ext cx="1262062" cy="202406"/>
        </a:xfrm>
        <a:prstGeom prst="roundRect">
          <a:avLst/>
        </a:prstGeom>
        <a:solidFill>
          <a:srgbClr val="FFC000"/>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SBdP</a:t>
          </a:r>
        </a:p>
      </xdr:txBody>
    </xdr:sp>
    <xdr:clientData/>
  </xdr:twoCellAnchor>
  <xdr:twoCellAnchor>
    <xdr:from>
      <xdr:col>2</xdr:col>
      <xdr:colOff>4033024</xdr:colOff>
      <xdr:row>0</xdr:row>
      <xdr:rowOff>590887</xdr:rowOff>
    </xdr:from>
    <xdr:to>
      <xdr:col>2</xdr:col>
      <xdr:colOff>5295086</xdr:colOff>
      <xdr:row>0</xdr:row>
      <xdr:rowOff>793293</xdr:rowOff>
    </xdr:to>
    <xdr:sp macro="" textlink="">
      <xdr:nvSpPr>
        <xdr:cNvPr id="14" name="Rounded Rectangle 13">
          <a:hlinkClick xmlns:r="http://schemas.openxmlformats.org/officeDocument/2006/relationships" r:id="rId12"/>
          <a:extLst>
            <a:ext uri="{FF2B5EF4-FFF2-40B4-BE49-F238E27FC236}">
              <a16:creationId xmlns:a16="http://schemas.microsoft.com/office/drawing/2014/main" id="{00000000-0008-0000-0300-00000E000000}"/>
            </a:ext>
          </a:extLst>
        </xdr:cNvPr>
        <xdr:cNvSpPr/>
      </xdr:nvSpPr>
      <xdr:spPr>
        <a:xfrm>
          <a:off x="5412507" y="590887"/>
          <a:ext cx="1262062" cy="202406"/>
        </a:xfrm>
        <a:prstGeom prst="roundRect">
          <a:avLst/>
        </a:prstGeom>
        <a:solidFill>
          <a:srgbClr val="FFC000"/>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IPS</a:t>
          </a:r>
        </a:p>
      </xdr:txBody>
    </xdr:sp>
    <xdr:clientData/>
  </xdr:twoCellAnchor>
  <xdr:twoCellAnchor>
    <xdr:from>
      <xdr:col>3</xdr:col>
      <xdr:colOff>20046</xdr:colOff>
      <xdr:row>0</xdr:row>
      <xdr:rowOff>367066</xdr:rowOff>
    </xdr:from>
    <xdr:to>
      <xdr:col>5</xdr:col>
      <xdr:colOff>661622</xdr:colOff>
      <xdr:row>0</xdr:row>
      <xdr:rowOff>569472</xdr:rowOff>
    </xdr:to>
    <xdr:sp macro="" textlink="">
      <xdr:nvSpPr>
        <xdr:cNvPr id="15" name="Rounded Rectangle 14">
          <a:hlinkClick xmlns:r="http://schemas.openxmlformats.org/officeDocument/2006/relationships" r:id="rId13"/>
          <a:extLst>
            <a:ext uri="{FF2B5EF4-FFF2-40B4-BE49-F238E27FC236}">
              <a16:creationId xmlns:a16="http://schemas.microsoft.com/office/drawing/2014/main" id="{00000000-0008-0000-0300-00000F000000}"/>
            </a:ext>
          </a:extLst>
        </xdr:cNvPr>
        <xdr:cNvSpPr/>
      </xdr:nvSpPr>
      <xdr:spPr>
        <a:xfrm>
          <a:off x="6747417" y="367066"/>
          <a:ext cx="1262062" cy="202406"/>
        </a:xfrm>
        <a:prstGeom prst="roundRect">
          <a:avLst/>
        </a:prstGeom>
        <a:solidFill>
          <a:srgbClr val="FFC000"/>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PJOK</a:t>
          </a:r>
        </a:p>
      </xdr:txBody>
    </xdr:sp>
    <xdr:clientData/>
  </xdr:twoCellAnchor>
  <xdr:twoCellAnchor>
    <xdr:from>
      <xdr:col>5</xdr:col>
      <xdr:colOff>786572</xdr:colOff>
      <xdr:row>0</xdr:row>
      <xdr:rowOff>361834</xdr:rowOff>
    </xdr:from>
    <xdr:to>
      <xdr:col>5</xdr:col>
      <xdr:colOff>2048634</xdr:colOff>
      <xdr:row>0</xdr:row>
      <xdr:rowOff>564240</xdr:rowOff>
    </xdr:to>
    <xdr:sp macro="" textlink="">
      <xdr:nvSpPr>
        <xdr:cNvPr id="16" name="Rounded Rectangle 15">
          <a:hlinkClick xmlns:r="http://schemas.openxmlformats.org/officeDocument/2006/relationships" r:id="rId14"/>
          <a:extLst>
            <a:ext uri="{FF2B5EF4-FFF2-40B4-BE49-F238E27FC236}">
              <a16:creationId xmlns:a16="http://schemas.microsoft.com/office/drawing/2014/main" id="{00000000-0008-0000-0300-000010000000}"/>
            </a:ext>
          </a:extLst>
        </xdr:cNvPr>
        <xdr:cNvSpPr/>
      </xdr:nvSpPr>
      <xdr:spPr>
        <a:xfrm>
          <a:off x="8132728" y="361834"/>
          <a:ext cx="1262062" cy="202406"/>
        </a:xfrm>
        <a:prstGeom prst="roundRect">
          <a:avLst/>
        </a:prstGeom>
        <a:solidFill>
          <a:schemeClr val="accent6">
            <a:lumMod val="60000"/>
            <a:lumOff val="40000"/>
          </a:schemeClr>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MULOK 1</a:t>
          </a:r>
        </a:p>
      </xdr:txBody>
    </xdr:sp>
    <xdr:clientData/>
  </xdr:twoCellAnchor>
  <xdr:twoCellAnchor>
    <xdr:from>
      <xdr:col>5</xdr:col>
      <xdr:colOff>786572</xdr:colOff>
      <xdr:row>0</xdr:row>
      <xdr:rowOff>798590</xdr:rowOff>
    </xdr:from>
    <xdr:to>
      <xdr:col>5</xdr:col>
      <xdr:colOff>2048634</xdr:colOff>
      <xdr:row>0</xdr:row>
      <xdr:rowOff>1000996</xdr:rowOff>
    </xdr:to>
    <xdr:sp macro="" textlink="">
      <xdr:nvSpPr>
        <xdr:cNvPr id="17" name="Rounded Rectangle 16">
          <a:hlinkClick xmlns:r="http://schemas.openxmlformats.org/officeDocument/2006/relationships" r:id="rId15"/>
          <a:extLst>
            <a:ext uri="{FF2B5EF4-FFF2-40B4-BE49-F238E27FC236}">
              <a16:creationId xmlns:a16="http://schemas.microsoft.com/office/drawing/2014/main" id="{00000000-0008-0000-0300-000011000000}"/>
            </a:ext>
          </a:extLst>
        </xdr:cNvPr>
        <xdr:cNvSpPr/>
      </xdr:nvSpPr>
      <xdr:spPr>
        <a:xfrm>
          <a:off x="8132728" y="798590"/>
          <a:ext cx="1262062" cy="202406"/>
        </a:xfrm>
        <a:prstGeom prst="roundRect">
          <a:avLst/>
        </a:prstGeom>
        <a:solidFill>
          <a:schemeClr val="accent6">
            <a:lumMod val="60000"/>
            <a:lumOff val="40000"/>
          </a:schemeClr>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MULOK 3</a:t>
          </a:r>
        </a:p>
      </xdr:txBody>
    </xdr:sp>
    <xdr:clientData/>
  </xdr:twoCellAnchor>
  <xdr:twoCellAnchor>
    <xdr:from>
      <xdr:col>5</xdr:col>
      <xdr:colOff>777280</xdr:colOff>
      <xdr:row>0</xdr:row>
      <xdr:rowOff>580212</xdr:rowOff>
    </xdr:from>
    <xdr:to>
      <xdr:col>5</xdr:col>
      <xdr:colOff>2039342</xdr:colOff>
      <xdr:row>0</xdr:row>
      <xdr:rowOff>782618</xdr:rowOff>
    </xdr:to>
    <xdr:sp macro="" textlink="">
      <xdr:nvSpPr>
        <xdr:cNvPr id="18" name="Rounded Rectangle 17">
          <a:hlinkClick xmlns:r="http://schemas.openxmlformats.org/officeDocument/2006/relationships" r:id="rId16"/>
          <a:extLst>
            <a:ext uri="{FF2B5EF4-FFF2-40B4-BE49-F238E27FC236}">
              <a16:creationId xmlns:a16="http://schemas.microsoft.com/office/drawing/2014/main" id="{00000000-0008-0000-0300-000012000000}"/>
            </a:ext>
          </a:extLst>
        </xdr:cNvPr>
        <xdr:cNvSpPr/>
      </xdr:nvSpPr>
      <xdr:spPr>
        <a:xfrm>
          <a:off x="8123436" y="580212"/>
          <a:ext cx="1262062" cy="202406"/>
        </a:xfrm>
        <a:prstGeom prst="roundRect">
          <a:avLst/>
        </a:prstGeom>
        <a:solidFill>
          <a:schemeClr val="accent6">
            <a:lumMod val="60000"/>
            <a:lumOff val="40000"/>
          </a:schemeClr>
        </a:solidFill>
        <a:scene3d>
          <a:camera prst="orthographicFront"/>
          <a:lightRig rig="threePt" dir="t"/>
        </a:scene3d>
        <a:sp3d>
          <a:bevelT w="165100" prst="coolSlant"/>
        </a:sp3d>
      </xdr:spPr>
      <xdr:style>
        <a:lnRef idx="1">
          <a:schemeClr val="accent3"/>
        </a:lnRef>
        <a:fillRef idx="2">
          <a:schemeClr val="accent3"/>
        </a:fillRef>
        <a:effectRef idx="1">
          <a:schemeClr val="accent3"/>
        </a:effectRef>
        <a:fontRef idx="minor">
          <a:schemeClr val="dk1"/>
        </a:fontRef>
      </xdr:style>
      <xdr:txBody>
        <a:bodyPr rtlCol="0" anchor="ctr"/>
        <a:lstStyle/>
        <a:p>
          <a:pPr algn="ctr"/>
          <a:r>
            <a:rPr lang="en-US" sz="1400" b="1">
              <a:latin typeface="+mn-lt"/>
            </a:rPr>
            <a:t>MULOK 2</a:t>
          </a:r>
        </a:p>
      </xdr:txBody>
    </xdr:sp>
    <xdr:clientData/>
  </xdr:twoCellAnchor>
  <xdr:twoCellAnchor editAs="oneCell">
    <xdr:from>
      <xdr:col>0</xdr:col>
      <xdr:colOff>105834</xdr:colOff>
      <xdr:row>0</xdr:row>
      <xdr:rowOff>370417</xdr:rowOff>
    </xdr:from>
    <xdr:to>
      <xdr:col>1</xdr:col>
      <xdr:colOff>307447</xdr:colOff>
      <xdr:row>0</xdr:row>
      <xdr:rowOff>853284</xdr:rowOff>
    </xdr:to>
    <xdr:pic>
      <xdr:nvPicPr>
        <xdr:cNvPr id="19" name="Picture 18" descr="HomeBBB.gif">
          <a:hlinkClick xmlns:r="http://schemas.openxmlformats.org/officeDocument/2006/relationships" r:id="rId17"/>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8" cstate="print">
          <a:clrChange>
            <a:clrFrom>
              <a:srgbClr val="FFFFFF"/>
            </a:clrFrom>
            <a:clrTo>
              <a:srgbClr val="FFFFFF">
                <a:alpha val="0"/>
              </a:srgbClr>
            </a:clrTo>
          </a:clrChange>
        </a:blip>
        <a:srcRect/>
        <a:stretch>
          <a:fillRect/>
        </a:stretch>
      </xdr:blipFill>
      <xdr:spPr bwMode="auto">
        <a:xfrm>
          <a:off x="105834" y="370417"/>
          <a:ext cx="1090613" cy="482867"/>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438150</xdr:colOff>
      <xdr:row>0</xdr:row>
      <xdr:rowOff>57150</xdr:rowOff>
    </xdr:from>
    <xdr:to>
      <xdr:col>8</xdr:col>
      <xdr:colOff>1528763</xdr:colOff>
      <xdr:row>0</xdr:row>
      <xdr:rowOff>540017</xdr:rowOff>
    </xdr:to>
    <xdr:pic>
      <xdr:nvPicPr>
        <xdr:cNvPr id="3" name="Picture 2" descr="HomeBBB.gif">
          <a:hlinkClick xmlns:r="http://schemas.openxmlformats.org/officeDocument/2006/relationships" r:id="rId1"/>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7286625" y="57150"/>
          <a:ext cx="1090613" cy="482867"/>
        </a:xfrm>
        <a:prstGeom prst="rect">
          <a:avLst/>
        </a:prstGeom>
        <a:noFill/>
        <a:ln w="9525">
          <a:noFill/>
          <a:miter lim="800000"/>
          <a:headEnd/>
          <a:tailEnd/>
        </a:ln>
      </xdr:spPr>
    </xdr:pic>
    <xdr:clientData/>
  </xdr:twoCellAnchor>
  <xdr:twoCellAnchor editAs="oneCell">
    <xdr:from>
      <xdr:col>33</xdr:col>
      <xdr:colOff>0</xdr:colOff>
      <xdr:row>0</xdr:row>
      <xdr:rowOff>38100</xdr:rowOff>
    </xdr:from>
    <xdr:to>
      <xdr:col>34</xdr:col>
      <xdr:colOff>261938</xdr:colOff>
      <xdr:row>0</xdr:row>
      <xdr:rowOff>520967</xdr:rowOff>
    </xdr:to>
    <xdr:pic>
      <xdr:nvPicPr>
        <xdr:cNvPr id="4" name="Picture 3" descr="HomeBBB.gif">
          <a:hlinkClick xmlns:r="http://schemas.openxmlformats.org/officeDocument/2006/relationships" r:id="rId1"/>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593175" y="38100"/>
          <a:ext cx="1090613" cy="482867"/>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37</xdr:col>
      <xdr:colOff>0</xdr:colOff>
      <xdr:row>10</xdr:row>
      <xdr:rowOff>0</xdr:rowOff>
    </xdr:from>
    <xdr:to>
      <xdr:col>37</xdr:col>
      <xdr:colOff>2532530</xdr:colOff>
      <xdr:row>11</xdr:row>
      <xdr:rowOff>264319</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0077450" y="3838575"/>
          <a:ext cx="2532530" cy="750094"/>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xdr:from>
      <xdr:col>15</xdr:col>
      <xdr:colOff>266700</xdr:colOff>
      <xdr:row>1</xdr:row>
      <xdr:rowOff>0</xdr:rowOff>
    </xdr:from>
    <xdr:to>
      <xdr:col>15</xdr:col>
      <xdr:colOff>4143375</xdr:colOff>
      <xdr:row>1</xdr:row>
      <xdr:rowOff>523876</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8858250" y="552450"/>
          <a:ext cx="3876675" cy="523876"/>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400" b="1">
              <a:solidFill>
                <a:schemeClr val="bg1"/>
              </a:solidFill>
            </a:rPr>
            <a:t>KOMPETENSI</a:t>
          </a:r>
          <a:r>
            <a:rPr lang="en-US" sz="1400" b="1" baseline="0">
              <a:solidFill>
                <a:schemeClr val="bg1"/>
              </a:solidFill>
            </a:rPr>
            <a:t> SOSIAL</a:t>
          </a:r>
        </a:p>
        <a:p>
          <a:pPr algn="ctr"/>
          <a:r>
            <a:rPr lang="en-US" sz="1100" baseline="0">
              <a:solidFill>
                <a:schemeClr val="bg1"/>
              </a:solidFill>
            </a:rPr>
            <a:t>DI SINI</a:t>
          </a:r>
          <a:endParaRPr lang="en-US" sz="1100">
            <a:solidFill>
              <a:schemeClr val="bg1"/>
            </a:solidFill>
          </a:endParaRPr>
        </a:p>
      </xdr:txBody>
    </xdr:sp>
    <xdr:clientData/>
  </xdr:twoCellAnchor>
  <xdr:twoCellAnchor editAs="oneCell">
    <xdr:from>
      <xdr:col>37</xdr:col>
      <xdr:colOff>1485900</xdr:colOff>
      <xdr:row>0</xdr:row>
      <xdr:rowOff>200025</xdr:rowOff>
    </xdr:from>
    <xdr:to>
      <xdr:col>37</xdr:col>
      <xdr:colOff>2576513</xdr:colOff>
      <xdr:row>1</xdr:row>
      <xdr:rowOff>130442</xdr:rowOff>
    </xdr:to>
    <xdr:pic>
      <xdr:nvPicPr>
        <xdr:cNvPr id="5" name="Picture 4" descr="HomeBBB.gif">
          <a:hlinkClick xmlns:r="http://schemas.openxmlformats.org/officeDocument/2006/relationships" r:id="rId2"/>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15249525" y="200025"/>
          <a:ext cx="1090613" cy="482867"/>
        </a:xfrm>
        <a:prstGeom prst="rect">
          <a:avLst/>
        </a:prstGeom>
        <a:noFill/>
        <a:ln w="9525">
          <a:noFill/>
          <a:miter lim="800000"/>
          <a:headEnd/>
          <a:tailEnd/>
        </a:ln>
      </xdr:spPr>
    </xdr:pic>
    <xdr:clientData/>
  </xdr:twoCellAnchor>
  <xdr:twoCellAnchor editAs="oneCell">
    <xdr:from>
      <xdr:col>6</xdr:col>
      <xdr:colOff>276225</xdr:colOff>
      <xdr:row>0</xdr:row>
      <xdr:rowOff>47625</xdr:rowOff>
    </xdr:from>
    <xdr:to>
      <xdr:col>10</xdr:col>
      <xdr:colOff>71438</xdr:colOff>
      <xdr:row>0</xdr:row>
      <xdr:rowOff>530492</xdr:rowOff>
    </xdr:to>
    <xdr:pic>
      <xdr:nvPicPr>
        <xdr:cNvPr id="6" name="Picture 5" descr="HomeBBB.gif">
          <a:hlinkClick xmlns:r="http://schemas.openxmlformats.org/officeDocument/2006/relationships" r:id="rId2"/>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3524250" y="47625"/>
          <a:ext cx="1090613" cy="482867"/>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46</xdr:col>
      <xdr:colOff>152400</xdr:colOff>
      <xdr:row>10</xdr:row>
      <xdr:rowOff>438150</xdr:rowOff>
    </xdr:from>
    <xdr:to>
      <xdr:col>46</xdr:col>
      <xdr:colOff>2695513</xdr:colOff>
      <xdr:row>12</xdr:row>
      <xdr:rowOff>215635</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1172825" y="5257800"/>
          <a:ext cx="2543113" cy="74903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46</xdr:col>
      <xdr:colOff>1098177</xdr:colOff>
      <xdr:row>0</xdr:row>
      <xdr:rowOff>123265</xdr:rowOff>
    </xdr:from>
    <xdr:to>
      <xdr:col>46</xdr:col>
      <xdr:colOff>2188790</xdr:colOff>
      <xdr:row>1</xdr:row>
      <xdr:rowOff>57044</xdr:rowOff>
    </xdr:to>
    <xdr:pic>
      <xdr:nvPicPr>
        <xdr:cNvPr id="4" name="Picture 3" descr="HomeBBB.gif">
          <a:hlinkClick xmlns:r="http://schemas.openxmlformats.org/officeDocument/2006/relationships" r:id="rId1"/>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15408089" y="123265"/>
          <a:ext cx="1090613" cy="482867"/>
        </a:xfrm>
        <a:prstGeom prst="rect">
          <a:avLst/>
        </a:prstGeom>
        <a:noFill/>
        <a:ln w="9525">
          <a:noFill/>
          <a:miter lim="800000"/>
          <a:headEnd/>
          <a:tailEnd/>
        </a:ln>
      </xdr:spPr>
    </xdr:pic>
    <xdr:clientData/>
  </xdr:twoCellAnchor>
  <xdr:twoCellAnchor editAs="oneCell">
    <xdr:from>
      <xdr:col>14</xdr:col>
      <xdr:colOff>67235</xdr:colOff>
      <xdr:row>0</xdr:row>
      <xdr:rowOff>44824</xdr:rowOff>
    </xdr:from>
    <xdr:to>
      <xdr:col>15</xdr:col>
      <xdr:colOff>810466</xdr:colOff>
      <xdr:row>0</xdr:row>
      <xdr:rowOff>527691</xdr:rowOff>
    </xdr:to>
    <xdr:pic>
      <xdr:nvPicPr>
        <xdr:cNvPr id="6" name="Picture 5" descr="HomeBBB.gif">
          <a:hlinkClick xmlns:r="http://schemas.openxmlformats.org/officeDocument/2006/relationships" r:id="rId1"/>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6163235" y="44824"/>
          <a:ext cx="1090613" cy="482867"/>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93</xdr:col>
      <xdr:colOff>204509</xdr:colOff>
      <xdr:row>3</xdr:row>
      <xdr:rowOff>124807</xdr:rowOff>
    </xdr:from>
    <xdr:to>
      <xdr:col>113</xdr:col>
      <xdr:colOff>423333</xdr:colOff>
      <xdr:row>4</xdr:row>
      <xdr:rowOff>5557</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38452676" y="1532390"/>
          <a:ext cx="2822324" cy="61100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224120</xdr:colOff>
      <xdr:row>0</xdr:row>
      <xdr:rowOff>44823</xdr:rowOff>
    </xdr:from>
    <xdr:to>
      <xdr:col>0</xdr:col>
      <xdr:colOff>1314733</xdr:colOff>
      <xdr:row>0</xdr:row>
      <xdr:rowOff>527690</xdr:rowOff>
    </xdr:to>
    <xdr:pic>
      <xdr:nvPicPr>
        <xdr:cNvPr id="6" name="Picture 5" descr="HomeBBB.gif">
          <a:hlinkClick xmlns:r="http://schemas.openxmlformats.org/officeDocument/2006/relationships" r:id="rId1"/>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24120" y="44823"/>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92</xdr:col>
      <xdr:colOff>2286000</xdr:colOff>
      <xdr:row>0</xdr:row>
      <xdr:rowOff>67236</xdr:rowOff>
    </xdr:from>
    <xdr:to>
      <xdr:col>92</xdr:col>
      <xdr:colOff>3376613</xdr:colOff>
      <xdr:row>0</xdr:row>
      <xdr:rowOff>550103</xdr:rowOff>
    </xdr:to>
    <xdr:pic>
      <xdr:nvPicPr>
        <xdr:cNvPr id="7" name="Picture 6" descr="HomeBBB.gif">
          <a:hlinkClick xmlns:r="http://schemas.openxmlformats.org/officeDocument/2006/relationships" r:id="rId1"/>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32799618" y="67236"/>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112057</xdr:colOff>
      <xdr:row>1</xdr:row>
      <xdr:rowOff>56025</xdr:rowOff>
    </xdr:from>
    <xdr:to>
      <xdr:col>0</xdr:col>
      <xdr:colOff>1423146</xdr:colOff>
      <xdr:row>1</xdr:row>
      <xdr:rowOff>358584</xdr:rowOff>
    </xdr:to>
    <xdr:sp macro="" textlink="">
      <xdr:nvSpPr>
        <xdr:cNvPr id="8" name="Rectangle 7">
          <a:hlinkClick xmlns:r="http://schemas.openxmlformats.org/officeDocument/2006/relationships" r:id="rId3"/>
          <a:extLst>
            <a:ext uri="{FF2B5EF4-FFF2-40B4-BE49-F238E27FC236}">
              <a16:creationId xmlns:a16="http://schemas.microsoft.com/office/drawing/2014/main" id="{00000000-0008-0000-0700-000008000000}"/>
            </a:ext>
          </a:extLst>
        </xdr:cNvPr>
        <xdr:cNvSpPr/>
      </xdr:nvSpPr>
      <xdr:spPr>
        <a:xfrm>
          <a:off x="112057" y="638731"/>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AGAMA  </a:t>
          </a:r>
        </a:p>
      </xdr:txBody>
    </xdr:sp>
    <xdr:clientData/>
  </xdr:twoCellAnchor>
  <xdr:twoCellAnchor>
    <xdr:from>
      <xdr:col>0</xdr:col>
      <xdr:colOff>100852</xdr:colOff>
      <xdr:row>2</xdr:row>
      <xdr:rowOff>11205</xdr:rowOff>
    </xdr:from>
    <xdr:to>
      <xdr:col>0</xdr:col>
      <xdr:colOff>1411941</xdr:colOff>
      <xdr:row>2</xdr:row>
      <xdr:rowOff>313764</xdr:rowOff>
    </xdr:to>
    <xdr:sp macro="" textlink="">
      <xdr:nvSpPr>
        <xdr:cNvPr id="9" name="Rectangle 8">
          <a:hlinkClick xmlns:r="http://schemas.openxmlformats.org/officeDocument/2006/relationships" r:id="rId4"/>
          <a:extLst>
            <a:ext uri="{FF2B5EF4-FFF2-40B4-BE49-F238E27FC236}">
              <a16:creationId xmlns:a16="http://schemas.microsoft.com/office/drawing/2014/main" id="{00000000-0008-0000-0700-000009000000}"/>
            </a:ext>
          </a:extLst>
        </xdr:cNvPr>
        <xdr:cNvSpPr/>
      </xdr:nvSpPr>
      <xdr:spPr>
        <a:xfrm>
          <a:off x="100852" y="986117"/>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112061</xdr:colOff>
      <xdr:row>2</xdr:row>
      <xdr:rowOff>358591</xdr:rowOff>
    </xdr:from>
    <xdr:to>
      <xdr:col>0</xdr:col>
      <xdr:colOff>1423150</xdr:colOff>
      <xdr:row>3</xdr:row>
      <xdr:rowOff>235327</xdr:rowOff>
    </xdr:to>
    <xdr:sp macro="" textlink="">
      <xdr:nvSpPr>
        <xdr:cNvPr id="10" name="Rectangle 9">
          <a:hlinkClick xmlns:r="http://schemas.openxmlformats.org/officeDocument/2006/relationships" r:id="rId5"/>
          <a:extLst>
            <a:ext uri="{FF2B5EF4-FFF2-40B4-BE49-F238E27FC236}">
              <a16:creationId xmlns:a16="http://schemas.microsoft.com/office/drawing/2014/main" id="{00000000-0008-0000-0700-00000A000000}"/>
            </a:ext>
          </a:extLst>
        </xdr:cNvPr>
        <xdr:cNvSpPr/>
      </xdr:nvSpPr>
      <xdr:spPr>
        <a:xfrm>
          <a:off x="112061" y="1333503"/>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112060</xdr:colOff>
      <xdr:row>3</xdr:row>
      <xdr:rowOff>280150</xdr:rowOff>
    </xdr:from>
    <xdr:to>
      <xdr:col>0</xdr:col>
      <xdr:colOff>1423149</xdr:colOff>
      <xdr:row>3</xdr:row>
      <xdr:rowOff>582709</xdr:rowOff>
    </xdr:to>
    <xdr:sp macro="" textlink="">
      <xdr:nvSpPr>
        <xdr:cNvPr id="11" name="Rectangle 10">
          <a:hlinkClick xmlns:r="http://schemas.openxmlformats.org/officeDocument/2006/relationships" r:id="rId6"/>
          <a:extLst>
            <a:ext uri="{FF2B5EF4-FFF2-40B4-BE49-F238E27FC236}">
              <a16:creationId xmlns:a16="http://schemas.microsoft.com/office/drawing/2014/main" id="{00000000-0008-0000-0700-00000B000000}"/>
            </a:ext>
          </a:extLst>
        </xdr:cNvPr>
        <xdr:cNvSpPr/>
      </xdr:nvSpPr>
      <xdr:spPr>
        <a:xfrm>
          <a:off x="112060" y="168088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100854</xdr:colOff>
      <xdr:row>3</xdr:row>
      <xdr:rowOff>638735</xdr:rowOff>
    </xdr:from>
    <xdr:to>
      <xdr:col>0</xdr:col>
      <xdr:colOff>1411943</xdr:colOff>
      <xdr:row>4</xdr:row>
      <xdr:rowOff>212911</xdr:rowOff>
    </xdr:to>
    <xdr:sp macro="" textlink="">
      <xdr:nvSpPr>
        <xdr:cNvPr id="12" name="Rectangle 11">
          <a:hlinkClick xmlns:r="http://schemas.openxmlformats.org/officeDocument/2006/relationships" r:id="rId7"/>
          <a:extLst>
            <a:ext uri="{FF2B5EF4-FFF2-40B4-BE49-F238E27FC236}">
              <a16:creationId xmlns:a16="http://schemas.microsoft.com/office/drawing/2014/main" id="{00000000-0008-0000-0700-00000C000000}"/>
            </a:ext>
          </a:extLst>
        </xdr:cNvPr>
        <xdr:cNvSpPr/>
      </xdr:nvSpPr>
      <xdr:spPr>
        <a:xfrm>
          <a:off x="100854" y="203947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100854</xdr:colOff>
      <xdr:row>5</xdr:row>
      <xdr:rowOff>44824</xdr:rowOff>
    </xdr:from>
    <xdr:to>
      <xdr:col>0</xdr:col>
      <xdr:colOff>1411943</xdr:colOff>
      <xdr:row>5</xdr:row>
      <xdr:rowOff>347383</xdr:rowOff>
    </xdr:to>
    <xdr:sp macro="" textlink="">
      <xdr:nvSpPr>
        <xdr:cNvPr id="13" name="Rectangle 12">
          <a:hlinkClick xmlns:r="http://schemas.openxmlformats.org/officeDocument/2006/relationships" r:id="rId8"/>
          <a:extLst>
            <a:ext uri="{FF2B5EF4-FFF2-40B4-BE49-F238E27FC236}">
              <a16:creationId xmlns:a16="http://schemas.microsoft.com/office/drawing/2014/main" id="{00000000-0008-0000-0700-00000D000000}"/>
            </a:ext>
          </a:extLst>
        </xdr:cNvPr>
        <xdr:cNvSpPr/>
      </xdr:nvSpPr>
      <xdr:spPr>
        <a:xfrm>
          <a:off x="100854" y="2398059"/>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112060</xdr:colOff>
      <xdr:row>5</xdr:row>
      <xdr:rowOff>392210</xdr:rowOff>
    </xdr:from>
    <xdr:to>
      <xdr:col>0</xdr:col>
      <xdr:colOff>1423149</xdr:colOff>
      <xdr:row>5</xdr:row>
      <xdr:rowOff>694769</xdr:rowOff>
    </xdr:to>
    <xdr:sp macro="" textlink="">
      <xdr:nvSpPr>
        <xdr:cNvPr id="14" name="Rectangle 13">
          <a:hlinkClick xmlns:r="http://schemas.openxmlformats.org/officeDocument/2006/relationships" r:id="rId9"/>
          <a:extLst>
            <a:ext uri="{FF2B5EF4-FFF2-40B4-BE49-F238E27FC236}">
              <a16:creationId xmlns:a16="http://schemas.microsoft.com/office/drawing/2014/main" id="{00000000-0008-0000-0700-00000E000000}"/>
            </a:ext>
          </a:extLst>
        </xdr:cNvPr>
        <xdr:cNvSpPr/>
      </xdr:nvSpPr>
      <xdr:spPr>
        <a:xfrm>
          <a:off x="112060" y="274544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112059</xdr:colOff>
      <xdr:row>5</xdr:row>
      <xdr:rowOff>739588</xdr:rowOff>
    </xdr:from>
    <xdr:to>
      <xdr:col>0</xdr:col>
      <xdr:colOff>1423148</xdr:colOff>
      <xdr:row>6</xdr:row>
      <xdr:rowOff>246529</xdr:rowOff>
    </xdr:to>
    <xdr:sp macro="" textlink="">
      <xdr:nvSpPr>
        <xdr:cNvPr id="15" name="Rectangle 14">
          <a:hlinkClick xmlns:r="http://schemas.openxmlformats.org/officeDocument/2006/relationships" r:id="rId10"/>
          <a:extLst>
            <a:ext uri="{FF2B5EF4-FFF2-40B4-BE49-F238E27FC236}">
              <a16:creationId xmlns:a16="http://schemas.microsoft.com/office/drawing/2014/main" id="{00000000-0008-0000-0700-00000F000000}"/>
            </a:ext>
          </a:extLst>
        </xdr:cNvPr>
        <xdr:cNvSpPr/>
      </xdr:nvSpPr>
      <xdr:spPr>
        <a:xfrm>
          <a:off x="112059" y="3092823"/>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112059</xdr:colOff>
      <xdr:row>6</xdr:row>
      <xdr:rowOff>291352</xdr:rowOff>
    </xdr:from>
    <xdr:to>
      <xdr:col>0</xdr:col>
      <xdr:colOff>1423148</xdr:colOff>
      <xdr:row>6</xdr:row>
      <xdr:rowOff>593911</xdr:rowOff>
    </xdr:to>
    <xdr:sp macro="" textlink="">
      <xdr:nvSpPr>
        <xdr:cNvPr id="16" name="Rectangle 15">
          <a:hlinkClick xmlns:r="http://schemas.openxmlformats.org/officeDocument/2006/relationships" r:id="rId11"/>
          <a:extLst>
            <a:ext uri="{FF2B5EF4-FFF2-40B4-BE49-F238E27FC236}">
              <a16:creationId xmlns:a16="http://schemas.microsoft.com/office/drawing/2014/main" id="{00000000-0008-0000-0700-000010000000}"/>
            </a:ext>
          </a:extLst>
        </xdr:cNvPr>
        <xdr:cNvSpPr/>
      </xdr:nvSpPr>
      <xdr:spPr>
        <a:xfrm>
          <a:off x="112059" y="344020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112059</xdr:colOff>
      <xdr:row>6</xdr:row>
      <xdr:rowOff>616324</xdr:rowOff>
    </xdr:from>
    <xdr:to>
      <xdr:col>0</xdr:col>
      <xdr:colOff>1423148</xdr:colOff>
      <xdr:row>7</xdr:row>
      <xdr:rowOff>123265</xdr:rowOff>
    </xdr:to>
    <xdr:sp macro="" textlink="">
      <xdr:nvSpPr>
        <xdr:cNvPr id="17" name="Rectangle 16">
          <a:hlinkClick xmlns:r="http://schemas.openxmlformats.org/officeDocument/2006/relationships" r:id="rId12"/>
          <a:extLst>
            <a:ext uri="{FF2B5EF4-FFF2-40B4-BE49-F238E27FC236}">
              <a16:creationId xmlns:a16="http://schemas.microsoft.com/office/drawing/2014/main" id="{00000000-0008-0000-0700-000011000000}"/>
            </a:ext>
          </a:extLst>
        </xdr:cNvPr>
        <xdr:cNvSpPr/>
      </xdr:nvSpPr>
      <xdr:spPr>
        <a:xfrm>
          <a:off x="112059" y="3765177"/>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100854</xdr:colOff>
      <xdr:row>7</xdr:row>
      <xdr:rowOff>168090</xdr:rowOff>
    </xdr:from>
    <xdr:to>
      <xdr:col>0</xdr:col>
      <xdr:colOff>1411943</xdr:colOff>
      <xdr:row>7</xdr:row>
      <xdr:rowOff>470649</xdr:rowOff>
    </xdr:to>
    <xdr:sp macro="" textlink="">
      <xdr:nvSpPr>
        <xdr:cNvPr id="18" name="Rectangle 17">
          <a:hlinkClick xmlns:r="http://schemas.openxmlformats.org/officeDocument/2006/relationships" r:id="rId13"/>
          <a:extLst>
            <a:ext uri="{FF2B5EF4-FFF2-40B4-BE49-F238E27FC236}">
              <a16:creationId xmlns:a16="http://schemas.microsoft.com/office/drawing/2014/main" id="{00000000-0008-0000-0700-000012000000}"/>
            </a:ext>
          </a:extLst>
        </xdr:cNvPr>
        <xdr:cNvSpPr/>
      </xdr:nvSpPr>
      <xdr:spPr>
        <a:xfrm>
          <a:off x="100854" y="4112561"/>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27</xdr:col>
      <xdr:colOff>204509</xdr:colOff>
      <xdr:row>2</xdr:row>
      <xdr:rowOff>124807</xdr:rowOff>
    </xdr:from>
    <xdr:to>
      <xdr:col>42</xdr:col>
      <xdr:colOff>547688</xdr:colOff>
      <xdr:row>2</xdr:row>
      <xdr:rowOff>916782</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8421072" y="1005870"/>
          <a:ext cx="2331522"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235323</xdr:colOff>
      <xdr:row>0</xdr:row>
      <xdr:rowOff>56029</xdr:rowOff>
    </xdr:from>
    <xdr:to>
      <xdr:col>0</xdr:col>
      <xdr:colOff>1325936</xdr:colOff>
      <xdr:row>0</xdr:row>
      <xdr:rowOff>538896</xdr:rowOff>
    </xdr:to>
    <xdr:pic>
      <xdr:nvPicPr>
        <xdr:cNvPr id="5" name="Picture 4" descr="HomeBBB.gif">
          <a:hlinkClick xmlns:r="http://schemas.openxmlformats.org/officeDocument/2006/relationships" r:id="rId1"/>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35323" y="56029"/>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100853</xdr:colOff>
      <xdr:row>1</xdr:row>
      <xdr:rowOff>0</xdr:rowOff>
    </xdr:from>
    <xdr:to>
      <xdr:col>0</xdr:col>
      <xdr:colOff>1411942</xdr:colOff>
      <xdr:row>2</xdr:row>
      <xdr:rowOff>11206</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0800-000006000000}"/>
            </a:ext>
          </a:extLst>
        </xdr:cNvPr>
        <xdr:cNvSpPr/>
      </xdr:nvSpPr>
      <xdr:spPr>
        <a:xfrm>
          <a:off x="100853" y="58270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89648</xdr:colOff>
      <xdr:row>2</xdr:row>
      <xdr:rowOff>56033</xdr:rowOff>
    </xdr:from>
    <xdr:to>
      <xdr:col>0</xdr:col>
      <xdr:colOff>1400737</xdr:colOff>
      <xdr:row>2</xdr:row>
      <xdr:rowOff>358592</xdr:rowOff>
    </xdr:to>
    <xdr:sp macro="" textlink="">
      <xdr:nvSpPr>
        <xdr:cNvPr id="7" name="Rectangle 6">
          <a:hlinkClick xmlns:r="http://schemas.openxmlformats.org/officeDocument/2006/relationships" r:id="rId4"/>
          <a:extLst>
            <a:ext uri="{FF2B5EF4-FFF2-40B4-BE49-F238E27FC236}">
              <a16:creationId xmlns:a16="http://schemas.microsoft.com/office/drawing/2014/main" id="{00000000-0008-0000-0800-000007000000}"/>
            </a:ext>
          </a:extLst>
        </xdr:cNvPr>
        <xdr:cNvSpPr/>
      </xdr:nvSpPr>
      <xdr:spPr>
        <a:xfrm>
          <a:off x="89648" y="93009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PKN  </a:t>
          </a:r>
        </a:p>
      </xdr:txBody>
    </xdr:sp>
    <xdr:clientData/>
  </xdr:twoCellAnchor>
  <xdr:twoCellAnchor>
    <xdr:from>
      <xdr:col>0</xdr:col>
      <xdr:colOff>100857</xdr:colOff>
      <xdr:row>2</xdr:row>
      <xdr:rowOff>403419</xdr:rowOff>
    </xdr:from>
    <xdr:to>
      <xdr:col>0</xdr:col>
      <xdr:colOff>1411946</xdr:colOff>
      <xdr:row>2</xdr:row>
      <xdr:rowOff>705978</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00000000-0008-0000-0800-000008000000}"/>
            </a:ext>
          </a:extLst>
        </xdr:cNvPr>
        <xdr:cNvSpPr/>
      </xdr:nvSpPr>
      <xdr:spPr>
        <a:xfrm>
          <a:off x="100857" y="1277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100856</xdr:colOff>
      <xdr:row>2</xdr:row>
      <xdr:rowOff>750801</xdr:rowOff>
    </xdr:from>
    <xdr:to>
      <xdr:col>0</xdr:col>
      <xdr:colOff>1411945</xdr:colOff>
      <xdr:row>2</xdr:row>
      <xdr:rowOff>1053360</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00000000-0008-0000-0800-000009000000}"/>
            </a:ext>
          </a:extLst>
        </xdr:cNvPr>
        <xdr:cNvSpPr/>
      </xdr:nvSpPr>
      <xdr:spPr>
        <a:xfrm>
          <a:off x="100856" y="162486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89650</xdr:colOff>
      <xdr:row>2</xdr:row>
      <xdr:rowOff>1109386</xdr:rowOff>
    </xdr:from>
    <xdr:to>
      <xdr:col>0</xdr:col>
      <xdr:colOff>1400739</xdr:colOff>
      <xdr:row>3</xdr:row>
      <xdr:rowOff>212916</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00000000-0008-0000-0800-00000A000000}"/>
            </a:ext>
          </a:extLst>
        </xdr:cNvPr>
        <xdr:cNvSpPr/>
      </xdr:nvSpPr>
      <xdr:spPr>
        <a:xfrm>
          <a:off x="89650" y="198344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89650</xdr:colOff>
      <xdr:row>3</xdr:row>
      <xdr:rowOff>268946</xdr:rowOff>
    </xdr:from>
    <xdr:to>
      <xdr:col>0</xdr:col>
      <xdr:colOff>1400739</xdr:colOff>
      <xdr:row>4</xdr:row>
      <xdr:rowOff>246534</xdr:rowOff>
    </xdr:to>
    <xdr:sp macro="" textlink="">
      <xdr:nvSpPr>
        <xdr:cNvPr id="11" name="Rectangle 10">
          <a:hlinkClick xmlns:r="http://schemas.openxmlformats.org/officeDocument/2006/relationships" r:id="rId8"/>
          <a:extLst>
            <a:ext uri="{FF2B5EF4-FFF2-40B4-BE49-F238E27FC236}">
              <a16:creationId xmlns:a16="http://schemas.microsoft.com/office/drawing/2014/main" id="{00000000-0008-0000-0800-00000B000000}"/>
            </a:ext>
          </a:extLst>
        </xdr:cNvPr>
        <xdr:cNvSpPr/>
      </xdr:nvSpPr>
      <xdr:spPr>
        <a:xfrm>
          <a:off x="89650" y="234203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100856</xdr:colOff>
      <xdr:row>4</xdr:row>
      <xdr:rowOff>291361</xdr:rowOff>
    </xdr:from>
    <xdr:to>
      <xdr:col>0</xdr:col>
      <xdr:colOff>1411945</xdr:colOff>
      <xdr:row>4</xdr:row>
      <xdr:rowOff>593920</xdr:rowOff>
    </xdr:to>
    <xdr:sp macro="" textlink="">
      <xdr:nvSpPr>
        <xdr:cNvPr id="12" name="Rectangle 11">
          <a:hlinkClick xmlns:r="http://schemas.openxmlformats.org/officeDocument/2006/relationships" r:id="rId9"/>
          <a:extLst>
            <a:ext uri="{FF2B5EF4-FFF2-40B4-BE49-F238E27FC236}">
              <a16:creationId xmlns:a16="http://schemas.microsoft.com/office/drawing/2014/main" id="{00000000-0008-0000-0800-00000C000000}"/>
            </a:ext>
          </a:extLst>
        </xdr:cNvPr>
        <xdr:cNvSpPr/>
      </xdr:nvSpPr>
      <xdr:spPr>
        <a:xfrm>
          <a:off x="100856" y="268942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100855</xdr:colOff>
      <xdr:row>4</xdr:row>
      <xdr:rowOff>638739</xdr:rowOff>
    </xdr:from>
    <xdr:to>
      <xdr:col>0</xdr:col>
      <xdr:colOff>1411944</xdr:colOff>
      <xdr:row>5</xdr:row>
      <xdr:rowOff>190504</xdr:rowOff>
    </xdr:to>
    <xdr:sp macro="" textlink="">
      <xdr:nvSpPr>
        <xdr:cNvPr id="13" name="Rectangle 12">
          <a:hlinkClick xmlns:r="http://schemas.openxmlformats.org/officeDocument/2006/relationships" r:id="rId10"/>
          <a:extLst>
            <a:ext uri="{FF2B5EF4-FFF2-40B4-BE49-F238E27FC236}">
              <a16:creationId xmlns:a16="http://schemas.microsoft.com/office/drawing/2014/main" id="{00000000-0008-0000-0800-00000D000000}"/>
            </a:ext>
          </a:extLst>
        </xdr:cNvPr>
        <xdr:cNvSpPr/>
      </xdr:nvSpPr>
      <xdr:spPr>
        <a:xfrm>
          <a:off x="100855" y="3036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100855</xdr:colOff>
      <xdr:row>5</xdr:row>
      <xdr:rowOff>235327</xdr:rowOff>
    </xdr:from>
    <xdr:to>
      <xdr:col>0</xdr:col>
      <xdr:colOff>1411944</xdr:colOff>
      <xdr:row>5</xdr:row>
      <xdr:rowOff>537886</xdr:rowOff>
    </xdr:to>
    <xdr:sp macro="" textlink="">
      <xdr:nvSpPr>
        <xdr:cNvPr id="14" name="Rectangle 13">
          <a:hlinkClick xmlns:r="http://schemas.openxmlformats.org/officeDocument/2006/relationships" r:id="rId11"/>
          <a:extLst>
            <a:ext uri="{FF2B5EF4-FFF2-40B4-BE49-F238E27FC236}">
              <a16:creationId xmlns:a16="http://schemas.microsoft.com/office/drawing/2014/main" id="{00000000-0008-0000-0800-00000E000000}"/>
            </a:ext>
          </a:extLst>
        </xdr:cNvPr>
        <xdr:cNvSpPr/>
      </xdr:nvSpPr>
      <xdr:spPr>
        <a:xfrm>
          <a:off x="100855" y="338418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100855</xdr:colOff>
      <xdr:row>5</xdr:row>
      <xdr:rowOff>560299</xdr:rowOff>
    </xdr:from>
    <xdr:to>
      <xdr:col>0</xdr:col>
      <xdr:colOff>1411944</xdr:colOff>
      <xdr:row>6</xdr:row>
      <xdr:rowOff>112064</xdr:rowOff>
    </xdr:to>
    <xdr:sp macro="" textlink="">
      <xdr:nvSpPr>
        <xdr:cNvPr id="15" name="Rectangle 14">
          <a:hlinkClick xmlns:r="http://schemas.openxmlformats.org/officeDocument/2006/relationships" r:id="rId12"/>
          <a:extLst>
            <a:ext uri="{FF2B5EF4-FFF2-40B4-BE49-F238E27FC236}">
              <a16:creationId xmlns:a16="http://schemas.microsoft.com/office/drawing/2014/main" id="{00000000-0008-0000-0800-00000F000000}"/>
            </a:ext>
          </a:extLst>
        </xdr:cNvPr>
        <xdr:cNvSpPr/>
      </xdr:nvSpPr>
      <xdr:spPr>
        <a:xfrm>
          <a:off x="100855" y="37091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89650</xdr:colOff>
      <xdr:row>6</xdr:row>
      <xdr:rowOff>156889</xdr:rowOff>
    </xdr:from>
    <xdr:to>
      <xdr:col>0</xdr:col>
      <xdr:colOff>1400739</xdr:colOff>
      <xdr:row>6</xdr:row>
      <xdr:rowOff>459448</xdr:rowOff>
    </xdr:to>
    <xdr:sp macro="" textlink="">
      <xdr:nvSpPr>
        <xdr:cNvPr id="16" name="Rectangle 15">
          <a:hlinkClick xmlns:r="http://schemas.openxmlformats.org/officeDocument/2006/relationships" r:id="rId13"/>
          <a:extLst>
            <a:ext uri="{FF2B5EF4-FFF2-40B4-BE49-F238E27FC236}">
              <a16:creationId xmlns:a16="http://schemas.microsoft.com/office/drawing/2014/main" id="{00000000-0008-0000-0800-000010000000}"/>
            </a:ext>
          </a:extLst>
        </xdr:cNvPr>
        <xdr:cNvSpPr/>
      </xdr:nvSpPr>
      <xdr:spPr>
        <a:xfrm>
          <a:off x="89650" y="405653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27</xdr:col>
      <xdr:colOff>1</xdr:colOff>
      <xdr:row>2</xdr:row>
      <xdr:rowOff>124807</xdr:rowOff>
    </xdr:from>
    <xdr:to>
      <xdr:col>41</xdr:col>
      <xdr:colOff>582706</xdr:colOff>
      <xdr:row>2</xdr:row>
      <xdr:rowOff>916782</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8187148" y="998866"/>
          <a:ext cx="2577352"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201706</xdr:colOff>
      <xdr:row>0</xdr:row>
      <xdr:rowOff>56029</xdr:rowOff>
    </xdr:from>
    <xdr:to>
      <xdr:col>0</xdr:col>
      <xdr:colOff>1292319</xdr:colOff>
      <xdr:row>0</xdr:row>
      <xdr:rowOff>538896</xdr:rowOff>
    </xdr:to>
    <xdr:pic>
      <xdr:nvPicPr>
        <xdr:cNvPr id="5" name="Picture 4" descr="HomeBBB.gif">
          <a:hlinkClick xmlns:r="http://schemas.openxmlformats.org/officeDocument/2006/relationships" r:id="rId1"/>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01706" y="56029"/>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123265</xdr:colOff>
      <xdr:row>1</xdr:row>
      <xdr:rowOff>0</xdr:rowOff>
    </xdr:from>
    <xdr:to>
      <xdr:col>0</xdr:col>
      <xdr:colOff>1434354</xdr:colOff>
      <xdr:row>2</xdr:row>
      <xdr:rowOff>11206</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0900-000006000000}"/>
            </a:ext>
          </a:extLst>
        </xdr:cNvPr>
        <xdr:cNvSpPr/>
      </xdr:nvSpPr>
      <xdr:spPr>
        <a:xfrm>
          <a:off x="123265" y="58270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112060</xdr:colOff>
      <xdr:row>2</xdr:row>
      <xdr:rowOff>56033</xdr:rowOff>
    </xdr:from>
    <xdr:to>
      <xdr:col>0</xdr:col>
      <xdr:colOff>1423149</xdr:colOff>
      <xdr:row>2</xdr:row>
      <xdr:rowOff>358592</xdr:rowOff>
    </xdr:to>
    <xdr:sp macro="" textlink="">
      <xdr:nvSpPr>
        <xdr:cNvPr id="7" name="Rectangle 6">
          <a:hlinkClick xmlns:r="http://schemas.openxmlformats.org/officeDocument/2006/relationships" r:id="rId4"/>
          <a:extLst>
            <a:ext uri="{FF2B5EF4-FFF2-40B4-BE49-F238E27FC236}">
              <a16:creationId xmlns:a16="http://schemas.microsoft.com/office/drawing/2014/main" id="{00000000-0008-0000-0900-000007000000}"/>
            </a:ext>
          </a:extLst>
        </xdr:cNvPr>
        <xdr:cNvSpPr/>
      </xdr:nvSpPr>
      <xdr:spPr>
        <a:xfrm>
          <a:off x="112060" y="93009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123269</xdr:colOff>
      <xdr:row>2</xdr:row>
      <xdr:rowOff>403419</xdr:rowOff>
    </xdr:from>
    <xdr:to>
      <xdr:col>0</xdr:col>
      <xdr:colOff>1434358</xdr:colOff>
      <xdr:row>2</xdr:row>
      <xdr:rowOff>705978</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00000000-0008-0000-0900-000008000000}"/>
            </a:ext>
          </a:extLst>
        </xdr:cNvPr>
        <xdr:cNvSpPr/>
      </xdr:nvSpPr>
      <xdr:spPr>
        <a:xfrm>
          <a:off x="123269" y="1277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B.IND  </a:t>
          </a:r>
        </a:p>
      </xdr:txBody>
    </xdr:sp>
    <xdr:clientData/>
  </xdr:twoCellAnchor>
  <xdr:twoCellAnchor>
    <xdr:from>
      <xdr:col>0</xdr:col>
      <xdr:colOff>123268</xdr:colOff>
      <xdr:row>2</xdr:row>
      <xdr:rowOff>750801</xdr:rowOff>
    </xdr:from>
    <xdr:to>
      <xdr:col>0</xdr:col>
      <xdr:colOff>1434357</xdr:colOff>
      <xdr:row>2</xdr:row>
      <xdr:rowOff>1053360</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00000000-0008-0000-0900-000009000000}"/>
            </a:ext>
          </a:extLst>
        </xdr:cNvPr>
        <xdr:cNvSpPr/>
      </xdr:nvSpPr>
      <xdr:spPr>
        <a:xfrm>
          <a:off x="123268" y="162486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112062</xdr:colOff>
      <xdr:row>2</xdr:row>
      <xdr:rowOff>1109386</xdr:rowOff>
    </xdr:from>
    <xdr:to>
      <xdr:col>0</xdr:col>
      <xdr:colOff>1423151</xdr:colOff>
      <xdr:row>3</xdr:row>
      <xdr:rowOff>212916</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00000000-0008-0000-0900-00000A000000}"/>
            </a:ext>
          </a:extLst>
        </xdr:cNvPr>
        <xdr:cNvSpPr/>
      </xdr:nvSpPr>
      <xdr:spPr>
        <a:xfrm>
          <a:off x="112062" y="198344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112062</xdr:colOff>
      <xdr:row>3</xdr:row>
      <xdr:rowOff>268946</xdr:rowOff>
    </xdr:from>
    <xdr:to>
      <xdr:col>0</xdr:col>
      <xdr:colOff>1423151</xdr:colOff>
      <xdr:row>4</xdr:row>
      <xdr:rowOff>246534</xdr:rowOff>
    </xdr:to>
    <xdr:sp macro="" textlink="">
      <xdr:nvSpPr>
        <xdr:cNvPr id="11" name="Rectangle 10">
          <a:hlinkClick xmlns:r="http://schemas.openxmlformats.org/officeDocument/2006/relationships" r:id="rId8"/>
          <a:extLst>
            <a:ext uri="{FF2B5EF4-FFF2-40B4-BE49-F238E27FC236}">
              <a16:creationId xmlns:a16="http://schemas.microsoft.com/office/drawing/2014/main" id="{00000000-0008-0000-0900-00000B000000}"/>
            </a:ext>
          </a:extLst>
        </xdr:cNvPr>
        <xdr:cNvSpPr/>
      </xdr:nvSpPr>
      <xdr:spPr>
        <a:xfrm>
          <a:off x="112062" y="234203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123268</xdr:colOff>
      <xdr:row>4</xdr:row>
      <xdr:rowOff>291361</xdr:rowOff>
    </xdr:from>
    <xdr:to>
      <xdr:col>0</xdr:col>
      <xdr:colOff>1434357</xdr:colOff>
      <xdr:row>4</xdr:row>
      <xdr:rowOff>593920</xdr:rowOff>
    </xdr:to>
    <xdr:sp macro="" textlink="">
      <xdr:nvSpPr>
        <xdr:cNvPr id="12" name="Rectangle 11">
          <a:hlinkClick xmlns:r="http://schemas.openxmlformats.org/officeDocument/2006/relationships" r:id="rId9"/>
          <a:extLst>
            <a:ext uri="{FF2B5EF4-FFF2-40B4-BE49-F238E27FC236}">
              <a16:creationId xmlns:a16="http://schemas.microsoft.com/office/drawing/2014/main" id="{00000000-0008-0000-0900-00000C000000}"/>
            </a:ext>
          </a:extLst>
        </xdr:cNvPr>
        <xdr:cNvSpPr/>
      </xdr:nvSpPr>
      <xdr:spPr>
        <a:xfrm>
          <a:off x="123268" y="268942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123267</xdr:colOff>
      <xdr:row>4</xdr:row>
      <xdr:rowOff>638739</xdr:rowOff>
    </xdr:from>
    <xdr:to>
      <xdr:col>0</xdr:col>
      <xdr:colOff>1434356</xdr:colOff>
      <xdr:row>5</xdr:row>
      <xdr:rowOff>280151</xdr:rowOff>
    </xdr:to>
    <xdr:sp macro="" textlink="">
      <xdr:nvSpPr>
        <xdr:cNvPr id="13" name="Rectangle 12">
          <a:hlinkClick xmlns:r="http://schemas.openxmlformats.org/officeDocument/2006/relationships" r:id="rId10"/>
          <a:extLst>
            <a:ext uri="{FF2B5EF4-FFF2-40B4-BE49-F238E27FC236}">
              <a16:creationId xmlns:a16="http://schemas.microsoft.com/office/drawing/2014/main" id="{00000000-0008-0000-0900-00000D000000}"/>
            </a:ext>
          </a:extLst>
        </xdr:cNvPr>
        <xdr:cNvSpPr/>
      </xdr:nvSpPr>
      <xdr:spPr>
        <a:xfrm>
          <a:off x="123267" y="3036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123267</xdr:colOff>
      <xdr:row>5</xdr:row>
      <xdr:rowOff>324974</xdr:rowOff>
    </xdr:from>
    <xdr:to>
      <xdr:col>0</xdr:col>
      <xdr:colOff>1434356</xdr:colOff>
      <xdr:row>5</xdr:row>
      <xdr:rowOff>627533</xdr:rowOff>
    </xdr:to>
    <xdr:sp macro="" textlink="">
      <xdr:nvSpPr>
        <xdr:cNvPr id="14" name="Rectangle 13">
          <a:hlinkClick xmlns:r="http://schemas.openxmlformats.org/officeDocument/2006/relationships" r:id="rId11"/>
          <a:extLst>
            <a:ext uri="{FF2B5EF4-FFF2-40B4-BE49-F238E27FC236}">
              <a16:creationId xmlns:a16="http://schemas.microsoft.com/office/drawing/2014/main" id="{00000000-0008-0000-0900-00000E000000}"/>
            </a:ext>
          </a:extLst>
        </xdr:cNvPr>
        <xdr:cNvSpPr/>
      </xdr:nvSpPr>
      <xdr:spPr>
        <a:xfrm>
          <a:off x="123267" y="338418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123267</xdr:colOff>
      <xdr:row>5</xdr:row>
      <xdr:rowOff>649946</xdr:rowOff>
    </xdr:from>
    <xdr:to>
      <xdr:col>0</xdr:col>
      <xdr:colOff>1434356</xdr:colOff>
      <xdr:row>6</xdr:row>
      <xdr:rowOff>291358</xdr:rowOff>
    </xdr:to>
    <xdr:sp macro="" textlink="">
      <xdr:nvSpPr>
        <xdr:cNvPr id="15" name="Rectangle 14">
          <a:hlinkClick xmlns:r="http://schemas.openxmlformats.org/officeDocument/2006/relationships" r:id="rId12"/>
          <a:extLst>
            <a:ext uri="{FF2B5EF4-FFF2-40B4-BE49-F238E27FC236}">
              <a16:creationId xmlns:a16="http://schemas.microsoft.com/office/drawing/2014/main" id="{00000000-0008-0000-0900-00000F000000}"/>
            </a:ext>
          </a:extLst>
        </xdr:cNvPr>
        <xdr:cNvSpPr/>
      </xdr:nvSpPr>
      <xdr:spPr>
        <a:xfrm>
          <a:off x="123267" y="37091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112062</xdr:colOff>
      <xdr:row>6</xdr:row>
      <xdr:rowOff>336183</xdr:rowOff>
    </xdr:from>
    <xdr:to>
      <xdr:col>0</xdr:col>
      <xdr:colOff>1423151</xdr:colOff>
      <xdr:row>6</xdr:row>
      <xdr:rowOff>638742</xdr:rowOff>
    </xdr:to>
    <xdr:sp macro="" textlink="">
      <xdr:nvSpPr>
        <xdr:cNvPr id="16" name="Rectangle 15">
          <a:hlinkClick xmlns:r="http://schemas.openxmlformats.org/officeDocument/2006/relationships" r:id="rId13"/>
          <a:extLst>
            <a:ext uri="{FF2B5EF4-FFF2-40B4-BE49-F238E27FC236}">
              <a16:creationId xmlns:a16="http://schemas.microsoft.com/office/drawing/2014/main" id="{00000000-0008-0000-0900-000010000000}"/>
            </a:ext>
          </a:extLst>
        </xdr:cNvPr>
        <xdr:cNvSpPr/>
      </xdr:nvSpPr>
      <xdr:spPr>
        <a:xfrm>
          <a:off x="112062" y="405653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27</xdr:col>
      <xdr:colOff>204509</xdr:colOff>
      <xdr:row>2</xdr:row>
      <xdr:rowOff>124807</xdr:rowOff>
    </xdr:from>
    <xdr:to>
      <xdr:col>42</xdr:col>
      <xdr:colOff>515470</xdr:colOff>
      <xdr:row>2</xdr:row>
      <xdr:rowOff>916782</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18324421" y="998866"/>
          <a:ext cx="2305608"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212912</xdr:colOff>
      <xdr:row>0</xdr:row>
      <xdr:rowOff>78442</xdr:rowOff>
    </xdr:from>
    <xdr:to>
      <xdr:col>0</xdr:col>
      <xdr:colOff>1303525</xdr:colOff>
      <xdr:row>0</xdr:row>
      <xdr:rowOff>561309</xdr:rowOff>
    </xdr:to>
    <xdr:pic>
      <xdr:nvPicPr>
        <xdr:cNvPr id="5" name="Picture 4" descr="HomeBBB.gif">
          <a:hlinkClick xmlns:r="http://schemas.openxmlformats.org/officeDocument/2006/relationships" r:id="rId1"/>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2912" y="78442"/>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112059</xdr:colOff>
      <xdr:row>1</xdr:row>
      <xdr:rowOff>22412</xdr:rowOff>
    </xdr:from>
    <xdr:to>
      <xdr:col>0</xdr:col>
      <xdr:colOff>1423148</xdr:colOff>
      <xdr:row>2</xdr:row>
      <xdr:rowOff>33618</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0A00-000006000000}"/>
            </a:ext>
          </a:extLst>
        </xdr:cNvPr>
        <xdr:cNvSpPr/>
      </xdr:nvSpPr>
      <xdr:spPr>
        <a:xfrm>
          <a:off x="112059" y="60511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100854</xdr:colOff>
      <xdr:row>2</xdr:row>
      <xdr:rowOff>78445</xdr:rowOff>
    </xdr:from>
    <xdr:to>
      <xdr:col>0</xdr:col>
      <xdr:colOff>1411943</xdr:colOff>
      <xdr:row>2</xdr:row>
      <xdr:rowOff>381004</xdr:rowOff>
    </xdr:to>
    <xdr:sp macro="" textlink="">
      <xdr:nvSpPr>
        <xdr:cNvPr id="7" name="Rectangle 6">
          <a:hlinkClick xmlns:r="http://schemas.openxmlformats.org/officeDocument/2006/relationships" r:id="rId4"/>
          <a:extLst>
            <a:ext uri="{FF2B5EF4-FFF2-40B4-BE49-F238E27FC236}">
              <a16:creationId xmlns:a16="http://schemas.microsoft.com/office/drawing/2014/main" id="{00000000-0008-0000-0A00-000007000000}"/>
            </a:ext>
          </a:extLst>
        </xdr:cNvPr>
        <xdr:cNvSpPr/>
      </xdr:nvSpPr>
      <xdr:spPr>
        <a:xfrm>
          <a:off x="100854" y="95250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112063</xdr:colOff>
      <xdr:row>2</xdr:row>
      <xdr:rowOff>425831</xdr:rowOff>
    </xdr:from>
    <xdr:to>
      <xdr:col>0</xdr:col>
      <xdr:colOff>1423152</xdr:colOff>
      <xdr:row>2</xdr:row>
      <xdr:rowOff>728390</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00000000-0008-0000-0A00-000008000000}"/>
            </a:ext>
          </a:extLst>
        </xdr:cNvPr>
        <xdr:cNvSpPr/>
      </xdr:nvSpPr>
      <xdr:spPr>
        <a:xfrm>
          <a:off x="112063" y="129989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112062</xdr:colOff>
      <xdr:row>2</xdr:row>
      <xdr:rowOff>773213</xdr:rowOff>
    </xdr:from>
    <xdr:to>
      <xdr:col>0</xdr:col>
      <xdr:colOff>1423151</xdr:colOff>
      <xdr:row>2</xdr:row>
      <xdr:rowOff>1075772</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00000000-0008-0000-0A00-000009000000}"/>
            </a:ext>
          </a:extLst>
        </xdr:cNvPr>
        <xdr:cNvSpPr/>
      </xdr:nvSpPr>
      <xdr:spPr>
        <a:xfrm>
          <a:off x="112062" y="164727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MTK  </a:t>
          </a:r>
        </a:p>
      </xdr:txBody>
    </xdr:sp>
    <xdr:clientData/>
  </xdr:twoCellAnchor>
  <xdr:twoCellAnchor>
    <xdr:from>
      <xdr:col>0</xdr:col>
      <xdr:colOff>100856</xdr:colOff>
      <xdr:row>2</xdr:row>
      <xdr:rowOff>1131798</xdr:rowOff>
    </xdr:from>
    <xdr:to>
      <xdr:col>0</xdr:col>
      <xdr:colOff>1411945</xdr:colOff>
      <xdr:row>3</xdr:row>
      <xdr:rowOff>235328</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00000000-0008-0000-0A00-00000A000000}"/>
            </a:ext>
          </a:extLst>
        </xdr:cNvPr>
        <xdr:cNvSpPr/>
      </xdr:nvSpPr>
      <xdr:spPr>
        <a:xfrm>
          <a:off x="100856" y="2005857"/>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100856</xdr:colOff>
      <xdr:row>3</xdr:row>
      <xdr:rowOff>291358</xdr:rowOff>
    </xdr:from>
    <xdr:to>
      <xdr:col>0</xdr:col>
      <xdr:colOff>1411945</xdr:colOff>
      <xdr:row>4</xdr:row>
      <xdr:rowOff>268946</xdr:rowOff>
    </xdr:to>
    <xdr:sp macro="" textlink="">
      <xdr:nvSpPr>
        <xdr:cNvPr id="11" name="Rectangle 10">
          <a:hlinkClick xmlns:r="http://schemas.openxmlformats.org/officeDocument/2006/relationships" r:id="rId8"/>
          <a:extLst>
            <a:ext uri="{FF2B5EF4-FFF2-40B4-BE49-F238E27FC236}">
              <a16:creationId xmlns:a16="http://schemas.microsoft.com/office/drawing/2014/main" id="{00000000-0008-0000-0A00-00000B000000}"/>
            </a:ext>
          </a:extLst>
        </xdr:cNvPr>
        <xdr:cNvSpPr/>
      </xdr:nvSpPr>
      <xdr:spPr>
        <a:xfrm>
          <a:off x="100856" y="236444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112062</xdr:colOff>
      <xdr:row>4</xdr:row>
      <xdr:rowOff>313773</xdr:rowOff>
    </xdr:from>
    <xdr:to>
      <xdr:col>0</xdr:col>
      <xdr:colOff>1423151</xdr:colOff>
      <xdr:row>5</xdr:row>
      <xdr:rowOff>190509</xdr:rowOff>
    </xdr:to>
    <xdr:sp macro="" textlink="">
      <xdr:nvSpPr>
        <xdr:cNvPr id="12" name="Rectangle 11">
          <a:hlinkClick xmlns:r="http://schemas.openxmlformats.org/officeDocument/2006/relationships" r:id="rId9"/>
          <a:extLst>
            <a:ext uri="{FF2B5EF4-FFF2-40B4-BE49-F238E27FC236}">
              <a16:creationId xmlns:a16="http://schemas.microsoft.com/office/drawing/2014/main" id="{00000000-0008-0000-0A00-00000C000000}"/>
            </a:ext>
          </a:extLst>
        </xdr:cNvPr>
        <xdr:cNvSpPr/>
      </xdr:nvSpPr>
      <xdr:spPr>
        <a:xfrm>
          <a:off x="112062" y="271183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112061</xdr:colOff>
      <xdr:row>5</xdr:row>
      <xdr:rowOff>235328</xdr:rowOff>
    </xdr:from>
    <xdr:to>
      <xdr:col>0</xdr:col>
      <xdr:colOff>1423150</xdr:colOff>
      <xdr:row>6</xdr:row>
      <xdr:rowOff>112063</xdr:rowOff>
    </xdr:to>
    <xdr:sp macro="" textlink="">
      <xdr:nvSpPr>
        <xdr:cNvPr id="13" name="Rectangle 12">
          <a:hlinkClick xmlns:r="http://schemas.openxmlformats.org/officeDocument/2006/relationships" r:id="rId10"/>
          <a:extLst>
            <a:ext uri="{FF2B5EF4-FFF2-40B4-BE49-F238E27FC236}">
              <a16:creationId xmlns:a16="http://schemas.microsoft.com/office/drawing/2014/main" id="{00000000-0008-0000-0A00-00000D000000}"/>
            </a:ext>
          </a:extLst>
        </xdr:cNvPr>
        <xdr:cNvSpPr/>
      </xdr:nvSpPr>
      <xdr:spPr>
        <a:xfrm>
          <a:off x="112061" y="305921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112061</xdr:colOff>
      <xdr:row>6</xdr:row>
      <xdr:rowOff>156886</xdr:rowOff>
    </xdr:from>
    <xdr:to>
      <xdr:col>0</xdr:col>
      <xdr:colOff>1423150</xdr:colOff>
      <xdr:row>7</xdr:row>
      <xdr:rowOff>33622</xdr:rowOff>
    </xdr:to>
    <xdr:sp macro="" textlink="">
      <xdr:nvSpPr>
        <xdr:cNvPr id="14" name="Rectangle 13">
          <a:hlinkClick xmlns:r="http://schemas.openxmlformats.org/officeDocument/2006/relationships" r:id="rId11"/>
          <a:extLst>
            <a:ext uri="{FF2B5EF4-FFF2-40B4-BE49-F238E27FC236}">
              <a16:creationId xmlns:a16="http://schemas.microsoft.com/office/drawing/2014/main" id="{00000000-0008-0000-0A00-00000E000000}"/>
            </a:ext>
          </a:extLst>
        </xdr:cNvPr>
        <xdr:cNvSpPr/>
      </xdr:nvSpPr>
      <xdr:spPr>
        <a:xfrm>
          <a:off x="112061" y="340659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112061</xdr:colOff>
      <xdr:row>7</xdr:row>
      <xdr:rowOff>56035</xdr:rowOff>
    </xdr:from>
    <xdr:to>
      <xdr:col>0</xdr:col>
      <xdr:colOff>1423150</xdr:colOff>
      <xdr:row>7</xdr:row>
      <xdr:rowOff>358594</xdr:rowOff>
    </xdr:to>
    <xdr:sp macro="" textlink="">
      <xdr:nvSpPr>
        <xdr:cNvPr id="15" name="Rectangle 14">
          <a:hlinkClick xmlns:r="http://schemas.openxmlformats.org/officeDocument/2006/relationships" r:id="rId12"/>
          <a:extLst>
            <a:ext uri="{FF2B5EF4-FFF2-40B4-BE49-F238E27FC236}">
              <a16:creationId xmlns:a16="http://schemas.microsoft.com/office/drawing/2014/main" id="{00000000-0008-0000-0A00-00000F000000}"/>
            </a:ext>
          </a:extLst>
        </xdr:cNvPr>
        <xdr:cNvSpPr/>
      </xdr:nvSpPr>
      <xdr:spPr>
        <a:xfrm>
          <a:off x="112061" y="373156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100856</xdr:colOff>
      <xdr:row>7</xdr:row>
      <xdr:rowOff>403419</xdr:rowOff>
    </xdr:from>
    <xdr:to>
      <xdr:col>0</xdr:col>
      <xdr:colOff>1411945</xdr:colOff>
      <xdr:row>8</xdr:row>
      <xdr:rowOff>280154</xdr:rowOff>
    </xdr:to>
    <xdr:sp macro="" textlink="">
      <xdr:nvSpPr>
        <xdr:cNvPr id="16" name="Rectangle 15">
          <a:hlinkClick xmlns:r="http://schemas.openxmlformats.org/officeDocument/2006/relationships" r:id="rId13"/>
          <a:extLst>
            <a:ext uri="{FF2B5EF4-FFF2-40B4-BE49-F238E27FC236}">
              <a16:creationId xmlns:a16="http://schemas.microsoft.com/office/drawing/2014/main" id="{00000000-0008-0000-0A00-000010000000}"/>
            </a:ext>
          </a:extLst>
        </xdr:cNvPr>
        <xdr:cNvSpPr/>
      </xdr:nvSpPr>
      <xdr:spPr>
        <a:xfrm>
          <a:off x="100856" y="407894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27</xdr:col>
      <xdr:colOff>204509</xdr:colOff>
      <xdr:row>2</xdr:row>
      <xdr:rowOff>124807</xdr:rowOff>
    </xdr:from>
    <xdr:to>
      <xdr:col>42</xdr:col>
      <xdr:colOff>280147</xdr:colOff>
      <xdr:row>2</xdr:row>
      <xdr:rowOff>916782</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18335627" y="998866"/>
          <a:ext cx="2675402"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235322</xdr:colOff>
      <xdr:row>0</xdr:row>
      <xdr:rowOff>56030</xdr:rowOff>
    </xdr:from>
    <xdr:to>
      <xdr:col>0</xdr:col>
      <xdr:colOff>1325935</xdr:colOff>
      <xdr:row>0</xdr:row>
      <xdr:rowOff>538897</xdr:rowOff>
    </xdr:to>
    <xdr:pic>
      <xdr:nvPicPr>
        <xdr:cNvPr id="5" name="Picture 4" descr="HomeBBB.gif">
          <a:hlinkClick xmlns:r="http://schemas.openxmlformats.org/officeDocument/2006/relationships" r:id="rId1"/>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35322" y="56030"/>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123265</xdr:colOff>
      <xdr:row>1</xdr:row>
      <xdr:rowOff>0</xdr:rowOff>
    </xdr:from>
    <xdr:to>
      <xdr:col>0</xdr:col>
      <xdr:colOff>1434354</xdr:colOff>
      <xdr:row>2</xdr:row>
      <xdr:rowOff>11206</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0B00-000006000000}"/>
            </a:ext>
          </a:extLst>
        </xdr:cNvPr>
        <xdr:cNvSpPr/>
      </xdr:nvSpPr>
      <xdr:spPr>
        <a:xfrm>
          <a:off x="123265" y="58270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112060</xdr:colOff>
      <xdr:row>2</xdr:row>
      <xdr:rowOff>56033</xdr:rowOff>
    </xdr:from>
    <xdr:to>
      <xdr:col>0</xdr:col>
      <xdr:colOff>1423149</xdr:colOff>
      <xdr:row>2</xdr:row>
      <xdr:rowOff>358592</xdr:rowOff>
    </xdr:to>
    <xdr:sp macro="" textlink="">
      <xdr:nvSpPr>
        <xdr:cNvPr id="7" name="Rectangle 6">
          <a:hlinkClick xmlns:r="http://schemas.openxmlformats.org/officeDocument/2006/relationships" r:id="rId4"/>
          <a:extLst>
            <a:ext uri="{FF2B5EF4-FFF2-40B4-BE49-F238E27FC236}">
              <a16:creationId xmlns:a16="http://schemas.microsoft.com/office/drawing/2014/main" id="{00000000-0008-0000-0B00-000007000000}"/>
            </a:ext>
          </a:extLst>
        </xdr:cNvPr>
        <xdr:cNvSpPr/>
      </xdr:nvSpPr>
      <xdr:spPr>
        <a:xfrm>
          <a:off x="112060" y="93009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123269</xdr:colOff>
      <xdr:row>2</xdr:row>
      <xdr:rowOff>403419</xdr:rowOff>
    </xdr:from>
    <xdr:to>
      <xdr:col>0</xdr:col>
      <xdr:colOff>1434358</xdr:colOff>
      <xdr:row>2</xdr:row>
      <xdr:rowOff>705978</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00000000-0008-0000-0B00-000008000000}"/>
            </a:ext>
          </a:extLst>
        </xdr:cNvPr>
        <xdr:cNvSpPr/>
      </xdr:nvSpPr>
      <xdr:spPr>
        <a:xfrm>
          <a:off x="123269" y="1277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123268</xdr:colOff>
      <xdr:row>2</xdr:row>
      <xdr:rowOff>750801</xdr:rowOff>
    </xdr:from>
    <xdr:to>
      <xdr:col>0</xdr:col>
      <xdr:colOff>1434357</xdr:colOff>
      <xdr:row>2</xdr:row>
      <xdr:rowOff>1053360</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00000000-0008-0000-0B00-000009000000}"/>
            </a:ext>
          </a:extLst>
        </xdr:cNvPr>
        <xdr:cNvSpPr/>
      </xdr:nvSpPr>
      <xdr:spPr>
        <a:xfrm>
          <a:off x="123268" y="162486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112062</xdr:colOff>
      <xdr:row>2</xdr:row>
      <xdr:rowOff>1109386</xdr:rowOff>
    </xdr:from>
    <xdr:to>
      <xdr:col>0</xdr:col>
      <xdr:colOff>1423151</xdr:colOff>
      <xdr:row>3</xdr:row>
      <xdr:rowOff>212916</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00000000-0008-0000-0B00-00000A000000}"/>
            </a:ext>
          </a:extLst>
        </xdr:cNvPr>
        <xdr:cNvSpPr/>
      </xdr:nvSpPr>
      <xdr:spPr>
        <a:xfrm>
          <a:off x="112062" y="198344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IPA  </a:t>
          </a:r>
        </a:p>
      </xdr:txBody>
    </xdr:sp>
    <xdr:clientData/>
  </xdr:twoCellAnchor>
  <xdr:twoCellAnchor>
    <xdr:from>
      <xdr:col>0</xdr:col>
      <xdr:colOff>112062</xdr:colOff>
      <xdr:row>3</xdr:row>
      <xdr:rowOff>268946</xdr:rowOff>
    </xdr:from>
    <xdr:to>
      <xdr:col>0</xdr:col>
      <xdr:colOff>1423151</xdr:colOff>
      <xdr:row>4</xdr:row>
      <xdr:rowOff>246534</xdr:rowOff>
    </xdr:to>
    <xdr:sp macro="" textlink="">
      <xdr:nvSpPr>
        <xdr:cNvPr id="11" name="Rectangle 10">
          <a:hlinkClick xmlns:r="http://schemas.openxmlformats.org/officeDocument/2006/relationships" r:id="rId8"/>
          <a:extLst>
            <a:ext uri="{FF2B5EF4-FFF2-40B4-BE49-F238E27FC236}">
              <a16:creationId xmlns:a16="http://schemas.microsoft.com/office/drawing/2014/main" id="{00000000-0008-0000-0B00-00000B000000}"/>
            </a:ext>
          </a:extLst>
        </xdr:cNvPr>
        <xdr:cNvSpPr/>
      </xdr:nvSpPr>
      <xdr:spPr>
        <a:xfrm>
          <a:off x="112062" y="234203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123268</xdr:colOff>
      <xdr:row>4</xdr:row>
      <xdr:rowOff>291361</xdr:rowOff>
    </xdr:from>
    <xdr:to>
      <xdr:col>0</xdr:col>
      <xdr:colOff>1434357</xdr:colOff>
      <xdr:row>5</xdr:row>
      <xdr:rowOff>67244</xdr:rowOff>
    </xdr:to>
    <xdr:sp macro="" textlink="">
      <xdr:nvSpPr>
        <xdr:cNvPr id="12" name="Rectangle 11">
          <a:hlinkClick xmlns:r="http://schemas.openxmlformats.org/officeDocument/2006/relationships" r:id="rId9"/>
          <a:extLst>
            <a:ext uri="{FF2B5EF4-FFF2-40B4-BE49-F238E27FC236}">
              <a16:creationId xmlns:a16="http://schemas.microsoft.com/office/drawing/2014/main" id="{00000000-0008-0000-0B00-00000C000000}"/>
            </a:ext>
          </a:extLst>
        </xdr:cNvPr>
        <xdr:cNvSpPr/>
      </xdr:nvSpPr>
      <xdr:spPr>
        <a:xfrm>
          <a:off x="123268" y="268942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123267</xdr:colOff>
      <xdr:row>5</xdr:row>
      <xdr:rowOff>112063</xdr:rowOff>
    </xdr:from>
    <xdr:to>
      <xdr:col>0</xdr:col>
      <xdr:colOff>1434356</xdr:colOff>
      <xdr:row>5</xdr:row>
      <xdr:rowOff>414622</xdr:rowOff>
    </xdr:to>
    <xdr:sp macro="" textlink="">
      <xdr:nvSpPr>
        <xdr:cNvPr id="13" name="Rectangle 12">
          <a:hlinkClick xmlns:r="http://schemas.openxmlformats.org/officeDocument/2006/relationships" r:id="rId10"/>
          <a:extLst>
            <a:ext uri="{FF2B5EF4-FFF2-40B4-BE49-F238E27FC236}">
              <a16:creationId xmlns:a16="http://schemas.microsoft.com/office/drawing/2014/main" id="{00000000-0008-0000-0B00-00000D000000}"/>
            </a:ext>
          </a:extLst>
        </xdr:cNvPr>
        <xdr:cNvSpPr/>
      </xdr:nvSpPr>
      <xdr:spPr>
        <a:xfrm>
          <a:off x="123267" y="3036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123267</xdr:colOff>
      <xdr:row>5</xdr:row>
      <xdr:rowOff>459445</xdr:rowOff>
    </xdr:from>
    <xdr:to>
      <xdr:col>0</xdr:col>
      <xdr:colOff>1434356</xdr:colOff>
      <xdr:row>6</xdr:row>
      <xdr:rowOff>235327</xdr:rowOff>
    </xdr:to>
    <xdr:sp macro="" textlink="">
      <xdr:nvSpPr>
        <xdr:cNvPr id="14" name="Rectangle 13">
          <a:hlinkClick xmlns:r="http://schemas.openxmlformats.org/officeDocument/2006/relationships" r:id="rId11"/>
          <a:extLst>
            <a:ext uri="{FF2B5EF4-FFF2-40B4-BE49-F238E27FC236}">
              <a16:creationId xmlns:a16="http://schemas.microsoft.com/office/drawing/2014/main" id="{00000000-0008-0000-0B00-00000E000000}"/>
            </a:ext>
          </a:extLst>
        </xdr:cNvPr>
        <xdr:cNvSpPr/>
      </xdr:nvSpPr>
      <xdr:spPr>
        <a:xfrm>
          <a:off x="123267" y="338418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123267</xdr:colOff>
      <xdr:row>6</xdr:row>
      <xdr:rowOff>257740</xdr:rowOff>
    </xdr:from>
    <xdr:to>
      <xdr:col>0</xdr:col>
      <xdr:colOff>1434356</xdr:colOff>
      <xdr:row>7</xdr:row>
      <xdr:rowOff>33623</xdr:rowOff>
    </xdr:to>
    <xdr:sp macro="" textlink="">
      <xdr:nvSpPr>
        <xdr:cNvPr id="15" name="Rectangle 14">
          <a:hlinkClick xmlns:r="http://schemas.openxmlformats.org/officeDocument/2006/relationships" r:id="rId12"/>
          <a:extLst>
            <a:ext uri="{FF2B5EF4-FFF2-40B4-BE49-F238E27FC236}">
              <a16:creationId xmlns:a16="http://schemas.microsoft.com/office/drawing/2014/main" id="{00000000-0008-0000-0B00-00000F000000}"/>
            </a:ext>
          </a:extLst>
        </xdr:cNvPr>
        <xdr:cNvSpPr/>
      </xdr:nvSpPr>
      <xdr:spPr>
        <a:xfrm>
          <a:off x="123267" y="37091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112062</xdr:colOff>
      <xdr:row>7</xdr:row>
      <xdr:rowOff>78448</xdr:rowOff>
    </xdr:from>
    <xdr:to>
      <xdr:col>0</xdr:col>
      <xdr:colOff>1423151</xdr:colOff>
      <xdr:row>7</xdr:row>
      <xdr:rowOff>381007</xdr:rowOff>
    </xdr:to>
    <xdr:sp macro="" textlink="">
      <xdr:nvSpPr>
        <xdr:cNvPr id="16" name="Rectangle 15">
          <a:hlinkClick xmlns:r="http://schemas.openxmlformats.org/officeDocument/2006/relationships" r:id="rId13"/>
          <a:extLst>
            <a:ext uri="{FF2B5EF4-FFF2-40B4-BE49-F238E27FC236}">
              <a16:creationId xmlns:a16="http://schemas.microsoft.com/office/drawing/2014/main" id="{00000000-0008-0000-0B00-000010000000}"/>
            </a:ext>
          </a:extLst>
        </xdr:cNvPr>
        <xdr:cNvSpPr/>
      </xdr:nvSpPr>
      <xdr:spPr>
        <a:xfrm>
          <a:off x="112062" y="405653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27</xdr:col>
      <xdr:colOff>204509</xdr:colOff>
      <xdr:row>2</xdr:row>
      <xdr:rowOff>124807</xdr:rowOff>
    </xdr:from>
    <xdr:to>
      <xdr:col>41</xdr:col>
      <xdr:colOff>246530</xdr:colOff>
      <xdr:row>2</xdr:row>
      <xdr:rowOff>916782</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18447685" y="998866"/>
          <a:ext cx="2641786"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190501</xdr:colOff>
      <xdr:row>0</xdr:row>
      <xdr:rowOff>56029</xdr:rowOff>
    </xdr:from>
    <xdr:to>
      <xdr:col>0</xdr:col>
      <xdr:colOff>1281114</xdr:colOff>
      <xdr:row>0</xdr:row>
      <xdr:rowOff>538896</xdr:rowOff>
    </xdr:to>
    <xdr:pic>
      <xdr:nvPicPr>
        <xdr:cNvPr id="5" name="Picture 4" descr="HomeBBB.gif">
          <a:hlinkClick xmlns:r="http://schemas.openxmlformats.org/officeDocument/2006/relationships" r:id="rId1"/>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190501" y="56029"/>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112059</xdr:colOff>
      <xdr:row>1</xdr:row>
      <xdr:rowOff>0</xdr:rowOff>
    </xdr:from>
    <xdr:to>
      <xdr:col>0</xdr:col>
      <xdr:colOff>1423148</xdr:colOff>
      <xdr:row>2</xdr:row>
      <xdr:rowOff>11206</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0C00-000006000000}"/>
            </a:ext>
          </a:extLst>
        </xdr:cNvPr>
        <xdr:cNvSpPr/>
      </xdr:nvSpPr>
      <xdr:spPr>
        <a:xfrm>
          <a:off x="112059" y="58270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100854</xdr:colOff>
      <xdr:row>2</xdr:row>
      <xdr:rowOff>56033</xdr:rowOff>
    </xdr:from>
    <xdr:to>
      <xdr:col>0</xdr:col>
      <xdr:colOff>1411943</xdr:colOff>
      <xdr:row>2</xdr:row>
      <xdr:rowOff>358592</xdr:rowOff>
    </xdr:to>
    <xdr:sp macro="" textlink="">
      <xdr:nvSpPr>
        <xdr:cNvPr id="7" name="Rectangle 6">
          <a:hlinkClick xmlns:r="http://schemas.openxmlformats.org/officeDocument/2006/relationships" r:id="rId4"/>
          <a:extLst>
            <a:ext uri="{FF2B5EF4-FFF2-40B4-BE49-F238E27FC236}">
              <a16:creationId xmlns:a16="http://schemas.microsoft.com/office/drawing/2014/main" id="{00000000-0008-0000-0C00-000007000000}"/>
            </a:ext>
          </a:extLst>
        </xdr:cNvPr>
        <xdr:cNvSpPr/>
      </xdr:nvSpPr>
      <xdr:spPr>
        <a:xfrm>
          <a:off x="100854" y="93009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112063</xdr:colOff>
      <xdr:row>2</xdr:row>
      <xdr:rowOff>403419</xdr:rowOff>
    </xdr:from>
    <xdr:to>
      <xdr:col>0</xdr:col>
      <xdr:colOff>1423152</xdr:colOff>
      <xdr:row>2</xdr:row>
      <xdr:rowOff>705978</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00000000-0008-0000-0C00-000008000000}"/>
            </a:ext>
          </a:extLst>
        </xdr:cNvPr>
        <xdr:cNvSpPr/>
      </xdr:nvSpPr>
      <xdr:spPr>
        <a:xfrm>
          <a:off x="112063" y="1277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112062</xdr:colOff>
      <xdr:row>2</xdr:row>
      <xdr:rowOff>750801</xdr:rowOff>
    </xdr:from>
    <xdr:to>
      <xdr:col>0</xdr:col>
      <xdr:colOff>1423151</xdr:colOff>
      <xdr:row>2</xdr:row>
      <xdr:rowOff>1053360</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00000000-0008-0000-0C00-000009000000}"/>
            </a:ext>
          </a:extLst>
        </xdr:cNvPr>
        <xdr:cNvSpPr/>
      </xdr:nvSpPr>
      <xdr:spPr>
        <a:xfrm>
          <a:off x="112062" y="162486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100856</xdr:colOff>
      <xdr:row>2</xdr:row>
      <xdr:rowOff>1109386</xdr:rowOff>
    </xdr:from>
    <xdr:to>
      <xdr:col>0</xdr:col>
      <xdr:colOff>1411945</xdr:colOff>
      <xdr:row>3</xdr:row>
      <xdr:rowOff>212916</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00000000-0008-0000-0C00-00000A000000}"/>
            </a:ext>
          </a:extLst>
        </xdr:cNvPr>
        <xdr:cNvSpPr/>
      </xdr:nvSpPr>
      <xdr:spPr>
        <a:xfrm>
          <a:off x="100856" y="198344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100856</xdr:colOff>
      <xdr:row>3</xdr:row>
      <xdr:rowOff>268946</xdr:rowOff>
    </xdr:from>
    <xdr:to>
      <xdr:col>0</xdr:col>
      <xdr:colOff>1411945</xdr:colOff>
      <xdr:row>4</xdr:row>
      <xdr:rowOff>246534</xdr:rowOff>
    </xdr:to>
    <xdr:sp macro="" textlink="">
      <xdr:nvSpPr>
        <xdr:cNvPr id="11" name="Rectangle 10">
          <a:hlinkClick xmlns:r="http://schemas.openxmlformats.org/officeDocument/2006/relationships" r:id="rId8"/>
          <a:extLst>
            <a:ext uri="{FF2B5EF4-FFF2-40B4-BE49-F238E27FC236}">
              <a16:creationId xmlns:a16="http://schemas.microsoft.com/office/drawing/2014/main" id="{00000000-0008-0000-0C00-00000B000000}"/>
            </a:ext>
          </a:extLst>
        </xdr:cNvPr>
        <xdr:cNvSpPr/>
      </xdr:nvSpPr>
      <xdr:spPr>
        <a:xfrm>
          <a:off x="100856" y="234203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IPS  </a:t>
          </a:r>
        </a:p>
      </xdr:txBody>
    </xdr:sp>
    <xdr:clientData/>
  </xdr:twoCellAnchor>
  <xdr:twoCellAnchor>
    <xdr:from>
      <xdr:col>0</xdr:col>
      <xdr:colOff>112062</xdr:colOff>
      <xdr:row>4</xdr:row>
      <xdr:rowOff>291361</xdr:rowOff>
    </xdr:from>
    <xdr:to>
      <xdr:col>0</xdr:col>
      <xdr:colOff>1423151</xdr:colOff>
      <xdr:row>5</xdr:row>
      <xdr:rowOff>112067</xdr:rowOff>
    </xdr:to>
    <xdr:sp macro="" textlink="">
      <xdr:nvSpPr>
        <xdr:cNvPr id="12" name="Rectangle 11">
          <a:hlinkClick xmlns:r="http://schemas.openxmlformats.org/officeDocument/2006/relationships" r:id="rId9"/>
          <a:extLst>
            <a:ext uri="{FF2B5EF4-FFF2-40B4-BE49-F238E27FC236}">
              <a16:creationId xmlns:a16="http://schemas.microsoft.com/office/drawing/2014/main" id="{00000000-0008-0000-0C00-00000C000000}"/>
            </a:ext>
          </a:extLst>
        </xdr:cNvPr>
        <xdr:cNvSpPr/>
      </xdr:nvSpPr>
      <xdr:spPr>
        <a:xfrm>
          <a:off x="112062" y="268942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112061</xdr:colOff>
      <xdr:row>5</xdr:row>
      <xdr:rowOff>156886</xdr:rowOff>
    </xdr:from>
    <xdr:to>
      <xdr:col>0</xdr:col>
      <xdr:colOff>1423150</xdr:colOff>
      <xdr:row>5</xdr:row>
      <xdr:rowOff>459445</xdr:rowOff>
    </xdr:to>
    <xdr:sp macro="" textlink="">
      <xdr:nvSpPr>
        <xdr:cNvPr id="13" name="Rectangle 12">
          <a:hlinkClick xmlns:r="http://schemas.openxmlformats.org/officeDocument/2006/relationships" r:id="rId10"/>
          <a:extLst>
            <a:ext uri="{FF2B5EF4-FFF2-40B4-BE49-F238E27FC236}">
              <a16:creationId xmlns:a16="http://schemas.microsoft.com/office/drawing/2014/main" id="{00000000-0008-0000-0C00-00000D000000}"/>
            </a:ext>
          </a:extLst>
        </xdr:cNvPr>
        <xdr:cNvSpPr/>
      </xdr:nvSpPr>
      <xdr:spPr>
        <a:xfrm>
          <a:off x="112061" y="3036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112061</xdr:colOff>
      <xdr:row>6</xdr:row>
      <xdr:rowOff>22415</xdr:rowOff>
    </xdr:from>
    <xdr:to>
      <xdr:col>0</xdr:col>
      <xdr:colOff>1423150</xdr:colOff>
      <xdr:row>6</xdr:row>
      <xdr:rowOff>324974</xdr:rowOff>
    </xdr:to>
    <xdr:sp macro="" textlink="">
      <xdr:nvSpPr>
        <xdr:cNvPr id="14" name="Rectangle 13">
          <a:hlinkClick xmlns:r="http://schemas.openxmlformats.org/officeDocument/2006/relationships" r:id="rId11"/>
          <a:extLst>
            <a:ext uri="{FF2B5EF4-FFF2-40B4-BE49-F238E27FC236}">
              <a16:creationId xmlns:a16="http://schemas.microsoft.com/office/drawing/2014/main" id="{00000000-0008-0000-0C00-00000E000000}"/>
            </a:ext>
          </a:extLst>
        </xdr:cNvPr>
        <xdr:cNvSpPr/>
      </xdr:nvSpPr>
      <xdr:spPr>
        <a:xfrm>
          <a:off x="112061" y="338418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112061</xdr:colOff>
      <xdr:row>6</xdr:row>
      <xdr:rowOff>347387</xdr:rowOff>
    </xdr:from>
    <xdr:to>
      <xdr:col>0</xdr:col>
      <xdr:colOff>1423150</xdr:colOff>
      <xdr:row>7</xdr:row>
      <xdr:rowOff>168093</xdr:rowOff>
    </xdr:to>
    <xdr:sp macro="" textlink="">
      <xdr:nvSpPr>
        <xdr:cNvPr id="15" name="Rectangle 14">
          <a:hlinkClick xmlns:r="http://schemas.openxmlformats.org/officeDocument/2006/relationships" r:id="rId12"/>
          <a:extLst>
            <a:ext uri="{FF2B5EF4-FFF2-40B4-BE49-F238E27FC236}">
              <a16:creationId xmlns:a16="http://schemas.microsoft.com/office/drawing/2014/main" id="{00000000-0008-0000-0C00-00000F000000}"/>
            </a:ext>
          </a:extLst>
        </xdr:cNvPr>
        <xdr:cNvSpPr/>
      </xdr:nvSpPr>
      <xdr:spPr>
        <a:xfrm>
          <a:off x="112061" y="37091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100856</xdr:colOff>
      <xdr:row>7</xdr:row>
      <xdr:rowOff>212918</xdr:rowOff>
    </xdr:from>
    <xdr:to>
      <xdr:col>0</xdr:col>
      <xdr:colOff>1411945</xdr:colOff>
      <xdr:row>8</xdr:row>
      <xdr:rowOff>33624</xdr:rowOff>
    </xdr:to>
    <xdr:sp macro="" textlink="">
      <xdr:nvSpPr>
        <xdr:cNvPr id="16" name="Rectangle 15">
          <a:hlinkClick xmlns:r="http://schemas.openxmlformats.org/officeDocument/2006/relationships" r:id="rId13"/>
          <a:extLst>
            <a:ext uri="{FF2B5EF4-FFF2-40B4-BE49-F238E27FC236}">
              <a16:creationId xmlns:a16="http://schemas.microsoft.com/office/drawing/2014/main" id="{00000000-0008-0000-0C00-000010000000}"/>
            </a:ext>
          </a:extLst>
        </xdr:cNvPr>
        <xdr:cNvSpPr/>
      </xdr:nvSpPr>
      <xdr:spPr>
        <a:xfrm>
          <a:off x="100856" y="405653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27</xdr:col>
      <xdr:colOff>204509</xdr:colOff>
      <xdr:row>2</xdr:row>
      <xdr:rowOff>124807</xdr:rowOff>
    </xdr:from>
    <xdr:to>
      <xdr:col>42</xdr:col>
      <xdr:colOff>190500</xdr:colOff>
      <xdr:row>2</xdr:row>
      <xdr:rowOff>916782</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18342830" y="1009271"/>
          <a:ext cx="2584956"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212911</xdr:colOff>
      <xdr:row>0</xdr:row>
      <xdr:rowOff>78442</xdr:rowOff>
    </xdr:from>
    <xdr:to>
      <xdr:col>0</xdr:col>
      <xdr:colOff>1303524</xdr:colOff>
      <xdr:row>0</xdr:row>
      <xdr:rowOff>561309</xdr:rowOff>
    </xdr:to>
    <xdr:pic>
      <xdr:nvPicPr>
        <xdr:cNvPr id="5" name="Picture 4" descr="HomeBBB.gif">
          <a:hlinkClick xmlns:r="http://schemas.openxmlformats.org/officeDocument/2006/relationships" r:id="rId1"/>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2911" y="78442"/>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123265</xdr:colOff>
      <xdr:row>1</xdr:row>
      <xdr:rowOff>33618</xdr:rowOff>
    </xdr:from>
    <xdr:to>
      <xdr:col>0</xdr:col>
      <xdr:colOff>1434354</xdr:colOff>
      <xdr:row>2</xdr:row>
      <xdr:rowOff>44824</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0D00-000006000000}"/>
            </a:ext>
          </a:extLst>
        </xdr:cNvPr>
        <xdr:cNvSpPr/>
      </xdr:nvSpPr>
      <xdr:spPr>
        <a:xfrm>
          <a:off x="123265" y="61632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112060</xdr:colOff>
      <xdr:row>2</xdr:row>
      <xdr:rowOff>89651</xdr:rowOff>
    </xdr:from>
    <xdr:to>
      <xdr:col>0</xdr:col>
      <xdr:colOff>1423149</xdr:colOff>
      <xdr:row>2</xdr:row>
      <xdr:rowOff>392210</xdr:rowOff>
    </xdr:to>
    <xdr:sp macro="" textlink="">
      <xdr:nvSpPr>
        <xdr:cNvPr id="7" name="Rectangle 6">
          <a:hlinkClick xmlns:r="http://schemas.openxmlformats.org/officeDocument/2006/relationships" r:id="rId4"/>
          <a:extLst>
            <a:ext uri="{FF2B5EF4-FFF2-40B4-BE49-F238E27FC236}">
              <a16:creationId xmlns:a16="http://schemas.microsoft.com/office/drawing/2014/main" id="{00000000-0008-0000-0D00-000007000000}"/>
            </a:ext>
          </a:extLst>
        </xdr:cNvPr>
        <xdr:cNvSpPr/>
      </xdr:nvSpPr>
      <xdr:spPr>
        <a:xfrm>
          <a:off x="112060" y="96371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123269</xdr:colOff>
      <xdr:row>2</xdr:row>
      <xdr:rowOff>437037</xdr:rowOff>
    </xdr:from>
    <xdr:to>
      <xdr:col>0</xdr:col>
      <xdr:colOff>1434358</xdr:colOff>
      <xdr:row>2</xdr:row>
      <xdr:rowOff>739596</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00000000-0008-0000-0D00-000008000000}"/>
            </a:ext>
          </a:extLst>
        </xdr:cNvPr>
        <xdr:cNvSpPr/>
      </xdr:nvSpPr>
      <xdr:spPr>
        <a:xfrm>
          <a:off x="123269" y="131109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123268</xdr:colOff>
      <xdr:row>2</xdr:row>
      <xdr:rowOff>784419</xdr:rowOff>
    </xdr:from>
    <xdr:to>
      <xdr:col>0</xdr:col>
      <xdr:colOff>1434357</xdr:colOff>
      <xdr:row>2</xdr:row>
      <xdr:rowOff>1086978</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00000000-0008-0000-0D00-000009000000}"/>
            </a:ext>
          </a:extLst>
        </xdr:cNvPr>
        <xdr:cNvSpPr/>
      </xdr:nvSpPr>
      <xdr:spPr>
        <a:xfrm>
          <a:off x="123268" y="1658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112062</xdr:colOff>
      <xdr:row>2</xdr:row>
      <xdr:rowOff>1143004</xdr:rowOff>
    </xdr:from>
    <xdr:to>
      <xdr:col>0</xdr:col>
      <xdr:colOff>1423151</xdr:colOff>
      <xdr:row>3</xdr:row>
      <xdr:rowOff>246534</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00000000-0008-0000-0D00-00000A000000}"/>
            </a:ext>
          </a:extLst>
        </xdr:cNvPr>
        <xdr:cNvSpPr/>
      </xdr:nvSpPr>
      <xdr:spPr>
        <a:xfrm>
          <a:off x="112062" y="2017063"/>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112062</xdr:colOff>
      <xdr:row>3</xdr:row>
      <xdr:rowOff>302564</xdr:rowOff>
    </xdr:from>
    <xdr:to>
      <xdr:col>0</xdr:col>
      <xdr:colOff>1423151</xdr:colOff>
      <xdr:row>4</xdr:row>
      <xdr:rowOff>280152</xdr:rowOff>
    </xdr:to>
    <xdr:sp macro="" textlink="">
      <xdr:nvSpPr>
        <xdr:cNvPr id="11" name="Rectangle 10">
          <a:hlinkClick xmlns:r="http://schemas.openxmlformats.org/officeDocument/2006/relationships" r:id="rId8"/>
          <a:extLst>
            <a:ext uri="{FF2B5EF4-FFF2-40B4-BE49-F238E27FC236}">
              <a16:creationId xmlns:a16="http://schemas.microsoft.com/office/drawing/2014/main" id="{00000000-0008-0000-0D00-00000B000000}"/>
            </a:ext>
          </a:extLst>
        </xdr:cNvPr>
        <xdr:cNvSpPr/>
      </xdr:nvSpPr>
      <xdr:spPr>
        <a:xfrm>
          <a:off x="112062" y="23756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123268</xdr:colOff>
      <xdr:row>4</xdr:row>
      <xdr:rowOff>324979</xdr:rowOff>
    </xdr:from>
    <xdr:to>
      <xdr:col>0</xdr:col>
      <xdr:colOff>1434357</xdr:colOff>
      <xdr:row>4</xdr:row>
      <xdr:rowOff>627538</xdr:rowOff>
    </xdr:to>
    <xdr:sp macro="" textlink="">
      <xdr:nvSpPr>
        <xdr:cNvPr id="12" name="Rectangle 11">
          <a:hlinkClick xmlns:r="http://schemas.openxmlformats.org/officeDocument/2006/relationships" r:id="rId9"/>
          <a:extLst>
            <a:ext uri="{FF2B5EF4-FFF2-40B4-BE49-F238E27FC236}">
              <a16:creationId xmlns:a16="http://schemas.microsoft.com/office/drawing/2014/main" id="{00000000-0008-0000-0D00-00000C000000}"/>
            </a:ext>
          </a:extLst>
        </xdr:cNvPr>
        <xdr:cNvSpPr/>
      </xdr:nvSpPr>
      <xdr:spPr>
        <a:xfrm>
          <a:off x="123268" y="272303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SBDP  </a:t>
          </a:r>
        </a:p>
      </xdr:txBody>
    </xdr:sp>
    <xdr:clientData/>
  </xdr:twoCellAnchor>
  <xdr:twoCellAnchor>
    <xdr:from>
      <xdr:col>0</xdr:col>
      <xdr:colOff>123267</xdr:colOff>
      <xdr:row>4</xdr:row>
      <xdr:rowOff>672357</xdr:rowOff>
    </xdr:from>
    <xdr:to>
      <xdr:col>0</xdr:col>
      <xdr:colOff>1434356</xdr:colOff>
      <xdr:row>5</xdr:row>
      <xdr:rowOff>168093</xdr:rowOff>
    </xdr:to>
    <xdr:sp macro="" textlink="">
      <xdr:nvSpPr>
        <xdr:cNvPr id="13" name="Rectangle 12">
          <a:hlinkClick xmlns:r="http://schemas.openxmlformats.org/officeDocument/2006/relationships" r:id="rId10"/>
          <a:extLst>
            <a:ext uri="{FF2B5EF4-FFF2-40B4-BE49-F238E27FC236}">
              <a16:creationId xmlns:a16="http://schemas.microsoft.com/office/drawing/2014/main" id="{00000000-0008-0000-0D00-00000D000000}"/>
            </a:ext>
          </a:extLst>
        </xdr:cNvPr>
        <xdr:cNvSpPr/>
      </xdr:nvSpPr>
      <xdr:spPr>
        <a:xfrm>
          <a:off x="123267" y="307041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123267</xdr:colOff>
      <xdr:row>5</xdr:row>
      <xdr:rowOff>212916</xdr:rowOff>
    </xdr:from>
    <xdr:to>
      <xdr:col>0</xdr:col>
      <xdr:colOff>1434356</xdr:colOff>
      <xdr:row>5</xdr:row>
      <xdr:rowOff>515475</xdr:rowOff>
    </xdr:to>
    <xdr:sp macro="" textlink="">
      <xdr:nvSpPr>
        <xdr:cNvPr id="14" name="Rectangle 13">
          <a:hlinkClick xmlns:r="http://schemas.openxmlformats.org/officeDocument/2006/relationships" r:id="rId11"/>
          <a:extLst>
            <a:ext uri="{FF2B5EF4-FFF2-40B4-BE49-F238E27FC236}">
              <a16:creationId xmlns:a16="http://schemas.microsoft.com/office/drawing/2014/main" id="{00000000-0008-0000-0D00-00000E000000}"/>
            </a:ext>
          </a:extLst>
        </xdr:cNvPr>
        <xdr:cNvSpPr/>
      </xdr:nvSpPr>
      <xdr:spPr>
        <a:xfrm>
          <a:off x="123267" y="3417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123267</xdr:colOff>
      <xdr:row>5</xdr:row>
      <xdr:rowOff>537888</xdr:rowOff>
    </xdr:from>
    <xdr:to>
      <xdr:col>0</xdr:col>
      <xdr:colOff>1434356</xdr:colOff>
      <xdr:row>6</xdr:row>
      <xdr:rowOff>33623</xdr:rowOff>
    </xdr:to>
    <xdr:sp macro="" textlink="">
      <xdr:nvSpPr>
        <xdr:cNvPr id="15" name="Rectangle 14">
          <a:hlinkClick xmlns:r="http://schemas.openxmlformats.org/officeDocument/2006/relationships" r:id="rId12"/>
          <a:extLst>
            <a:ext uri="{FF2B5EF4-FFF2-40B4-BE49-F238E27FC236}">
              <a16:creationId xmlns:a16="http://schemas.microsoft.com/office/drawing/2014/main" id="{00000000-0008-0000-0D00-00000F000000}"/>
            </a:ext>
          </a:extLst>
        </xdr:cNvPr>
        <xdr:cNvSpPr/>
      </xdr:nvSpPr>
      <xdr:spPr>
        <a:xfrm>
          <a:off x="123267" y="374277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112062</xdr:colOff>
      <xdr:row>6</xdr:row>
      <xdr:rowOff>78448</xdr:rowOff>
    </xdr:from>
    <xdr:to>
      <xdr:col>0</xdr:col>
      <xdr:colOff>1423151</xdr:colOff>
      <xdr:row>6</xdr:row>
      <xdr:rowOff>381007</xdr:rowOff>
    </xdr:to>
    <xdr:sp macro="" textlink="">
      <xdr:nvSpPr>
        <xdr:cNvPr id="16" name="Rectangle 15">
          <a:hlinkClick xmlns:r="http://schemas.openxmlformats.org/officeDocument/2006/relationships" r:id="rId13"/>
          <a:extLst>
            <a:ext uri="{FF2B5EF4-FFF2-40B4-BE49-F238E27FC236}">
              <a16:creationId xmlns:a16="http://schemas.microsoft.com/office/drawing/2014/main" id="{00000000-0008-0000-0D00-000010000000}"/>
            </a:ext>
          </a:extLst>
        </xdr:cNvPr>
        <xdr:cNvSpPr/>
      </xdr:nvSpPr>
      <xdr:spPr>
        <a:xfrm>
          <a:off x="112062" y="409015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27</xdr:col>
      <xdr:colOff>204509</xdr:colOff>
      <xdr:row>2</xdr:row>
      <xdr:rowOff>124807</xdr:rowOff>
    </xdr:from>
    <xdr:to>
      <xdr:col>42</xdr:col>
      <xdr:colOff>268942</xdr:colOff>
      <xdr:row>2</xdr:row>
      <xdr:rowOff>916782</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18425274" y="998866"/>
          <a:ext cx="2664197"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212913</xdr:colOff>
      <xdr:row>0</xdr:row>
      <xdr:rowOff>44824</xdr:rowOff>
    </xdr:from>
    <xdr:to>
      <xdr:col>0</xdr:col>
      <xdr:colOff>1303526</xdr:colOff>
      <xdr:row>0</xdr:row>
      <xdr:rowOff>527691</xdr:rowOff>
    </xdr:to>
    <xdr:pic>
      <xdr:nvPicPr>
        <xdr:cNvPr id="5" name="Picture 4" descr="HomeBBB.gif">
          <a:hlinkClick xmlns:r="http://schemas.openxmlformats.org/officeDocument/2006/relationships" r:id="rId1"/>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2913" y="44824"/>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112059</xdr:colOff>
      <xdr:row>1</xdr:row>
      <xdr:rowOff>0</xdr:rowOff>
    </xdr:from>
    <xdr:to>
      <xdr:col>0</xdr:col>
      <xdr:colOff>1423148</xdr:colOff>
      <xdr:row>2</xdr:row>
      <xdr:rowOff>11206</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0E00-000006000000}"/>
            </a:ext>
          </a:extLst>
        </xdr:cNvPr>
        <xdr:cNvSpPr/>
      </xdr:nvSpPr>
      <xdr:spPr>
        <a:xfrm>
          <a:off x="112059" y="58270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100854</xdr:colOff>
      <xdr:row>2</xdr:row>
      <xdr:rowOff>56033</xdr:rowOff>
    </xdr:from>
    <xdr:to>
      <xdr:col>0</xdr:col>
      <xdr:colOff>1411943</xdr:colOff>
      <xdr:row>2</xdr:row>
      <xdr:rowOff>358592</xdr:rowOff>
    </xdr:to>
    <xdr:sp macro="" textlink="">
      <xdr:nvSpPr>
        <xdr:cNvPr id="7" name="Rectangle 6">
          <a:hlinkClick xmlns:r="http://schemas.openxmlformats.org/officeDocument/2006/relationships" r:id="rId4"/>
          <a:extLst>
            <a:ext uri="{FF2B5EF4-FFF2-40B4-BE49-F238E27FC236}">
              <a16:creationId xmlns:a16="http://schemas.microsoft.com/office/drawing/2014/main" id="{00000000-0008-0000-0E00-000007000000}"/>
            </a:ext>
          </a:extLst>
        </xdr:cNvPr>
        <xdr:cNvSpPr/>
      </xdr:nvSpPr>
      <xdr:spPr>
        <a:xfrm>
          <a:off x="100854" y="93009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112063</xdr:colOff>
      <xdr:row>2</xdr:row>
      <xdr:rowOff>403419</xdr:rowOff>
    </xdr:from>
    <xdr:to>
      <xdr:col>0</xdr:col>
      <xdr:colOff>1423152</xdr:colOff>
      <xdr:row>2</xdr:row>
      <xdr:rowOff>705978</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00000000-0008-0000-0E00-000008000000}"/>
            </a:ext>
          </a:extLst>
        </xdr:cNvPr>
        <xdr:cNvSpPr/>
      </xdr:nvSpPr>
      <xdr:spPr>
        <a:xfrm>
          <a:off x="112063" y="1277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112062</xdr:colOff>
      <xdr:row>2</xdr:row>
      <xdr:rowOff>750801</xdr:rowOff>
    </xdr:from>
    <xdr:to>
      <xdr:col>0</xdr:col>
      <xdr:colOff>1423151</xdr:colOff>
      <xdr:row>2</xdr:row>
      <xdr:rowOff>1053360</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00000000-0008-0000-0E00-000009000000}"/>
            </a:ext>
          </a:extLst>
        </xdr:cNvPr>
        <xdr:cNvSpPr/>
      </xdr:nvSpPr>
      <xdr:spPr>
        <a:xfrm>
          <a:off x="112062" y="162486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100856</xdr:colOff>
      <xdr:row>2</xdr:row>
      <xdr:rowOff>1109386</xdr:rowOff>
    </xdr:from>
    <xdr:to>
      <xdr:col>0</xdr:col>
      <xdr:colOff>1411945</xdr:colOff>
      <xdr:row>3</xdr:row>
      <xdr:rowOff>212916</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00000000-0008-0000-0E00-00000A000000}"/>
            </a:ext>
          </a:extLst>
        </xdr:cNvPr>
        <xdr:cNvSpPr/>
      </xdr:nvSpPr>
      <xdr:spPr>
        <a:xfrm>
          <a:off x="100856" y="198344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100856</xdr:colOff>
      <xdr:row>3</xdr:row>
      <xdr:rowOff>268946</xdr:rowOff>
    </xdr:from>
    <xdr:to>
      <xdr:col>0</xdr:col>
      <xdr:colOff>1411945</xdr:colOff>
      <xdr:row>4</xdr:row>
      <xdr:rowOff>246534</xdr:rowOff>
    </xdr:to>
    <xdr:sp macro="" textlink="">
      <xdr:nvSpPr>
        <xdr:cNvPr id="11" name="Rectangle 10">
          <a:hlinkClick xmlns:r="http://schemas.openxmlformats.org/officeDocument/2006/relationships" r:id="rId8"/>
          <a:extLst>
            <a:ext uri="{FF2B5EF4-FFF2-40B4-BE49-F238E27FC236}">
              <a16:creationId xmlns:a16="http://schemas.microsoft.com/office/drawing/2014/main" id="{00000000-0008-0000-0E00-00000B000000}"/>
            </a:ext>
          </a:extLst>
        </xdr:cNvPr>
        <xdr:cNvSpPr/>
      </xdr:nvSpPr>
      <xdr:spPr>
        <a:xfrm>
          <a:off x="100856" y="234203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112062</xdr:colOff>
      <xdr:row>4</xdr:row>
      <xdr:rowOff>291361</xdr:rowOff>
    </xdr:from>
    <xdr:to>
      <xdr:col>0</xdr:col>
      <xdr:colOff>1423151</xdr:colOff>
      <xdr:row>4</xdr:row>
      <xdr:rowOff>593920</xdr:rowOff>
    </xdr:to>
    <xdr:sp macro="" textlink="">
      <xdr:nvSpPr>
        <xdr:cNvPr id="12" name="Rectangle 11">
          <a:hlinkClick xmlns:r="http://schemas.openxmlformats.org/officeDocument/2006/relationships" r:id="rId9"/>
          <a:extLst>
            <a:ext uri="{FF2B5EF4-FFF2-40B4-BE49-F238E27FC236}">
              <a16:creationId xmlns:a16="http://schemas.microsoft.com/office/drawing/2014/main" id="{00000000-0008-0000-0E00-00000C000000}"/>
            </a:ext>
          </a:extLst>
        </xdr:cNvPr>
        <xdr:cNvSpPr/>
      </xdr:nvSpPr>
      <xdr:spPr>
        <a:xfrm>
          <a:off x="112062" y="268942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112061</xdr:colOff>
      <xdr:row>4</xdr:row>
      <xdr:rowOff>638739</xdr:rowOff>
    </xdr:from>
    <xdr:to>
      <xdr:col>0</xdr:col>
      <xdr:colOff>1423150</xdr:colOff>
      <xdr:row>5</xdr:row>
      <xdr:rowOff>145681</xdr:rowOff>
    </xdr:to>
    <xdr:sp macro="" textlink="">
      <xdr:nvSpPr>
        <xdr:cNvPr id="13" name="Rectangle 12">
          <a:hlinkClick xmlns:r="http://schemas.openxmlformats.org/officeDocument/2006/relationships" r:id="rId10"/>
          <a:extLst>
            <a:ext uri="{FF2B5EF4-FFF2-40B4-BE49-F238E27FC236}">
              <a16:creationId xmlns:a16="http://schemas.microsoft.com/office/drawing/2014/main" id="{00000000-0008-0000-0E00-00000D000000}"/>
            </a:ext>
          </a:extLst>
        </xdr:cNvPr>
        <xdr:cNvSpPr/>
      </xdr:nvSpPr>
      <xdr:spPr>
        <a:xfrm>
          <a:off x="112061" y="3036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PJOK  </a:t>
          </a:r>
        </a:p>
      </xdr:txBody>
    </xdr:sp>
    <xdr:clientData/>
  </xdr:twoCellAnchor>
  <xdr:twoCellAnchor>
    <xdr:from>
      <xdr:col>0</xdr:col>
      <xdr:colOff>112061</xdr:colOff>
      <xdr:row>5</xdr:row>
      <xdr:rowOff>190504</xdr:rowOff>
    </xdr:from>
    <xdr:to>
      <xdr:col>0</xdr:col>
      <xdr:colOff>1423150</xdr:colOff>
      <xdr:row>5</xdr:row>
      <xdr:rowOff>493063</xdr:rowOff>
    </xdr:to>
    <xdr:sp macro="" textlink="">
      <xdr:nvSpPr>
        <xdr:cNvPr id="14" name="Rectangle 13">
          <a:hlinkClick xmlns:r="http://schemas.openxmlformats.org/officeDocument/2006/relationships" r:id="rId11"/>
          <a:extLst>
            <a:ext uri="{FF2B5EF4-FFF2-40B4-BE49-F238E27FC236}">
              <a16:creationId xmlns:a16="http://schemas.microsoft.com/office/drawing/2014/main" id="{00000000-0008-0000-0E00-00000E000000}"/>
            </a:ext>
          </a:extLst>
        </xdr:cNvPr>
        <xdr:cNvSpPr/>
      </xdr:nvSpPr>
      <xdr:spPr>
        <a:xfrm>
          <a:off x="112061" y="338418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112061</xdr:colOff>
      <xdr:row>5</xdr:row>
      <xdr:rowOff>515476</xdr:rowOff>
    </xdr:from>
    <xdr:to>
      <xdr:col>0</xdr:col>
      <xdr:colOff>1423150</xdr:colOff>
      <xdr:row>6</xdr:row>
      <xdr:rowOff>22417</xdr:rowOff>
    </xdr:to>
    <xdr:sp macro="" textlink="">
      <xdr:nvSpPr>
        <xdr:cNvPr id="15" name="Rectangle 14">
          <a:hlinkClick xmlns:r="http://schemas.openxmlformats.org/officeDocument/2006/relationships" r:id="rId12"/>
          <a:extLst>
            <a:ext uri="{FF2B5EF4-FFF2-40B4-BE49-F238E27FC236}">
              <a16:creationId xmlns:a16="http://schemas.microsoft.com/office/drawing/2014/main" id="{00000000-0008-0000-0E00-00000F000000}"/>
            </a:ext>
          </a:extLst>
        </xdr:cNvPr>
        <xdr:cNvSpPr/>
      </xdr:nvSpPr>
      <xdr:spPr>
        <a:xfrm>
          <a:off x="112061" y="37091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100856</xdr:colOff>
      <xdr:row>6</xdr:row>
      <xdr:rowOff>67242</xdr:rowOff>
    </xdr:from>
    <xdr:to>
      <xdr:col>0</xdr:col>
      <xdr:colOff>1411945</xdr:colOff>
      <xdr:row>6</xdr:row>
      <xdr:rowOff>369801</xdr:rowOff>
    </xdr:to>
    <xdr:sp macro="" textlink="">
      <xdr:nvSpPr>
        <xdr:cNvPr id="16" name="Rectangle 15">
          <a:hlinkClick xmlns:r="http://schemas.openxmlformats.org/officeDocument/2006/relationships" r:id="rId13"/>
          <a:extLst>
            <a:ext uri="{FF2B5EF4-FFF2-40B4-BE49-F238E27FC236}">
              <a16:creationId xmlns:a16="http://schemas.microsoft.com/office/drawing/2014/main" id="{00000000-0008-0000-0E00-000010000000}"/>
            </a:ext>
          </a:extLst>
        </xdr:cNvPr>
        <xdr:cNvSpPr/>
      </xdr:nvSpPr>
      <xdr:spPr>
        <a:xfrm>
          <a:off x="100856" y="405653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27</xdr:col>
      <xdr:colOff>204510</xdr:colOff>
      <xdr:row>2</xdr:row>
      <xdr:rowOff>124807</xdr:rowOff>
    </xdr:from>
    <xdr:to>
      <xdr:col>45</xdr:col>
      <xdr:colOff>224119</xdr:colOff>
      <xdr:row>2</xdr:row>
      <xdr:rowOff>916782</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14368745" y="998866"/>
          <a:ext cx="2619374"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190499</xdr:colOff>
      <xdr:row>0</xdr:row>
      <xdr:rowOff>56029</xdr:rowOff>
    </xdr:from>
    <xdr:to>
      <xdr:col>0</xdr:col>
      <xdr:colOff>1281112</xdr:colOff>
      <xdr:row>0</xdr:row>
      <xdr:rowOff>538896</xdr:rowOff>
    </xdr:to>
    <xdr:pic>
      <xdr:nvPicPr>
        <xdr:cNvPr id="5" name="Picture 4" descr="HomeBBB.gif">
          <a:hlinkClick xmlns:r="http://schemas.openxmlformats.org/officeDocument/2006/relationships" r:id="rId1"/>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190499" y="56029"/>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112059</xdr:colOff>
      <xdr:row>1</xdr:row>
      <xdr:rowOff>0</xdr:rowOff>
    </xdr:from>
    <xdr:to>
      <xdr:col>0</xdr:col>
      <xdr:colOff>1423148</xdr:colOff>
      <xdr:row>2</xdr:row>
      <xdr:rowOff>11206</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0F00-000006000000}"/>
            </a:ext>
          </a:extLst>
        </xdr:cNvPr>
        <xdr:cNvSpPr/>
      </xdr:nvSpPr>
      <xdr:spPr>
        <a:xfrm>
          <a:off x="112059" y="58270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100854</xdr:colOff>
      <xdr:row>2</xdr:row>
      <xdr:rowOff>56033</xdr:rowOff>
    </xdr:from>
    <xdr:to>
      <xdr:col>0</xdr:col>
      <xdr:colOff>1411943</xdr:colOff>
      <xdr:row>2</xdr:row>
      <xdr:rowOff>358592</xdr:rowOff>
    </xdr:to>
    <xdr:sp macro="" textlink="">
      <xdr:nvSpPr>
        <xdr:cNvPr id="7" name="Rectangle 6">
          <a:hlinkClick xmlns:r="http://schemas.openxmlformats.org/officeDocument/2006/relationships" r:id="rId4"/>
          <a:extLst>
            <a:ext uri="{FF2B5EF4-FFF2-40B4-BE49-F238E27FC236}">
              <a16:creationId xmlns:a16="http://schemas.microsoft.com/office/drawing/2014/main" id="{00000000-0008-0000-0F00-000007000000}"/>
            </a:ext>
          </a:extLst>
        </xdr:cNvPr>
        <xdr:cNvSpPr/>
      </xdr:nvSpPr>
      <xdr:spPr>
        <a:xfrm>
          <a:off x="100854" y="93009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112063</xdr:colOff>
      <xdr:row>2</xdr:row>
      <xdr:rowOff>403419</xdr:rowOff>
    </xdr:from>
    <xdr:to>
      <xdr:col>0</xdr:col>
      <xdr:colOff>1423152</xdr:colOff>
      <xdr:row>2</xdr:row>
      <xdr:rowOff>705978</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00000000-0008-0000-0F00-000008000000}"/>
            </a:ext>
          </a:extLst>
        </xdr:cNvPr>
        <xdr:cNvSpPr/>
      </xdr:nvSpPr>
      <xdr:spPr>
        <a:xfrm>
          <a:off x="112063" y="1277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112062</xdr:colOff>
      <xdr:row>2</xdr:row>
      <xdr:rowOff>750801</xdr:rowOff>
    </xdr:from>
    <xdr:to>
      <xdr:col>0</xdr:col>
      <xdr:colOff>1423151</xdr:colOff>
      <xdr:row>2</xdr:row>
      <xdr:rowOff>1053360</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00000000-0008-0000-0F00-000009000000}"/>
            </a:ext>
          </a:extLst>
        </xdr:cNvPr>
        <xdr:cNvSpPr/>
      </xdr:nvSpPr>
      <xdr:spPr>
        <a:xfrm>
          <a:off x="112062" y="162486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100856</xdr:colOff>
      <xdr:row>2</xdr:row>
      <xdr:rowOff>1109386</xdr:rowOff>
    </xdr:from>
    <xdr:to>
      <xdr:col>0</xdr:col>
      <xdr:colOff>1411945</xdr:colOff>
      <xdr:row>3</xdr:row>
      <xdr:rowOff>212916</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00000000-0008-0000-0F00-00000A000000}"/>
            </a:ext>
          </a:extLst>
        </xdr:cNvPr>
        <xdr:cNvSpPr/>
      </xdr:nvSpPr>
      <xdr:spPr>
        <a:xfrm>
          <a:off x="100856" y="198344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100856</xdr:colOff>
      <xdr:row>3</xdr:row>
      <xdr:rowOff>268946</xdr:rowOff>
    </xdr:from>
    <xdr:to>
      <xdr:col>0</xdr:col>
      <xdr:colOff>1411945</xdr:colOff>
      <xdr:row>4</xdr:row>
      <xdr:rowOff>246534</xdr:rowOff>
    </xdr:to>
    <xdr:sp macro="" textlink="">
      <xdr:nvSpPr>
        <xdr:cNvPr id="11" name="Rectangle 10">
          <a:hlinkClick xmlns:r="http://schemas.openxmlformats.org/officeDocument/2006/relationships" r:id="rId8"/>
          <a:extLst>
            <a:ext uri="{FF2B5EF4-FFF2-40B4-BE49-F238E27FC236}">
              <a16:creationId xmlns:a16="http://schemas.microsoft.com/office/drawing/2014/main" id="{00000000-0008-0000-0F00-00000B000000}"/>
            </a:ext>
          </a:extLst>
        </xdr:cNvPr>
        <xdr:cNvSpPr/>
      </xdr:nvSpPr>
      <xdr:spPr>
        <a:xfrm>
          <a:off x="100856" y="234203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112062</xdr:colOff>
      <xdr:row>4</xdr:row>
      <xdr:rowOff>291361</xdr:rowOff>
    </xdr:from>
    <xdr:to>
      <xdr:col>0</xdr:col>
      <xdr:colOff>1423151</xdr:colOff>
      <xdr:row>4</xdr:row>
      <xdr:rowOff>593920</xdr:rowOff>
    </xdr:to>
    <xdr:sp macro="" textlink="">
      <xdr:nvSpPr>
        <xdr:cNvPr id="12" name="Rectangle 11">
          <a:hlinkClick xmlns:r="http://schemas.openxmlformats.org/officeDocument/2006/relationships" r:id="rId9"/>
          <a:extLst>
            <a:ext uri="{FF2B5EF4-FFF2-40B4-BE49-F238E27FC236}">
              <a16:creationId xmlns:a16="http://schemas.microsoft.com/office/drawing/2014/main" id="{00000000-0008-0000-0F00-00000C000000}"/>
            </a:ext>
          </a:extLst>
        </xdr:cNvPr>
        <xdr:cNvSpPr/>
      </xdr:nvSpPr>
      <xdr:spPr>
        <a:xfrm>
          <a:off x="112062" y="268942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112061</xdr:colOff>
      <xdr:row>4</xdr:row>
      <xdr:rowOff>638739</xdr:rowOff>
    </xdr:from>
    <xdr:to>
      <xdr:col>0</xdr:col>
      <xdr:colOff>1423150</xdr:colOff>
      <xdr:row>5</xdr:row>
      <xdr:rowOff>145681</xdr:rowOff>
    </xdr:to>
    <xdr:sp macro="" textlink="">
      <xdr:nvSpPr>
        <xdr:cNvPr id="13" name="Rectangle 12">
          <a:hlinkClick xmlns:r="http://schemas.openxmlformats.org/officeDocument/2006/relationships" r:id="rId10"/>
          <a:extLst>
            <a:ext uri="{FF2B5EF4-FFF2-40B4-BE49-F238E27FC236}">
              <a16:creationId xmlns:a16="http://schemas.microsoft.com/office/drawing/2014/main" id="{00000000-0008-0000-0F00-00000D000000}"/>
            </a:ext>
          </a:extLst>
        </xdr:cNvPr>
        <xdr:cNvSpPr/>
      </xdr:nvSpPr>
      <xdr:spPr>
        <a:xfrm>
          <a:off x="112061" y="3036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112061</xdr:colOff>
      <xdr:row>5</xdr:row>
      <xdr:rowOff>190504</xdr:rowOff>
    </xdr:from>
    <xdr:to>
      <xdr:col>0</xdr:col>
      <xdr:colOff>1423150</xdr:colOff>
      <xdr:row>5</xdr:row>
      <xdr:rowOff>493063</xdr:rowOff>
    </xdr:to>
    <xdr:sp macro="" textlink="">
      <xdr:nvSpPr>
        <xdr:cNvPr id="14" name="Rectangle 13">
          <a:hlinkClick xmlns:r="http://schemas.openxmlformats.org/officeDocument/2006/relationships" r:id="rId11"/>
          <a:extLst>
            <a:ext uri="{FF2B5EF4-FFF2-40B4-BE49-F238E27FC236}">
              <a16:creationId xmlns:a16="http://schemas.microsoft.com/office/drawing/2014/main" id="{00000000-0008-0000-0F00-00000E000000}"/>
            </a:ext>
          </a:extLst>
        </xdr:cNvPr>
        <xdr:cNvSpPr/>
      </xdr:nvSpPr>
      <xdr:spPr>
        <a:xfrm>
          <a:off x="112061" y="338418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MULOK 1</a:t>
          </a:r>
        </a:p>
      </xdr:txBody>
    </xdr:sp>
    <xdr:clientData/>
  </xdr:twoCellAnchor>
  <xdr:twoCellAnchor>
    <xdr:from>
      <xdr:col>0</xdr:col>
      <xdr:colOff>112061</xdr:colOff>
      <xdr:row>5</xdr:row>
      <xdr:rowOff>515476</xdr:rowOff>
    </xdr:from>
    <xdr:to>
      <xdr:col>0</xdr:col>
      <xdr:colOff>1423150</xdr:colOff>
      <xdr:row>6</xdr:row>
      <xdr:rowOff>22417</xdr:rowOff>
    </xdr:to>
    <xdr:sp macro="" textlink="">
      <xdr:nvSpPr>
        <xdr:cNvPr id="15" name="Rectangle 14">
          <a:hlinkClick xmlns:r="http://schemas.openxmlformats.org/officeDocument/2006/relationships" r:id="rId12"/>
          <a:extLst>
            <a:ext uri="{FF2B5EF4-FFF2-40B4-BE49-F238E27FC236}">
              <a16:creationId xmlns:a16="http://schemas.microsoft.com/office/drawing/2014/main" id="{00000000-0008-0000-0F00-00000F000000}"/>
            </a:ext>
          </a:extLst>
        </xdr:cNvPr>
        <xdr:cNvSpPr/>
      </xdr:nvSpPr>
      <xdr:spPr>
        <a:xfrm>
          <a:off x="112061" y="37091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100856</xdr:colOff>
      <xdr:row>6</xdr:row>
      <xdr:rowOff>67242</xdr:rowOff>
    </xdr:from>
    <xdr:to>
      <xdr:col>0</xdr:col>
      <xdr:colOff>1411945</xdr:colOff>
      <xdr:row>6</xdr:row>
      <xdr:rowOff>369801</xdr:rowOff>
    </xdr:to>
    <xdr:sp macro="" textlink="">
      <xdr:nvSpPr>
        <xdr:cNvPr id="16" name="Rectangle 15">
          <a:hlinkClick xmlns:r="http://schemas.openxmlformats.org/officeDocument/2006/relationships" r:id="rId13"/>
          <a:extLst>
            <a:ext uri="{FF2B5EF4-FFF2-40B4-BE49-F238E27FC236}">
              <a16:creationId xmlns:a16="http://schemas.microsoft.com/office/drawing/2014/main" id="{00000000-0008-0000-0F00-000010000000}"/>
            </a:ext>
          </a:extLst>
        </xdr:cNvPr>
        <xdr:cNvSpPr/>
      </xdr:nvSpPr>
      <xdr:spPr>
        <a:xfrm>
          <a:off x="100856" y="405653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30</xdr:col>
      <xdr:colOff>204509</xdr:colOff>
      <xdr:row>2</xdr:row>
      <xdr:rowOff>124807</xdr:rowOff>
    </xdr:from>
    <xdr:to>
      <xdr:col>44</xdr:col>
      <xdr:colOff>235323</xdr:colOff>
      <xdr:row>2</xdr:row>
      <xdr:rowOff>916782</xdr:rowOff>
    </xdr:to>
    <xdr:sp macro="" textlink="">
      <xdr:nvSpPr>
        <xdr:cNvPr id="4" name="TextBox 3">
          <a:extLst>
            <a:ext uri="{FF2B5EF4-FFF2-40B4-BE49-F238E27FC236}">
              <a16:creationId xmlns:a16="http://schemas.microsoft.com/office/drawing/2014/main" id="{00000000-0008-0000-1000-000004000000}"/>
            </a:ext>
          </a:extLst>
        </xdr:cNvPr>
        <xdr:cNvSpPr txBox="1"/>
      </xdr:nvSpPr>
      <xdr:spPr>
        <a:xfrm>
          <a:off x="18380450" y="998866"/>
          <a:ext cx="2630579"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201706</xdr:colOff>
      <xdr:row>0</xdr:row>
      <xdr:rowOff>56030</xdr:rowOff>
    </xdr:from>
    <xdr:to>
      <xdr:col>0</xdr:col>
      <xdr:colOff>1292319</xdr:colOff>
      <xdr:row>0</xdr:row>
      <xdr:rowOff>538897</xdr:rowOff>
    </xdr:to>
    <xdr:pic>
      <xdr:nvPicPr>
        <xdr:cNvPr id="5" name="Picture 4" descr="HomeBBB.gif">
          <a:hlinkClick xmlns:r="http://schemas.openxmlformats.org/officeDocument/2006/relationships" r:id="rId1"/>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01706" y="56030"/>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123265</xdr:colOff>
      <xdr:row>1</xdr:row>
      <xdr:rowOff>33618</xdr:rowOff>
    </xdr:from>
    <xdr:to>
      <xdr:col>0</xdr:col>
      <xdr:colOff>1434354</xdr:colOff>
      <xdr:row>2</xdr:row>
      <xdr:rowOff>44824</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1000-000006000000}"/>
            </a:ext>
          </a:extLst>
        </xdr:cNvPr>
        <xdr:cNvSpPr/>
      </xdr:nvSpPr>
      <xdr:spPr>
        <a:xfrm>
          <a:off x="123265" y="61632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112060</xdr:colOff>
      <xdr:row>2</xdr:row>
      <xdr:rowOff>89651</xdr:rowOff>
    </xdr:from>
    <xdr:to>
      <xdr:col>0</xdr:col>
      <xdr:colOff>1423149</xdr:colOff>
      <xdr:row>2</xdr:row>
      <xdr:rowOff>392210</xdr:rowOff>
    </xdr:to>
    <xdr:sp macro="" textlink="">
      <xdr:nvSpPr>
        <xdr:cNvPr id="7" name="Rectangle 6">
          <a:hlinkClick xmlns:r="http://schemas.openxmlformats.org/officeDocument/2006/relationships" r:id="rId4"/>
          <a:extLst>
            <a:ext uri="{FF2B5EF4-FFF2-40B4-BE49-F238E27FC236}">
              <a16:creationId xmlns:a16="http://schemas.microsoft.com/office/drawing/2014/main" id="{00000000-0008-0000-1000-000007000000}"/>
            </a:ext>
          </a:extLst>
        </xdr:cNvPr>
        <xdr:cNvSpPr/>
      </xdr:nvSpPr>
      <xdr:spPr>
        <a:xfrm>
          <a:off x="112060" y="96371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123269</xdr:colOff>
      <xdr:row>2</xdr:row>
      <xdr:rowOff>437037</xdr:rowOff>
    </xdr:from>
    <xdr:to>
      <xdr:col>0</xdr:col>
      <xdr:colOff>1434358</xdr:colOff>
      <xdr:row>2</xdr:row>
      <xdr:rowOff>739596</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00000000-0008-0000-1000-000008000000}"/>
            </a:ext>
          </a:extLst>
        </xdr:cNvPr>
        <xdr:cNvSpPr/>
      </xdr:nvSpPr>
      <xdr:spPr>
        <a:xfrm>
          <a:off x="123269" y="131109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123268</xdr:colOff>
      <xdr:row>2</xdr:row>
      <xdr:rowOff>784419</xdr:rowOff>
    </xdr:from>
    <xdr:to>
      <xdr:col>0</xdr:col>
      <xdr:colOff>1434357</xdr:colOff>
      <xdr:row>2</xdr:row>
      <xdr:rowOff>1086978</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00000000-0008-0000-1000-000009000000}"/>
            </a:ext>
          </a:extLst>
        </xdr:cNvPr>
        <xdr:cNvSpPr/>
      </xdr:nvSpPr>
      <xdr:spPr>
        <a:xfrm>
          <a:off x="123268" y="165847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112062</xdr:colOff>
      <xdr:row>2</xdr:row>
      <xdr:rowOff>1143004</xdr:rowOff>
    </xdr:from>
    <xdr:to>
      <xdr:col>0</xdr:col>
      <xdr:colOff>1423151</xdr:colOff>
      <xdr:row>3</xdr:row>
      <xdr:rowOff>246534</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00000000-0008-0000-1000-00000A000000}"/>
            </a:ext>
          </a:extLst>
        </xdr:cNvPr>
        <xdr:cNvSpPr/>
      </xdr:nvSpPr>
      <xdr:spPr>
        <a:xfrm>
          <a:off x="112062" y="2017063"/>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112062</xdr:colOff>
      <xdr:row>3</xdr:row>
      <xdr:rowOff>302564</xdr:rowOff>
    </xdr:from>
    <xdr:to>
      <xdr:col>0</xdr:col>
      <xdr:colOff>1423151</xdr:colOff>
      <xdr:row>4</xdr:row>
      <xdr:rowOff>280152</xdr:rowOff>
    </xdr:to>
    <xdr:sp macro="" textlink="">
      <xdr:nvSpPr>
        <xdr:cNvPr id="11" name="Rectangle 10">
          <a:hlinkClick xmlns:r="http://schemas.openxmlformats.org/officeDocument/2006/relationships" r:id="rId8"/>
          <a:extLst>
            <a:ext uri="{FF2B5EF4-FFF2-40B4-BE49-F238E27FC236}">
              <a16:creationId xmlns:a16="http://schemas.microsoft.com/office/drawing/2014/main" id="{00000000-0008-0000-1000-00000B000000}"/>
            </a:ext>
          </a:extLst>
        </xdr:cNvPr>
        <xdr:cNvSpPr/>
      </xdr:nvSpPr>
      <xdr:spPr>
        <a:xfrm>
          <a:off x="112062" y="237565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123268</xdr:colOff>
      <xdr:row>4</xdr:row>
      <xdr:rowOff>324979</xdr:rowOff>
    </xdr:from>
    <xdr:to>
      <xdr:col>0</xdr:col>
      <xdr:colOff>1434357</xdr:colOff>
      <xdr:row>4</xdr:row>
      <xdr:rowOff>627538</xdr:rowOff>
    </xdr:to>
    <xdr:sp macro="" textlink="">
      <xdr:nvSpPr>
        <xdr:cNvPr id="12" name="Rectangle 11">
          <a:hlinkClick xmlns:r="http://schemas.openxmlformats.org/officeDocument/2006/relationships" r:id="rId9"/>
          <a:extLst>
            <a:ext uri="{FF2B5EF4-FFF2-40B4-BE49-F238E27FC236}">
              <a16:creationId xmlns:a16="http://schemas.microsoft.com/office/drawing/2014/main" id="{00000000-0008-0000-1000-00000C000000}"/>
            </a:ext>
          </a:extLst>
        </xdr:cNvPr>
        <xdr:cNvSpPr/>
      </xdr:nvSpPr>
      <xdr:spPr>
        <a:xfrm>
          <a:off x="123268" y="272303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123267</xdr:colOff>
      <xdr:row>4</xdr:row>
      <xdr:rowOff>672357</xdr:rowOff>
    </xdr:from>
    <xdr:to>
      <xdr:col>0</xdr:col>
      <xdr:colOff>1434356</xdr:colOff>
      <xdr:row>5</xdr:row>
      <xdr:rowOff>246534</xdr:rowOff>
    </xdr:to>
    <xdr:sp macro="" textlink="">
      <xdr:nvSpPr>
        <xdr:cNvPr id="13" name="Rectangle 12">
          <a:hlinkClick xmlns:r="http://schemas.openxmlformats.org/officeDocument/2006/relationships" r:id="rId10"/>
          <a:extLst>
            <a:ext uri="{FF2B5EF4-FFF2-40B4-BE49-F238E27FC236}">
              <a16:creationId xmlns:a16="http://schemas.microsoft.com/office/drawing/2014/main" id="{00000000-0008-0000-1000-00000D000000}"/>
            </a:ext>
          </a:extLst>
        </xdr:cNvPr>
        <xdr:cNvSpPr/>
      </xdr:nvSpPr>
      <xdr:spPr>
        <a:xfrm>
          <a:off x="123267" y="307041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123267</xdr:colOff>
      <xdr:row>5</xdr:row>
      <xdr:rowOff>291357</xdr:rowOff>
    </xdr:from>
    <xdr:to>
      <xdr:col>0</xdr:col>
      <xdr:colOff>1434356</xdr:colOff>
      <xdr:row>5</xdr:row>
      <xdr:rowOff>593916</xdr:rowOff>
    </xdr:to>
    <xdr:sp macro="" textlink="">
      <xdr:nvSpPr>
        <xdr:cNvPr id="14" name="Rectangle 13">
          <a:hlinkClick xmlns:r="http://schemas.openxmlformats.org/officeDocument/2006/relationships" r:id="rId11"/>
          <a:extLst>
            <a:ext uri="{FF2B5EF4-FFF2-40B4-BE49-F238E27FC236}">
              <a16:creationId xmlns:a16="http://schemas.microsoft.com/office/drawing/2014/main" id="{00000000-0008-0000-1000-00000E000000}"/>
            </a:ext>
          </a:extLst>
        </xdr:cNvPr>
        <xdr:cNvSpPr/>
      </xdr:nvSpPr>
      <xdr:spPr>
        <a:xfrm>
          <a:off x="123267" y="341779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123267</xdr:colOff>
      <xdr:row>5</xdr:row>
      <xdr:rowOff>616329</xdr:rowOff>
    </xdr:from>
    <xdr:to>
      <xdr:col>0</xdr:col>
      <xdr:colOff>1434356</xdr:colOff>
      <xdr:row>6</xdr:row>
      <xdr:rowOff>190505</xdr:rowOff>
    </xdr:to>
    <xdr:sp macro="" textlink="">
      <xdr:nvSpPr>
        <xdr:cNvPr id="15" name="Rectangle 14">
          <a:hlinkClick xmlns:r="http://schemas.openxmlformats.org/officeDocument/2006/relationships" r:id="rId12"/>
          <a:extLst>
            <a:ext uri="{FF2B5EF4-FFF2-40B4-BE49-F238E27FC236}">
              <a16:creationId xmlns:a16="http://schemas.microsoft.com/office/drawing/2014/main" id="{00000000-0008-0000-1000-00000F000000}"/>
            </a:ext>
          </a:extLst>
        </xdr:cNvPr>
        <xdr:cNvSpPr/>
      </xdr:nvSpPr>
      <xdr:spPr>
        <a:xfrm>
          <a:off x="123267" y="374277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MULOK 2</a:t>
          </a:r>
        </a:p>
      </xdr:txBody>
    </xdr:sp>
    <xdr:clientData/>
  </xdr:twoCellAnchor>
  <xdr:twoCellAnchor>
    <xdr:from>
      <xdr:col>0</xdr:col>
      <xdr:colOff>112062</xdr:colOff>
      <xdr:row>6</xdr:row>
      <xdr:rowOff>235330</xdr:rowOff>
    </xdr:from>
    <xdr:to>
      <xdr:col>0</xdr:col>
      <xdr:colOff>1423151</xdr:colOff>
      <xdr:row>6</xdr:row>
      <xdr:rowOff>537889</xdr:rowOff>
    </xdr:to>
    <xdr:sp macro="" textlink="">
      <xdr:nvSpPr>
        <xdr:cNvPr id="16" name="Rectangle 15">
          <a:hlinkClick xmlns:r="http://schemas.openxmlformats.org/officeDocument/2006/relationships" r:id="rId13"/>
          <a:extLst>
            <a:ext uri="{FF2B5EF4-FFF2-40B4-BE49-F238E27FC236}">
              <a16:creationId xmlns:a16="http://schemas.microsoft.com/office/drawing/2014/main" id="{00000000-0008-0000-1000-000010000000}"/>
            </a:ext>
          </a:extLst>
        </xdr:cNvPr>
        <xdr:cNvSpPr/>
      </xdr:nvSpPr>
      <xdr:spPr>
        <a:xfrm>
          <a:off x="112062" y="409015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29</xdr:col>
      <xdr:colOff>204509</xdr:colOff>
      <xdr:row>2</xdr:row>
      <xdr:rowOff>124807</xdr:rowOff>
    </xdr:from>
    <xdr:to>
      <xdr:col>45</xdr:col>
      <xdr:colOff>272142</xdr:colOff>
      <xdr:row>2</xdr:row>
      <xdr:rowOff>916782</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9757973" y="1009271"/>
          <a:ext cx="2666598"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235324</xdr:colOff>
      <xdr:row>0</xdr:row>
      <xdr:rowOff>67236</xdr:rowOff>
    </xdr:from>
    <xdr:to>
      <xdr:col>0</xdr:col>
      <xdr:colOff>1325937</xdr:colOff>
      <xdr:row>0</xdr:row>
      <xdr:rowOff>550103</xdr:rowOff>
    </xdr:to>
    <xdr:pic>
      <xdr:nvPicPr>
        <xdr:cNvPr id="5" name="Picture 4" descr="HomeBBB.gif">
          <a:hlinkClick xmlns:r="http://schemas.openxmlformats.org/officeDocument/2006/relationships" r:id="rId1"/>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35324" y="67236"/>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112059</xdr:colOff>
      <xdr:row>1</xdr:row>
      <xdr:rowOff>56030</xdr:rowOff>
    </xdr:from>
    <xdr:to>
      <xdr:col>0</xdr:col>
      <xdr:colOff>1423148</xdr:colOff>
      <xdr:row>2</xdr:row>
      <xdr:rowOff>67236</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1100-000006000000}"/>
            </a:ext>
          </a:extLst>
        </xdr:cNvPr>
        <xdr:cNvSpPr/>
      </xdr:nvSpPr>
      <xdr:spPr>
        <a:xfrm>
          <a:off x="112059" y="63873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100854</xdr:colOff>
      <xdr:row>2</xdr:row>
      <xdr:rowOff>112063</xdr:rowOff>
    </xdr:from>
    <xdr:to>
      <xdr:col>0</xdr:col>
      <xdr:colOff>1411943</xdr:colOff>
      <xdr:row>2</xdr:row>
      <xdr:rowOff>414622</xdr:rowOff>
    </xdr:to>
    <xdr:sp macro="" textlink="">
      <xdr:nvSpPr>
        <xdr:cNvPr id="7" name="Rectangle 6">
          <a:hlinkClick xmlns:r="http://schemas.openxmlformats.org/officeDocument/2006/relationships" r:id="rId4"/>
          <a:extLst>
            <a:ext uri="{FF2B5EF4-FFF2-40B4-BE49-F238E27FC236}">
              <a16:creationId xmlns:a16="http://schemas.microsoft.com/office/drawing/2014/main" id="{00000000-0008-0000-1100-000007000000}"/>
            </a:ext>
          </a:extLst>
        </xdr:cNvPr>
        <xdr:cNvSpPr/>
      </xdr:nvSpPr>
      <xdr:spPr>
        <a:xfrm>
          <a:off x="100854" y="98612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112063</xdr:colOff>
      <xdr:row>2</xdr:row>
      <xdr:rowOff>459449</xdr:rowOff>
    </xdr:from>
    <xdr:to>
      <xdr:col>0</xdr:col>
      <xdr:colOff>1423152</xdr:colOff>
      <xdr:row>2</xdr:row>
      <xdr:rowOff>762008</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00000000-0008-0000-1100-000008000000}"/>
            </a:ext>
          </a:extLst>
        </xdr:cNvPr>
        <xdr:cNvSpPr/>
      </xdr:nvSpPr>
      <xdr:spPr>
        <a:xfrm>
          <a:off x="112063" y="133350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112062</xdr:colOff>
      <xdr:row>2</xdr:row>
      <xdr:rowOff>806831</xdr:rowOff>
    </xdr:from>
    <xdr:to>
      <xdr:col>0</xdr:col>
      <xdr:colOff>1423151</xdr:colOff>
      <xdr:row>2</xdr:row>
      <xdr:rowOff>1109390</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00000000-0008-0000-1100-000009000000}"/>
            </a:ext>
          </a:extLst>
        </xdr:cNvPr>
        <xdr:cNvSpPr/>
      </xdr:nvSpPr>
      <xdr:spPr>
        <a:xfrm>
          <a:off x="112062" y="168089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100856</xdr:colOff>
      <xdr:row>2</xdr:row>
      <xdr:rowOff>1165416</xdr:rowOff>
    </xdr:from>
    <xdr:to>
      <xdr:col>0</xdr:col>
      <xdr:colOff>1411945</xdr:colOff>
      <xdr:row>3</xdr:row>
      <xdr:rowOff>268946</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00000000-0008-0000-1100-00000A000000}"/>
            </a:ext>
          </a:extLst>
        </xdr:cNvPr>
        <xdr:cNvSpPr/>
      </xdr:nvSpPr>
      <xdr:spPr>
        <a:xfrm>
          <a:off x="100856" y="2039475"/>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100856</xdr:colOff>
      <xdr:row>4</xdr:row>
      <xdr:rowOff>5</xdr:rowOff>
    </xdr:from>
    <xdr:to>
      <xdr:col>0</xdr:col>
      <xdr:colOff>1411945</xdr:colOff>
      <xdr:row>4</xdr:row>
      <xdr:rowOff>302564</xdr:rowOff>
    </xdr:to>
    <xdr:sp macro="" textlink="">
      <xdr:nvSpPr>
        <xdr:cNvPr id="11" name="Rectangle 10">
          <a:hlinkClick xmlns:r="http://schemas.openxmlformats.org/officeDocument/2006/relationships" r:id="rId8"/>
          <a:extLst>
            <a:ext uri="{FF2B5EF4-FFF2-40B4-BE49-F238E27FC236}">
              <a16:creationId xmlns:a16="http://schemas.microsoft.com/office/drawing/2014/main" id="{00000000-0008-0000-1100-00000B000000}"/>
            </a:ext>
          </a:extLst>
        </xdr:cNvPr>
        <xdr:cNvSpPr/>
      </xdr:nvSpPr>
      <xdr:spPr>
        <a:xfrm>
          <a:off x="100856" y="2398064"/>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112062</xdr:colOff>
      <xdr:row>4</xdr:row>
      <xdr:rowOff>347391</xdr:rowOff>
    </xdr:from>
    <xdr:to>
      <xdr:col>0</xdr:col>
      <xdr:colOff>1423151</xdr:colOff>
      <xdr:row>4</xdr:row>
      <xdr:rowOff>649950</xdr:rowOff>
    </xdr:to>
    <xdr:sp macro="" textlink="">
      <xdr:nvSpPr>
        <xdr:cNvPr id="12" name="Rectangle 11">
          <a:hlinkClick xmlns:r="http://schemas.openxmlformats.org/officeDocument/2006/relationships" r:id="rId9"/>
          <a:extLst>
            <a:ext uri="{FF2B5EF4-FFF2-40B4-BE49-F238E27FC236}">
              <a16:creationId xmlns:a16="http://schemas.microsoft.com/office/drawing/2014/main" id="{00000000-0008-0000-1100-00000C000000}"/>
            </a:ext>
          </a:extLst>
        </xdr:cNvPr>
        <xdr:cNvSpPr/>
      </xdr:nvSpPr>
      <xdr:spPr>
        <a:xfrm>
          <a:off x="112062" y="274545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112061</xdr:colOff>
      <xdr:row>5</xdr:row>
      <xdr:rowOff>11210</xdr:rowOff>
    </xdr:from>
    <xdr:to>
      <xdr:col>0</xdr:col>
      <xdr:colOff>1423150</xdr:colOff>
      <xdr:row>5</xdr:row>
      <xdr:rowOff>313769</xdr:rowOff>
    </xdr:to>
    <xdr:sp macro="" textlink="">
      <xdr:nvSpPr>
        <xdr:cNvPr id="13" name="Rectangle 12">
          <a:hlinkClick xmlns:r="http://schemas.openxmlformats.org/officeDocument/2006/relationships" r:id="rId10"/>
          <a:extLst>
            <a:ext uri="{FF2B5EF4-FFF2-40B4-BE49-F238E27FC236}">
              <a16:creationId xmlns:a16="http://schemas.microsoft.com/office/drawing/2014/main" id="{00000000-0008-0000-1100-00000D000000}"/>
            </a:ext>
          </a:extLst>
        </xdr:cNvPr>
        <xdr:cNvSpPr/>
      </xdr:nvSpPr>
      <xdr:spPr>
        <a:xfrm>
          <a:off x="112061" y="3092828"/>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112061</xdr:colOff>
      <xdr:row>5</xdr:row>
      <xdr:rowOff>358592</xdr:rowOff>
    </xdr:from>
    <xdr:to>
      <xdr:col>0</xdr:col>
      <xdr:colOff>1423150</xdr:colOff>
      <xdr:row>5</xdr:row>
      <xdr:rowOff>661151</xdr:rowOff>
    </xdr:to>
    <xdr:sp macro="" textlink="">
      <xdr:nvSpPr>
        <xdr:cNvPr id="14" name="Rectangle 13">
          <a:hlinkClick xmlns:r="http://schemas.openxmlformats.org/officeDocument/2006/relationships" r:id="rId11"/>
          <a:extLst>
            <a:ext uri="{FF2B5EF4-FFF2-40B4-BE49-F238E27FC236}">
              <a16:creationId xmlns:a16="http://schemas.microsoft.com/office/drawing/2014/main" id="{00000000-0008-0000-1100-00000E000000}"/>
            </a:ext>
          </a:extLst>
        </xdr:cNvPr>
        <xdr:cNvSpPr/>
      </xdr:nvSpPr>
      <xdr:spPr>
        <a:xfrm>
          <a:off x="112061" y="3440210"/>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112061</xdr:colOff>
      <xdr:row>6</xdr:row>
      <xdr:rowOff>6</xdr:rowOff>
    </xdr:from>
    <xdr:to>
      <xdr:col>0</xdr:col>
      <xdr:colOff>1423150</xdr:colOff>
      <xdr:row>6</xdr:row>
      <xdr:rowOff>302565</xdr:rowOff>
    </xdr:to>
    <xdr:sp macro="" textlink="">
      <xdr:nvSpPr>
        <xdr:cNvPr id="15" name="Rectangle 14">
          <a:hlinkClick xmlns:r="http://schemas.openxmlformats.org/officeDocument/2006/relationships" r:id="rId12"/>
          <a:extLst>
            <a:ext uri="{FF2B5EF4-FFF2-40B4-BE49-F238E27FC236}">
              <a16:creationId xmlns:a16="http://schemas.microsoft.com/office/drawing/2014/main" id="{00000000-0008-0000-1100-00000F000000}"/>
            </a:ext>
          </a:extLst>
        </xdr:cNvPr>
        <xdr:cNvSpPr/>
      </xdr:nvSpPr>
      <xdr:spPr>
        <a:xfrm>
          <a:off x="112061" y="3765182"/>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100856</xdr:colOff>
      <xdr:row>6</xdr:row>
      <xdr:rowOff>347390</xdr:rowOff>
    </xdr:from>
    <xdr:to>
      <xdr:col>0</xdr:col>
      <xdr:colOff>1411945</xdr:colOff>
      <xdr:row>6</xdr:row>
      <xdr:rowOff>649949</xdr:rowOff>
    </xdr:to>
    <xdr:sp macro="" textlink="">
      <xdr:nvSpPr>
        <xdr:cNvPr id="16" name="Rectangle 15">
          <a:hlinkClick xmlns:r="http://schemas.openxmlformats.org/officeDocument/2006/relationships" r:id="rId13"/>
          <a:extLst>
            <a:ext uri="{FF2B5EF4-FFF2-40B4-BE49-F238E27FC236}">
              <a16:creationId xmlns:a16="http://schemas.microsoft.com/office/drawing/2014/main" id="{00000000-0008-0000-1100-000010000000}"/>
            </a:ext>
          </a:extLst>
        </xdr:cNvPr>
        <xdr:cNvSpPr/>
      </xdr:nvSpPr>
      <xdr:spPr>
        <a:xfrm>
          <a:off x="100856" y="4112566"/>
          <a:ext cx="1311089" cy="302559"/>
        </a:xfrm>
        <a:prstGeom prst="rect">
          <a:avLst/>
        </a:prstGeom>
        <a:solidFill>
          <a:srgbClr val="00206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FFFF00"/>
              </a:solidFill>
            </a:rPr>
            <a:t>&gt; MULOK 3</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93</xdr:col>
      <xdr:colOff>204509</xdr:colOff>
      <xdr:row>3</xdr:row>
      <xdr:rowOff>124807</xdr:rowOff>
    </xdr:from>
    <xdr:to>
      <xdr:col>93</xdr:col>
      <xdr:colOff>2667001</xdr:colOff>
      <xdr:row>3</xdr:row>
      <xdr:rowOff>916782</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8359159" y="1001107"/>
          <a:ext cx="1786217"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212911</xdr:colOff>
      <xdr:row>0</xdr:row>
      <xdr:rowOff>78443</xdr:rowOff>
    </xdr:from>
    <xdr:to>
      <xdr:col>0</xdr:col>
      <xdr:colOff>1303524</xdr:colOff>
      <xdr:row>0</xdr:row>
      <xdr:rowOff>561310</xdr:rowOff>
    </xdr:to>
    <xdr:pic>
      <xdr:nvPicPr>
        <xdr:cNvPr id="6" name="Picture 5" descr="HomeBBB.gif">
          <a:hlinkClick xmlns:r="http://schemas.openxmlformats.org/officeDocument/2006/relationships" r:id="rId1"/>
          <a:extLst>
            <a:ext uri="{FF2B5EF4-FFF2-40B4-BE49-F238E27FC236}">
              <a16:creationId xmlns:a16="http://schemas.microsoft.com/office/drawing/2014/main" id="{00000000-0008-0000-1200-00000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2911" y="78443"/>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85</xdr:col>
      <xdr:colOff>168086</xdr:colOff>
      <xdr:row>0</xdr:row>
      <xdr:rowOff>44824</xdr:rowOff>
    </xdr:from>
    <xdr:to>
      <xdr:col>88</xdr:col>
      <xdr:colOff>216552</xdr:colOff>
      <xdr:row>0</xdr:row>
      <xdr:rowOff>527691</xdr:rowOff>
    </xdr:to>
    <xdr:pic>
      <xdr:nvPicPr>
        <xdr:cNvPr id="7" name="Picture 6" descr="HomeBBB.gif">
          <a:hlinkClick xmlns:r="http://schemas.openxmlformats.org/officeDocument/2006/relationships" r:id="rId1"/>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30939439" y="44824"/>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123265</xdr:colOff>
      <xdr:row>1</xdr:row>
      <xdr:rowOff>44824</xdr:rowOff>
    </xdr:from>
    <xdr:to>
      <xdr:col>0</xdr:col>
      <xdr:colOff>1434354</xdr:colOff>
      <xdr:row>1</xdr:row>
      <xdr:rowOff>347383</xdr:rowOff>
    </xdr:to>
    <xdr:sp macro="" textlink="">
      <xdr:nvSpPr>
        <xdr:cNvPr id="8" name="Rectangle 7">
          <a:hlinkClick xmlns:r="http://schemas.openxmlformats.org/officeDocument/2006/relationships" r:id="rId3"/>
          <a:extLst>
            <a:ext uri="{FF2B5EF4-FFF2-40B4-BE49-F238E27FC236}">
              <a16:creationId xmlns:a16="http://schemas.microsoft.com/office/drawing/2014/main" id="{00000000-0008-0000-1200-000008000000}"/>
            </a:ext>
          </a:extLst>
        </xdr:cNvPr>
        <xdr:cNvSpPr/>
      </xdr:nvSpPr>
      <xdr:spPr>
        <a:xfrm>
          <a:off x="123265" y="627530"/>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AGAMA  </a:t>
          </a:r>
        </a:p>
      </xdr:txBody>
    </xdr:sp>
    <xdr:clientData/>
  </xdr:twoCellAnchor>
  <xdr:twoCellAnchor>
    <xdr:from>
      <xdr:col>0</xdr:col>
      <xdr:colOff>112060</xdr:colOff>
      <xdr:row>1</xdr:row>
      <xdr:rowOff>392210</xdr:rowOff>
    </xdr:from>
    <xdr:to>
      <xdr:col>0</xdr:col>
      <xdr:colOff>1423149</xdr:colOff>
      <xdr:row>3</xdr:row>
      <xdr:rowOff>4</xdr:rowOff>
    </xdr:to>
    <xdr:sp macro="" textlink="">
      <xdr:nvSpPr>
        <xdr:cNvPr id="9" name="Rectangle 8">
          <a:hlinkClick xmlns:r="http://schemas.openxmlformats.org/officeDocument/2006/relationships" r:id="rId4"/>
          <a:extLst>
            <a:ext uri="{FF2B5EF4-FFF2-40B4-BE49-F238E27FC236}">
              <a16:creationId xmlns:a16="http://schemas.microsoft.com/office/drawing/2014/main" id="{00000000-0008-0000-1200-000009000000}"/>
            </a:ext>
          </a:extLst>
        </xdr:cNvPr>
        <xdr:cNvSpPr/>
      </xdr:nvSpPr>
      <xdr:spPr>
        <a:xfrm>
          <a:off x="112060" y="974916"/>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123269</xdr:colOff>
      <xdr:row>3</xdr:row>
      <xdr:rowOff>44831</xdr:rowOff>
    </xdr:from>
    <xdr:to>
      <xdr:col>0</xdr:col>
      <xdr:colOff>1434358</xdr:colOff>
      <xdr:row>3</xdr:row>
      <xdr:rowOff>347390</xdr:rowOff>
    </xdr:to>
    <xdr:sp macro="" textlink="">
      <xdr:nvSpPr>
        <xdr:cNvPr id="10" name="Rectangle 9">
          <a:hlinkClick xmlns:r="http://schemas.openxmlformats.org/officeDocument/2006/relationships" r:id="rId5"/>
          <a:extLst>
            <a:ext uri="{FF2B5EF4-FFF2-40B4-BE49-F238E27FC236}">
              <a16:creationId xmlns:a16="http://schemas.microsoft.com/office/drawing/2014/main" id="{00000000-0008-0000-1200-00000A000000}"/>
            </a:ext>
          </a:extLst>
        </xdr:cNvPr>
        <xdr:cNvSpPr/>
      </xdr:nvSpPr>
      <xdr:spPr>
        <a:xfrm>
          <a:off x="123269" y="1322302"/>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123268</xdr:colOff>
      <xdr:row>3</xdr:row>
      <xdr:rowOff>392213</xdr:rowOff>
    </xdr:from>
    <xdr:to>
      <xdr:col>0</xdr:col>
      <xdr:colOff>1434357</xdr:colOff>
      <xdr:row>3</xdr:row>
      <xdr:rowOff>694772</xdr:rowOff>
    </xdr:to>
    <xdr:sp macro="" textlink="">
      <xdr:nvSpPr>
        <xdr:cNvPr id="11" name="Rectangle 10">
          <a:hlinkClick xmlns:r="http://schemas.openxmlformats.org/officeDocument/2006/relationships" r:id="rId6"/>
          <a:extLst>
            <a:ext uri="{FF2B5EF4-FFF2-40B4-BE49-F238E27FC236}">
              <a16:creationId xmlns:a16="http://schemas.microsoft.com/office/drawing/2014/main" id="{00000000-0008-0000-1200-00000B000000}"/>
            </a:ext>
          </a:extLst>
        </xdr:cNvPr>
        <xdr:cNvSpPr/>
      </xdr:nvSpPr>
      <xdr:spPr>
        <a:xfrm>
          <a:off x="123268" y="1669684"/>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112062</xdr:colOff>
      <xdr:row>3</xdr:row>
      <xdr:rowOff>750798</xdr:rowOff>
    </xdr:from>
    <xdr:to>
      <xdr:col>0</xdr:col>
      <xdr:colOff>1423151</xdr:colOff>
      <xdr:row>3</xdr:row>
      <xdr:rowOff>1053357</xdr:rowOff>
    </xdr:to>
    <xdr:sp macro="" textlink="">
      <xdr:nvSpPr>
        <xdr:cNvPr id="12" name="Rectangle 11">
          <a:hlinkClick xmlns:r="http://schemas.openxmlformats.org/officeDocument/2006/relationships" r:id="rId7"/>
          <a:extLst>
            <a:ext uri="{FF2B5EF4-FFF2-40B4-BE49-F238E27FC236}">
              <a16:creationId xmlns:a16="http://schemas.microsoft.com/office/drawing/2014/main" id="{00000000-0008-0000-1200-00000C000000}"/>
            </a:ext>
          </a:extLst>
        </xdr:cNvPr>
        <xdr:cNvSpPr/>
      </xdr:nvSpPr>
      <xdr:spPr>
        <a:xfrm>
          <a:off x="112062" y="202826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112062</xdr:colOff>
      <xdr:row>3</xdr:row>
      <xdr:rowOff>1109387</xdr:rowOff>
    </xdr:from>
    <xdr:to>
      <xdr:col>0</xdr:col>
      <xdr:colOff>1423151</xdr:colOff>
      <xdr:row>4</xdr:row>
      <xdr:rowOff>212917</xdr:rowOff>
    </xdr:to>
    <xdr:sp macro="" textlink="">
      <xdr:nvSpPr>
        <xdr:cNvPr id="13" name="Rectangle 12">
          <a:hlinkClick xmlns:r="http://schemas.openxmlformats.org/officeDocument/2006/relationships" r:id="rId8"/>
          <a:extLst>
            <a:ext uri="{FF2B5EF4-FFF2-40B4-BE49-F238E27FC236}">
              <a16:creationId xmlns:a16="http://schemas.microsoft.com/office/drawing/2014/main" id="{00000000-0008-0000-1200-00000D000000}"/>
            </a:ext>
          </a:extLst>
        </xdr:cNvPr>
        <xdr:cNvSpPr/>
      </xdr:nvSpPr>
      <xdr:spPr>
        <a:xfrm>
          <a:off x="112062" y="2386858"/>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123268</xdr:colOff>
      <xdr:row>4</xdr:row>
      <xdr:rowOff>257744</xdr:rowOff>
    </xdr:from>
    <xdr:to>
      <xdr:col>0</xdr:col>
      <xdr:colOff>1434357</xdr:colOff>
      <xdr:row>5</xdr:row>
      <xdr:rowOff>235332</xdr:rowOff>
    </xdr:to>
    <xdr:sp macro="" textlink="">
      <xdr:nvSpPr>
        <xdr:cNvPr id="14" name="Rectangle 13">
          <a:hlinkClick xmlns:r="http://schemas.openxmlformats.org/officeDocument/2006/relationships" r:id="rId9"/>
          <a:extLst>
            <a:ext uri="{FF2B5EF4-FFF2-40B4-BE49-F238E27FC236}">
              <a16:creationId xmlns:a16="http://schemas.microsoft.com/office/drawing/2014/main" id="{00000000-0008-0000-1200-00000E000000}"/>
            </a:ext>
          </a:extLst>
        </xdr:cNvPr>
        <xdr:cNvSpPr/>
      </xdr:nvSpPr>
      <xdr:spPr>
        <a:xfrm>
          <a:off x="123268" y="2734244"/>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123267</xdr:colOff>
      <xdr:row>5</xdr:row>
      <xdr:rowOff>280151</xdr:rowOff>
    </xdr:from>
    <xdr:to>
      <xdr:col>0</xdr:col>
      <xdr:colOff>1434356</xdr:colOff>
      <xdr:row>5</xdr:row>
      <xdr:rowOff>582710</xdr:rowOff>
    </xdr:to>
    <xdr:sp macro="" textlink="">
      <xdr:nvSpPr>
        <xdr:cNvPr id="15" name="Rectangle 14">
          <a:hlinkClick xmlns:r="http://schemas.openxmlformats.org/officeDocument/2006/relationships" r:id="rId10"/>
          <a:extLst>
            <a:ext uri="{FF2B5EF4-FFF2-40B4-BE49-F238E27FC236}">
              <a16:creationId xmlns:a16="http://schemas.microsoft.com/office/drawing/2014/main" id="{00000000-0008-0000-1200-00000F000000}"/>
            </a:ext>
          </a:extLst>
        </xdr:cNvPr>
        <xdr:cNvSpPr/>
      </xdr:nvSpPr>
      <xdr:spPr>
        <a:xfrm>
          <a:off x="123267" y="3081622"/>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123267</xdr:colOff>
      <xdr:row>5</xdr:row>
      <xdr:rowOff>627533</xdr:rowOff>
    </xdr:from>
    <xdr:to>
      <xdr:col>0</xdr:col>
      <xdr:colOff>1434356</xdr:colOff>
      <xdr:row>6</xdr:row>
      <xdr:rowOff>134475</xdr:rowOff>
    </xdr:to>
    <xdr:sp macro="" textlink="">
      <xdr:nvSpPr>
        <xdr:cNvPr id="16" name="Rectangle 15">
          <a:hlinkClick xmlns:r="http://schemas.openxmlformats.org/officeDocument/2006/relationships" r:id="rId11"/>
          <a:extLst>
            <a:ext uri="{FF2B5EF4-FFF2-40B4-BE49-F238E27FC236}">
              <a16:creationId xmlns:a16="http://schemas.microsoft.com/office/drawing/2014/main" id="{00000000-0008-0000-1200-000010000000}"/>
            </a:ext>
          </a:extLst>
        </xdr:cNvPr>
        <xdr:cNvSpPr/>
      </xdr:nvSpPr>
      <xdr:spPr>
        <a:xfrm>
          <a:off x="123267" y="3429004"/>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123267</xdr:colOff>
      <xdr:row>6</xdr:row>
      <xdr:rowOff>156888</xdr:rowOff>
    </xdr:from>
    <xdr:to>
      <xdr:col>0</xdr:col>
      <xdr:colOff>1434356</xdr:colOff>
      <xdr:row>6</xdr:row>
      <xdr:rowOff>459447</xdr:rowOff>
    </xdr:to>
    <xdr:sp macro="" textlink="">
      <xdr:nvSpPr>
        <xdr:cNvPr id="17" name="Rectangle 16">
          <a:hlinkClick xmlns:r="http://schemas.openxmlformats.org/officeDocument/2006/relationships" r:id="rId12"/>
          <a:extLst>
            <a:ext uri="{FF2B5EF4-FFF2-40B4-BE49-F238E27FC236}">
              <a16:creationId xmlns:a16="http://schemas.microsoft.com/office/drawing/2014/main" id="{00000000-0008-0000-1200-000011000000}"/>
            </a:ext>
          </a:extLst>
        </xdr:cNvPr>
        <xdr:cNvSpPr/>
      </xdr:nvSpPr>
      <xdr:spPr>
        <a:xfrm>
          <a:off x="123267" y="3753976"/>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112062</xdr:colOff>
      <xdr:row>6</xdr:row>
      <xdr:rowOff>504272</xdr:rowOff>
    </xdr:from>
    <xdr:to>
      <xdr:col>0</xdr:col>
      <xdr:colOff>1423151</xdr:colOff>
      <xdr:row>7</xdr:row>
      <xdr:rowOff>11213</xdr:rowOff>
    </xdr:to>
    <xdr:sp macro="" textlink="">
      <xdr:nvSpPr>
        <xdr:cNvPr id="18" name="Rectangle 17">
          <a:hlinkClick xmlns:r="http://schemas.openxmlformats.org/officeDocument/2006/relationships" r:id="rId13"/>
          <a:extLst>
            <a:ext uri="{FF2B5EF4-FFF2-40B4-BE49-F238E27FC236}">
              <a16:creationId xmlns:a16="http://schemas.microsoft.com/office/drawing/2014/main" id="{00000000-0008-0000-1200-000012000000}"/>
            </a:ext>
          </a:extLst>
        </xdr:cNvPr>
        <xdr:cNvSpPr/>
      </xdr:nvSpPr>
      <xdr:spPr>
        <a:xfrm>
          <a:off x="112062" y="4101360"/>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27</xdr:col>
      <xdr:colOff>204509</xdr:colOff>
      <xdr:row>2</xdr:row>
      <xdr:rowOff>124807</xdr:rowOff>
    </xdr:from>
    <xdr:to>
      <xdr:col>40</xdr:col>
      <xdr:colOff>68036</xdr:colOff>
      <xdr:row>2</xdr:row>
      <xdr:rowOff>916782</xdr:rowOff>
    </xdr:to>
    <xdr:sp macro="" textlink="">
      <xdr:nvSpPr>
        <xdr:cNvPr id="4" name="TextBox 3">
          <a:extLst>
            <a:ext uri="{FF2B5EF4-FFF2-40B4-BE49-F238E27FC236}">
              <a16:creationId xmlns:a16="http://schemas.microsoft.com/office/drawing/2014/main" id="{00000000-0008-0000-1300-000004000000}"/>
            </a:ext>
          </a:extLst>
        </xdr:cNvPr>
        <xdr:cNvSpPr txBox="1"/>
      </xdr:nvSpPr>
      <xdr:spPr>
        <a:xfrm>
          <a:off x="19649116" y="1009271"/>
          <a:ext cx="2516920"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238430</xdr:colOff>
      <xdr:row>0</xdr:row>
      <xdr:rowOff>63498</xdr:rowOff>
    </xdr:from>
    <xdr:to>
      <xdr:col>0</xdr:col>
      <xdr:colOff>1329043</xdr:colOff>
      <xdr:row>0</xdr:row>
      <xdr:rowOff>546365</xdr:rowOff>
    </xdr:to>
    <xdr:pic>
      <xdr:nvPicPr>
        <xdr:cNvPr id="6" name="Picture 5" descr="HomeBBB.gif">
          <a:hlinkClick xmlns:r="http://schemas.openxmlformats.org/officeDocument/2006/relationships" r:id="rId1"/>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38430" y="63498"/>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148784</xdr:colOff>
      <xdr:row>1</xdr:row>
      <xdr:rowOff>30502</xdr:rowOff>
    </xdr:from>
    <xdr:to>
      <xdr:col>0</xdr:col>
      <xdr:colOff>1459873</xdr:colOff>
      <xdr:row>2</xdr:row>
      <xdr:rowOff>36727</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1300-000007000000}"/>
            </a:ext>
          </a:extLst>
        </xdr:cNvPr>
        <xdr:cNvSpPr/>
      </xdr:nvSpPr>
      <xdr:spPr>
        <a:xfrm>
          <a:off x="148784" y="61258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137579</xdr:colOff>
      <xdr:row>2</xdr:row>
      <xdr:rowOff>81554</xdr:rowOff>
    </xdr:from>
    <xdr:to>
      <xdr:col>0</xdr:col>
      <xdr:colOff>1448668</xdr:colOff>
      <xdr:row>2</xdr:row>
      <xdr:rowOff>384113</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1300-000008000000}"/>
            </a:ext>
          </a:extLst>
        </xdr:cNvPr>
        <xdr:cNvSpPr/>
      </xdr:nvSpPr>
      <xdr:spPr>
        <a:xfrm>
          <a:off x="137579" y="95997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PKN  </a:t>
          </a:r>
        </a:p>
      </xdr:txBody>
    </xdr:sp>
    <xdr:clientData/>
  </xdr:twoCellAnchor>
  <xdr:twoCellAnchor>
    <xdr:from>
      <xdr:col>0</xdr:col>
      <xdr:colOff>148788</xdr:colOff>
      <xdr:row>2</xdr:row>
      <xdr:rowOff>428940</xdr:rowOff>
    </xdr:from>
    <xdr:to>
      <xdr:col>0</xdr:col>
      <xdr:colOff>1459877</xdr:colOff>
      <xdr:row>2</xdr:row>
      <xdr:rowOff>731499</xdr:rowOff>
    </xdr:to>
    <xdr:sp macro="" textlink="">
      <xdr:nvSpPr>
        <xdr:cNvPr id="9" name="Rectangle 8">
          <a:hlinkClick xmlns:r="http://schemas.openxmlformats.org/officeDocument/2006/relationships" r:id="rId5"/>
          <a:extLst>
            <a:ext uri="{FF2B5EF4-FFF2-40B4-BE49-F238E27FC236}">
              <a16:creationId xmlns:a16="http://schemas.microsoft.com/office/drawing/2014/main" id="{00000000-0008-0000-1300-000009000000}"/>
            </a:ext>
          </a:extLst>
        </xdr:cNvPr>
        <xdr:cNvSpPr/>
      </xdr:nvSpPr>
      <xdr:spPr>
        <a:xfrm>
          <a:off x="148788" y="130735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148787</xdr:colOff>
      <xdr:row>2</xdr:row>
      <xdr:rowOff>776322</xdr:rowOff>
    </xdr:from>
    <xdr:to>
      <xdr:col>0</xdr:col>
      <xdr:colOff>1459876</xdr:colOff>
      <xdr:row>2</xdr:row>
      <xdr:rowOff>1078881</xdr:rowOff>
    </xdr:to>
    <xdr:sp macro="" textlink="">
      <xdr:nvSpPr>
        <xdr:cNvPr id="10" name="Rectangle 9">
          <a:hlinkClick xmlns:r="http://schemas.openxmlformats.org/officeDocument/2006/relationships" r:id="rId6"/>
          <a:extLst>
            <a:ext uri="{FF2B5EF4-FFF2-40B4-BE49-F238E27FC236}">
              <a16:creationId xmlns:a16="http://schemas.microsoft.com/office/drawing/2014/main" id="{00000000-0008-0000-1300-00000A000000}"/>
            </a:ext>
          </a:extLst>
        </xdr:cNvPr>
        <xdr:cNvSpPr/>
      </xdr:nvSpPr>
      <xdr:spPr>
        <a:xfrm>
          <a:off x="148787" y="165473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137581</xdr:colOff>
      <xdr:row>2</xdr:row>
      <xdr:rowOff>1134907</xdr:rowOff>
    </xdr:from>
    <xdr:to>
      <xdr:col>0</xdr:col>
      <xdr:colOff>1448670</xdr:colOff>
      <xdr:row>3</xdr:row>
      <xdr:rowOff>241550</xdr:rowOff>
    </xdr:to>
    <xdr:sp macro="" textlink="">
      <xdr:nvSpPr>
        <xdr:cNvPr id="11" name="Rectangle 10">
          <a:hlinkClick xmlns:r="http://schemas.openxmlformats.org/officeDocument/2006/relationships" r:id="rId7"/>
          <a:extLst>
            <a:ext uri="{FF2B5EF4-FFF2-40B4-BE49-F238E27FC236}">
              <a16:creationId xmlns:a16="http://schemas.microsoft.com/office/drawing/2014/main" id="{00000000-0008-0000-1300-00000B000000}"/>
            </a:ext>
          </a:extLst>
        </xdr:cNvPr>
        <xdr:cNvSpPr/>
      </xdr:nvSpPr>
      <xdr:spPr>
        <a:xfrm>
          <a:off x="137581" y="2013324"/>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137581</xdr:colOff>
      <xdr:row>3</xdr:row>
      <xdr:rowOff>297580</xdr:rowOff>
    </xdr:from>
    <xdr:to>
      <xdr:col>0</xdr:col>
      <xdr:colOff>1448670</xdr:colOff>
      <xdr:row>4</xdr:row>
      <xdr:rowOff>272055</xdr:rowOff>
    </xdr:to>
    <xdr:sp macro="" textlink="">
      <xdr:nvSpPr>
        <xdr:cNvPr id="12" name="Rectangle 11">
          <a:hlinkClick xmlns:r="http://schemas.openxmlformats.org/officeDocument/2006/relationships" r:id="rId8"/>
          <a:extLst>
            <a:ext uri="{FF2B5EF4-FFF2-40B4-BE49-F238E27FC236}">
              <a16:creationId xmlns:a16="http://schemas.microsoft.com/office/drawing/2014/main" id="{00000000-0008-0000-1300-00000C000000}"/>
            </a:ext>
          </a:extLst>
        </xdr:cNvPr>
        <xdr:cNvSpPr/>
      </xdr:nvSpPr>
      <xdr:spPr>
        <a:xfrm>
          <a:off x="137581" y="237191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148787</xdr:colOff>
      <xdr:row>4</xdr:row>
      <xdr:rowOff>316882</xdr:rowOff>
    </xdr:from>
    <xdr:to>
      <xdr:col>0</xdr:col>
      <xdr:colOff>1459876</xdr:colOff>
      <xdr:row>4</xdr:row>
      <xdr:rowOff>619441</xdr:rowOff>
    </xdr:to>
    <xdr:sp macro="" textlink="">
      <xdr:nvSpPr>
        <xdr:cNvPr id="13" name="Rectangle 12">
          <a:hlinkClick xmlns:r="http://schemas.openxmlformats.org/officeDocument/2006/relationships" r:id="rId9"/>
          <a:extLst>
            <a:ext uri="{FF2B5EF4-FFF2-40B4-BE49-F238E27FC236}">
              <a16:creationId xmlns:a16="http://schemas.microsoft.com/office/drawing/2014/main" id="{00000000-0008-0000-1300-00000D000000}"/>
            </a:ext>
          </a:extLst>
        </xdr:cNvPr>
        <xdr:cNvSpPr/>
      </xdr:nvSpPr>
      <xdr:spPr>
        <a:xfrm>
          <a:off x="148787" y="271929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148786</xdr:colOff>
      <xdr:row>4</xdr:row>
      <xdr:rowOff>664260</xdr:rowOff>
    </xdr:from>
    <xdr:to>
      <xdr:col>0</xdr:col>
      <xdr:colOff>1459875</xdr:colOff>
      <xdr:row>5</xdr:row>
      <xdr:rowOff>215403</xdr:rowOff>
    </xdr:to>
    <xdr:sp macro="" textlink="">
      <xdr:nvSpPr>
        <xdr:cNvPr id="14" name="Rectangle 13">
          <a:hlinkClick xmlns:r="http://schemas.openxmlformats.org/officeDocument/2006/relationships" r:id="rId10"/>
          <a:extLst>
            <a:ext uri="{FF2B5EF4-FFF2-40B4-BE49-F238E27FC236}">
              <a16:creationId xmlns:a16="http://schemas.microsoft.com/office/drawing/2014/main" id="{00000000-0008-0000-1300-00000E000000}"/>
            </a:ext>
          </a:extLst>
        </xdr:cNvPr>
        <xdr:cNvSpPr/>
      </xdr:nvSpPr>
      <xdr:spPr>
        <a:xfrm>
          <a:off x="148786" y="306667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148786</xdr:colOff>
      <xdr:row>5</xdr:row>
      <xdr:rowOff>260226</xdr:rowOff>
    </xdr:from>
    <xdr:to>
      <xdr:col>0</xdr:col>
      <xdr:colOff>1459875</xdr:colOff>
      <xdr:row>5</xdr:row>
      <xdr:rowOff>562785</xdr:rowOff>
    </xdr:to>
    <xdr:sp macro="" textlink="">
      <xdr:nvSpPr>
        <xdr:cNvPr id="15" name="Rectangle 14">
          <a:hlinkClick xmlns:r="http://schemas.openxmlformats.org/officeDocument/2006/relationships" r:id="rId11"/>
          <a:extLst>
            <a:ext uri="{FF2B5EF4-FFF2-40B4-BE49-F238E27FC236}">
              <a16:creationId xmlns:a16="http://schemas.microsoft.com/office/drawing/2014/main" id="{00000000-0008-0000-1300-00000F000000}"/>
            </a:ext>
          </a:extLst>
        </xdr:cNvPr>
        <xdr:cNvSpPr/>
      </xdr:nvSpPr>
      <xdr:spPr>
        <a:xfrm>
          <a:off x="148786" y="341405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148786</xdr:colOff>
      <xdr:row>5</xdr:row>
      <xdr:rowOff>585198</xdr:rowOff>
    </xdr:from>
    <xdr:to>
      <xdr:col>0</xdr:col>
      <xdr:colOff>1459875</xdr:colOff>
      <xdr:row>6</xdr:row>
      <xdr:rowOff>136340</xdr:rowOff>
    </xdr:to>
    <xdr:sp macro="" textlink="">
      <xdr:nvSpPr>
        <xdr:cNvPr id="16" name="Rectangle 15">
          <a:hlinkClick xmlns:r="http://schemas.openxmlformats.org/officeDocument/2006/relationships" r:id="rId12"/>
          <a:extLst>
            <a:ext uri="{FF2B5EF4-FFF2-40B4-BE49-F238E27FC236}">
              <a16:creationId xmlns:a16="http://schemas.microsoft.com/office/drawing/2014/main" id="{00000000-0008-0000-1300-000010000000}"/>
            </a:ext>
          </a:extLst>
        </xdr:cNvPr>
        <xdr:cNvSpPr/>
      </xdr:nvSpPr>
      <xdr:spPr>
        <a:xfrm>
          <a:off x="148786" y="373903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137581</xdr:colOff>
      <xdr:row>6</xdr:row>
      <xdr:rowOff>181165</xdr:rowOff>
    </xdr:from>
    <xdr:to>
      <xdr:col>0</xdr:col>
      <xdr:colOff>1448670</xdr:colOff>
      <xdr:row>6</xdr:row>
      <xdr:rowOff>483724</xdr:rowOff>
    </xdr:to>
    <xdr:sp macro="" textlink="">
      <xdr:nvSpPr>
        <xdr:cNvPr id="17" name="Rectangle 16">
          <a:hlinkClick xmlns:r="http://schemas.openxmlformats.org/officeDocument/2006/relationships" r:id="rId13"/>
          <a:extLst>
            <a:ext uri="{FF2B5EF4-FFF2-40B4-BE49-F238E27FC236}">
              <a16:creationId xmlns:a16="http://schemas.microsoft.com/office/drawing/2014/main" id="{00000000-0008-0000-1300-000011000000}"/>
            </a:ext>
          </a:extLst>
        </xdr:cNvPr>
        <xdr:cNvSpPr/>
      </xdr:nvSpPr>
      <xdr:spPr>
        <a:xfrm>
          <a:off x="137581" y="408641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27</xdr:col>
      <xdr:colOff>204509</xdr:colOff>
      <xdr:row>2</xdr:row>
      <xdr:rowOff>124807</xdr:rowOff>
    </xdr:from>
    <xdr:to>
      <xdr:col>43</xdr:col>
      <xdr:colOff>33618</xdr:colOff>
      <xdr:row>2</xdr:row>
      <xdr:rowOff>916782</xdr:rowOff>
    </xdr:to>
    <xdr:sp macro="" textlink="">
      <xdr:nvSpPr>
        <xdr:cNvPr id="4" name="TextBox 3">
          <a:extLst>
            <a:ext uri="{FF2B5EF4-FFF2-40B4-BE49-F238E27FC236}">
              <a16:creationId xmlns:a16="http://schemas.microsoft.com/office/drawing/2014/main" id="{00000000-0008-0000-1400-000004000000}"/>
            </a:ext>
          </a:extLst>
        </xdr:cNvPr>
        <xdr:cNvSpPr txBox="1"/>
      </xdr:nvSpPr>
      <xdr:spPr>
        <a:xfrm>
          <a:off x="18201156" y="998866"/>
          <a:ext cx="2563344"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212911</xdr:colOff>
      <xdr:row>0</xdr:row>
      <xdr:rowOff>44824</xdr:rowOff>
    </xdr:from>
    <xdr:to>
      <xdr:col>0</xdr:col>
      <xdr:colOff>1303524</xdr:colOff>
      <xdr:row>0</xdr:row>
      <xdr:rowOff>527691</xdr:rowOff>
    </xdr:to>
    <xdr:pic>
      <xdr:nvPicPr>
        <xdr:cNvPr id="6" name="Picture 5" descr="HomeBBB.gif">
          <a:hlinkClick xmlns:r="http://schemas.openxmlformats.org/officeDocument/2006/relationships" r:id="rId1"/>
          <a:extLst>
            <a:ext uri="{FF2B5EF4-FFF2-40B4-BE49-F238E27FC236}">
              <a16:creationId xmlns:a16="http://schemas.microsoft.com/office/drawing/2014/main" id="{00000000-0008-0000-1400-00000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2911" y="44824"/>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123265</xdr:colOff>
      <xdr:row>1</xdr:row>
      <xdr:rowOff>11205</xdr:rowOff>
    </xdr:from>
    <xdr:to>
      <xdr:col>0</xdr:col>
      <xdr:colOff>1434354</xdr:colOff>
      <xdr:row>2</xdr:row>
      <xdr:rowOff>22411</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1400-000007000000}"/>
            </a:ext>
          </a:extLst>
        </xdr:cNvPr>
        <xdr:cNvSpPr/>
      </xdr:nvSpPr>
      <xdr:spPr>
        <a:xfrm>
          <a:off x="123265" y="59391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112060</xdr:colOff>
      <xdr:row>2</xdr:row>
      <xdr:rowOff>67238</xdr:rowOff>
    </xdr:from>
    <xdr:to>
      <xdr:col>0</xdr:col>
      <xdr:colOff>1423149</xdr:colOff>
      <xdr:row>2</xdr:row>
      <xdr:rowOff>369797</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1400-000008000000}"/>
            </a:ext>
          </a:extLst>
        </xdr:cNvPr>
        <xdr:cNvSpPr/>
      </xdr:nvSpPr>
      <xdr:spPr>
        <a:xfrm>
          <a:off x="112060" y="94129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123269</xdr:colOff>
      <xdr:row>2</xdr:row>
      <xdr:rowOff>414624</xdr:rowOff>
    </xdr:from>
    <xdr:to>
      <xdr:col>0</xdr:col>
      <xdr:colOff>1434358</xdr:colOff>
      <xdr:row>2</xdr:row>
      <xdr:rowOff>717183</xdr:rowOff>
    </xdr:to>
    <xdr:sp macro="" textlink="">
      <xdr:nvSpPr>
        <xdr:cNvPr id="9" name="Rectangle 8">
          <a:hlinkClick xmlns:r="http://schemas.openxmlformats.org/officeDocument/2006/relationships" r:id="rId5"/>
          <a:extLst>
            <a:ext uri="{FF2B5EF4-FFF2-40B4-BE49-F238E27FC236}">
              <a16:creationId xmlns:a16="http://schemas.microsoft.com/office/drawing/2014/main" id="{00000000-0008-0000-1400-000009000000}"/>
            </a:ext>
          </a:extLst>
        </xdr:cNvPr>
        <xdr:cNvSpPr/>
      </xdr:nvSpPr>
      <xdr:spPr>
        <a:xfrm>
          <a:off x="123269" y="128868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B.IND  </a:t>
          </a:r>
        </a:p>
      </xdr:txBody>
    </xdr:sp>
    <xdr:clientData/>
  </xdr:twoCellAnchor>
  <xdr:twoCellAnchor>
    <xdr:from>
      <xdr:col>0</xdr:col>
      <xdr:colOff>123268</xdr:colOff>
      <xdr:row>2</xdr:row>
      <xdr:rowOff>762006</xdr:rowOff>
    </xdr:from>
    <xdr:to>
      <xdr:col>0</xdr:col>
      <xdr:colOff>1434357</xdr:colOff>
      <xdr:row>2</xdr:row>
      <xdr:rowOff>1064565</xdr:rowOff>
    </xdr:to>
    <xdr:sp macro="" textlink="">
      <xdr:nvSpPr>
        <xdr:cNvPr id="10" name="Rectangle 9">
          <a:hlinkClick xmlns:r="http://schemas.openxmlformats.org/officeDocument/2006/relationships" r:id="rId6"/>
          <a:extLst>
            <a:ext uri="{FF2B5EF4-FFF2-40B4-BE49-F238E27FC236}">
              <a16:creationId xmlns:a16="http://schemas.microsoft.com/office/drawing/2014/main" id="{00000000-0008-0000-1400-00000A000000}"/>
            </a:ext>
          </a:extLst>
        </xdr:cNvPr>
        <xdr:cNvSpPr/>
      </xdr:nvSpPr>
      <xdr:spPr>
        <a:xfrm>
          <a:off x="123268" y="163606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112062</xdr:colOff>
      <xdr:row>2</xdr:row>
      <xdr:rowOff>1120591</xdr:rowOff>
    </xdr:from>
    <xdr:to>
      <xdr:col>0</xdr:col>
      <xdr:colOff>1423151</xdr:colOff>
      <xdr:row>3</xdr:row>
      <xdr:rowOff>224121</xdr:rowOff>
    </xdr:to>
    <xdr:sp macro="" textlink="">
      <xdr:nvSpPr>
        <xdr:cNvPr id="11" name="Rectangle 10">
          <a:hlinkClick xmlns:r="http://schemas.openxmlformats.org/officeDocument/2006/relationships" r:id="rId7"/>
          <a:extLst>
            <a:ext uri="{FF2B5EF4-FFF2-40B4-BE49-F238E27FC236}">
              <a16:creationId xmlns:a16="http://schemas.microsoft.com/office/drawing/2014/main" id="{00000000-0008-0000-1400-00000B000000}"/>
            </a:ext>
          </a:extLst>
        </xdr:cNvPr>
        <xdr:cNvSpPr/>
      </xdr:nvSpPr>
      <xdr:spPr>
        <a:xfrm>
          <a:off x="112062" y="1994650"/>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112062</xdr:colOff>
      <xdr:row>3</xdr:row>
      <xdr:rowOff>280151</xdr:rowOff>
    </xdr:from>
    <xdr:to>
      <xdr:col>0</xdr:col>
      <xdr:colOff>1423151</xdr:colOff>
      <xdr:row>4</xdr:row>
      <xdr:rowOff>257739</xdr:rowOff>
    </xdr:to>
    <xdr:sp macro="" textlink="">
      <xdr:nvSpPr>
        <xdr:cNvPr id="12" name="Rectangle 11">
          <a:hlinkClick xmlns:r="http://schemas.openxmlformats.org/officeDocument/2006/relationships" r:id="rId8"/>
          <a:extLst>
            <a:ext uri="{FF2B5EF4-FFF2-40B4-BE49-F238E27FC236}">
              <a16:creationId xmlns:a16="http://schemas.microsoft.com/office/drawing/2014/main" id="{00000000-0008-0000-1400-00000C000000}"/>
            </a:ext>
          </a:extLst>
        </xdr:cNvPr>
        <xdr:cNvSpPr/>
      </xdr:nvSpPr>
      <xdr:spPr>
        <a:xfrm>
          <a:off x="112062" y="235323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123268</xdr:colOff>
      <xdr:row>4</xdr:row>
      <xdr:rowOff>302566</xdr:rowOff>
    </xdr:from>
    <xdr:to>
      <xdr:col>0</xdr:col>
      <xdr:colOff>1434357</xdr:colOff>
      <xdr:row>4</xdr:row>
      <xdr:rowOff>605125</xdr:rowOff>
    </xdr:to>
    <xdr:sp macro="" textlink="">
      <xdr:nvSpPr>
        <xdr:cNvPr id="13" name="Rectangle 12">
          <a:hlinkClick xmlns:r="http://schemas.openxmlformats.org/officeDocument/2006/relationships" r:id="rId9"/>
          <a:extLst>
            <a:ext uri="{FF2B5EF4-FFF2-40B4-BE49-F238E27FC236}">
              <a16:creationId xmlns:a16="http://schemas.microsoft.com/office/drawing/2014/main" id="{00000000-0008-0000-1400-00000D000000}"/>
            </a:ext>
          </a:extLst>
        </xdr:cNvPr>
        <xdr:cNvSpPr/>
      </xdr:nvSpPr>
      <xdr:spPr>
        <a:xfrm>
          <a:off x="123268" y="270062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123267</xdr:colOff>
      <xdr:row>4</xdr:row>
      <xdr:rowOff>649944</xdr:rowOff>
    </xdr:from>
    <xdr:to>
      <xdr:col>0</xdr:col>
      <xdr:colOff>1434356</xdr:colOff>
      <xdr:row>5</xdr:row>
      <xdr:rowOff>123268</xdr:rowOff>
    </xdr:to>
    <xdr:sp macro="" textlink="">
      <xdr:nvSpPr>
        <xdr:cNvPr id="14" name="Rectangle 13">
          <a:hlinkClick xmlns:r="http://schemas.openxmlformats.org/officeDocument/2006/relationships" r:id="rId10"/>
          <a:extLst>
            <a:ext uri="{FF2B5EF4-FFF2-40B4-BE49-F238E27FC236}">
              <a16:creationId xmlns:a16="http://schemas.microsoft.com/office/drawing/2014/main" id="{00000000-0008-0000-1400-00000E000000}"/>
            </a:ext>
          </a:extLst>
        </xdr:cNvPr>
        <xdr:cNvSpPr/>
      </xdr:nvSpPr>
      <xdr:spPr>
        <a:xfrm>
          <a:off x="123267" y="304800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123267</xdr:colOff>
      <xdr:row>5</xdr:row>
      <xdr:rowOff>168091</xdr:rowOff>
    </xdr:from>
    <xdr:to>
      <xdr:col>0</xdr:col>
      <xdr:colOff>1434356</xdr:colOff>
      <xdr:row>5</xdr:row>
      <xdr:rowOff>470650</xdr:rowOff>
    </xdr:to>
    <xdr:sp macro="" textlink="">
      <xdr:nvSpPr>
        <xdr:cNvPr id="15" name="Rectangle 14">
          <a:hlinkClick xmlns:r="http://schemas.openxmlformats.org/officeDocument/2006/relationships" r:id="rId11"/>
          <a:extLst>
            <a:ext uri="{FF2B5EF4-FFF2-40B4-BE49-F238E27FC236}">
              <a16:creationId xmlns:a16="http://schemas.microsoft.com/office/drawing/2014/main" id="{00000000-0008-0000-1400-00000F000000}"/>
            </a:ext>
          </a:extLst>
        </xdr:cNvPr>
        <xdr:cNvSpPr/>
      </xdr:nvSpPr>
      <xdr:spPr>
        <a:xfrm>
          <a:off x="123267" y="339538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123267</xdr:colOff>
      <xdr:row>5</xdr:row>
      <xdr:rowOff>493063</xdr:rowOff>
    </xdr:from>
    <xdr:to>
      <xdr:col>0</xdr:col>
      <xdr:colOff>1434356</xdr:colOff>
      <xdr:row>5</xdr:row>
      <xdr:rowOff>795622</xdr:rowOff>
    </xdr:to>
    <xdr:sp macro="" textlink="">
      <xdr:nvSpPr>
        <xdr:cNvPr id="16" name="Rectangle 15">
          <a:hlinkClick xmlns:r="http://schemas.openxmlformats.org/officeDocument/2006/relationships" r:id="rId12"/>
          <a:extLst>
            <a:ext uri="{FF2B5EF4-FFF2-40B4-BE49-F238E27FC236}">
              <a16:creationId xmlns:a16="http://schemas.microsoft.com/office/drawing/2014/main" id="{00000000-0008-0000-1400-000010000000}"/>
            </a:ext>
          </a:extLst>
        </xdr:cNvPr>
        <xdr:cNvSpPr/>
      </xdr:nvSpPr>
      <xdr:spPr>
        <a:xfrm>
          <a:off x="123267" y="372035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112062</xdr:colOff>
      <xdr:row>6</xdr:row>
      <xdr:rowOff>11212</xdr:rowOff>
    </xdr:from>
    <xdr:to>
      <xdr:col>0</xdr:col>
      <xdr:colOff>1423151</xdr:colOff>
      <xdr:row>6</xdr:row>
      <xdr:rowOff>313771</xdr:rowOff>
    </xdr:to>
    <xdr:sp macro="" textlink="">
      <xdr:nvSpPr>
        <xdr:cNvPr id="17" name="Rectangle 16">
          <a:hlinkClick xmlns:r="http://schemas.openxmlformats.org/officeDocument/2006/relationships" r:id="rId13"/>
          <a:extLst>
            <a:ext uri="{FF2B5EF4-FFF2-40B4-BE49-F238E27FC236}">
              <a16:creationId xmlns:a16="http://schemas.microsoft.com/office/drawing/2014/main" id="{00000000-0008-0000-1400-000011000000}"/>
            </a:ext>
          </a:extLst>
        </xdr:cNvPr>
        <xdr:cNvSpPr/>
      </xdr:nvSpPr>
      <xdr:spPr>
        <a:xfrm>
          <a:off x="112062" y="406774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27</xdr:col>
      <xdr:colOff>204509</xdr:colOff>
      <xdr:row>2</xdr:row>
      <xdr:rowOff>124807</xdr:rowOff>
    </xdr:from>
    <xdr:to>
      <xdr:col>41</xdr:col>
      <xdr:colOff>89647</xdr:colOff>
      <xdr:row>2</xdr:row>
      <xdr:rowOff>916782</xdr:rowOff>
    </xdr:to>
    <xdr:sp macro="" textlink="">
      <xdr:nvSpPr>
        <xdr:cNvPr id="4" name="TextBox 3">
          <a:extLst>
            <a:ext uri="{FF2B5EF4-FFF2-40B4-BE49-F238E27FC236}">
              <a16:creationId xmlns:a16="http://schemas.microsoft.com/office/drawing/2014/main" id="{00000000-0008-0000-1500-000004000000}"/>
            </a:ext>
          </a:extLst>
        </xdr:cNvPr>
        <xdr:cNvSpPr txBox="1"/>
      </xdr:nvSpPr>
      <xdr:spPr>
        <a:xfrm>
          <a:off x="19601891" y="998866"/>
          <a:ext cx="2552138"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219911</xdr:colOff>
      <xdr:row>0</xdr:row>
      <xdr:rowOff>71436</xdr:rowOff>
    </xdr:from>
    <xdr:to>
      <xdr:col>0</xdr:col>
      <xdr:colOff>1310524</xdr:colOff>
      <xdr:row>0</xdr:row>
      <xdr:rowOff>554303</xdr:rowOff>
    </xdr:to>
    <xdr:pic>
      <xdr:nvPicPr>
        <xdr:cNvPr id="6" name="Picture 5" descr="HomeBBB.gif">
          <a:hlinkClick xmlns:r="http://schemas.openxmlformats.org/officeDocument/2006/relationships" r:id="rId1"/>
          <a:extLst>
            <a:ext uri="{FF2B5EF4-FFF2-40B4-BE49-F238E27FC236}">
              <a16:creationId xmlns:a16="http://schemas.microsoft.com/office/drawing/2014/main" id="{00000000-0008-0000-1500-00000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9911" y="71436"/>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130265</xdr:colOff>
      <xdr:row>1</xdr:row>
      <xdr:rowOff>37117</xdr:rowOff>
    </xdr:from>
    <xdr:to>
      <xdr:col>0</xdr:col>
      <xdr:colOff>1441354</xdr:colOff>
      <xdr:row>2</xdr:row>
      <xdr:rowOff>42019</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1500-000007000000}"/>
            </a:ext>
          </a:extLst>
        </xdr:cNvPr>
        <xdr:cNvSpPr/>
      </xdr:nvSpPr>
      <xdr:spPr>
        <a:xfrm>
          <a:off x="130265" y="62052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119060</xdr:colOff>
      <xdr:row>2</xdr:row>
      <xdr:rowOff>86846</xdr:rowOff>
    </xdr:from>
    <xdr:to>
      <xdr:col>0</xdr:col>
      <xdr:colOff>1430149</xdr:colOff>
      <xdr:row>2</xdr:row>
      <xdr:rowOff>389405</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1500-000008000000}"/>
            </a:ext>
          </a:extLst>
        </xdr:cNvPr>
        <xdr:cNvSpPr/>
      </xdr:nvSpPr>
      <xdr:spPr>
        <a:xfrm>
          <a:off x="119060" y="96790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130269</xdr:colOff>
      <xdr:row>2</xdr:row>
      <xdr:rowOff>434232</xdr:rowOff>
    </xdr:from>
    <xdr:to>
      <xdr:col>0</xdr:col>
      <xdr:colOff>1441358</xdr:colOff>
      <xdr:row>2</xdr:row>
      <xdr:rowOff>736791</xdr:rowOff>
    </xdr:to>
    <xdr:sp macro="" textlink="">
      <xdr:nvSpPr>
        <xdr:cNvPr id="9" name="Rectangle 8">
          <a:hlinkClick xmlns:r="http://schemas.openxmlformats.org/officeDocument/2006/relationships" r:id="rId5"/>
          <a:extLst>
            <a:ext uri="{FF2B5EF4-FFF2-40B4-BE49-F238E27FC236}">
              <a16:creationId xmlns:a16="http://schemas.microsoft.com/office/drawing/2014/main" id="{00000000-0008-0000-1500-000009000000}"/>
            </a:ext>
          </a:extLst>
        </xdr:cNvPr>
        <xdr:cNvSpPr/>
      </xdr:nvSpPr>
      <xdr:spPr>
        <a:xfrm>
          <a:off x="130269" y="131529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130268</xdr:colOff>
      <xdr:row>2</xdr:row>
      <xdr:rowOff>781614</xdr:rowOff>
    </xdr:from>
    <xdr:to>
      <xdr:col>0</xdr:col>
      <xdr:colOff>1441357</xdr:colOff>
      <xdr:row>2</xdr:row>
      <xdr:rowOff>1084173</xdr:rowOff>
    </xdr:to>
    <xdr:sp macro="" textlink="">
      <xdr:nvSpPr>
        <xdr:cNvPr id="10" name="Rectangle 9">
          <a:hlinkClick xmlns:r="http://schemas.openxmlformats.org/officeDocument/2006/relationships" r:id="rId6"/>
          <a:extLst>
            <a:ext uri="{FF2B5EF4-FFF2-40B4-BE49-F238E27FC236}">
              <a16:creationId xmlns:a16="http://schemas.microsoft.com/office/drawing/2014/main" id="{00000000-0008-0000-1500-00000A000000}"/>
            </a:ext>
          </a:extLst>
        </xdr:cNvPr>
        <xdr:cNvSpPr/>
      </xdr:nvSpPr>
      <xdr:spPr>
        <a:xfrm>
          <a:off x="130268" y="166267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MTK  </a:t>
          </a:r>
        </a:p>
      </xdr:txBody>
    </xdr:sp>
    <xdr:clientData/>
  </xdr:twoCellAnchor>
  <xdr:twoCellAnchor>
    <xdr:from>
      <xdr:col>0</xdr:col>
      <xdr:colOff>119062</xdr:colOff>
      <xdr:row>2</xdr:row>
      <xdr:rowOff>1140199</xdr:rowOff>
    </xdr:from>
    <xdr:to>
      <xdr:col>0</xdr:col>
      <xdr:colOff>1430151</xdr:colOff>
      <xdr:row>3</xdr:row>
      <xdr:rowOff>240227</xdr:rowOff>
    </xdr:to>
    <xdr:sp macro="" textlink="">
      <xdr:nvSpPr>
        <xdr:cNvPr id="11" name="Rectangle 10">
          <a:hlinkClick xmlns:r="http://schemas.openxmlformats.org/officeDocument/2006/relationships" r:id="rId7"/>
          <a:extLst>
            <a:ext uri="{FF2B5EF4-FFF2-40B4-BE49-F238E27FC236}">
              <a16:creationId xmlns:a16="http://schemas.microsoft.com/office/drawing/2014/main" id="{00000000-0008-0000-1500-00000B000000}"/>
            </a:ext>
          </a:extLst>
        </xdr:cNvPr>
        <xdr:cNvSpPr/>
      </xdr:nvSpPr>
      <xdr:spPr>
        <a:xfrm>
          <a:off x="119062" y="2021262"/>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119062</xdr:colOff>
      <xdr:row>3</xdr:row>
      <xdr:rowOff>296257</xdr:rowOff>
    </xdr:from>
    <xdr:to>
      <xdr:col>0</xdr:col>
      <xdr:colOff>1430151</xdr:colOff>
      <xdr:row>4</xdr:row>
      <xdr:rowOff>277347</xdr:rowOff>
    </xdr:to>
    <xdr:sp macro="" textlink="">
      <xdr:nvSpPr>
        <xdr:cNvPr id="12" name="Rectangle 11">
          <a:hlinkClick xmlns:r="http://schemas.openxmlformats.org/officeDocument/2006/relationships" r:id="rId8"/>
          <a:extLst>
            <a:ext uri="{FF2B5EF4-FFF2-40B4-BE49-F238E27FC236}">
              <a16:creationId xmlns:a16="http://schemas.microsoft.com/office/drawing/2014/main" id="{00000000-0008-0000-1500-00000C000000}"/>
            </a:ext>
          </a:extLst>
        </xdr:cNvPr>
        <xdr:cNvSpPr/>
      </xdr:nvSpPr>
      <xdr:spPr>
        <a:xfrm>
          <a:off x="119062" y="237985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130268</xdr:colOff>
      <xdr:row>4</xdr:row>
      <xdr:rowOff>322174</xdr:rowOff>
    </xdr:from>
    <xdr:to>
      <xdr:col>0</xdr:col>
      <xdr:colOff>1441357</xdr:colOff>
      <xdr:row>4</xdr:row>
      <xdr:rowOff>624733</xdr:rowOff>
    </xdr:to>
    <xdr:sp macro="" textlink="">
      <xdr:nvSpPr>
        <xdr:cNvPr id="13" name="Rectangle 12">
          <a:hlinkClick xmlns:r="http://schemas.openxmlformats.org/officeDocument/2006/relationships" r:id="rId9"/>
          <a:extLst>
            <a:ext uri="{FF2B5EF4-FFF2-40B4-BE49-F238E27FC236}">
              <a16:creationId xmlns:a16="http://schemas.microsoft.com/office/drawing/2014/main" id="{00000000-0008-0000-1500-00000D000000}"/>
            </a:ext>
          </a:extLst>
        </xdr:cNvPr>
        <xdr:cNvSpPr/>
      </xdr:nvSpPr>
      <xdr:spPr>
        <a:xfrm>
          <a:off x="130268" y="272723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130267</xdr:colOff>
      <xdr:row>4</xdr:row>
      <xdr:rowOff>669552</xdr:rowOff>
    </xdr:from>
    <xdr:to>
      <xdr:col>0</xdr:col>
      <xdr:colOff>1441356</xdr:colOff>
      <xdr:row>4</xdr:row>
      <xdr:rowOff>972111</xdr:rowOff>
    </xdr:to>
    <xdr:sp macro="" textlink="">
      <xdr:nvSpPr>
        <xdr:cNvPr id="14" name="Rectangle 13">
          <a:hlinkClick xmlns:r="http://schemas.openxmlformats.org/officeDocument/2006/relationships" r:id="rId10"/>
          <a:extLst>
            <a:ext uri="{FF2B5EF4-FFF2-40B4-BE49-F238E27FC236}">
              <a16:creationId xmlns:a16="http://schemas.microsoft.com/office/drawing/2014/main" id="{00000000-0008-0000-1500-00000E000000}"/>
            </a:ext>
          </a:extLst>
        </xdr:cNvPr>
        <xdr:cNvSpPr/>
      </xdr:nvSpPr>
      <xdr:spPr>
        <a:xfrm>
          <a:off x="130267" y="307461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130267</xdr:colOff>
      <xdr:row>4</xdr:row>
      <xdr:rowOff>1016934</xdr:rowOff>
    </xdr:from>
    <xdr:to>
      <xdr:col>0</xdr:col>
      <xdr:colOff>1441356</xdr:colOff>
      <xdr:row>5</xdr:row>
      <xdr:rowOff>295556</xdr:rowOff>
    </xdr:to>
    <xdr:sp macro="" textlink="">
      <xdr:nvSpPr>
        <xdr:cNvPr id="15" name="Rectangle 14">
          <a:hlinkClick xmlns:r="http://schemas.openxmlformats.org/officeDocument/2006/relationships" r:id="rId11"/>
          <a:extLst>
            <a:ext uri="{FF2B5EF4-FFF2-40B4-BE49-F238E27FC236}">
              <a16:creationId xmlns:a16="http://schemas.microsoft.com/office/drawing/2014/main" id="{00000000-0008-0000-1500-00000F000000}"/>
            </a:ext>
          </a:extLst>
        </xdr:cNvPr>
        <xdr:cNvSpPr/>
      </xdr:nvSpPr>
      <xdr:spPr>
        <a:xfrm>
          <a:off x="130267" y="342199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130267</xdr:colOff>
      <xdr:row>5</xdr:row>
      <xdr:rowOff>317969</xdr:rowOff>
    </xdr:from>
    <xdr:to>
      <xdr:col>0</xdr:col>
      <xdr:colOff>1441356</xdr:colOff>
      <xdr:row>5</xdr:row>
      <xdr:rowOff>620528</xdr:rowOff>
    </xdr:to>
    <xdr:sp macro="" textlink="">
      <xdr:nvSpPr>
        <xdr:cNvPr id="16" name="Rectangle 15">
          <a:hlinkClick xmlns:r="http://schemas.openxmlformats.org/officeDocument/2006/relationships" r:id="rId12"/>
          <a:extLst>
            <a:ext uri="{FF2B5EF4-FFF2-40B4-BE49-F238E27FC236}">
              <a16:creationId xmlns:a16="http://schemas.microsoft.com/office/drawing/2014/main" id="{00000000-0008-0000-1500-000010000000}"/>
            </a:ext>
          </a:extLst>
        </xdr:cNvPr>
        <xdr:cNvSpPr/>
      </xdr:nvSpPr>
      <xdr:spPr>
        <a:xfrm>
          <a:off x="130267" y="374696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119062</xdr:colOff>
      <xdr:row>5</xdr:row>
      <xdr:rowOff>665353</xdr:rowOff>
    </xdr:from>
    <xdr:to>
      <xdr:col>0</xdr:col>
      <xdr:colOff>1430151</xdr:colOff>
      <xdr:row>5</xdr:row>
      <xdr:rowOff>967912</xdr:rowOff>
    </xdr:to>
    <xdr:sp macro="" textlink="">
      <xdr:nvSpPr>
        <xdr:cNvPr id="17" name="Rectangle 16">
          <a:hlinkClick xmlns:r="http://schemas.openxmlformats.org/officeDocument/2006/relationships" r:id="rId13"/>
          <a:extLst>
            <a:ext uri="{FF2B5EF4-FFF2-40B4-BE49-F238E27FC236}">
              <a16:creationId xmlns:a16="http://schemas.microsoft.com/office/drawing/2014/main" id="{00000000-0008-0000-1500-000011000000}"/>
            </a:ext>
          </a:extLst>
        </xdr:cNvPr>
        <xdr:cNvSpPr/>
      </xdr:nvSpPr>
      <xdr:spPr>
        <a:xfrm>
          <a:off x="119062" y="409435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27</xdr:col>
      <xdr:colOff>204509</xdr:colOff>
      <xdr:row>2</xdr:row>
      <xdr:rowOff>124807</xdr:rowOff>
    </xdr:from>
    <xdr:to>
      <xdr:col>43</xdr:col>
      <xdr:colOff>34637</xdr:colOff>
      <xdr:row>2</xdr:row>
      <xdr:rowOff>916782</xdr:rowOff>
    </xdr:to>
    <xdr:sp macro="" textlink="">
      <xdr:nvSpPr>
        <xdr:cNvPr id="4" name="TextBox 3">
          <a:extLst>
            <a:ext uri="{FF2B5EF4-FFF2-40B4-BE49-F238E27FC236}">
              <a16:creationId xmlns:a16="http://schemas.microsoft.com/office/drawing/2014/main" id="{00000000-0008-0000-1600-000004000000}"/>
            </a:ext>
          </a:extLst>
        </xdr:cNvPr>
        <xdr:cNvSpPr txBox="1"/>
      </xdr:nvSpPr>
      <xdr:spPr>
        <a:xfrm>
          <a:off x="19081327" y="1008034"/>
          <a:ext cx="2704946"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223314</xdr:colOff>
      <xdr:row>0</xdr:row>
      <xdr:rowOff>54428</xdr:rowOff>
    </xdr:from>
    <xdr:to>
      <xdr:col>0</xdr:col>
      <xdr:colOff>1313927</xdr:colOff>
      <xdr:row>0</xdr:row>
      <xdr:rowOff>537295</xdr:rowOff>
    </xdr:to>
    <xdr:pic>
      <xdr:nvPicPr>
        <xdr:cNvPr id="6" name="Picture 5" descr="HomeBBB.gif">
          <a:hlinkClick xmlns:r="http://schemas.openxmlformats.org/officeDocument/2006/relationships" r:id="rId1"/>
          <a:extLst>
            <a:ext uri="{FF2B5EF4-FFF2-40B4-BE49-F238E27FC236}">
              <a16:creationId xmlns:a16="http://schemas.microsoft.com/office/drawing/2014/main" id="{00000000-0008-0000-1600-00000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23314" y="54428"/>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133668</xdr:colOff>
      <xdr:row>1</xdr:row>
      <xdr:rowOff>18408</xdr:rowOff>
    </xdr:from>
    <xdr:to>
      <xdr:col>0</xdr:col>
      <xdr:colOff>1444757</xdr:colOff>
      <xdr:row>2</xdr:row>
      <xdr:rowOff>21610</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1600-000007000000}"/>
            </a:ext>
          </a:extLst>
        </xdr:cNvPr>
        <xdr:cNvSpPr/>
      </xdr:nvSpPr>
      <xdr:spPr>
        <a:xfrm>
          <a:off x="133668" y="60351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122463</xdr:colOff>
      <xdr:row>2</xdr:row>
      <xdr:rowOff>66437</xdr:rowOff>
    </xdr:from>
    <xdr:to>
      <xdr:col>0</xdr:col>
      <xdr:colOff>1433552</xdr:colOff>
      <xdr:row>2</xdr:row>
      <xdr:rowOff>368996</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1600-000008000000}"/>
            </a:ext>
          </a:extLst>
        </xdr:cNvPr>
        <xdr:cNvSpPr/>
      </xdr:nvSpPr>
      <xdr:spPr>
        <a:xfrm>
          <a:off x="122463" y="95090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133672</xdr:colOff>
      <xdr:row>2</xdr:row>
      <xdr:rowOff>413823</xdr:rowOff>
    </xdr:from>
    <xdr:to>
      <xdr:col>0</xdr:col>
      <xdr:colOff>1444761</xdr:colOff>
      <xdr:row>2</xdr:row>
      <xdr:rowOff>716382</xdr:rowOff>
    </xdr:to>
    <xdr:sp macro="" textlink="">
      <xdr:nvSpPr>
        <xdr:cNvPr id="9" name="Rectangle 8">
          <a:hlinkClick xmlns:r="http://schemas.openxmlformats.org/officeDocument/2006/relationships" r:id="rId5"/>
          <a:extLst>
            <a:ext uri="{FF2B5EF4-FFF2-40B4-BE49-F238E27FC236}">
              <a16:creationId xmlns:a16="http://schemas.microsoft.com/office/drawing/2014/main" id="{00000000-0008-0000-1600-000009000000}"/>
            </a:ext>
          </a:extLst>
        </xdr:cNvPr>
        <xdr:cNvSpPr/>
      </xdr:nvSpPr>
      <xdr:spPr>
        <a:xfrm>
          <a:off x="133672" y="129828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133671</xdr:colOff>
      <xdr:row>2</xdr:row>
      <xdr:rowOff>761205</xdr:rowOff>
    </xdr:from>
    <xdr:to>
      <xdr:col>0</xdr:col>
      <xdr:colOff>1444760</xdr:colOff>
      <xdr:row>2</xdr:row>
      <xdr:rowOff>1063764</xdr:rowOff>
    </xdr:to>
    <xdr:sp macro="" textlink="">
      <xdr:nvSpPr>
        <xdr:cNvPr id="10" name="Rectangle 9">
          <a:hlinkClick xmlns:r="http://schemas.openxmlformats.org/officeDocument/2006/relationships" r:id="rId6"/>
          <a:extLst>
            <a:ext uri="{FF2B5EF4-FFF2-40B4-BE49-F238E27FC236}">
              <a16:creationId xmlns:a16="http://schemas.microsoft.com/office/drawing/2014/main" id="{00000000-0008-0000-1600-00000A000000}"/>
            </a:ext>
          </a:extLst>
        </xdr:cNvPr>
        <xdr:cNvSpPr/>
      </xdr:nvSpPr>
      <xdr:spPr>
        <a:xfrm>
          <a:off x="133671" y="164566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122465</xdr:colOff>
      <xdr:row>2</xdr:row>
      <xdr:rowOff>1119790</xdr:rowOff>
    </xdr:from>
    <xdr:to>
      <xdr:col>0</xdr:col>
      <xdr:colOff>1433554</xdr:colOff>
      <xdr:row>3</xdr:row>
      <xdr:rowOff>224920</xdr:rowOff>
    </xdr:to>
    <xdr:sp macro="" textlink="">
      <xdr:nvSpPr>
        <xdr:cNvPr id="11" name="Rectangle 10">
          <a:hlinkClick xmlns:r="http://schemas.openxmlformats.org/officeDocument/2006/relationships" r:id="rId7"/>
          <a:extLst>
            <a:ext uri="{FF2B5EF4-FFF2-40B4-BE49-F238E27FC236}">
              <a16:creationId xmlns:a16="http://schemas.microsoft.com/office/drawing/2014/main" id="{00000000-0008-0000-1600-00000B000000}"/>
            </a:ext>
          </a:extLst>
        </xdr:cNvPr>
        <xdr:cNvSpPr/>
      </xdr:nvSpPr>
      <xdr:spPr>
        <a:xfrm>
          <a:off x="122465" y="2004254"/>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IPA  </a:t>
          </a:r>
        </a:p>
      </xdr:txBody>
    </xdr:sp>
    <xdr:clientData/>
  </xdr:twoCellAnchor>
  <xdr:twoCellAnchor>
    <xdr:from>
      <xdr:col>0</xdr:col>
      <xdr:colOff>122465</xdr:colOff>
      <xdr:row>3</xdr:row>
      <xdr:rowOff>280950</xdr:rowOff>
    </xdr:from>
    <xdr:to>
      <xdr:col>0</xdr:col>
      <xdr:colOff>1433554</xdr:colOff>
      <xdr:row>4</xdr:row>
      <xdr:rowOff>256938</xdr:rowOff>
    </xdr:to>
    <xdr:sp macro="" textlink="">
      <xdr:nvSpPr>
        <xdr:cNvPr id="12" name="Rectangle 11">
          <a:hlinkClick xmlns:r="http://schemas.openxmlformats.org/officeDocument/2006/relationships" r:id="rId8"/>
          <a:extLst>
            <a:ext uri="{FF2B5EF4-FFF2-40B4-BE49-F238E27FC236}">
              <a16:creationId xmlns:a16="http://schemas.microsoft.com/office/drawing/2014/main" id="{00000000-0008-0000-1600-00000C000000}"/>
            </a:ext>
          </a:extLst>
        </xdr:cNvPr>
        <xdr:cNvSpPr/>
      </xdr:nvSpPr>
      <xdr:spPr>
        <a:xfrm>
          <a:off x="122465" y="236284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133671</xdr:colOff>
      <xdr:row>4</xdr:row>
      <xdr:rowOff>301765</xdr:rowOff>
    </xdr:from>
    <xdr:to>
      <xdr:col>0</xdr:col>
      <xdr:colOff>1444760</xdr:colOff>
      <xdr:row>4</xdr:row>
      <xdr:rowOff>604324</xdr:rowOff>
    </xdr:to>
    <xdr:sp macro="" textlink="">
      <xdr:nvSpPr>
        <xdr:cNvPr id="13" name="Rectangle 12">
          <a:hlinkClick xmlns:r="http://schemas.openxmlformats.org/officeDocument/2006/relationships" r:id="rId9"/>
          <a:extLst>
            <a:ext uri="{FF2B5EF4-FFF2-40B4-BE49-F238E27FC236}">
              <a16:creationId xmlns:a16="http://schemas.microsoft.com/office/drawing/2014/main" id="{00000000-0008-0000-1600-00000D000000}"/>
            </a:ext>
          </a:extLst>
        </xdr:cNvPr>
        <xdr:cNvSpPr/>
      </xdr:nvSpPr>
      <xdr:spPr>
        <a:xfrm>
          <a:off x="133671" y="271022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133670</xdr:colOff>
      <xdr:row>4</xdr:row>
      <xdr:rowOff>649143</xdr:rowOff>
    </xdr:from>
    <xdr:to>
      <xdr:col>0</xdr:col>
      <xdr:colOff>1444759</xdr:colOff>
      <xdr:row>5</xdr:row>
      <xdr:rowOff>135273</xdr:rowOff>
    </xdr:to>
    <xdr:sp macro="" textlink="">
      <xdr:nvSpPr>
        <xdr:cNvPr id="14" name="Rectangle 13">
          <a:hlinkClick xmlns:r="http://schemas.openxmlformats.org/officeDocument/2006/relationships" r:id="rId10"/>
          <a:extLst>
            <a:ext uri="{FF2B5EF4-FFF2-40B4-BE49-F238E27FC236}">
              <a16:creationId xmlns:a16="http://schemas.microsoft.com/office/drawing/2014/main" id="{00000000-0008-0000-1600-00000E000000}"/>
            </a:ext>
          </a:extLst>
        </xdr:cNvPr>
        <xdr:cNvSpPr/>
      </xdr:nvSpPr>
      <xdr:spPr>
        <a:xfrm>
          <a:off x="133670" y="305760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133670</xdr:colOff>
      <xdr:row>5</xdr:row>
      <xdr:rowOff>180096</xdr:rowOff>
    </xdr:from>
    <xdr:to>
      <xdr:col>0</xdr:col>
      <xdr:colOff>1444759</xdr:colOff>
      <xdr:row>5</xdr:row>
      <xdr:rowOff>482655</xdr:rowOff>
    </xdr:to>
    <xdr:sp macro="" textlink="">
      <xdr:nvSpPr>
        <xdr:cNvPr id="15" name="Rectangle 14">
          <a:hlinkClick xmlns:r="http://schemas.openxmlformats.org/officeDocument/2006/relationships" r:id="rId11"/>
          <a:extLst>
            <a:ext uri="{FF2B5EF4-FFF2-40B4-BE49-F238E27FC236}">
              <a16:creationId xmlns:a16="http://schemas.microsoft.com/office/drawing/2014/main" id="{00000000-0008-0000-1600-00000F000000}"/>
            </a:ext>
          </a:extLst>
        </xdr:cNvPr>
        <xdr:cNvSpPr/>
      </xdr:nvSpPr>
      <xdr:spPr>
        <a:xfrm>
          <a:off x="133670" y="340498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133670</xdr:colOff>
      <xdr:row>5</xdr:row>
      <xdr:rowOff>505068</xdr:rowOff>
    </xdr:from>
    <xdr:to>
      <xdr:col>0</xdr:col>
      <xdr:colOff>1444759</xdr:colOff>
      <xdr:row>5</xdr:row>
      <xdr:rowOff>807627</xdr:rowOff>
    </xdr:to>
    <xdr:sp macro="" textlink="">
      <xdr:nvSpPr>
        <xdr:cNvPr id="16" name="Rectangle 15">
          <a:hlinkClick xmlns:r="http://schemas.openxmlformats.org/officeDocument/2006/relationships" r:id="rId12"/>
          <a:extLst>
            <a:ext uri="{FF2B5EF4-FFF2-40B4-BE49-F238E27FC236}">
              <a16:creationId xmlns:a16="http://schemas.microsoft.com/office/drawing/2014/main" id="{00000000-0008-0000-1600-000010000000}"/>
            </a:ext>
          </a:extLst>
        </xdr:cNvPr>
        <xdr:cNvSpPr/>
      </xdr:nvSpPr>
      <xdr:spPr>
        <a:xfrm>
          <a:off x="133670" y="372996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122465</xdr:colOff>
      <xdr:row>6</xdr:row>
      <xdr:rowOff>36024</xdr:rowOff>
    </xdr:from>
    <xdr:to>
      <xdr:col>0</xdr:col>
      <xdr:colOff>1433554</xdr:colOff>
      <xdr:row>6</xdr:row>
      <xdr:rowOff>338583</xdr:rowOff>
    </xdr:to>
    <xdr:sp macro="" textlink="">
      <xdr:nvSpPr>
        <xdr:cNvPr id="17" name="Rectangle 16">
          <a:hlinkClick xmlns:r="http://schemas.openxmlformats.org/officeDocument/2006/relationships" r:id="rId13"/>
          <a:extLst>
            <a:ext uri="{FF2B5EF4-FFF2-40B4-BE49-F238E27FC236}">
              <a16:creationId xmlns:a16="http://schemas.microsoft.com/office/drawing/2014/main" id="{00000000-0008-0000-1600-000011000000}"/>
            </a:ext>
          </a:extLst>
        </xdr:cNvPr>
        <xdr:cNvSpPr/>
      </xdr:nvSpPr>
      <xdr:spPr>
        <a:xfrm>
          <a:off x="122465" y="407734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27</xdr:col>
      <xdr:colOff>204509</xdr:colOff>
      <xdr:row>2</xdr:row>
      <xdr:rowOff>124807</xdr:rowOff>
    </xdr:from>
    <xdr:to>
      <xdr:col>45</xdr:col>
      <xdr:colOff>168088</xdr:colOff>
      <xdr:row>2</xdr:row>
      <xdr:rowOff>916782</xdr:rowOff>
    </xdr:to>
    <xdr:sp macro="" textlink="">
      <xdr:nvSpPr>
        <xdr:cNvPr id="5" name="TextBox 4">
          <a:extLst>
            <a:ext uri="{FF2B5EF4-FFF2-40B4-BE49-F238E27FC236}">
              <a16:creationId xmlns:a16="http://schemas.microsoft.com/office/drawing/2014/main" id="{00000000-0008-0000-1700-000005000000}"/>
            </a:ext>
          </a:extLst>
        </xdr:cNvPr>
        <xdr:cNvSpPr txBox="1"/>
      </xdr:nvSpPr>
      <xdr:spPr>
        <a:xfrm>
          <a:off x="18638185" y="998866"/>
          <a:ext cx="2809874"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212911</xdr:colOff>
      <xdr:row>0</xdr:row>
      <xdr:rowOff>44824</xdr:rowOff>
    </xdr:from>
    <xdr:to>
      <xdr:col>0</xdr:col>
      <xdr:colOff>1303524</xdr:colOff>
      <xdr:row>0</xdr:row>
      <xdr:rowOff>527691</xdr:rowOff>
    </xdr:to>
    <xdr:pic>
      <xdr:nvPicPr>
        <xdr:cNvPr id="6" name="Picture 5" descr="HomeBBB.gif">
          <a:hlinkClick xmlns:r="http://schemas.openxmlformats.org/officeDocument/2006/relationships" r:id="rId1"/>
          <a:extLst>
            <a:ext uri="{FF2B5EF4-FFF2-40B4-BE49-F238E27FC236}">
              <a16:creationId xmlns:a16="http://schemas.microsoft.com/office/drawing/2014/main" id="{00000000-0008-0000-1700-00000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2911" y="44824"/>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123265</xdr:colOff>
      <xdr:row>1</xdr:row>
      <xdr:rowOff>11205</xdr:rowOff>
    </xdr:from>
    <xdr:to>
      <xdr:col>0</xdr:col>
      <xdr:colOff>1434354</xdr:colOff>
      <xdr:row>2</xdr:row>
      <xdr:rowOff>22411</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1700-000007000000}"/>
            </a:ext>
          </a:extLst>
        </xdr:cNvPr>
        <xdr:cNvSpPr/>
      </xdr:nvSpPr>
      <xdr:spPr>
        <a:xfrm>
          <a:off x="123265" y="59391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112060</xdr:colOff>
      <xdr:row>2</xdr:row>
      <xdr:rowOff>67238</xdr:rowOff>
    </xdr:from>
    <xdr:to>
      <xdr:col>0</xdr:col>
      <xdr:colOff>1423149</xdr:colOff>
      <xdr:row>2</xdr:row>
      <xdr:rowOff>369797</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1700-000008000000}"/>
            </a:ext>
          </a:extLst>
        </xdr:cNvPr>
        <xdr:cNvSpPr/>
      </xdr:nvSpPr>
      <xdr:spPr>
        <a:xfrm>
          <a:off x="112060" y="94129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123269</xdr:colOff>
      <xdr:row>2</xdr:row>
      <xdr:rowOff>414624</xdr:rowOff>
    </xdr:from>
    <xdr:to>
      <xdr:col>0</xdr:col>
      <xdr:colOff>1434358</xdr:colOff>
      <xdr:row>2</xdr:row>
      <xdr:rowOff>717183</xdr:rowOff>
    </xdr:to>
    <xdr:sp macro="" textlink="">
      <xdr:nvSpPr>
        <xdr:cNvPr id="9" name="Rectangle 8">
          <a:hlinkClick xmlns:r="http://schemas.openxmlformats.org/officeDocument/2006/relationships" r:id="rId5"/>
          <a:extLst>
            <a:ext uri="{FF2B5EF4-FFF2-40B4-BE49-F238E27FC236}">
              <a16:creationId xmlns:a16="http://schemas.microsoft.com/office/drawing/2014/main" id="{00000000-0008-0000-1700-000009000000}"/>
            </a:ext>
          </a:extLst>
        </xdr:cNvPr>
        <xdr:cNvSpPr/>
      </xdr:nvSpPr>
      <xdr:spPr>
        <a:xfrm>
          <a:off x="123269" y="128868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123268</xdr:colOff>
      <xdr:row>2</xdr:row>
      <xdr:rowOff>762006</xdr:rowOff>
    </xdr:from>
    <xdr:to>
      <xdr:col>0</xdr:col>
      <xdr:colOff>1434357</xdr:colOff>
      <xdr:row>2</xdr:row>
      <xdr:rowOff>1064565</xdr:rowOff>
    </xdr:to>
    <xdr:sp macro="" textlink="">
      <xdr:nvSpPr>
        <xdr:cNvPr id="10" name="Rectangle 9">
          <a:hlinkClick xmlns:r="http://schemas.openxmlformats.org/officeDocument/2006/relationships" r:id="rId6"/>
          <a:extLst>
            <a:ext uri="{FF2B5EF4-FFF2-40B4-BE49-F238E27FC236}">
              <a16:creationId xmlns:a16="http://schemas.microsoft.com/office/drawing/2014/main" id="{00000000-0008-0000-1700-00000A000000}"/>
            </a:ext>
          </a:extLst>
        </xdr:cNvPr>
        <xdr:cNvSpPr/>
      </xdr:nvSpPr>
      <xdr:spPr>
        <a:xfrm>
          <a:off x="123268" y="163606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112062</xdr:colOff>
      <xdr:row>2</xdr:row>
      <xdr:rowOff>1120591</xdr:rowOff>
    </xdr:from>
    <xdr:to>
      <xdr:col>0</xdr:col>
      <xdr:colOff>1423151</xdr:colOff>
      <xdr:row>3</xdr:row>
      <xdr:rowOff>224121</xdr:rowOff>
    </xdr:to>
    <xdr:sp macro="" textlink="">
      <xdr:nvSpPr>
        <xdr:cNvPr id="11" name="Rectangle 10">
          <a:hlinkClick xmlns:r="http://schemas.openxmlformats.org/officeDocument/2006/relationships" r:id="rId7"/>
          <a:extLst>
            <a:ext uri="{FF2B5EF4-FFF2-40B4-BE49-F238E27FC236}">
              <a16:creationId xmlns:a16="http://schemas.microsoft.com/office/drawing/2014/main" id="{00000000-0008-0000-1700-00000B000000}"/>
            </a:ext>
          </a:extLst>
        </xdr:cNvPr>
        <xdr:cNvSpPr/>
      </xdr:nvSpPr>
      <xdr:spPr>
        <a:xfrm>
          <a:off x="112062" y="1994650"/>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112062</xdr:colOff>
      <xdr:row>3</xdr:row>
      <xdr:rowOff>280151</xdr:rowOff>
    </xdr:from>
    <xdr:to>
      <xdr:col>0</xdr:col>
      <xdr:colOff>1423151</xdr:colOff>
      <xdr:row>4</xdr:row>
      <xdr:rowOff>257739</xdr:rowOff>
    </xdr:to>
    <xdr:sp macro="" textlink="">
      <xdr:nvSpPr>
        <xdr:cNvPr id="12" name="Rectangle 11">
          <a:hlinkClick xmlns:r="http://schemas.openxmlformats.org/officeDocument/2006/relationships" r:id="rId8"/>
          <a:extLst>
            <a:ext uri="{FF2B5EF4-FFF2-40B4-BE49-F238E27FC236}">
              <a16:creationId xmlns:a16="http://schemas.microsoft.com/office/drawing/2014/main" id="{00000000-0008-0000-1700-00000C000000}"/>
            </a:ext>
          </a:extLst>
        </xdr:cNvPr>
        <xdr:cNvSpPr/>
      </xdr:nvSpPr>
      <xdr:spPr>
        <a:xfrm>
          <a:off x="112062" y="235323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IPS  </a:t>
          </a:r>
        </a:p>
      </xdr:txBody>
    </xdr:sp>
    <xdr:clientData/>
  </xdr:twoCellAnchor>
  <xdr:twoCellAnchor>
    <xdr:from>
      <xdr:col>0</xdr:col>
      <xdr:colOff>123268</xdr:colOff>
      <xdr:row>4</xdr:row>
      <xdr:rowOff>302566</xdr:rowOff>
    </xdr:from>
    <xdr:to>
      <xdr:col>0</xdr:col>
      <xdr:colOff>1434357</xdr:colOff>
      <xdr:row>4</xdr:row>
      <xdr:rowOff>605125</xdr:rowOff>
    </xdr:to>
    <xdr:sp macro="" textlink="">
      <xdr:nvSpPr>
        <xdr:cNvPr id="13" name="Rectangle 12">
          <a:hlinkClick xmlns:r="http://schemas.openxmlformats.org/officeDocument/2006/relationships" r:id="rId9"/>
          <a:extLst>
            <a:ext uri="{FF2B5EF4-FFF2-40B4-BE49-F238E27FC236}">
              <a16:creationId xmlns:a16="http://schemas.microsoft.com/office/drawing/2014/main" id="{00000000-0008-0000-1700-00000D000000}"/>
            </a:ext>
          </a:extLst>
        </xdr:cNvPr>
        <xdr:cNvSpPr/>
      </xdr:nvSpPr>
      <xdr:spPr>
        <a:xfrm>
          <a:off x="123268" y="270062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123267</xdr:colOff>
      <xdr:row>4</xdr:row>
      <xdr:rowOff>649944</xdr:rowOff>
    </xdr:from>
    <xdr:to>
      <xdr:col>0</xdr:col>
      <xdr:colOff>1434356</xdr:colOff>
      <xdr:row>5</xdr:row>
      <xdr:rowOff>246533</xdr:rowOff>
    </xdr:to>
    <xdr:sp macro="" textlink="">
      <xdr:nvSpPr>
        <xdr:cNvPr id="14" name="Rectangle 13">
          <a:hlinkClick xmlns:r="http://schemas.openxmlformats.org/officeDocument/2006/relationships" r:id="rId10"/>
          <a:extLst>
            <a:ext uri="{FF2B5EF4-FFF2-40B4-BE49-F238E27FC236}">
              <a16:creationId xmlns:a16="http://schemas.microsoft.com/office/drawing/2014/main" id="{00000000-0008-0000-1700-00000E000000}"/>
            </a:ext>
          </a:extLst>
        </xdr:cNvPr>
        <xdr:cNvSpPr/>
      </xdr:nvSpPr>
      <xdr:spPr>
        <a:xfrm>
          <a:off x="123267" y="304800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123267</xdr:colOff>
      <xdr:row>5</xdr:row>
      <xdr:rowOff>291356</xdr:rowOff>
    </xdr:from>
    <xdr:to>
      <xdr:col>0</xdr:col>
      <xdr:colOff>1434356</xdr:colOff>
      <xdr:row>5</xdr:row>
      <xdr:rowOff>593915</xdr:rowOff>
    </xdr:to>
    <xdr:sp macro="" textlink="">
      <xdr:nvSpPr>
        <xdr:cNvPr id="15" name="Rectangle 14">
          <a:hlinkClick xmlns:r="http://schemas.openxmlformats.org/officeDocument/2006/relationships" r:id="rId11"/>
          <a:extLst>
            <a:ext uri="{FF2B5EF4-FFF2-40B4-BE49-F238E27FC236}">
              <a16:creationId xmlns:a16="http://schemas.microsoft.com/office/drawing/2014/main" id="{00000000-0008-0000-1700-00000F000000}"/>
            </a:ext>
          </a:extLst>
        </xdr:cNvPr>
        <xdr:cNvSpPr/>
      </xdr:nvSpPr>
      <xdr:spPr>
        <a:xfrm>
          <a:off x="123267" y="339538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123267</xdr:colOff>
      <xdr:row>5</xdr:row>
      <xdr:rowOff>616328</xdr:rowOff>
    </xdr:from>
    <xdr:to>
      <xdr:col>0</xdr:col>
      <xdr:colOff>1434356</xdr:colOff>
      <xdr:row>6</xdr:row>
      <xdr:rowOff>212916</xdr:rowOff>
    </xdr:to>
    <xdr:sp macro="" textlink="">
      <xdr:nvSpPr>
        <xdr:cNvPr id="16" name="Rectangle 15">
          <a:hlinkClick xmlns:r="http://schemas.openxmlformats.org/officeDocument/2006/relationships" r:id="rId12"/>
          <a:extLst>
            <a:ext uri="{FF2B5EF4-FFF2-40B4-BE49-F238E27FC236}">
              <a16:creationId xmlns:a16="http://schemas.microsoft.com/office/drawing/2014/main" id="{00000000-0008-0000-1700-000010000000}"/>
            </a:ext>
          </a:extLst>
        </xdr:cNvPr>
        <xdr:cNvSpPr/>
      </xdr:nvSpPr>
      <xdr:spPr>
        <a:xfrm>
          <a:off x="123267" y="372035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112062</xdr:colOff>
      <xdr:row>6</xdr:row>
      <xdr:rowOff>257741</xdr:rowOff>
    </xdr:from>
    <xdr:to>
      <xdr:col>0</xdr:col>
      <xdr:colOff>1423151</xdr:colOff>
      <xdr:row>6</xdr:row>
      <xdr:rowOff>560300</xdr:rowOff>
    </xdr:to>
    <xdr:sp macro="" textlink="">
      <xdr:nvSpPr>
        <xdr:cNvPr id="17" name="Rectangle 16">
          <a:hlinkClick xmlns:r="http://schemas.openxmlformats.org/officeDocument/2006/relationships" r:id="rId13"/>
          <a:extLst>
            <a:ext uri="{FF2B5EF4-FFF2-40B4-BE49-F238E27FC236}">
              <a16:creationId xmlns:a16="http://schemas.microsoft.com/office/drawing/2014/main" id="{00000000-0008-0000-1700-000011000000}"/>
            </a:ext>
          </a:extLst>
        </xdr:cNvPr>
        <xdr:cNvSpPr/>
      </xdr:nvSpPr>
      <xdr:spPr>
        <a:xfrm>
          <a:off x="112062" y="406774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27</xdr:col>
      <xdr:colOff>204508</xdr:colOff>
      <xdr:row>2</xdr:row>
      <xdr:rowOff>124807</xdr:rowOff>
    </xdr:from>
    <xdr:to>
      <xdr:col>42</xdr:col>
      <xdr:colOff>34635</xdr:colOff>
      <xdr:row>2</xdr:row>
      <xdr:rowOff>916782</xdr:rowOff>
    </xdr:to>
    <xdr:sp macro="" textlink="">
      <xdr:nvSpPr>
        <xdr:cNvPr id="4" name="TextBox 3">
          <a:extLst>
            <a:ext uri="{FF2B5EF4-FFF2-40B4-BE49-F238E27FC236}">
              <a16:creationId xmlns:a16="http://schemas.microsoft.com/office/drawing/2014/main" id="{00000000-0008-0000-1800-000004000000}"/>
            </a:ext>
          </a:extLst>
        </xdr:cNvPr>
        <xdr:cNvSpPr txBox="1"/>
      </xdr:nvSpPr>
      <xdr:spPr>
        <a:xfrm>
          <a:off x="18146144" y="1008034"/>
          <a:ext cx="2808855"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236921</xdr:colOff>
      <xdr:row>0</xdr:row>
      <xdr:rowOff>54428</xdr:rowOff>
    </xdr:from>
    <xdr:to>
      <xdr:col>0</xdr:col>
      <xdr:colOff>1327534</xdr:colOff>
      <xdr:row>0</xdr:row>
      <xdr:rowOff>537295</xdr:rowOff>
    </xdr:to>
    <xdr:pic>
      <xdr:nvPicPr>
        <xdr:cNvPr id="6" name="Picture 5" descr="HomeBBB.gif">
          <a:hlinkClick xmlns:r="http://schemas.openxmlformats.org/officeDocument/2006/relationships" r:id="rId1"/>
          <a:extLst>
            <a:ext uri="{FF2B5EF4-FFF2-40B4-BE49-F238E27FC236}">
              <a16:creationId xmlns:a16="http://schemas.microsoft.com/office/drawing/2014/main" id="{00000000-0008-0000-1800-00000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36921" y="54428"/>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147275</xdr:colOff>
      <xdr:row>1</xdr:row>
      <xdr:rowOff>18408</xdr:rowOff>
    </xdr:from>
    <xdr:to>
      <xdr:col>0</xdr:col>
      <xdr:colOff>1458364</xdr:colOff>
      <xdr:row>2</xdr:row>
      <xdr:rowOff>21610</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1800-000007000000}"/>
            </a:ext>
          </a:extLst>
        </xdr:cNvPr>
        <xdr:cNvSpPr/>
      </xdr:nvSpPr>
      <xdr:spPr>
        <a:xfrm>
          <a:off x="147275" y="60351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136070</xdr:colOff>
      <xdr:row>2</xdr:row>
      <xdr:rowOff>66437</xdr:rowOff>
    </xdr:from>
    <xdr:to>
      <xdr:col>0</xdr:col>
      <xdr:colOff>1447159</xdr:colOff>
      <xdr:row>2</xdr:row>
      <xdr:rowOff>368996</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1800-000008000000}"/>
            </a:ext>
          </a:extLst>
        </xdr:cNvPr>
        <xdr:cNvSpPr/>
      </xdr:nvSpPr>
      <xdr:spPr>
        <a:xfrm>
          <a:off x="136070" y="95090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147279</xdr:colOff>
      <xdr:row>2</xdr:row>
      <xdr:rowOff>413823</xdr:rowOff>
    </xdr:from>
    <xdr:to>
      <xdr:col>0</xdr:col>
      <xdr:colOff>1458368</xdr:colOff>
      <xdr:row>2</xdr:row>
      <xdr:rowOff>716382</xdr:rowOff>
    </xdr:to>
    <xdr:sp macro="" textlink="">
      <xdr:nvSpPr>
        <xdr:cNvPr id="9" name="Rectangle 8">
          <a:hlinkClick xmlns:r="http://schemas.openxmlformats.org/officeDocument/2006/relationships" r:id="rId5"/>
          <a:extLst>
            <a:ext uri="{FF2B5EF4-FFF2-40B4-BE49-F238E27FC236}">
              <a16:creationId xmlns:a16="http://schemas.microsoft.com/office/drawing/2014/main" id="{00000000-0008-0000-1800-000009000000}"/>
            </a:ext>
          </a:extLst>
        </xdr:cNvPr>
        <xdr:cNvSpPr/>
      </xdr:nvSpPr>
      <xdr:spPr>
        <a:xfrm>
          <a:off x="147279" y="129828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147278</xdr:colOff>
      <xdr:row>2</xdr:row>
      <xdr:rowOff>761205</xdr:rowOff>
    </xdr:from>
    <xdr:to>
      <xdr:col>0</xdr:col>
      <xdr:colOff>1458367</xdr:colOff>
      <xdr:row>2</xdr:row>
      <xdr:rowOff>1063764</xdr:rowOff>
    </xdr:to>
    <xdr:sp macro="" textlink="">
      <xdr:nvSpPr>
        <xdr:cNvPr id="10" name="Rectangle 9">
          <a:hlinkClick xmlns:r="http://schemas.openxmlformats.org/officeDocument/2006/relationships" r:id="rId6"/>
          <a:extLst>
            <a:ext uri="{FF2B5EF4-FFF2-40B4-BE49-F238E27FC236}">
              <a16:creationId xmlns:a16="http://schemas.microsoft.com/office/drawing/2014/main" id="{00000000-0008-0000-1800-00000A000000}"/>
            </a:ext>
          </a:extLst>
        </xdr:cNvPr>
        <xdr:cNvSpPr/>
      </xdr:nvSpPr>
      <xdr:spPr>
        <a:xfrm>
          <a:off x="147278" y="164566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136072</xdr:colOff>
      <xdr:row>2</xdr:row>
      <xdr:rowOff>1119790</xdr:rowOff>
    </xdr:from>
    <xdr:to>
      <xdr:col>0</xdr:col>
      <xdr:colOff>1447161</xdr:colOff>
      <xdr:row>3</xdr:row>
      <xdr:rowOff>224920</xdr:rowOff>
    </xdr:to>
    <xdr:sp macro="" textlink="">
      <xdr:nvSpPr>
        <xdr:cNvPr id="11" name="Rectangle 10">
          <a:hlinkClick xmlns:r="http://schemas.openxmlformats.org/officeDocument/2006/relationships" r:id="rId7"/>
          <a:extLst>
            <a:ext uri="{FF2B5EF4-FFF2-40B4-BE49-F238E27FC236}">
              <a16:creationId xmlns:a16="http://schemas.microsoft.com/office/drawing/2014/main" id="{00000000-0008-0000-1800-00000B000000}"/>
            </a:ext>
          </a:extLst>
        </xdr:cNvPr>
        <xdr:cNvSpPr/>
      </xdr:nvSpPr>
      <xdr:spPr>
        <a:xfrm>
          <a:off x="136072" y="2004254"/>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136072</xdr:colOff>
      <xdr:row>3</xdr:row>
      <xdr:rowOff>280950</xdr:rowOff>
    </xdr:from>
    <xdr:to>
      <xdr:col>0</xdr:col>
      <xdr:colOff>1447161</xdr:colOff>
      <xdr:row>4</xdr:row>
      <xdr:rowOff>256938</xdr:rowOff>
    </xdr:to>
    <xdr:sp macro="" textlink="">
      <xdr:nvSpPr>
        <xdr:cNvPr id="12" name="Rectangle 11">
          <a:hlinkClick xmlns:r="http://schemas.openxmlformats.org/officeDocument/2006/relationships" r:id="rId8"/>
          <a:extLst>
            <a:ext uri="{FF2B5EF4-FFF2-40B4-BE49-F238E27FC236}">
              <a16:creationId xmlns:a16="http://schemas.microsoft.com/office/drawing/2014/main" id="{00000000-0008-0000-1800-00000C000000}"/>
            </a:ext>
          </a:extLst>
        </xdr:cNvPr>
        <xdr:cNvSpPr/>
      </xdr:nvSpPr>
      <xdr:spPr>
        <a:xfrm>
          <a:off x="136072" y="236284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147278</xdr:colOff>
      <xdr:row>4</xdr:row>
      <xdr:rowOff>301765</xdr:rowOff>
    </xdr:from>
    <xdr:to>
      <xdr:col>0</xdr:col>
      <xdr:colOff>1458367</xdr:colOff>
      <xdr:row>4</xdr:row>
      <xdr:rowOff>604324</xdr:rowOff>
    </xdr:to>
    <xdr:sp macro="" textlink="">
      <xdr:nvSpPr>
        <xdr:cNvPr id="13" name="Rectangle 12">
          <a:hlinkClick xmlns:r="http://schemas.openxmlformats.org/officeDocument/2006/relationships" r:id="rId9"/>
          <a:extLst>
            <a:ext uri="{FF2B5EF4-FFF2-40B4-BE49-F238E27FC236}">
              <a16:creationId xmlns:a16="http://schemas.microsoft.com/office/drawing/2014/main" id="{00000000-0008-0000-1800-00000D000000}"/>
            </a:ext>
          </a:extLst>
        </xdr:cNvPr>
        <xdr:cNvSpPr/>
      </xdr:nvSpPr>
      <xdr:spPr>
        <a:xfrm>
          <a:off x="147278" y="271022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SBDP  </a:t>
          </a:r>
        </a:p>
      </xdr:txBody>
    </xdr:sp>
    <xdr:clientData/>
  </xdr:twoCellAnchor>
  <xdr:twoCellAnchor>
    <xdr:from>
      <xdr:col>0</xdr:col>
      <xdr:colOff>147277</xdr:colOff>
      <xdr:row>4</xdr:row>
      <xdr:rowOff>649143</xdr:rowOff>
    </xdr:from>
    <xdr:to>
      <xdr:col>0</xdr:col>
      <xdr:colOff>1458366</xdr:colOff>
      <xdr:row>5</xdr:row>
      <xdr:rowOff>80845</xdr:rowOff>
    </xdr:to>
    <xdr:sp macro="" textlink="">
      <xdr:nvSpPr>
        <xdr:cNvPr id="14" name="Rectangle 13">
          <a:hlinkClick xmlns:r="http://schemas.openxmlformats.org/officeDocument/2006/relationships" r:id="rId10"/>
          <a:extLst>
            <a:ext uri="{FF2B5EF4-FFF2-40B4-BE49-F238E27FC236}">
              <a16:creationId xmlns:a16="http://schemas.microsoft.com/office/drawing/2014/main" id="{00000000-0008-0000-1800-00000E000000}"/>
            </a:ext>
          </a:extLst>
        </xdr:cNvPr>
        <xdr:cNvSpPr/>
      </xdr:nvSpPr>
      <xdr:spPr>
        <a:xfrm>
          <a:off x="147277" y="305760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147277</xdr:colOff>
      <xdr:row>5</xdr:row>
      <xdr:rowOff>125668</xdr:rowOff>
    </xdr:from>
    <xdr:to>
      <xdr:col>0</xdr:col>
      <xdr:colOff>1458366</xdr:colOff>
      <xdr:row>5</xdr:row>
      <xdr:rowOff>428227</xdr:rowOff>
    </xdr:to>
    <xdr:sp macro="" textlink="">
      <xdr:nvSpPr>
        <xdr:cNvPr id="15" name="Rectangle 14">
          <a:hlinkClick xmlns:r="http://schemas.openxmlformats.org/officeDocument/2006/relationships" r:id="rId11"/>
          <a:extLst>
            <a:ext uri="{FF2B5EF4-FFF2-40B4-BE49-F238E27FC236}">
              <a16:creationId xmlns:a16="http://schemas.microsoft.com/office/drawing/2014/main" id="{00000000-0008-0000-1800-00000F000000}"/>
            </a:ext>
          </a:extLst>
        </xdr:cNvPr>
        <xdr:cNvSpPr/>
      </xdr:nvSpPr>
      <xdr:spPr>
        <a:xfrm>
          <a:off x="147277" y="340498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147277</xdr:colOff>
      <xdr:row>5</xdr:row>
      <xdr:rowOff>450640</xdr:rowOff>
    </xdr:from>
    <xdr:to>
      <xdr:col>0</xdr:col>
      <xdr:colOff>1458366</xdr:colOff>
      <xdr:row>5</xdr:row>
      <xdr:rowOff>753199</xdr:rowOff>
    </xdr:to>
    <xdr:sp macro="" textlink="">
      <xdr:nvSpPr>
        <xdr:cNvPr id="16" name="Rectangle 15">
          <a:hlinkClick xmlns:r="http://schemas.openxmlformats.org/officeDocument/2006/relationships" r:id="rId12"/>
          <a:extLst>
            <a:ext uri="{FF2B5EF4-FFF2-40B4-BE49-F238E27FC236}">
              <a16:creationId xmlns:a16="http://schemas.microsoft.com/office/drawing/2014/main" id="{00000000-0008-0000-1800-000010000000}"/>
            </a:ext>
          </a:extLst>
        </xdr:cNvPr>
        <xdr:cNvSpPr/>
      </xdr:nvSpPr>
      <xdr:spPr>
        <a:xfrm>
          <a:off x="147277" y="372996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136072</xdr:colOff>
      <xdr:row>5</xdr:row>
      <xdr:rowOff>798024</xdr:rowOff>
    </xdr:from>
    <xdr:to>
      <xdr:col>0</xdr:col>
      <xdr:colOff>1447161</xdr:colOff>
      <xdr:row>6</xdr:row>
      <xdr:rowOff>229725</xdr:rowOff>
    </xdr:to>
    <xdr:sp macro="" textlink="">
      <xdr:nvSpPr>
        <xdr:cNvPr id="17" name="Rectangle 16">
          <a:hlinkClick xmlns:r="http://schemas.openxmlformats.org/officeDocument/2006/relationships" r:id="rId13"/>
          <a:extLst>
            <a:ext uri="{FF2B5EF4-FFF2-40B4-BE49-F238E27FC236}">
              <a16:creationId xmlns:a16="http://schemas.microsoft.com/office/drawing/2014/main" id="{00000000-0008-0000-1800-000011000000}"/>
            </a:ext>
          </a:extLst>
        </xdr:cNvPr>
        <xdr:cNvSpPr/>
      </xdr:nvSpPr>
      <xdr:spPr>
        <a:xfrm>
          <a:off x="136072" y="407734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27</xdr:col>
      <xdr:colOff>204508</xdr:colOff>
      <xdr:row>2</xdr:row>
      <xdr:rowOff>124807</xdr:rowOff>
    </xdr:from>
    <xdr:to>
      <xdr:col>42</xdr:col>
      <xdr:colOff>326571</xdr:colOff>
      <xdr:row>2</xdr:row>
      <xdr:rowOff>916782</xdr:rowOff>
    </xdr:to>
    <xdr:sp macro="" textlink="">
      <xdr:nvSpPr>
        <xdr:cNvPr id="4" name="TextBox 3">
          <a:extLst>
            <a:ext uri="{FF2B5EF4-FFF2-40B4-BE49-F238E27FC236}">
              <a16:creationId xmlns:a16="http://schemas.microsoft.com/office/drawing/2014/main" id="{00000000-0008-0000-1900-000004000000}"/>
            </a:ext>
          </a:extLst>
        </xdr:cNvPr>
        <xdr:cNvSpPr txBox="1"/>
      </xdr:nvSpPr>
      <xdr:spPr>
        <a:xfrm>
          <a:off x="18465294" y="1009271"/>
          <a:ext cx="2748241"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201705</xdr:colOff>
      <xdr:row>0</xdr:row>
      <xdr:rowOff>56030</xdr:rowOff>
    </xdr:from>
    <xdr:to>
      <xdr:col>0</xdr:col>
      <xdr:colOff>1292318</xdr:colOff>
      <xdr:row>0</xdr:row>
      <xdr:rowOff>538897</xdr:rowOff>
    </xdr:to>
    <xdr:pic>
      <xdr:nvPicPr>
        <xdr:cNvPr id="6" name="Picture 5" descr="HomeBBB.gif">
          <a:hlinkClick xmlns:r="http://schemas.openxmlformats.org/officeDocument/2006/relationships" r:id="rId1"/>
          <a:extLst>
            <a:ext uri="{FF2B5EF4-FFF2-40B4-BE49-F238E27FC236}">
              <a16:creationId xmlns:a16="http://schemas.microsoft.com/office/drawing/2014/main" id="{00000000-0008-0000-1900-00000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01705" y="56030"/>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112059</xdr:colOff>
      <xdr:row>1</xdr:row>
      <xdr:rowOff>22411</xdr:rowOff>
    </xdr:from>
    <xdr:to>
      <xdr:col>0</xdr:col>
      <xdr:colOff>1423148</xdr:colOff>
      <xdr:row>2</xdr:row>
      <xdr:rowOff>33617</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1900-000007000000}"/>
            </a:ext>
          </a:extLst>
        </xdr:cNvPr>
        <xdr:cNvSpPr/>
      </xdr:nvSpPr>
      <xdr:spPr>
        <a:xfrm>
          <a:off x="112059" y="60511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100854</xdr:colOff>
      <xdr:row>2</xdr:row>
      <xdr:rowOff>78444</xdr:rowOff>
    </xdr:from>
    <xdr:to>
      <xdr:col>0</xdr:col>
      <xdr:colOff>1411943</xdr:colOff>
      <xdr:row>2</xdr:row>
      <xdr:rowOff>381003</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1900-000008000000}"/>
            </a:ext>
          </a:extLst>
        </xdr:cNvPr>
        <xdr:cNvSpPr/>
      </xdr:nvSpPr>
      <xdr:spPr>
        <a:xfrm>
          <a:off x="100854" y="95250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112063</xdr:colOff>
      <xdr:row>2</xdr:row>
      <xdr:rowOff>425830</xdr:rowOff>
    </xdr:from>
    <xdr:to>
      <xdr:col>0</xdr:col>
      <xdr:colOff>1423152</xdr:colOff>
      <xdr:row>2</xdr:row>
      <xdr:rowOff>728389</xdr:rowOff>
    </xdr:to>
    <xdr:sp macro="" textlink="">
      <xdr:nvSpPr>
        <xdr:cNvPr id="9" name="Rectangle 8">
          <a:hlinkClick xmlns:r="http://schemas.openxmlformats.org/officeDocument/2006/relationships" r:id="rId5"/>
          <a:extLst>
            <a:ext uri="{FF2B5EF4-FFF2-40B4-BE49-F238E27FC236}">
              <a16:creationId xmlns:a16="http://schemas.microsoft.com/office/drawing/2014/main" id="{00000000-0008-0000-1900-000009000000}"/>
            </a:ext>
          </a:extLst>
        </xdr:cNvPr>
        <xdr:cNvSpPr/>
      </xdr:nvSpPr>
      <xdr:spPr>
        <a:xfrm>
          <a:off x="112063" y="129988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112062</xdr:colOff>
      <xdr:row>2</xdr:row>
      <xdr:rowOff>773212</xdr:rowOff>
    </xdr:from>
    <xdr:to>
      <xdr:col>0</xdr:col>
      <xdr:colOff>1423151</xdr:colOff>
      <xdr:row>2</xdr:row>
      <xdr:rowOff>1075771</xdr:rowOff>
    </xdr:to>
    <xdr:sp macro="" textlink="">
      <xdr:nvSpPr>
        <xdr:cNvPr id="10" name="Rectangle 9">
          <a:hlinkClick xmlns:r="http://schemas.openxmlformats.org/officeDocument/2006/relationships" r:id="rId6"/>
          <a:extLst>
            <a:ext uri="{FF2B5EF4-FFF2-40B4-BE49-F238E27FC236}">
              <a16:creationId xmlns:a16="http://schemas.microsoft.com/office/drawing/2014/main" id="{00000000-0008-0000-1900-00000A000000}"/>
            </a:ext>
          </a:extLst>
        </xdr:cNvPr>
        <xdr:cNvSpPr/>
      </xdr:nvSpPr>
      <xdr:spPr>
        <a:xfrm>
          <a:off x="112062" y="164727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100856</xdr:colOff>
      <xdr:row>2</xdr:row>
      <xdr:rowOff>1131797</xdr:rowOff>
    </xdr:from>
    <xdr:to>
      <xdr:col>0</xdr:col>
      <xdr:colOff>1411945</xdr:colOff>
      <xdr:row>3</xdr:row>
      <xdr:rowOff>235327</xdr:rowOff>
    </xdr:to>
    <xdr:sp macro="" textlink="">
      <xdr:nvSpPr>
        <xdr:cNvPr id="11" name="Rectangle 10">
          <a:hlinkClick xmlns:r="http://schemas.openxmlformats.org/officeDocument/2006/relationships" r:id="rId7"/>
          <a:extLst>
            <a:ext uri="{FF2B5EF4-FFF2-40B4-BE49-F238E27FC236}">
              <a16:creationId xmlns:a16="http://schemas.microsoft.com/office/drawing/2014/main" id="{00000000-0008-0000-1900-00000B000000}"/>
            </a:ext>
          </a:extLst>
        </xdr:cNvPr>
        <xdr:cNvSpPr/>
      </xdr:nvSpPr>
      <xdr:spPr>
        <a:xfrm>
          <a:off x="100856" y="2005856"/>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100856</xdr:colOff>
      <xdr:row>3</xdr:row>
      <xdr:rowOff>291357</xdr:rowOff>
    </xdr:from>
    <xdr:to>
      <xdr:col>0</xdr:col>
      <xdr:colOff>1411945</xdr:colOff>
      <xdr:row>4</xdr:row>
      <xdr:rowOff>268945</xdr:rowOff>
    </xdr:to>
    <xdr:sp macro="" textlink="">
      <xdr:nvSpPr>
        <xdr:cNvPr id="12" name="Rectangle 11">
          <a:hlinkClick xmlns:r="http://schemas.openxmlformats.org/officeDocument/2006/relationships" r:id="rId8"/>
          <a:extLst>
            <a:ext uri="{FF2B5EF4-FFF2-40B4-BE49-F238E27FC236}">
              <a16:creationId xmlns:a16="http://schemas.microsoft.com/office/drawing/2014/main" id="{00000000-0008-0000-1900-00000C000000}"/>
            </a:ext>
          </a:extLst>
        </xdr:cNvPr>
        <xdr:cNvSpPr/>
      </xdr:nvSpPr>
      <xdr:spPr>
        <a:xfrm>
          <a:off x="100856" y="236444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112062</xdr:colOff>
      <xdr:row>4</xdr:row>
      <xdr:rowOff>313772</xdr:rowOff>
    </xdr:from>
    <xdr:to>
      <xdr:col>0</xdr:col>
      <xdr:colOff>1423151</xdr:colOff>
      <xdr:row>4</xdr:row>
      <xdr:rowOff>616331</xdr:rowOff>
    </xdr:to>
    <xdr:sp macro="" textlink="">
      <xdr:nvSpPr>
        <xdr:cNvPr id="13" name="Rectangle 12">
          <a:hlinkClick xmlns:r="http://schemas.openxmlformats.org/officeDocument/2006/relationships" r:id="rId9"/>
          <a:extLst>
            <a:ext uri="{FF2B5EF4-FFF2-40B4-BE49-F238E27FC236}">
              <a16:creationId xmlns:a16="http://schemas.microsoft.com/office/drawing/2014/main" id="{00000000-0008-0000-1900-00000D000000}"/>
            </a:ext>
          </a:extLst>
        </xdr:cNvPr>
        <xdr:cNvSpPr/>
      </xdr:nvSpPr>
      <xdr:spPr>
        <a:xfrm>
          <a:off x="112062" y="271183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112061</xdr:colOff>
      <xdr:row>4</xdr:row>
      <xdr:rowOff>661150</xdr:rowOff>
    </xdr:from>
    <xdr:to>
      <xdr:col>0</xdr:col>
      <xdr:colOff>1423150</xdr:colOff>
      <xdr:row>5</xdr:row>
      <xdr:rowOff>112062</xdr:rowOff>
    </xdr:to>
    <xdr:sp macro="" textlink="">
      <xdr:nvSpPr>
        <xdr:cNvPr id="14" name="Rectangle 13">
          <a:hlinkClick xmlns:r="http://schemas.openxmlformats.org/officeDocument/2006/relationships" r:id="rId10"/>
          <a:extLst>
            <a:ext uri="{FF2B5EF4-FFF2-40B4-BE49-F238E27FC236}">
              <a16:creationId xmlns:a16="http://schemas.microsoft.com/office/drawing/2014/main" id="{00000000-0008-0000-1900-00000E000000}"/>
            </a:ext>
          </a:extLst>
        </xdr:cNvPr>
        <xdr:cNvSpPr/>
      </xdr:nvSpPr>
      <xdr:spPr>
        <a:xfrm>
          <a:off x="112061" y="305920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PJOK  </a:t>
          </a:r>
        </a:p>
      </xdr:txBody>
    </xdr:sp>
    <xdr:clientData/>
  </xdr:twoCellAnchor>
  <xdr:twoCellAnchor>
    <xdr:from>
      <xdr:col>0</xdr:col>
      <xdr:colOff>112061</xdr:colOff>
      <xdr:row>5</xdr:row>
      <xdr:rowOff>156885</xdr:rowOff>
    </xdr:from>
    <xdr:to>
      <xdr:col>0</xdr:col>
      <xdr:colOff>1423150</xdr:colOff>
      <xdr:row>5</xdr:row>
      <xdr:rowOff>459444</xdr:rowOff>
    </xdr:to>
    <xdr:sp macro="" textlink="">
      <xdr:nvSpPr>
        <xdr:cNvPr id="15" name="Rectangle 14">
          <a:hlinkClick xmlns:r="http://schemas.openxmlformats.org/officeDocument/2006/relationships" r:id="rId11"/>
          <a:extLst>
            <a:ext uri="{FF2B5EF4-FFF2-40B4-BE49-F238E27FC236}">
              <a16:creationId xmlns:a16="http://schemas.microsoft.com/office/drawing/2014/main" id="{00000000-0008-0000-1900-00000F000000}"/>
            </a:ext>
          </a:extLst>
        </xdr:cNvPr>
        <xdr:cNvSpPr/>
      </xdr:nvSpPr>
      <xdr:spPr>
        <a:xfrm>
          <a:off x="112061" y="340659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112061</xdr:colOff>
      <xdr:row>5</xdr:row>
      <xdr:rowOff>481857</xdr:rowOff>
    </xdr:from>
    <xdr:to>
      <xdr:col>0</xdr:col>
      <xdr:colOff>1423150</xdr:colOff>
      <xdr:row>5</xdr:row>
      <xdr:rowOff>784416</xdr:rowOff>
    </xdr:to>
    <xdr:sp macro="" textlink="">
      <xdr:nvSpPr>
        <xdr:cNvPr id="16" name="Rectangle 15">
          <a:hlinkClick xmlns:r="http://schemas.openxmlformats.org/officeDocument/2006/relationships" r:id="rId12"/>
          <a:extLst>
            <a:ext uri="{FF2B5EF4-FFF2-40B4-BE49-F238E27FC236}">
              <a16:creationId xmlns:a16="http://schemas.microsoft.com/office/drawing/2014/main" id="{00000000-0008-0000-1900-000010000000}"/>
            </a:ext>
          </a:extLst>
        </xdr:cNvPr>
        <xdr:cNvSpPr/>
      </xdr:nvSpPr>
      <xdr:spPr>
        <a:xfrm>
          <a:off x="112061" y="373156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100856</xdr:colOff>
      <xdr:row>5</xdr:row>
      <xdr:rowOff>829241</xdr:rowOff>
    </xdr:from>
    <xdr:to>
      <xdr:col>0</xdr:col>
      <xdr:colOff>1411945</xdr:colOff>
      <xdr:row>6</xdr:row>
      <xdr:rowOff>280153</xdr:rowOff>
    </xdr:to>
    <xdr:sp macro="" textlink="">
      <xdr:nvSpPr>
        <xdr:cNvPr id="17" name="Rectangle 16">
          <a:hlinkClick xmlns:r="http://schemas.openxmlformats.org/officeDocument/2006/relationships" r:id="rId13"/>
          <a:extLst>
            <a:ext uri="{FF2B5EF4-FFF2-40B4-BE49-F238E27FC236}">
              <a16:creationId xmlns:a16="http://schemas.microsoft.com/office/drawing/2014/main" id="{00000000-0008-0000-1900-000011000000}"/>
            </a:ext>
          </a:extLst>
        </xdr:cNvPr>
        <xdr:cNvSpPr/>
      </xdr:nvSpPr>
      <xdr:spPr>
        <a:xfrm>
          <a:off x="100856" y="407894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27</xdr:col>
      <xdr:colOff>204509</xdr:colOff>
      <xdr:row>2</xdr:row>
      <xdr:rowOff>124807</xdr:rowOff>
    </xdr:from>
    <xdr:to>
      <xdr:col>43</xdr:col>
      <xdr:colOff>67235</xdr:colOff>
      <xdr:row>2</xdr:row>
      <xdr:rowOff>916782</xdr:rowOff>
    </xdr:to>
    <xdr:sp macro="" textlink="">
      <xdr:nvSpPr>
        <xdr:cNvPr id="4" name="TextBox 3">
          <a:extLst>
            <a:ext uri="{FF2B5EF4-FFF2-40B4-BE49-F238E27FC236}">
              <a16:creationId xmlns:a16="http://schemas.microsoft.com/office/drawing/2014/main" id="{00000000-0008-0000-1A00-000004000000}"/>
            </a:ext>
          </a:extLst>
        </xdr:cNvPr>
        <xdr:cNvSpPr txBox="1"/>
      </xdr:nvSpPr>
      <xdr:spPr>
        <a:xfrm>
          <a:off x="18335627" y="998866"/>
          <a:ext cx="2585755"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243723</xdr:colOff>
      <xdr:row>0</xdr:row>
      <xdr:rowOff>59530</xdr:rowOff>
    </xdr:from>
    <xdr:to>
      <xdr:col>0</xdr:col>
      <xdr:colOff>1334336</xdr:colOff>
      <xdr:row>0</xdr:row>
      <xdr:rowOff>542397</xdr:rowOff>
    </xdr:to>
    <xdr:pic>
      <xdr:nvPicPr>
        <xdr:cNvPr id="6" name="Picture 5" descr="HomeBBB.gif">
          <a:hlinkClick xmlns:r="http://schemas.openxmlformats.org/officeDocument/2006/relationships" r:id="rId1"/>
          <a:extLst>
            <a:ext uri="{FF2B5EF4-FFF2-40B4-BE49-F238E27FC236}">
              <a16:creationId xmlns:a16="http://schemas.microsoft.com/office/drawing/2014/main" id="{00000000-0008-0000-1A00-00000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43723" y="59530"/>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154077</xdr:colOff>
      <xdr:row>1</xdr:row>
      <xdr:rowOff>25211</xdr:rowOff>
    </xdr:from>
    <xdr:to>
      <xdr:col>0</xdr:col>
      <xdr:colOff>1465166</xdr:colOff>
      <xdr:row>2</xdr:row>
      <xdr:rowOff>30113</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1A00-000007000000}"/>
            </a:ext>
          </a:extLst>
        </xdr:cNvPr>
        <xdr:cNvSpPr/>
      </xdr:nvSpPr>
      <xdr:spPr>
        <a:xfrm>
          <a:off x="154077" y="60861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142872</xdr:colOff>
      <xdr:row>2</xdr:row>
      <xdr:rowOff>74940</xdr:rowOff>
    </xdr:from>
    <xdr:to>
      <xdr:col>0</xdr:col>
      <xdr:colOff>1453961</xdr:colOff>
      <xdr:row>2</xdr:row>
      <xdr:rowOff>377499</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1A00-000008000000}"/>
            </a:ext>
          </a:extLst>
        </xdr:cNvPr>
        <xdr:cNvSpPr/>
      </xdr:nvSpPr>
      <xdr:spPr>
        <a:xfrm>
          <a:off x="142872" y="95600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154081</xdr:colOff>
      <xdr:row>2</xdr:row>
      <xdr:rowOff>422326</xdr:rowOff>
    </xdr:from>
    <xdr:to>
      <xdr:col>0</xdr:col>
      <xdr:colOff>1465170</xdr:colOff>
      <xdr:row>2</xdr:row>
      <xdr:rowOff>724885</xdr:rowOff>
    </xdr:to>
    <xdr:sp macro="" textlink="">
      <xdr:nvSpPr>
        <xdr:cNvPr id="9" name="Rectangle 8">
          <a:hlinkClick xmlns:r="http://schemas.openxmlformats.org/officeDocument/2006/relationships" r:id="rId5"/>
          <a:extLst>
            <a:ext uri="{FF2B5EF4-FFF2-40B4-BE49-F238E27FC236}">
              <a16:creationId xmlns:a16="http://schemas.microsoft.com/office/drawing/2014/main" id="{00000000-0008-0000-1A00-000009000000}"/>
            </a:ext>
          </a:extLst>
        </xdr:cNvPr>
        <xdr:cNvSpPr/>
      </xdr:nvSpPr>
      <xdr:spPr>
        <a:xfrm>
          <a:off x="154081" y="130338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154080</xdr:colOff>
      <xdr:row>2</xdr:row>
      <xdr:rowOff>769708</xdr:rowOff>
    </xdr:from>
    <xdr:to>
      <xdr:col>0</xdr:col>
      <xdr:colOff>1465169</xdr:colOff>
      <xdr:row>2</xdr:row>
      <xdr:rowOff>1072267</xdr:rowOff>
    </xdr:to>
    <xdr:sp macro="" textlink="">
      <xdr:nvSpPr>
        <xdr:cNvPr id="10" name="Rectangle 9">
          <a:hlinkClick xmlns:r="http://schemas.openxmlformats.org/officeDocument/2006/relationships" r:id="rId6"/>
          <a:extLst>
            <a:ext uri="{FF2B5EF4-FFF2-40B4-BE49-F238E27FC236}">
              <a16:creationId xmlns:a16="http://schemas.microsoft.com/office/drawing/2014/main" id="{00000000-0008-0000-1A00-00000A000000}"/>
            </a:ext>
          </a:extLst>
        </xdr:cNvPr>
        <xdr:cNvSpPr/>
      </xdr:nvSpPr>
      <xdr:spPr>
        <a:xfrm>
          <a:off x="154080" y="165077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142874</xdr:colOff>
      <xdr:row>2</xdr:row>
      <xdr:rowOff>1128293</xdr:rowOff>
    </xdr:from>
    <xdr:to>
      <xdr:col>0</xdr:col>
      <xdr:colOff>1453963</xdr:colOff>
      <xdr:row>3</xdr:row>
      <xdr:rowOff>228321</xdr:rowOff>
    </xdr:to>
    <xdr:sp macro="" textlink="">
      <xdr:nvSpPr>
        <xdr:cNvPr id="11" name="Rectangle 10">
          <a:hlinkClick xmlns:r="http://schemas.openxmlformats.org/officeDocument/2006/relationships" r:id="rId7"/>
          <a:extLst>
            <a:ext uri="{FF2B5EF4-FFF2-40B4-BE49-F238E27FC236}">
              <a16:creationId xmlns:a16="http://schemas.microsoft.com/office/drawing/2014/main" id="{00000000-0008-0000-1A00-00000B000000}"/>
            </a:ext>
          </a:extLst>
        </xdr:cNvPr>
        <xdr:cNvSpPr/>
      </xdr:nvSpPr>
      <xdr:spPr>
        <a:xfrm>
          <a:off x="142874" y="2009356"/>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142874</xdr:colOff>
      <xdr:row>3</xdr:row>
      <xdr:rowOff>284351</xdr:rowOff>
    </xdr:from>
    <xdr:to>
      <xdr:col>0</xdr:col>
      <xdr:colOff>1453963</xdr:colOff>
      <xdr:row>4</xdr:row>
      <xdr:rowOff>265441</xdr:rowOff>
    </xdr:to>
    <xdr:sp macro="" textlink="">
      <xdr:nvSpPr>
        <xdr:cNvPr id="12" name="Rectangle 11">
          <a:hlinkClick xmlns:r="http://schemas.openxmlformats.org/officeDocument/2006/relationships" r:id="rId8"/>
          <a:extLst>
            <a:ext uri="{FF2B5EF4-FFF2-40B4-BE49-F238E27FC236}">
              <a16:creationId xmlns:a16="http://schemas.microsoft.com/office/drawing/2014/main" id="{00000000-0008-0000-1A00-00000C000000}"/>
            </a:ext>
          </a:extLst>
        </xdr:cNvPr>
        <xdr:cNvSpPr/>
      </xdr:nvSpPr>
      <xdr:spPr>
        <a:xfrm>
          <a:off x="142874" y="236794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154080</xdr:colOff>
      <xdr:row>4</xdr:row>
      <xdr:rowOff>310268</xdr:rowOff>
    </xdr:from>
    <xdr:to>
      <xdr:col>0</xdr:col>
      <xdr:colOff>1465169</xdr:colOff>
      <xdr:row>4</xdr:row>
      <xdr:rowOff>612827</xdr:rowOff>
    </xdr:to>
    <xdr:sp macro="" textlink="">
      <xdr:nvSpPr>
        <xdr:cNvPr id="13" name="Rectangle 12">
          <a:hlinkClick xmlns:r="http://schemas.openxmlformats.org/officeDocument/2006/relationships" r:id="rId9"/>
          <a:extLst>
            <a:ext uri="{FF2B5EF4-FFF2-40B4-BE49-F238E27FC236}">
              <a16:creationId xmlns:a16="http://schemas.microsoft.com/office/drawing/2014/main" id="{00000000-0008-0000-1A00-00000D000000}"/>
            </a:ext>
          </a:extLst>
        </xdr:cNvPr>
        <xdr:cNvSpPr/>
      </xdr:nvSpPr>
      <xdr:spPr>
        <a:xfrm>
          <a:off x="154080" y="271533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154079</xdr:colOff>
      <xdr:row>4</xdr:row>
      <xdr:rowOff>657646</xdr:rowOff>
    </xdr:from>
    <xdr:to>
      <xdr:col>0</xdr:col>
      <xdr:colOff>1465168</xdr:colOff>
      <xdr:row>5</xdr:row>
      <xdr:rowOff>150580</xdr:rowOff>
    </xdr:to>
    <xdr:sp macro="" textlink="">
      <xdr:nvSpPr>
        <xdr:cNvPr id="14" name="Rectangle 13">
          <a:hlinkClick xmlns:r="http://schemas.openxmlformats.org/officeDocument/2006/relationships" r:id="rId10"/>
          <a:extLst>
            <a:ext uri="{FF2B5EF4-FFF2-40B4-BE49-F238E27FC236}">
              <a16:creationId xmlns:a16="http://schemas.microsoft.com/office/drawing/2014/main" id="{00000000-0008-0000-1A00-00000E000000}"/>
            </a:ext>
          </a:extLst>
        </xdr:cNvPr>
        <xdr:cNvSpPr/>
      </xdr:nvSpPr>
      <xdr:spPr>
        <a:xfrm>
          <a:off x="154079" y="306270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154079</xdr:colOff>
      <xdr:row>5</xdr:row>
      <xdr:rowOff>195403</xdr:rowOff>
    </xdr:from>
    <xdr:to>
      <xdr:col>0</xdr:col>
      <xdr:colOff>1465168</xdr:colOff>
      <xdr:row>5</xdr:row>
      <xdr:rowOff>497962</xdr:rowOff>
    </xdr:to>
    <xdr:sp macro="" textlink="">
      <xdr:nvSpPr>
        <xdr:cNvPr id="15" name="Rectangle 14">
          <a:hlinkClick xmlns:r="http://schemas.openxmlformats.org/officeDocument/2006/relationships" r:id="rId11"/>
          <a:extLst>
            <a:ext uri="{FF2B5EF4-FFF2-40B4-BE49-F238E27FC236}">
              <a16:creationId xmlns:a16="http://schemas.microsoft.com/office/drawing/2014/main" id="{00000000-0008-0000-1A00-00000F000000}"/>
            </a:ext>
          </a:extLst>
        </xdr:cNvPr>
        <xdr:cNvSpPr/>
      </xdr:nvSpPr>
      <xdr:spPr>
        <a:xfrm>
          <a:off x="154079" y="341009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MULOK 1</a:t>
          </a:r>
        </a:p>
      </xdr:txBody>
    </xdr:sp>
    <xdr:clientData/>
  </xdr:twoCellAnchor>
  <xdr:twoCellAnchor>
    <xdr:from>
      <xdr:col>0</xdr:col>
      <xdr:colOff>154079</xdr:colOff>
      <xdr:row>5</xdr:row>
      <xdr:rowOff>520375</xdr:rowOff>
    </xdr:from>
    <xdr:to>
      <xdr:col>0</xdr:col>
      <xdr:colOff>1465168</xdr:colOff>
      <xdr:row>6</xdr:row>
      <xdr:rowOff>13309</xdr:rowOff>
    </xdr:to>
    <xdr:sp macro="" textlink="">
      <xdr:nvSpPr>
        <xdr:cNvPr id="16" name="Rectangle 15">
          <a:hlinkClick xmlns:r="http://schemas.openxmlformats.org/officeDocument/2006/relationships" r:id="rId12"/>
          <a:extLst>
            <a:ext uri="{FF2B5EF4-FFF2-40B4-BE49-F238E27FC236}">
              <a16:creationId xmlns:a16="http://schemas.microsoft.com/office/drawing/2014/main" id="{00000000-0008-0000-1A00-000010000000}"/>
            </a:ext>
          </a:extLst>
        </xdr:cNvPr>
        <xdr:cNvSpPr/>
      </xdr:nvSpPr>
      <xdr:spPr>
        <a:xfrm>
          <a:off x="154079" y="373506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142874</xdr:colOff>
      <xdr:row>6</xdr:row>
      <xdr:rowOff>58134</xdr:rowOff>
    </xdr:from>
    <xdr:to>
      <xdr:col>0</xdr:col>
      <xdr:colOff>1453963</xdr:colOff>
      <xdr:row>6</xdr:row>
      <xdr:rowOff>360693</xdr:rowOff>
    </xdr:to>
    <xdr:sp macro="" textlink="">
      <xdr:nvSpPr>
        <xdr:cNvPr id="17" name="Rectangle 16">
          <a:hlinkClick xmlns:r="http://schemas.openxmlformats.org/officeDocument/2006/relationships" r:id="rId13"/>
          <a:extLst>
            <a:ext uri="{FF2B5EF4-FFF2-40B4-BE49-F238E27FC236}">
              <a16:creationId xmlns:a16="http://schemas.microsoft.com/office/drawing/2014/main" id="{00000000-0008-0000-1A00-000011000000}"/>
            </a:ext>
          </a:extLst>
        </xdr:cNvPr>
        <xdr:cNvSpPr/>
      </xdr:nvSpPr>
      <xdr:spPr>
        <a:xfrm>
          <a:off x="142874" y="408244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27</xdr:col>
      <xdr:colOff>204508</xdr:colOff>
      <xdr:row>2</xdr:row>
      <xdr:rowOff>124807</xdr:rowOff>
    </xdr:from>
    <xdr:to>
      <xdr:col>43</xdr:col>
      <xdr:colOff>149678</xdr:colOff>
      <xdr:row>2</xdr:row>
      <xdr:rowOff>898072</xdr:rowOff>
    </xdr:to>
    <xdr:sp macro="" textlink="">
      <xdr:nvSpPr>
        <xdr:cNvPr id="4" name="TextBox 3">
          <a:extLst>
            <a:ext uri="{FF2B5EF4-FFF2-40B4-BE49-F238E27FC236}">
              <a16:creationId xmlns:a16="http://schemas.microsoft.com/office/drawing/2014/main" id="{00000000-0008-0000-1B00-000004000000}"/>
            </a:ext>
          </a:extLst>
        </xdr:cNvPr>
        <xdr:cNvSpPr txBox="1"/>
      </xdr:nvSpPr>
      <xdr:spPr>
        <a:xfrm>
          <a:off x="18832687" y="1009271"/>
          <a:ext cx="2652991" cy="77326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215151</xdr:colOff>
      <xdr:row>0</xdr:row>
      <xdr:rowOff>57150</xdr:rowOff>
    </xdr:from>
    <xdr:to>
      <xdr:col>0</xdr:col>
      <xdr:colOff>1305764</xdr:colOff>
      <xdr:row>0</xdr:row>
      <xdr:rowOff>540017</xdr:rowOff>
    </xdr:to>
    <xdr:pic>
      <xdr:nvPicPr>
        <xdr:cNvPr id="6" name="Picture 5" descr="HomeBBB.gif">
          <a:hlinkClick xmlns:r="http://schemas.openxmlformats.org/officeDocument/2006/relationships" r:id="rId1"/>
          <a:extLst>
            <a:ext uri="{FF2B5EF4-FFF2-40B4-BE49-F238E27FC236}">
              <a16:creationId xmlns:a16="http://schemas.microsoft.com/office/drawing/2014/main" id="{00000000-0008-0000-1B00-00000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15151" y="57150"/>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125505</xdr:colOff>
      <xdr:row>1</xdr:row>
      <xdr:rowOff>25212</xdr:rowOff>
    </xdr:from>
    <xdr:to>
      <xdr:col>0</xdr:col>
      <xdr:colOff>1436594</xdr:colOff>
      <xdr:row>2</xdr:row>
      <xdr:rowOff>32496</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1B00-000007000000}"/>
            </a:ext>
          </a:extLst>
        </xdr:cNvPr>
        <xdr:cNvSpPr/>
      </xdr:nvSpPr>
      <xdr:spPr>
        <a:xfrm>
          <a:off x="125505" y="60623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114300</xdr:colOff>
      <xdr:row>2</xdr:row>
      <xdr:rowOff>77323</xdr:rowOff>
    </xdr:from>
    <xdr:to>
      <xdr:col>0</xdr:col>
      <xdr:colOff>1425389</xdr:colOff>
      <xdr:row>2</xdr:row>
      <xdr:rowOff>379882</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1B00-000008000000}"/>
            </a:ext>
          </a:extLst>
        </xdr:cNvPr>
        <xdr:cNvSpPr/>
      </xdr:nvSpPr>
      <xdr:spPr>
        <a:xfrm>
          <a:off x="114300" y="95362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125509</xdr:colOff>
      <xdr:row>2</xdr:row>
      <xdr:rowOff>424709</xdr:rowOff>
    </xdr:from>
    <xdr:to>
      <xdr:col>0</xdr:col>
      <xdr:colOff>1436598</xdr:colOff>
      <xdr:row>2</xdr:row>
      <xdr:rowOff>727268</xdr:rowOff>
    </xdr:to>
    <xdr:sp macro="" textlink="">
      <xdr:nvSpPr>
        <xdr:cNvPr id="9" name="Rectangle 8">
          <a:hlinkClick xmlns:r="http://schemas.openxmlformats.org/officeDocument/2006/relationships" r:id="rId5"/>
          <a:extLst>
            <a:ext uri="{FF2B5EF4-FFF2-40B4-BE49-F238E27FC236}">
              <a16:creationId xmlns:a16="http://schemas.microsoft.com/office/drawing/2014/main" id="{00000000-0008-0000-1B00-000009000000}"/>
            </a:ext>
          </a:extLst>
        </xdr:cNvPr>
        <xdr:cNvSpPr/>
      </xdr:nvSpPr>
      <xdr:spPr>
        <a:xfrm>
          <a:off x="125509" y="130100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125508</xdr:colOff>
      <xdr:row>2</xdr:row>
      <xdr:rowOff>772091</xdr:rowOff>
    </xdr:from>
    <xdr:to>
      <xdr:col>0</xdr:col>
      <xdr:colOff>1436597</xdr:colOff>
      <xdr:row>2</xdr:row>
      <xdr:rowOff>1074650</xdr:rowOff>
    </xdr:to>
    <xdr:sp macro="" textlink="">
      <xdr:nvSpPr>
        <xdr:cNvPr id="10" name="Rectangle 9">
          <a:hlinkClick xmlns:r="http://schemas.openxmlformats.org/officeDocument/2006/relationships" r:id="rId6"/>
          <a:extLst>
            <a:ext uri="{FF2B5EF4-FFF2-40B4-BE49-F238E27FC236}">
              <a16:creationId xmlns:a16="http://schemas.microsoft.com/office/drawing/2014/main" id="{00000000-0008-0000-1B00-00000A000000}"/>
            </a:ext>
          </a:extLst>
        </xdr:cNvPr>
        <xdr:cNvSpPr/>
      </xdr:nvSpPr>
      <xdr:spPr>
        <a:xfrm>
          <a:off x="125508" y="164839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114302</xdr:colOff>
      <xdr:row>2</xdr:row>
      <xdr:rowOff>1130676</xdr:rowOff>
    </xdr:from>
    <xdr:to>
      <xdr:col>0</xdr:col>
      <xdr:colOff>1425391</xdr:colOff>
      <xdr:row>3</xdr:row>
      <xdr:rowOff>233085</xdr:rowOff>
    </xdr:to>
    <xdr:sp macro="" textlink="">
      <xdr:nvSpPr>
        <xdr:cNvPr id="11" name="Rectangle 10">
          <a:hlinkClick xmlns:r="http://schemas.openxmlformats.org/officeDocument/2006/relationships" r:id="rId7"/>
          <a:extLst>
            <a:ext uri="{FF2B5EF4-FFF2-40B4-BE49-F238E27FC236}">
              <a16:creationId xmlns:a16="http://schemas.microsoft.com/office/drawing/2014/main" id="{00000000-0008-0000-1B00-00000B000000}"/>
            </a:ext>
          </a:extLst>
        </xdr:cNvPr>
        <xdr:cNvSpPr/>
      </xdr:nvSpPr>
      <xdr:spPr>
        <a:xfrm>
          <a:off x="114302" y="2006976"/>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114302</xdr:colOff>
      <xdr:row>3</xdr:row>
      <xdr:rowOff>289115</xdr:rowOff>
    </xdr:from>
    <xdr:to>
      <xdr:col>0</xdr:col>
      <xdr:colOff>1425391</xdr:colOff>
      <xdr:row>4</xdr:row>
      <xdr:rowOff>267824</xdr:rowOff>
    </xdr:to>
    <xdr:sp macro="" textlink="">
      <xdr:nvSpPr>
        <xdr:cNvPr id="12" name="Rectangle 11">
          <a:hlinkClick xmlns:r="http://schemas.openxmlformats.org/officeDocument/2006/relationships" r:id="rId8"/>
          <a:extLst>
            <a:ext uri="{FF2B5EF4-FFF2-40B4-BE49-F238E27FC236}">
              <a16:creationId xmlns:a16="http://schemas.microsoft.com/office/drawing/2014/main" id="{00000000-0008-0000-1B00-00000C000000}"/>
            </a:ext>
          </a:extLst>
        </xdr:cNvPr>
        <xdr:cNvSpPr/>
      </xdr:nvSpPr>
      <xdr:spPr>
        <a:xfrm>
          <a:off x="114302" y="236556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125508</xdr:colOff>
      <xdr:row>4</xdr:row>
      <xdr:rowOff>312651</xdr:rowOff>
    </xdr:from>
    <xdr:to>
      <xdr:col>0</xdr:col>
      <xdr:colOff>1436597</xdr:colOff>
      <xdr:row>4</xdr:row>
      <xdr:rowOff>615210</xdr:rowOff>
    </xdr:to>
    <xdr:sp macro="" textlink="">
      <xdr:nvSpPr>
        <xdr:cNvPr id="13" name="Rectangle 12">
          <a:hlinkClick xmlns:r="http://schemas.openxmlformats.org/officeDocument/2006/relationships" r:id="rId9"/>
          <a:extLst>
            <a:ext uri="{FF2B5EF4-FFF2-40B4-BE49-F238E27FC236}">
              <a16:creationId xmlns:a16="http://schemas.microsoft.com/office/drawing/2014/main" id="{00000000-0008-0000-1B00-00000D000000}"/>
            </a:ext>
          </a:extLst>
        </xdr:cNvPr>
        <xdr:cNvSpPr/>
      </xdr:nvSpPr>
      <xdr:spPr>
        <a:xfrm>
          <a:off x="125508" y="271295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125507</xdr:colOff>
      <xdr:row>4</xdr:row>
      <xdr:rowOff>660029</xdr:rowOff>
    </xdr:from>
    <xdr:to>
      <xdr:col>0</xdr:col>
      <xdr:colOff>1436596</xdr:colOff>
      <xdr:row>5</xdr:row>
      <xdr:rowOff>162488</xdr:rowOff>
    </xdr:to>
    <xdr:sp macro="" textlink="">
      <xdr:nvSpPr>
        <xdr:cNvPr id="14" name="Rectangle 13">
          <a:hlinkClick xmlns:r="http://schemas.openxmlformats.org/officeDocument/2006/relationships" r:id="rId10"/>
          <a:extLst>
            <a:ext uri="{FF2B5EF4-FFF2-40B4-BE49-F238E27FC236}">
              <a16:creationId xmlns:a16="http://schemas.microsoft.com/office/drawing/2014/main" id="{00000000-0008-0000-1B00-00000E000000}"/>
            </a:ext>
          </a:extLst>
        </xdr:cNvPr>
        <xdr:cNvSpPr/>
      </xdr:nvSpPr>
      <xdr:spPr>
        <a:xfrm>
          <a:off x="125507" y="306032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125507</xdr:colOff>
      <xdr:row>5</xdr:row>
      <xdr:rowOff>207311</xdr:rowOff>
    </xdr:from>
    <xdr:to>
      <xdr:col>0</xdr:col>
      <xdr:colOff>1436596</xdr:colOff>
      <xdr:row>5</xdr:row>
      <xdr:rowOff>509870</xdr:rowOff>
    </xdr:to>
    <xdr:sp macro="" textlink="">
      <xdr:nvSpPr>
        <xdr:cNvPr id="15" name="Rectangle 14">
          <a:hlinkClick xmlns:r="http://schemas.openxmlformats.org/officeDocument/2006/relationships" r:id="rId11"/>
          <a:extLst>
            <a:ext uri="{FF2B5EF4-FFF2-40B4-BE49-F238E27FC236}">
              <a16:creationId xmlns:a16="http://schemas.microsoft.com/office/drawing/2014/main" id="{00000000-0008-0000-1B00-00000F000000}"/>
            </a:ext>
          </a:extLst>
        </xdr:cNvPr>
        <xdr:cNvSpPr/>
      </xdr:nvSpPr>
      <xdr:spPr>
        <a:xfrm>
          <a:off x="125507" y="340771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125507</xdr:colOff>
      <xdr:row>5</xdr:row>
      <xdr:rowOff>532283</xdr:rowOff>
    </xdr:from>
    <xdr:to>
      <xdr:col>0</xdr:col>
      <xdr:colOff>1436596</xdr:colOff>
      <xdr:row>6</xdr:row>
      <xdr:rowOff>34742</xdr:rowOff>
    </xdr:to>
    <xdr:sp macro="" textlink="">
      <xdr:nvSpPr>
        <xdr:cNvPr id="16" name="Rectangle 15">
          <a:hlinkClick xmlns:r="http://schemas.openxmlformats.org/officeDocument/2006/relationships" r:id="rId12"/>
          <a:extLst>
            <a:ext uri="{FF2B5EF4-FFF2-40B4-BE49-F238E27FC236}">
              <a16:creationId xmlns:a16="http://schemas.microsoft.com/office/drawing/2014/main" id="{00000000-0008-0000-1B00-000010000000}"/>
            </a:ext>
          </a:extLst>
        </xdr:cNvPr>
        <xdr:cNvSpPr/>
      </xdr:nvSpPr>
      <xdr:spPr>
        <a:xfrm>
          <a:off x="125507" y="373268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MULOK 2</a:t>
          </a:r>
        </a:p>
      </xdr:txBody>
    </xdr:sp>
    <xdr:clientData/>
  </xdr:twoCellAnchor>
  <xdr:twoCellAnchor>
    <xdr:from>
      <xdr:col>0</xdr:col>
      <xdr:colOff>114302</xdr:colOff>
      <xdr:row>6</xdr:row>
      <xdr:rowOff>79567</xdr:rowOff>
    </xdr:from>
    <xdr:to>
      <xdr:col>0</xdr:col>
      <xdr:colOff>1425391</xdr:colOff>
      <xdr:row>6</xdr:row>
      <xdr:rowOff>382126</xdr:rowOff>
    </xdr:to>
    <xdr:sp macro="" textlink="">
      <xdr:nvSpPr>
        <xdr:cNvPr id="17" name="Rectangle 16">
          <a:hlinkClick xmlns:r="http://schemas.openxmlformats.org/officeDocument/2006/relationships" r:id="rId13"/>
          <a:extLst>
            <a:ext uri="{FF2B5EF4-FFF2-40B4-BE49-F238E27FC236}">
              <a16:creationId xmlns:a16="http://schemas.microsoft.com/office/drawing/2014/main" id="{00000000-0008-0000-1B00-000011000000}"/>
            </a:ext>
          </a:extLst>
        </xdr:cNvPr>
        <xdr:cNvSpPr/>
      </xdr:nvSpPr>
      <xdr:spPr>
        <a:xfrm>
          <a:off x="114302" y="408006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3</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31</xdr:col>
      <xdr:colOff>204509</xdr:colOff>
      <xdr:row>2</xdr:row>
      <xdr:rowOff>124807</xdr:rowOff>
    </xdr:from>
    <xdr:to>
      <xdr:col>40</xdr:col>
      <xdr:colOff>22412</xdr:colOff>
      <xdr:row>2</xdr:row>
      <xdr:rowOff>916782</xdr:rowOff>
    </xdr:to>
    <xdr:sp macro="" textlink="">
      <xdr:nvSpPr>
        <xdr:cNvPr id="4" name="TextBox 3">
          <a:extLst>
            <a:ext uri="{FF2B5EF4-FFF2-40B4-BE49-F238E27FC236}">
              <a16:creationId xmlns:a16="http://schemas.microsoft.com/office/drawing/2014/main" id="{00000000-0008-0000-1C00-000004000000}"/>
            </a:ext>
          </a:extLst>
        </xdr:cNvPr>
        <xdr:cNvSpPr txBox="1"/>
      </xdr:nvSpPr>
      <xdr:spPr>
        <a:xfrm>
          <a:off x="18201156" y="998866"/>
          <a:ext cx="2596962" cy="7919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b="0"/>
            <a:t>Password sheet adalah   </a:t>
          </a:r>
          <a:r>
            <a:rPr lang="en-US" sz="1600" b="1"/>
            <a:t>Allah</a:t>
          </a:r>
          <a:r>
            <a:rPr lang="en-US" sz="1100" b="0" i="0" u="none" strike="noStrike">
              <a:solidFill>
                <a:schemeClr val="dk1"/>
              </a:solidFill>
              <a:effectLst/>
              <a:latin typeface="+mn-lt"/>
              <a:ea typeface="+mn-ea"/>
              <a:cs typeface="+mn-cs"/>
            </a:rPr>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silakan</a:t>
          </a:r>
          <a:r>
            <a:rPr lang="en-US" sz="1100" b="0" i="0" u="none" strike="noStrike" baseline="0">
              <a:solidFill>
                <a:schemeClr val="dk1"/>
              </a:solidFill>
              <a:effectLst/>
              <a:latin typeface="+mn-lt"/>
              <a:ea typeface="+mn-ea"/>
              <a:cs typeface="+mn-cs"/>
            </a:rPr>
            <a:t> edit sesuaikan dengan kebutuhan </a:t>
          </a:r>
        </a:p>
        <a:p>
          <a:pPr algn="ctr"/>
          <a:r>
            <a:rPr lang="en-US" sz="1100" b="0" i="0" u="none" strike="noStrike" baseline="0">
              <a:solidFill>
                <a:schemeClr val="dk1"/>
              </a:solidFill>
              <a:effectLst/>
              <a:latin typeface="+mn-lt"/>
              <a:ea typeface="+mn-ea"/>
              <a:cs typeface="+mn-cs"/>
            </a:rPr>
            <a:t>lembaga Anda</a:t>
          </a:r>
          <a:endParaRPr lang="en-US" sz="1100" b="0"/>
        </a:p>
      </xdr:txBody>
    </xdr:sp>
    <xdr:clientData/>
  </xdr:twoCellAnchor>
  <xdr:twoCellAnchor editAs="oneCell">
    <xdr:from>
      <xdr:col>0</xdr:col>
      <xdr:colOff>201705</xdr:colOff>
      <xdr:row>0</xdr:row>
      <xdr:rowOff>44824</xdr:rowOff>
    </xdr:from>
    <xdr:to>
      <xdr:col>0</xdr:col>
      <xdr:colOff>1292318</xdr:colOff>
      <xdr:row>0</xdr:row>
      <xdr:rowOff>527691</xdr:rowOff>
    </xdr:to>
    <xdr:pic>
      <xdr:nvPicPr>
        <xdr:cNvPr id="6" name="Picture 5" descr="HomeBBB.gif">
          <a:hlinkClick xmlns:r="http://schemas.openxmlformats.org/officeDocument/2006/relationships" r:id="rId1"/>
          <a:extLst>
            <a:ext uri="{FF2B5EF4-FFF2-40B4-BE49-F238E27FC236}">
              <a16:creationId xmlns:a16="http://schemas.microsoft.com/office/drawing/2014/main" id="{00000000-0008-0000-1C00-00000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01705" y="44824"/>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112059</xdr:colOff>
      <xdr:row>1</xdr:row>
      <xdr:rowOff>11205</xdr:rowOff>
    </xdr:from>
    <xdr:to>
      <xdr:col>0</xdr:col>
      <xdr:colOff>1423148</xdr:colOff>
      <xdr:row>2</xdr:row>
      <xdr:rowOff>22411</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1C00-000007000000}"/>
            </a:ext>
          </a:extLst>
        </xdr:cNvPr>
        <xdr:cNvSpPr/>
      </xdr:nvSpPr>
      <xdr:spPr>
        <a:xfrm>
          <a:off x="112059" y="59391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AGAMA  </a:t>
          </a:r>
        </a:p>
      </xdr:txBody>
    </xdr:sp>
    <xdr:clientData/>
  </xdr:twoCellAnchor>
  <xdr:twoCellAnchor>
    <xdr:from>
      <xdr:col>0</xdr:col>
      <xdr:colOff>100854</xdr:colOff>
      <xdr:row>2</xdr:row>
      <xdr:rowOff>67238</xdr:rowOff>
    </xdr:from>
    <xdr:to>
      <xdr:col>0</xdr:col>
      <xdr:colOff>1411943</xdr:colOff>
      <xdr:row>2</xdr:row>
      <xdr:rowOff>369797</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1C00-000008000000}"/>
            </a:ext>
          </a:extLst>
        </xdr:cNvPr>
        <xdr:cNvSpPr/>
      </xdr:nvSpPr>
      <xdr:spPr>
        <a:xfrm>
          <a:off x="100854" y="94129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PKN  </a:t>
          </a:r>
        </a:p>
      </xdr:txBody>
    </xdr:sp>
    <xdr:clientData/>
  </xdr:twoCellAnchor>
  <xdr:twoCellAnchor>
    <xdr:from>
      <xdr:col>0</xdr:col>
      <xdr:colOff>112063</xdr:colOff>
      <xdr:row>2</xdr:row>
      <xdr:rowOff>414624</xdr:rowOff>
    </xdr:from>
    <xdr:to>
      <xdr:col>0</xdr:col>
      <xdr:colOff>1423152</xdr:colOff>
      <xdr:row>2</xdr:row>
      <xdr:rowOff>717183</xdr:rowOff>
    </xdr:to>
    <xdr:sp macro="" textlink="">
      <xdr:nvSpPr>
        <xdr:cNvPr id="9" name="Rectangle 8">
          <a:hlinkClick xmlns:r="http://schemas.openxmlformats.org/officeDocument/2006/relationships" r:id="rId5"/>
          <a:extLst>
            <a:ext uri="{FF2B5EF4-FFF2-40B4-BE49-F238E27FC236}">
              <a16:creationId xmlns:a16="http://schemas.microsoft.com/office/drawing/2014/main" id="{00000000-0008-0000-1C00-000009000000}"/>
            </a:ext>
          </a:extLst>
        </xdr:cNvPr>
        <xdr:cNvSpPr/>
      </xdr:nvSpPr>
      <xdr:spPr>
        <a:xfrm>
          <a:off x="112063" y="128868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B.IND  </a:t>
          </a:r>
        </a:p>
      </xdr:txBody>
    </xdr:sp>
    <xdr:clientData/>
  </xdr:twoCellAnchor>
  <xdr:twoCellAnchor>
    <xdr:from>
      <xdr:col>0</xdr:col>
      <xdr:colOff>112062</xdr:colOff>
      <xdr:row>2</xdr:row>
      <xdr:rowOff>762006</xdr:rowOff>
    </xdr:from>
    <xdr:to>
      <xdr:col>0</xdr:col>
      <xdr:colOff>1423151</xdr:colOff>
      <xdr:row>2</xdr:row>
      <xdr:rowOff>1064565</xdr:rowOff>
    </xdr:to>
    <xdr:sp macro="" textlink="">
      <xdr:nvSpPr>
        <xdr:cNvPr id="10" name="Rectangle 9">
          <a:hlinkClick xmlns:r="http://schemas.openxmlformats.org/officeDocument/2006/relationships" r:id="rId6"/>
          <a:extLst>
            <a:ext uri="{FF2B5EF4-FFF2-40B4-BE49-F238E27FC236}">
              <a16:creationId xmlns:a16="http://schemas.microsoft.com/office/drawing/2014/main" id="{00000000-0008-0000-1C00-00000A000000}"/>
            </a:ext>
          </a:extLst>
        </xdr:cNvPr>
        <xdr:cNvSpPr/>
      </xdr:nvSpPr>
      <xdr:spPr>
        <a:xfrm>
          <a:off x="112062" y="163606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MTK  </a:t>
          </a:r>
        </a:p>
      </xdr:txBody>
    </xdr:sp>
    <xdr:clientData/>
  </xdr:twoCellAnchor>
  <xdr:twoCellAnchor>
    <xdr:from>
      <xdr:col>0</xdr:col>
      <xdr:colOff>100856</xdr:colOff>
      <xdr:row>2</xdr:row>
      <xdr:rowOff>1120591</xdr:rowOff>
    </xdr:from>
    <xdr:to>
      <xdr:col>0</xdr:col>
      <xdr:colOff>1411945</xdr:colOff>
      <xdr:row>3</xdr:row>
      <xdr:rowOff>224121</xdr:rowOff>
    </xdr:to>
    <xdr:sp macro="" textlink="">
      <xdr:nvSpPr>
        <xdr:cNvPr id="11" name="Rectangle 10">
          <a:hlinkClick xmlns:r="http://schemas.openxmlformats.org/officeDocument/2006/relationships" r:id="rId7"/>
          <a:extLst>
            <a:ext uri="{FF2B5EF4-FFF2-40B4-BE49-F238E27FC236}">
              <a16:creationId xmlns:a16="http://schemas.microsoft.com/office/drawing/2014/main" id="{00000000-0008-0000-1C00-00000B000000}"/>
            </a:ext>
          </a:extLst>
        </xdr:cNvPr>
        <xdr:cNvSpPr/>
      </xdr:nvSpPr>
      <xdr:spPr>
        <a:xfrm>
          <a:off x="100856" y="1994650"/>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IPA  </a:t>
          </a:r>
        </a:p>
      </xdr:txBody>
    </xdr:sp>
    <xdr:clientData/>
  </xdr:twoCellAnchor>
  <xdr:twoCellAnchor>
    <xdr:from>
      <xdr:col>0</xdr:col>
      <xdr:colOff>100856</xdr:colOff>
      <xdr:row>3</xdr:row>
      <xdr:rowOff>280151</xdr:rowOff>
    </xdr:from>
    <xdr:to>
      <xdr:col>0</xdr:col>
      <xdr:colOff>1411945</xdr:colOff>
      <xdr:row>4</xdr:row>
      <xdr:rowOff>257739</xdr:rowOff>
    </xdr:to>
    <xdr:sp macro="" textlink="">
      <xdr:nvSpPr>
        <xdr:cNvPr id="12" name="Rectangle 11">
          <a:hlinkClick xmlns:r="http://schemas.openxmlformats.org/officeDocument/2006/relationships" r:id="rId8"/>
          <a:extLst>
            <a:ext uri="{FF2B5EF4-FFF2-40B4-BE49-F238E27FC236}">
              <a16:creationId xmlns:a16="http://schemas.microsoft.com/office/drawing/2014/main" id="{00000000-0008-0000-1C00-00000C000000}"/>
            </a:ext>
          </a:extLst>
        </xdr:cNvPr>
        <xdr:cNvSpPr/>
      </xdr:nvSpPr>
      <xdr:spPr>
        <a:xfrm>
          <a:off x="100856" y="2353239"/>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IPS  </a:t>
          </a:r>
        </a:p>
      </xdr:txBody>
    </xdr:sp>
    <xdr:clientData/>
  </xdr:twoCellAnchor>
  <xdr:twoCellAnchor>
    <xdr:from>
      <xdr:col>0</xdr:col>
      <xdr:colOff>112062</xdr:colOff>
      <xdr:row>4</xdr:row>
      <xdr:rowOff>302566</xdr:rowOff>
    </xdr:from>
    <xdr:to>
      <xdr:col>0</xdr:col>
      <xdr:colOff>1423151</xdr:colOff>
      <xdr:row>4</xdr:row>
      <xdr:rowOff>605125</xdr:rowOff>
    </xdr:to>
    <xdr:sp macro="" textlink="">
      <xdr:nvSpPr>
        <xdr:cNvPr id="13" name="Rectangle 12">
          <a:hlinkClick xmlns:r="http://schemas.openxmlformats.org/officeDocument/2006/relationships" r:id="rId9"/>
          <a:extLst>
            <a:ext uri="{FF2B5EF4-FFF2-40B4-BE49-F238E27FC236}">
              <a16:creationId xmlns:a16="http://schemas.microsoft.com/office/drawing/2014/main" id="{00000000-0008-0000-1C00-00000D000000}"/>
            </a:ext>
          </a:extLst>
        </xdr:cNvPr>
        <xdr:cNvSpPr/>
      </xdr:nvSpPr>
      <xdr:spPr>
        <a:xfrm>
          <a:off x="112062" y="270062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SBDP  </a:t>
          </a:r>
        </a:p>
      </xdr:txBody>
    </xdr:sp>
    <xdr:clientData/>
  </xdr:twoCellAnchor>
  <xdr:twoCellAnchor>
    <xdr:from>
      <xdr:col>0</xdr:col>
      <xdr:colOff>112061</xdr:colOff>
      <xdr:row>4</xdr:row>
      <xdr:rowOff>649944</xdr:rowOff>
    </xdr:from>
    <xdr:to>
      <xdr:col>0</xdr:col>
      <xdr:colOff>1423150</xdr:colOff>
      <xdr:row>5</xdr:row>
      <xdr:rowOff>168091</xdr:rowOff>
    </xdr:to>
    <xdr:sp macro="" textlink="">
      <xdr:nvSpPr>
        <xdr:cNvPr id="14" name="Rectangle 13">
          <a:hlinkClick xmlns:r="http://schemas.openxmlformats.org/officeDocument/2006/relationships" r:id="rId10"/>
          <a:extLst>
            <a:ext uri="{FF2B5EF4-FFF2-40B4-BE49-F238E27FC236}">
              <a16:creationId xmlns:a16="http://schemas.microsoft.com/office/drawing/2014/main" id="{00000000-0008-0000-1C00-00000E000000}"/>
            </a:ext>
          </a:extLst>
        </xdr:cNvPr>
        <xdr:cNvSpPr/>
      </xdr:nvSpPr>
      <xdr:spPr>
        <a:xfrm>
          <a:off x="112061" y="3048003"/>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PJOK  </a:t>
          </a:r>
        </a:p>
      </xdr:txBody>
    </xdr:sp>
    <xdr:clientData/>
  </xdr:twoCellAnchor>
  <xdr:twoCellAnchor>
    <xdr:from>
      <xdr:col>0</xdr:col>
      <xdr:colOff>112061</xdr:colOff>
      <xdr:row>5</xdr:row>
      <xdr:rowOff>212914</xdr:rowOff>
    </xdr:from>
    <xdr:to>
      <xdr:col>0</xdr:col>
      <xdr:colOff>1423150</xdr:colOff>
      <xdr:row>5</xdr:row>
      <xdr:rowOff>515473</xdr:rowOff>
    </xdr:to>
    <xdr:sp macro="" textlink="">
      <xdr:nvSpPr>
        <xdr:cNvPr id="15" name="Rectangle 14">
          <a:hlinkClick xmlns:r="http://schemas.openxmlformats.org/officeDocument/2006/relationships" r:id="rId11"/>
          <a:extLst>
            <a:ext uri="{FF2B5EF4-FFF2-40B4-BE49-F238E27FC236}">
              <a16:creationId xmlns:a16="http://schemas.microsoft.com/office/drawing/2014/main" id="{00000000-0008-0000-1C00-00000F000000}"/>
            </a:ext>
          </a:extLst>
        </xdr:cNvPr>
        <xdr:cNvSpPr/>
      </xdr:nvSpPr>
      <xdr:spPr>
        <a:xfrm>
          <a:off x="112061" y="3395385"/>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1</a:t>
          </a:r>
        </a:p>
      </xdr:txBody>
    </xdr:sp>
    <xdr:clientData/>
  </xdr:twoCellAnchor>
  <xdr:twoCellAnchor>
    <xdr:from>
      <xdr:col>0</xdr:col>
      <xdr:colOff>112061</xdr:colOff>
      <xdr:row>5</xdr:row>
      <xdr:rowOff>537886</xdr:rowOff>
    </xdr:from>
    <xdr:to>
      <xdr:col>0</xdr:col>
      <xdr:colOff>1423150</xdr:colOff>
      <xdr:row>6</xdr:row>
      <xdr:rowOff>56034</xdr:rowOff>
    </xdr:to>
    <xdr:sp macro="" textlink="">
      <xdr:nvSpPr>
        <xdr:cNvPr id="16" name="Rectangle 15">
          <a:hlinkClick xmlns:r="http://schemas.openxmlformats.org/officeDocument/2006/relationships" r:id="rId12"/>
          <a:extLst>
            <a:ext uri="{FF2B5EF4-FFF2-40B4-BE49-F238E27FC236}">
              <a16:creationId xmlns:a16="http://schemas.microsoft.com/office/drawing/2014/main" id="{00000000-0008-0000-1C00-000010000000}"/>
            </a:ext>
          </a:extLst>
        </xdr:cNvPr>
        <xdr:cNvSpPr/>
      </xdr:nvSpPr>
      <xdr:spPr>
        <a:xfrm>
          <a:off x="112061" y="3720357"/>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a:t>&gt; MULOK 2</a:t>
          </a:r>
        </a:p>
      </xdr:txBody>
    </xdr:sp>
    <xdr:clientData/>
  </xdr:twoCellAnchor>
  <xdr:twoCellAnchor>
    <xdr:from>
      <xdr:col>0</xdr:col>
      <xdr:colOff>100856</xdr:colOff>
      <xdr:row>6</xdr:row>
      <xdr:rowOff>100859</xdr:rowOff>
    </xdr:from>
    <xdr:to>
      <xdr:col>0</xdr:col>
      <xdr:colOff>1411945</xdr:colOff>
      <xdr:row>6</xdr:row>
      <xdr:rowOff>403418</xdr:rowOff>
    </xdr:to>
    <xdr:sp macro="" textlink="">
      <xdr:nvSpPr>
        <xdr:cNvPr id="17" name="Rectangle 16">
          <a:hlinkClick xmlns:r="http://schemas.openxmlformats.org/officeDocument/2006/relationships" r:id="rId13"/>
          <a:extLst>
            <a:ext uri="{FF2B5EF4-FFF2-40B4-BE49-F238E27FC236}">
              <a16:creationId xmlns:a16="http://schemas.microsoft.com/office/drawing/2014/main" id="{00000000-0008-0000-1C00-000011000000}"/>
            </a:ext>
          </a:extLst>
        </xdr:cNvPr>
        <xdr:cNvSpPr/>
      </xdr:nvSpPr>
      <xdr:spPr>
        <a:xfrm>
          <a:off x="100856" y="4067741"/>
          <a:ext cx="1311089" cy="302559"/>
        </a:xfrm>
        <a:prstGeom prst="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l"/>
          <a:r>
            <a:rPr lang="en-US" sz="1800" b="1">
              <a:solidFill>
                <a:srgbClr val="92D050"/>
              </a:solidFill>
            </a:rPr>
            <a:t>&gt; MULOK 3</a:t>
          </a:r>
        </a:p>
      </xdr:txBody>
    </xdr:sp>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7915275</xdr:colOff>
      <xdr:row>1</xdr:row>
      <xdr:rowOff>66675</xdr:rowOff>
    </xdr:from>
    <xdr:to>
      <xdr:col>1</xdr:col>
      <xdr:colOff>8582025</xdr:colOff>
      <xdr:row>3</xdr:row>
      <xdr:rowOff>210056</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1D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296275" y="400050"/>
          <a:ext cx="666750" cy="572006"/>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2</xdr:col>
      <xdr:colOff>0</xdr:colOff>
      <xdr:row>18</xdr:row>
      <xdr:rowOff>0</xdr:rowOff>
    </xdr:from>
    <xdr:to>
      <xdr:col>3</xdr:col>
      <xdr:colOff>190500</xdr:colOff>
      <xdr:row>18</xdr:row>
      <xdr:rowOff>0</xdr:rowOff>
    </xdr:to>
    <xdr:sp macro="" textlink="">
      <xdr:nvSpPr>
        <xdr:cNvPr id="2" name="Text Box 93">
          <a:extLst>
            <a:ext uri="{FF2B5EF4-FFF2-40B4-BE49-F238E27FC236}">
              <a16:creationId xmlns:a16="http://schemas.microsoft.com/office/drawing/2014/main" id="{00000000-0008-0000-1E00-000002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3" name="Text Box 93">
          <a:extLst>
            <a:ext uri="{FF2B5EF4-FFF2-40B4-BE49-F238E27FC236}">
              <a16:creationId xmlns:a16="http://schemas.microsoft.com/office/drawing/2014/main" id="{00000000-0008-0000-1E00-000003000000}"/>
            </a:ext>
          </a:extLst>
        </xdr:cNvPr>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4" name="Text Box 93">
          <a:extLst>
            <a:ext uri="{FF2B5EF4-FFF2-40B4-BE49-F238E27FC236}">
              <a16:creationId xmlns:a16="http://schemas.microsoft.com/office/drawing/2014/main" id="{00000000-0008-0000-1E00-000004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5" name="Text Box 93">
          <a:extLst>
            <a:ext uri="{FF2B5EF4-FFF2-40B4-BE49-F238E27FC236}">
              <a16:creationId xmlns:a16="http://schemas.microsoft.com/office/drawing/2014/main" id="{00000000-0008-0000-1E00-000005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6" name="Text Box 93">
          <a:extLst>
            <a:ext uri="{FF2B5EF4-FFF2-40B4-BE49-F238E27FC236}">
              <a16:creationId xmlns:a16="http://schemas.microsoft.com/office/drawing/2014/main" id="{00000000-0008-0000-1E00-000006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7" name="Text Box 93">
          <a:extLst>
            <a:ext uri="{FF2B5EF4-FFF2-40B4-BE49-F238E27FC236}">
              <a16:creationId xmlns:a16="http://schemas.microsoft.com/office/drawing/2014/main" id="{00000000-0008-0000-1E00-000007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8" name="Text Box 93">
          <a:extLst>
            <a:ext uri="{FF2B5EF4-FFF2-40B4-BE49-F238E27FC236}">
              <a16:creationId xmlns:a16="http://schemas.microsoft.com/office/drawing/2014/main" id="{00000000-0008-0000-1E00-000008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9" name="Text Box 93">
          <a:extLst>
            <a:ext uri="{FF2B5EF4-FFF2-40B4-BE49-F238E27FC236}">
              <a16:creationId xmlns:a16="http://schemas.microsoft.com/office/drawing/2014/main" id="{00000000-0008-0000-1E00-000009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0" name="Text Box 93">
          <a:extLst>
            <a:ext uri="{FF2B5EF4-FFF2-40B4-BE49-F238E27FC236}">
              <a16:creationId xmlns:a16="http://schemas.microsoft.com/office/drawing/2014/main" id="{00000000-0008-0000-1E00-00000A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1" name="Text Box 93">
          <a:extLst>
            <a:ext uri="{FF2B5EF4-FFF2-40B4-BE49-F238E27FC236}">
              <a16:creationId xmlns:a16="http://schemas.microsoft.com/office/drawing/2014/main" id="{00000000-0008-0000-1E00-00000B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2" name="Text Box 93">
          <a:extLst>
            <a:ext uri="{FF2B5EF4-FFF2-40B4-BE49-F238E27FC236}">
              <a16:creationId xmlns:a16="http://schemas.microsoft.com/office/drawing/2014/main" id="{00000000-0008-0000-1E00-00000C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15</xdr:row>
      <xdr:rowOff>0</xdr:rowOff>
    </xdr:from>
    <xdr:to>
      <xdr:col>3</xdr:col>
      <xdr:colOff>238125</xdr:colOff>
      <xdr:row>15</xdr:row>
      <xdr:rowOff>0</xdr:rowOff>
    </xdr:to>
    <xdr:sp macro="" textlink="">
      <xdr:nvSpPr>
        <xdr:cNvPr id="13" name="Text Box 92">
          <a:extLst>
            <a:ext uri="{FF2B5EF4-FFF2-40B4-BE49-F238E27FC236}">
              <a16:creationId xmlns:a16="http://schemas.microsoft.com/office/drawing/2014/main" id="{00000000-0008-0000-1E00-00000D000000}"/>
            </a:ext>
          </a:extLst>
        </xdr:cNvPr>
        <xdr:cNvSpPr txBox="1">
          <a:spLocks noChangeArrowheads="1"/>
        </xdr:cNvSpPr>
      </xdr:nvSpPr>
      <xdr:spPr bwMode="auto">
        <a:xfrm>
          <a:off x="981075" y="180594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14" name="Text Box 93">
          <a:extLst>
            <a:ext uri="{FF2B5EF4-FFF2-40B4-BE49-F238E27FC236}">
              <a16:creationId xmlns:a16="http://schemas.microsoft.com/office/drawing/2014/main" id="{00000000-0008-0000-1E00-00000E000000}"/>
            </a:ext>
          </a:extLst>
        </xdr:cNvPr>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15" name="Text Box 93">
          <a:extLst>
            <a:ext uri="{FF2B5EF4-FFF2-40B4-BE49-F238E27FC236}">
              <a16:creationId xmlns:a16="http://schemas.microsoft.com/office/drawing/2014/main" id="{00000000-0008-0000-1E00-00000F000000}"/>
            </a:ext>
          </a:extLst>
        </xdr:cNvPr>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6" name="Text Box 92">
          <a:extLst>
            <a:ext uri="{FF2B5EF4-FFF2-40B4-BE49-F238E27FC236}">
              <a16:creationId xmlns:a16="http://schemas.microsoft.com/office/drawing/2014/main" id="{00000000-0008-0000-1E00-000010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7" name="Text Box 92">
          <a:extLst>
            <a:ext uri="{FF2B5EF4-FFF2-40B4-BE49-F238E27FC236}">
              <a16:creationId xmlns:a16="http://schemas.microsoft.com/office/drawing/2014/main" id="{00000000-0008-0000-1E00-000011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8" name="Text Box 93">
          <a:extLst>
            <a:ext uri="{FF2B5EF4-FFF2-40B4-BE49-F238E27FC236}">
              <a16:creationId xmlns:a16="http://schemas.microsoft.com/office/drawing/2014/main" id="{00000000-0008-0000-1E00-000012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31</xdr:row>
      <xdr:rowOff>0</xdr:rowOff>
    </xdr:from>
    <xdr:to>
      <xdr:col>3</xdr:col>
      <xdr:colOff>238125</xdr:colOff>
      <xdr:row>31</xdr:row>
      <xdr:rowOff>0</xdr:rowOff>
    </xdr:to>
    <xdr:sp macro="" textlink="">
      <xdr:nvSpPr>
        <xdr:cNvPr id="19" name="Text Box 92">
          <a:extLst>
            <a:ext uri="{FF2B5EF4-FFF2-40B4-BE49-F238E27FC236}">
              <a16:creationId xmlns:a16="http://schemas.microsoft.com/office/drawing/2014/main" id="{00000000-0008-0000-1E00-000013000000}"/>
            </a:ext>
          </a:extLst>
        </xdr:cNvPr>
        <xdr:cNvSpPr txBox="1">
          <a:spLocks noChangeArrowheads="1"/>
        </xdr:cNvSpPr>
      </xdr:nvSpPr>
      <xdr:spPr bwMode="auto">
        <a:xfrm>
          <a:off x="981075"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20" name="Text Box 93">
          <a:extLst>
            <a:ext uri="{FF2B5EF4-FFF2-40B4-BE49-F238E27FC236}">
              <a16:creationId xmlns:a16="http://schemas.microsoft.com/office/drawing/2014/main" id="{00000000-0008-0000-1E00-000014000000}"/>
            </a:ext>
          </a:extLst>
        </xdr:cNvPr>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1" name="Text Box 92">
          <a:extLst>
            <a:ext uri="{FF2B5EF4-FFF2-40B4-BE49-F238E27FC236}">
              <a16:creationId xmlns:a16="http://schemas.microsoft.com/office/drawing/2014/main" id="{00000000-0008-0000-1E00-000015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2" name="Text Box 93">
          <a:extLst>
            <a:ext uri="{FF2B5EF4-FFF2-40B4-BE49-F238E27FC236}">
              <a16:creationId xmlns:a16="http://schemas.microsoft.com/office/drawing/2014/main" id="{00000000-0008-0000-1E00-000016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3" name="Text Box 92">
          <a:extLst>
            <a:ext uri="{FF2B5EF4-FFF2-40B4-BE49-F238E27FC236}">
              <a16:creationId xmlns:a16="http://schemas.microsoft.com/office/drawing/2014/main" id="{00000000-0008-0000-1E00-000017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4" name="Text Box 93">
          <a:extLst>
            <a:ext uri="{FF2B5EF4-FFF2-40B4-BE49-F238E27FC236}">
              <a16:creationId xmlns:a16="http://schemas.microsoft.com/office/drawing/2014/main" id="{00000000-0008-0000-1E00-000018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25" name="Text Box 92">
          <a:extLst>
            <a:ext uri="{FF2B5EF4-FFF2-40B4-BE49-F238E27FC236}">
              <a16:creationId xmlns:a16="http://schemas.microsoft.com/office/drawing/2014/main" id="{00000000-0008-0000-1E00-000019000000}"/>
            </a:ext>
          </a:extLst>
        </xdr:cNvPr>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6" name="Text Box 93">
          <a:extLst>
            <a:ext uri="{FF2B5EF4-FFF2-40B4-BE49-F238E27FC236}">
              <a16:creationId xmlns:a16="http://schemas.microsoft.com/office/drawing/2014/main" id="{00000000-0008-0000-1E00-00001A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27" name="Text Box 92">
          <a:extLst>
            <a:ext uri="{FF2B5EF4-FFF2-40B4-BE49-F238E27FC236}">
              <a16:creationId xmlns:a16="http://schemas.microsoft.com/office/drawing/2014/main" id="{00000000-0008-0000-1E00-00001B000000}"/>
            </a:ext>
          </a:extLst>
        </xdr:cNvPr>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8" name="Text Box 93">
          <a:extLst>
            <a:ext uri="{FF2B5EF4-FFF2-40B4-BE49-F238E27FC236}">
              <a16:creationId xmlns:a16="http://schemas.microsoft.com/office/drawing/2014/main" id="{00000000-0008-0000-1E00-00001C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9" name="Text Box 93">
          <a:extLst>
            <a:ext uri="{FF2B5EF4-FFF2-40B4-BE49-F238E27FC236}">
              <a16:creationId xmlns:a16="http://schemas.microsoft.com/office/drawing/2014/main" id="{00000000-0008-0000-1E00-00001D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30" name="Text Box 93">
          <a:extLst>
            <a:ext uri="{FF2B5EF4-FFF2-40B4-BE49-F238E27FC236}">
              <a16:creationId xmlns:a16="http://schemas.microsoft.com/office/drawing/2014/main" id="{00000000-0008-0000-1E00-00001E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31" name="Text Box 93">
          <a:extLst>
            <a:ext uri="{FF2B5EF4-FFF2-40B4-BE49-F238E27FC236}">
              <a16:creationId xmlns:a16="http://schemas.microsoft.com/office/drawing/2014/main" id="{00000000-0008-0000-1E00-00001F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32" name="Text Box 93">
          <a:extLst>
            <a:ext uri="{FF2B5EF4-FFF2-40B4-BE49-F238E27FC236}">
              <a16:creationId xmlns:a16="http://schemas.microsoft.com/office/drawing/2014/main" id="{00000000-0008-0000-1E00-000020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33" name="Text Box 93">
          <a:extLst>
            <a:ext uri="{FF2B5EF4-FFF2-40B4-BE49-F238E27FC236}">
              <a16:creationId xmlns:a16="http://schemas.microsoft.com/office/drawing/2014/main" id="{00000000-0008-0000-1E00-000021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34" name="Text Box 92">
          <a:extLst>
            <a:ext uri="{FF2B5EF4-FFF2-40B4-BE49-F238E27FC236}">
              <a16:creationId xmlns:a16="http://schemas.microsoft.com/office/drawing/2014/main" id="{00000000-0008-0000-1E00-000022000000}"/>
            </a:ext>
          </a:extLst>
        </xdr:cNvPr>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35" name="Text Box 92">
          <a:extLst>
            <a:ext uri="{FF2B5EF4-FFF2-40B4-BE49-F238E27FC236}">
              <a16:creationId xmlns:a16="http://schemas.microsoft.com/office/drawing/2014/main" id="{00000000-0008-0000-1E00-000023000000}"/>
            </a:ext>
          </a:extLst>
        </xdr:cNvPr>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14</xdr:row>
      <xdr:rowOff>0</xdr:rowOff>
    </xdr:from>
    <xdr:to>
      <xdr:col>3</xdr:col>
      <xdr:colOff>238125</xdr:colOff>
      <xdr:row>14</xdr:row>
      <xdr:rowOff>0</xdr:rowOff>
    </xdr:to>
    <xdr:sp macro="" textlink="">
      <xdr:nvSpPr>
        <xdr:cNvPr id="36" name="Text Box 92">
          <a:extLst>
            <a:ext uri="{FF2B5EF4-FFF2-40B4-BE49-F238E27FC236}">
              <a16:creationId xmlns:a16="http://schemas.microsoft.com/office/drawing/2014/main" id="{00000000-0008-0000-1E00-000024000000}"/>
            </a:ext>
          </a:extLst>
        </xdr:cNvPr>
        <xdr:cNvSpPr txBox="1">
          <a:spLocks noChangeArrowheads="1"/>
        </xdr:cNvSpPr>
      </xdr:nvSpPr>
      <xdr:spPr bwMode="auto">
        <a:xfrm>
          <a:off x="981075" y="164115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37" name="Text Box 93">
          <a:extLst>
            <a:ext uri="{FF2B5EF4-FFF2-40B4-BE49-F238E27FC236}">
              <a16:creationId xmlns:a16="http://schemas.microsoft.com/office/drawing/2014/main" id="{00000000-0008-0000-1E00-000025000000}"/>
            </a:ext>
          </a:extLst>
        </xdr:cNvPr>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38" name="Text Box 93">
          <a:extLst>
            <a:ext uri="{FF2B5EF4-FFF2-40B4-BE49-F238E27FC236}">
              <a16:creationId xmlns:a16="http://schemas.microsoft.com/office/drawing/2014/main" id="{00000000-0008-0000-1E00-000026000000}"/>
            </a:ext>
          </a:extLst>
        </xdr:cNvPr>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39" name="Text Box 93">
          <a:extLst>
            <a:ext uri="{FF2B5EF4-FFF2-40B4-BE49-F238E27FC236}">
              <a16:creationId xmlns:a16="http://schemas.microsoft.com/office/drawing/2014/main" id="{00000000-0008-0000-1E00-000027000000}"/>
            </a:ext>
          </a:extLst>
        </xdr:cNvPr>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40" name="Text Box 93">
          <a:extLst>
            <a:ext uri="{FF2B5EF4-FFF2-40B4-BE49-F238E27FC236}">
              <a16:creationId xmlns:a16="http://schemas.microsoft.com/office/drawing/2014/main" id="{00000000-0008-0000-1E00-00002800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41" name="Text Box 93">
          <a:extLst>
            <a:ext uri="{FF2B5EF4-FFF2-40B4-BE49-F238E27FC236}">
              <a16:creationId xmlns:a16="http://schemas.microsoft.com/office/drawing/2014/main" id="{00000000-0008-0000-1E00-00002900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42" name="Text Box 93">
          <a:extLst>
            <a:ext uri="{FF2B5EF4-FFF2-40B4-BE49-F238E27FC236}">
              <a16:creationId xmlns:a16="http://schemas.microsoft.com/office/drawing/2014/main" id="{00000000-0008-0000-1E00-00002A00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43" name="Text Box 93">
          <a:extLst>
            <a:ext uri="{FF2B5EF4-FFF2-40B4-BE49-F238E27FC236}">
              <a16:creationId xmlns:a16="http://schemas.microsoft.com/office/drawing/2014/main" id="{00000000-0008-0000-1E00-00002B00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44" name="Text Box 93">
          <a:extLst>
            <a:ext uri="{FF2B5EF4-FFF2-40B4-BE49-F238E27FC236}">
              <a16:creationId xmlns:a16="http://schemas.microsoft.com/office/drawing/2014/main" id="{00000000-0008-0000-1E00-00002C00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45" name="Text Box 93">
          <a:extLst>
            <a:ext uri="{FF2B5EF4-FFF2-40B4-BE49-F238E27FC236}">
              <a16:creationId xmlns:a16="http://schemas.microsoft.com/office/drawing/2014/main" id="{00000000-0008-0000-1E00-00002D000000}"/>
            </a:ext>
          </a:extLst>
        </xdr:cNvPr>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46" name="Text Box 93">
          <a:extLst>
            <a:ext uri="{FF2B5EF4-FFF2-40B4-BE49-F238E27FC236}">
              <a16:creationId xmlns:a16="http://schemas.microsoft.com/office/drawing/2014/main" id="{00000000-0008-0000-1E00-00002E000000}"/>
            </a:ext>
          </a:extLst>
        </xdr:cNvPr>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47" name="Text Box 92">
          <a:extLst>
            <a:ext uri="{FF2B5EF4-FFF2-40B4-BE49-F238E27FC236}">
              <a16:creationId xmlns:a16="http://schemas.microsoft.com/office/drawing/2014/main" id="{00000000-0008-0000-1E00-00002F00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48" name="Text Box 92">
          <a:extLst>
            <a:ext uri="{FF2B5EF4-FFF2-40B4-BE49-F238E27FC236}">
              <a16:creationId xmlns:a16="http://schemas.microsoft.com/office/drawing/2014/main" id="{00000000-0008-0000-1E00-00003000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49" name="Text Box 92">
          <a:extLst>
            <a:ext uri="{FF2B5EF4-FFF2-40B4-BE49-F238E27FC236}">
              <a16:creationId xmlns:a16="http://schemas.microsoft.com/office/drawing/2014/main" id="{00000000-0008-0000-1E00-000031000000}"/>
            </a:ext>
          </a:extLst>
        </xdr:cNvPr>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50" name="Text Box 92">
          <a:extLst>
            <a:ext uri="{FF2B5EF4-FFF2-40B4-BE49-F238E27FC236}">
              <a16:creationId xmlns:a16="http://schemas.microsoft.com/office/drawing/2014/main" id="{00000000-0008-0000-1E00-00003200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51" name="Text Box 92">
          <a:extLst>
            <a:ext uri="{FF2B5EF4-FFF2-40B4-BE49-F238E27FC236}">
              <a16:creationId xmlns:a16="http://schemas.microsoft.com/office/drawing/2014/main" id="{00000000-0008-0000-1E00-00003300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52" name="Text Box 33">
          <a:extLst>
            <a:ext uri="{FF2B5EF4-FFF2-40B4-BE49-F238E27FC236}">
              <a16:creationId xmlns:a16="http://schemas.microsoft.com/office/drawing/2014/main" id="{00000000-0008-0000-1E00-000034000000}"/>
            </a:ext>
          </a:extLst>
        </xdr:cNvPr>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53" name="Text Box 93">
          <a:extLst>
            <a:ext uri="{FF2B5EF4-FFF2-40B4-BE49-F238E27FC236}">
              <a16:creationId xmlns:a16="http://schemas.microsoft.com/office/drawing/2014/main" id="{00000000-0008-0000-1E00-000035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54" name="Text Box 93">
          <a:extLst>
            <a:ext uri="{FF2B5EF4-FFF2-40B4-BE49-F238E27FC236}">
              <a16:creationId xmlns:a16="http://schemas.microsoft.com/office/drawing/2014/main" id="{00000000-0008-0000-1E00-000036000000}"/>
            </a:ext>
          </a:extLst>
        </xdr:cNvPr>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55" name="Text Box 33">
          <a:extLst>
            <a:ext uri="{FF2B5EF4-FFF2-40B4-BE49-F238E27FC236}">
              <a16:creationId xmlns:a16="http://schemas.microsoft.com/office/drawing/2014/main" id="{00000000-0008-0000-1E00-000037000000}"/>
            </a:ext>
          </a:extLst>
        </xdr:cNvPr>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56" name="Text Box 93">
          <a:extLst>
            <a:ext uri="{FF2B5EF4-FFF2-40B4-BE49-F238E27FC236}">
              <a16:creationId xmlns:a16="http://schemas.microsoft.com/office/drawing/2014/main" id="{00000000-0008-0000-1E00-000038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57" name="Text Box 33">
          <a:extLst>
            <a:ext uri="{FF2B5EF4-FFF2-40B4-BE49-F238E27FC236}">
              <a16:creationId xmlns:a16="http://schemas.microsoft.com/office/drawing/2014/main" id="{00000000-0008-0000-1E00-000039000000}"/>
            </a:ext>
          </a:extLst>
        </xdr:cNvPr>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58" name="Text Box 93">
          <a:extLst>
            <a:ext uri="{FF2B5EF4-FFF2-40B4-BE49-F238E27FC236}">
              <a16:creationId xmlns:a16="http://schemas.microsoft.com/office/drawing/2014/main" id="{00000000-0008-0000-1E00-00003A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59" name="Text Box 93">
          <a:extLst>
            <a:ext uri="{FF2B5EF4-FFF2-40B4-BE49-F238E27FC236}">
              <a16:creationId xmlns:a16="http://schemas.microsoft.com/office/drawing/2014/main" id="{00000000-0008-0000-1E00-00003B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60" name="Text Box 93">
          <a:extLst>
            <a:ext uri="{FF2B5EF4-FFF2-40B4-BE49-F238E27FC236}">
              <a16:creationId xmlns:a16="http://schemas.microsoft.com/office/drawing/2014/main" id="{00000000-0008-0000-1E00-00003C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61" name="Text Box 93">
          <a:extLst>
            <a:ext uri="{FF2B5EF4-FFF2-40B4-BE49-F238E27FC236}">
              <a16:creationId xmlns:a16="http://schemas.microsoft.com/office/drawing/2014/main" id="{00000000-0008-0000-1E00-00003D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62" name="Text Box 93">
          <a:extLst>
            <a:ext uri="{FF2B5EF4-FFF2-40B4-BE49-F238E27FC236}">
              <a16:creationId xmlns:a16="http://schemas.microsoft.com/office/drawing/2014/main" id="{00000000-0008-0000-1E00-00003E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63" name="Text Box 93">
          <a:extLst>
            <a:ext uri="{FF2B5EF4-FFF2-40B4-BE49-F238E27FC236}">
              <a16:creationId xmlns:a16="http://schemas.microsoft.com/office/drawing/2014/main" id="{00000000-0008-0000-1E00-00003F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64" name="Text Box 93">
          <a:extLst>
            <a:ext uri="{FF2B5EF4-FFF2-40B4-BE49-F238E27FC236}">
              <a16:creationId xmlns:a16="http://schemas.microsoft.com/office/drawing/2014/main" id="{00000000-0008-0000-1E00-000040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65" name="Text Box 93">
          <a:extLst>
            <a:ext uri="{FF2B5EF4-FFF2-40B4-BE49-F238E27FC236}">
              <a16:creationId xmlns:a16="http://schemas.microsoft.com/office/drawing/2014/main" id="{00000000-0008-0000-1E00-000041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15</xdr:row>
      <xdr:rowOff>0</xdr:rowOff>
    </xdr:from>
    <xdr:to>
      <xdr:col>3</xdr:col>
      <xdr:colOff>238125</xdr:colOff>
      <xdr:row>15</xdr:row>
      <xdr:rowOff>0</xdr:rowOff>
    </xdr:to>
    <xdr:sp macro="" textlink="">
      <xdr:nvSpPr>
        <xdr:cNvPr id="66" name="Text Box 92">
          <a:extLst>
            <a:ext uri="{FF2B5EF4-FFF2-40B4-BE49-F238E27FC236}">
              <a16:creationId xmlns:a16="http://schemas.microsoft.com/office/drawing/2014/main" id="{00000000-0008-0000-1E00-000042000000}"/>
            </a:ext>
          </a:extLst>
        </xdr:cNvPr>
        <xdr:cNvSpPr txBox="1">
          <a:spLocks noChangeArrowheads="1"/>
        </xdr:cNvSpPr>
      </xdr:nvSpPr>
      <xdr:spPr bwMode="auto">
        <a:xfrm>
          <a:off x="981075" y="180594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67" name="Text Box 33">
          <a:extLst>
            <a:ext uri="{FF2B5EF4-FFF2-40B4-BE49-F238E27FC236}">
              <a16:creationId xmlns:a16="http://schemas.microsoft.com/office/drawing/2014/main" id="{00000000-0008-0000-1E00-000043000000}"/>
            </a:ext>
          </a:extLst>
        </xdr:cNvPr>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68" name="Text Box 93">
          <a:extLst>
            <a:ext uri="{FF2B5EF4-FFF2-40B4-BE49-F238E27FC236}">
              <a16:creationId xmlns:a16="http://schemas.microsoft.com/office/drawing/2014/main" id="{00000000-0008-0000-1E00-000044000000}"/>
            </a:ext>
          </a:extLst>
        </xdr:cNvPr>
        <xdr:cNvSpPr txBox="1">
          <a:spLocks noChangeArrowheads="1"/>
        </xdr:cNvSpPr>
      </xdr:nvSpPr>
      <xdr:spPr bwMode="auto">
        <a:xfrm>
          <a:off x="933450" y="4772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34</xdr:row>
      <xdr:rowOff>0</xdr:rowOff>
    </xdr:from>
    <xdr:to>
      <xdr:col>3</xdr:col>
      <xdr:colOff>190500</xdr:colOff>
      <xdr:row>34</xdr:row>
      <xdr:rowOff>0</xdr:rowOff>
    </xdr:to>
    <xdr:sp macro="" textlink="">
      <xdr:nvSpPr>
        <xdr:cNvPr id="69" name="Text Box 93">
          <a:extLst>
            <a:ext uri="{FF2B5EF4-FFF2-40B4-BE49-F238E27FC236}">
              <a16:creationId xmlns:a16="http://schemas.microsoft.com/office/drawing/2014/main" id="{00000000-0008-0000-1E00-000045000000}"/>
            </a:ext>
          </a:extLst>
        </xdr:cNvPr>
        <xdr:cNvSpPr txBox="1">
          <a:spLocks noChangeArrowheads="1"/>
        </xdr:cNvSpPr>
      </xdr:nvSpPr>
      <xdr:spPr bwMode="auto">
        <a:xfrm>
          <a:off x="933450" y="493680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70" name="Text Box 33">
          <a:extLst>
            <a:ext uri="{FF2B5EF4-FFF2-40B4-BE49-F238E27FC236}">
              <a16:creationId xmlns:a16="http://schemas.microsoft.com/office/drawing/2014/main" id="{00000000-0008-0000-1E00-000046000000}"/>
            </a:ext>
          </a:extLst>
        </xdr:cNvPr>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71" name="Text Box 93">
          <a:extLst>
            <a:ext uri="{FF2B5EF4-FFF2-40B4-BE49-F238E27FC236}">
              <a16:creationId xmlns:a16="http://schemas.microsoft.com/office/drawing/2014/main" id="{00000000-0008-0000-1E00-000047000000}"/>
            </a:ext>
          </a:extLst>
        </xdr:cNvPr>
        <xdr:cNvSpPr txBox="1">
          <a:spLocks noChangeArrowheads="1"/>
        </xdr:cNvSpPr>
      </xdr:nvSpPr>
      <xdr:spPr bwMode="auto">
        <a:xfrm>
          <a:off x="933450" y="4772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72" name="Text Box 33">
          <a:extLst>
            <a:ext uri="{FF2B5EF4-FFF2-40B4-BE49-F238E27FC236}">
              <a16:creationId xmlns:a16="http://schemas.microsoft.com/office/drawing/2014/main" id="{00000000-0008-0000-1E00-000048000000}"/>
            </a:ext>
          </a:extLst>
        </xdr:cNvPr>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73" name="Text Box 93">
          <a:extLst>
            <a:ext uri="{FF2B5EF4-FFF2-40B4-BE49-F238E27FC236}">
              <a16:creationId xmlns:a16="http://schemas.microsoft.com/office/drawing/2014/main" id="{00000000-0008-0000-1E00-000049000000}"/>
            </a:ext>
          </a:extLst>
        </xdr:cNvPr>
        <xdr:cNvSpPr txBox="1">
          <a:spLocks noChangeArrowheads="1"/>
        </xdr:cNvSpPr>
      </xdr:nvSpPr>
      <xdr:spPr bwMode="auto">
        <a:xfrm>
          <a:off x="933450" y="4772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74" name="Text Box 93">
          <a:extLst>
            <a:ext uri="{FF2B5EF4-FFF2-40B4-BE49-F238E27FC236}">
              <a16:creationId xmlns:a16="http://schemas.microsoft.com/office/drawing/2014/main" id="{00000000-0008-0000-1E00-00004A000000}"/>
            </a:ext>
          </a:extLst>
        </xdr:cNvPr>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75" name="Text Box 93">
          <a:extLst>
            <a:ext uri="{FF2B5EF4-FFF2-40B4-BE49-F238E27FC236}">
              <a16:creationId xmlns:a16="http://schemas.microsoft.com/office/drawing/2014/main" id="{00000000-0008-0000-1E00-00004B000000}"/>
            </a:ext>
          </a:extLst>
        </xdr:cNvPr>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76" name="Text Box 93">
          <a:extLst>
            <a:ext uri="{FF2B5EF4-FFF2-40B4-BE49-F238E27FC236}">
              <a16:creationId xmlns:a16="http://schemas.microsoft.com/office/drawing/2014/main" id="{00000000-0008-0000-1E00-00004C000000}"/>
            </a:ext>
          </a:extLst>
        </xdr:cNvPr>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77" name="Text Box 93">
          <a:extLst>
            <a:ext uri="{FF2B5EF4-FFF2-40B4-BE49-F238E27FC236}">
              <a16:creationId xmlns:a16="http://schemas.microsoft.com/office/drawing/2014/main" id="{00000000-0008-0000-1E00-00004D000000}"/>
            </a:ext>
          </a:extLst>
        </xdr:cNvPr>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78" name="Text Box 93">
          <a:extLst>
            <a:ext uri="{FF2B5EF4-FFF2-40B4-BE49-F238E27FC236}">
              <a16:creationId xmlns:a16="http://schemas.microsoft.com/office/drawing/2014/main" id="{00000000-0008-0000-1E00-00004E000000}"/>
            </a:ext>
          </a:extLst>
        </xdr:cNvPr>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79" name="Text Box 93">
          <a:extLst>
            <a:ext uri="{FF2B5EF4-FFF2-40B4-BE49-F238E27FC236}">
              <a16:creationId xmlns:a16="http://schemas.microsoft.com/office/drawing/2014/main" id="{00000000-0008-0000-1E00-00004F000000}"/>
            </a:ext>
          </a:extLst>
        </xdr:cNvPr>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80" name="Text Box 93">
          <a:extLst>
            <a:ext uri="{FF2B5EF4-FFF2-40B4-BE49-F238E27FC236}">
              <a16:creationId xmlns:a16="http://schemas.microsoft.com/office/drawing/2014/main" id="{00000000-0008-0000-1E00-000050000000}"/>
            </a:ext>
          </a:extLst>
        </xdr:cNvPr>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81" name="Text Box 92">
          <a:extLst>
            <a:ext uri="{FF2B5EF4-FFF2-40B4-BE49-F238E27FC236}">
              <a16:creationId xmlns:a16="http://schemas.microsoft.com/office/drawing/2014/main" id="{00000000-0008-0000-1E00-000051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82" name="Text Box 33">
          <a:extLst>
            <a:ext uri="{FF2B5EF4-FFF2-40B4-BE49-F238E27FC236}">
              <a16:creationId xmlns:a16="http://schemas.microsoft.com/office/drawing/2014/main" id="{00000000-0008-0000-1E00-000052000000}"/>
            </a:ext>
          </a:extLst>
        </xdr:cNvPr>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83" name="Text Box 33">
          <a:extLst>
            <a:ext uri="{FF2B5EF4-FFF2-40B4-BE49-F238E27FC236}">
              <a16:creationId xmlns:a16="http://schemas.microsoft.com/office/drawing/2014/main" id="{00000000-0008-0000-1E00-000053000000}"/>
            </a:ext>
          </a:extLst>
        </xdr:cNvPr>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84" name="Text Box 92">
          <a:extLst>
            <a:ext uri="{FF2B5EF4-FFF2-40B4-BE49-F238E27FC236}">
              <a16:creationId xmlns:a16="http://schemas.microsoft.com/office/drawing/2014/main" id="{00000000-0008-0000-1E00-000054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85" name="Text Box 93">
          <a:extLst>
            <a:ext uri="{FF2B5EF4-FFF2-40B4-BE49-F238E27FC236}">
              <a16:creationId xmlns:a16="http://schemas.microsoft.com/office/drawing/2014/main" id="{00000000-0008-0000-1E00-000055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23</xdr:row>
      <xdr:rowOff>0</xdr:rowOff>
    </xdr:from>
    <xdr:to>
      <xdr:col>2</xdr:col>
      <xdr:colOff>1524000</xdr:colOff>
      <xdr:row>23</xdr:row>
      <xdr:rowOff>0</xdr:rowOff>
    </xdr:to>
    <xdr:sp macro="" textlink="">
      <xdr:nvSpPr>
        <xdr:cNvPr id="86" name="Text Box 33">
          <a:extLst>
            <a:ext uri="{FF2B5EF4-FFF2-40B4-BE49-F238E27FC236}">
              <a16:creationId xmlns:a16="http://schemas.microsoft.com/office/drawing/2014/main" id="{00000000-0008-0000-1E00-000056000000}"/>
            </a:ext>
          </a:extLst>
        </xdr:cNvPr>
        <xdr:cNvSpPr txBox="1">
          <a:spLocks noChangeArrowheads="1"/>
        </xdr:cNvSpPr>
      </xdr:nvSpPr>
      <xdr:spPr bwMode="auto">
        <a:xfrm>
          <a:off x="1304925" y="312420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31</xdr:row>
      <xdr:rowOff>0</xdr:rowOff>
    </xdr:from>
    <xdr:to>
      <xdr:col>3</xdr:col>
      <xdr:colOff>238125</xdr:colOff>
      <xdr:row>31</xdr:row>
      <xdr:rowOff>0</xdr:rowOff>
    </xdr:to>
    <xdr:sp macro="" textlink="">
      <xdr:nvSpPr>
        <xdr:cNvPr id="87" name="Text Box 92">
          <a:extLst>
            <a:ext uri="{FF2B5EF4-FFF2-40B4-BE49-F238E27FC236}">
              <a16:creationId xmlns:a16="http://schemas.microsoft.com/office/drawing/2014/main" id="{00000000-0008-0000-1E00-000057000000}"/>
            </a:ext>
          </a:extLst>
        </xdr:cNvPr>
        <xdr:cNvSpPr txBox="1">
          <a:spLocks noChangeArrowheads="1"/>
        </xdr:cNvSpPr>
      </xdr:nvSpPr>
      <xdr:spPr bwMode="auto">
        <a:xfrm>
          <a:off x="981075"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88" name="Text Box 93">
          <a:extLst>
            <a:ext uri="{FF2B5EF4-FFF2-40B4-BE49-F238E27FC236}">
              <a16:creationId xmlns:a16="http://schemas.microsoft.com/office/drawing/2014/main" id="{00000000-0008-0000-1E00-000058000000}"/>
            </a:ext>
          </a:extLst>
        </xdr:cNvPr>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89" name="Text Box 33">
          <a:extLst>
            <a:ext uri="{FF2B5EF4-FFF2-40B4-BE49-F238E27FC236}">
              <a16:creationId xmlns:a16="http://schemas.microsoft.com/office/drawing/2014/main" id="{00000000-0008-0000-1E00-000059000000}"/>
            </a:ext>
          </a:extLst>
        </xdr:cNvPr>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90" name="Text Box 33">
          <a:extLst>
            <a:ext uri="{FF2B5EF4-FFF2-40B4-BE49-F238E27FC236}">
              <a16:creationId xmlns:a16="http://schemas.microsoft.com/office/drawing/2014/main" id="{00000000-0008-0000-1E00-00005A000000}"/>
            </a:ext>
          </a:extLst>
        </xdr:cNvPr>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91" name="Text Box 92">
          <a:extLst>
            <a:ext uri="{FF2B5EF4-FFF2-40B4-BE49-F238E27FC236}">
              <a16:creationId xmlns:a16="http://schemas.microsoft.com/office/drawing/2014/main" id="{00000000-0008-0000-1E00-00005B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92" name="Text Box 93">
          <a:extLst>
            <a:ext uri="{FF2B5EF4-FFF2-40B4-BE49-F238E27FC236}">
              <a16:creationId xmlns:a16="http://schemas.microsoft.com/office/drawing/2014/main" id="{00000000-0008-0000-1E00-00005C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93" name="Text Box 33">
          <a:extLst>
            <a:ext uri="{FF2B5EF4-FFF2-40B4-BE49-F238E27FC236}">
              <a16:creationId xmlns:a16="http://schemas.microsoft.com/office/drawing/2014/main" id="{00000000-0008-0000-1E00-00005D000000}"/>
            </a:ext>
          </a:extLst>
        </xdr:cNvPr>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94" name="Text Box 33">
          <a:extLst>
            <a:ext uri="{FF2B5EF4-FFF2-40B4-BE49-F238E27FC236}">
              <a16:creationId xmlns:a16="http://schemas.microsoft.com/office/drawing/2014/main" id="{00000000-0008-0000-1E00-00005E000000}"/>
            </a:ext>
          </a:extLst>
        </xdr:cNvPr>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95" name="Text Box 92">
          <a:extLst>
            <a:ext uri="{FF2B5EF4-FFF2-40B4-BE49-F238E27FC236}">
              <a16:creationId xmlns:a16="http://schemas.microsoft.com/office/drawing/2014/main" id="{00000000-0008-0000-1E00-00005F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96" name="Text Box 93">
          <a:extLst>
            <a:ext uri="{FF2B5EF4-FFF2-40B4-BE49-F238E27FC236}">
              <a16:creationId xmlns:a16="http://schemas.microsoft.com/office/drawing/2014/main" id="{00000000-0008-0000-1E00-000060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21</xdr:row>
      <xdr:rowOff>0</xdr:rowOff>
    </xdr:from>
    <xdr:to>
      <xdr:col>2</xdr:col>
      <xdr:colOff>1524000</xdr:colOff>
      <xdr:row>21</xdr:row>
      <xdr:rowOff>0</xdr:rowOff>
    </xdr:to>
    <xdr:sp macro="" textlink="">
      <xdr:nvSpPr>
        <xdr:cNvPr id="97" name="Text Box 33">
          <a:extLst>
            <a:ext uri="{FF2B5EF4-FFF2-40B4-BE49-F238E27FC236}">
              <a16:creationId xmlns:a16="http://schemas.microsoft.com/office/drawing/2014/main" id="{00000000-0008-0000-1E00-000061000000}"/>
            </a:ext>
          </a:extLst>
        </xdr:cNvPr>
        <xdr:cNvSpPr txBox="1">
          <a:spLocks noChangeArrowheads="1"/>
        </xdr:cNvSpPr>
      </xdr:nvSpPr>
      <xdr:spPr bwMode="auto">
        <a:xfrm>
          <a:off x="1304925" y="2794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98" name="Text Box 92">
          <a:extLst>
            <a:ext uri="{FF2B5EF4-FFF2-40B4-BE49-F238E27FC236}">
              <a16:creationId xmlns:a16="http://schemas.microsoft.com/office/drawing/2014/main" id="{00000000-0008-0000-1E00-000062000000}"/>
            </a:ext>
          </a:extLst>
        </xdr:cNvPr>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99" name="Text Box 93">
          <a:extLst>
            <a:ext uri="{FF2B5EF4-FFF2-40B4-BE49-F238E27FC236}">
              <a16:creationId xmlns:a16="http://schemas.microsoft.com/office/drawing/2014/main" id="{00000000-0008-0000-1E00-000063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21</xdr:row>
      <xdr:rowOff>0</xdr:rowOff>
    </xdr:from>
    <xdr:to>
      <xdr:col>2</xdr:col>
      <xdr:colOff>1524000</xdr:colOff>
      <xdr:row>21</xdr:row>
      <xdr:rowOff>0</xdr:rowOff>
    </xdr:to>
    <xdr:sp macro="" textlink="">
      <xdr:nvSpPr>
        <xdr:cNvPr id="100" name="Text Box 33">
          <a:extLst>
            <a:ext uri="{FF2B5EF4-FFF2-40B4-BE49-F238E27FC236}">
              <a16:creationId xmlns:a16="http://schemas.microsoft.com/office/drawing/2014/main" id="{00000000-0008-0000-1E00-000064000000}"/>
            </a:ext>
          </a:extLst>
        </xdr:cNvPr>
        <xdr:cNvSpPr txBox="1">
          <a:spLocks noChangeArrowheads="1"/>
        </xdr:cNvSpPr>
      </xdr:nvSpPr>
      <xdr:spPr bwMode="auto">
        <a:xfrm>
          <a:off x="1304925" y="2794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101" name="Text Box 92">
          <a:extLst>
            <a:ext uri="{FF2B5EF4-FFF2-40B4-BE49-F238E27FC236}">
              <a16:creationId xmlns:a16="http://schemas.microsoft.com/office/drawing/2014/main" id="{00000000-0008-0000-1E00-000065000000}"/>
            </a:ext>
          </a:extLst>
        </xdr:cNvPr>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02" name="Text Box 93">
          <a:extLst>
            <a:ext uri="{FF2B5EF4-FFF2-40B4-BE49-F238E27FC236}">
              <a16:creationId xmlns:a16="http://schemas.microsoft.com/office/drawing/2014/main" id="{00000000-0008-0000-1E00-000066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30</xdr:row>
      <xdr:rowOff>0</xdr:rowOff>
    </xdr:from>
    <xdr:to>
      <xdr:col>2</xdr:col>
      <xdr:colOff>1524000</xdr:colOff>
      <xdr:row>30</xdr:row>
      <xdr:rowOff>0</xdr:rowOff>
    </xdr:to>
    <xdr:sp macro="" textlink="">
      <xdr:nvSpPr>
        <xdr:cNvPr id="103" name="Text Box 33">
          <a:extLst>
            <a:ext uri="{FF2B5EF4-FFF2-40B4-BE49-F238E27FC236}">
              <a16:creationId xmlns:a16="http://schemas.microsoft.com/office/drawing/2014/main" id="{00000000-0008-0000-1E00-000067000000}"/>
            </a:ext>
          </a:extLst>
        </xdr:cNvPr>
        <xdr:cNvSpPr txBox="1">
          <a:spLocks noChangeArrowheads="1"/>
        </xdr:cNvSpPr>
      </xdr:nvSpPr>
      <xdr:spPr bwMode="auto">
        <a:xfrm>
          <a:off x="1304925" y="427767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04" name="Text Box 93">
          <a:extLst>
            <a:ext uri="{FF2B5EF4-FFF2-40B4-BE49-F238E27FC236}">
              <a16:creationId xmlns:a16="http://schemas.microsoft.com/office/drawing/2014/main" id="{00000000-0008-0000-1E00-000068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05" name="Text Box 93">
          <a:extLst>
            <a:ext uri="{FF2B5EF4-FFF2-40B4-BE49-F238E27FC236}">
              <a16:creationId xmlns:a16="http://schemas.microsoft.com/office/drawing/2014/main" id="{00000000-0008-0000-1E00-000069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06" name="Text Box 93">
          <a:extLst>
            <a:ext uri="{FF2B5EF4-FFF2-40B4-BE49-F238E27FC236}">
              <a16:creationId xmlns:a16="http://schemas.microsoft.com/office/drawing/2014/main" id="{00000000-0008-0000-1E00-00006A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07" name="Text Box 93">
          <a:extLst>
            <a:ext uri="{FF2B5EF4-FFF2-40B4-BE49-F238E27FC236}">
              <a16:creationId xmlns:a16="http://schemas.microsoft.com/office/drawing/2014/main" id="{00000000-0008-0000-1E00-00006B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08" name="Text Box 93">
          <a:extLst>
            <a:ext uri="{FF2B5EF4-FFF2-40B4-BE49-F238E27FC236}">
              <a16:creationId xmlns:a16="http://schemas.microsoft.com/office/drawing/2014/main" id="{00000000-0008-0000-1E00-00006C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109" name="Text Box 33">
          <a:extLst>
            <a:ext uri="{FF2B5EF4-FFF2-40B4-BE49-F238E27FC236}">
              <a16:creationId xmlns:a16="http://schemas.microsoft.com/office/drawing/2014/main" id="{00000000-0008-0000-1E00-00006D000000}"/>
            </a:ext>
          </a:extLst>
        </xdr:cNvPr>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10" name="Text Box 92">
          <a:extLst>
            <a:ext uri="{FF2B5EF4-FFF2-40B4-BE49-F238E27FC236}">
              <a16:creationId xmlns:a16="http://schemas.microsoft.com/office/drawing/2014/main" id="{00000000-0008-0000-1E00-00006E000000}"/>
            </a:ext>
          </a:extLst>
        </xdr:cNvPr>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11" name="Text Box 92">
          <a:extLst>
            <a:ext uri="{FF2B5EF4-FFF2-40B4-BE49-F238E27FC236}">
              <a16:creationId xmlns:a16="http://schemas.microsoft.com/office/drawing/2014/main" id="{00000000-0008-0000-1E00-00006F000000}"/>
            </a:ext>
          </a:extLst>
        </xdr:cNvPr>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14</xdr:row>
      <xdr:rowOff>0</xdr:rowOff>
    </xdr:from>
    <xdr:to>
      <xdr:col>3</xdr:col>
      <xdr:colOff>238125</xdr:colOff>
      <xdr:row>14</xdr:row>
      <xdr:rowOff>0</xdr:rowOff>
    </xdr:to>
    <xdr:sp macro="" textlink="">
      <xdr:nvSpPr>
        <xdr:cNvPr id="112" name="Text Box 92">
          <a:extLst>
            <a:ext uri="{FF2B5EF4-FFF2-40B4-BE49-F238E27FC236}">
              <a16:creationId xmlns:a16="http://schemas.microsoft.com/office/drawing/2014/main" id="{00000000-0008-0000-1E00-000070000000}"/>
            </a:ext>
          </a:extLst>
        </xdr:cNvPr>
        <xdr:cNvSpPr txBox="1">
          <a:spLocks noChangeArrowheads="1"/>
        </xdr:cNvSpPr>
      </xdr:nvSpPr>
      <xdr:spPr bwMode="auto">
        <a:xfrm>
          <a:off x="981075" y="164115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3" name="Text Box 33">
          <a:extLst>
            <a:ext uri="{FF2B5EF4-FFF2-40B4-BE49-F238E27FC236}">
              <a16:creationId xmlns:a16="http://schemas.microsoft.com/office/drawing/2014/main" id="{00000000-0008-0000-1E00-000071000000}"/>
            </a:ext>
          </a:extLst>
        </xdr:cNvPr>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4" name="Text Box 33">
          <a:extLst>
            <a:ext uri="{FF2B5EF4-FFF2-40B4-BE49-F238E27FC236}">
              <a16:creationId xmlns:a16="http://schemas.microsoft.com/office/drawing/2014/main" id="{00000000-0008-0000-1E00-000072000000}"/>
            </a:ext>
          </a:extLst>
        </xdr:cNvPr>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5" name="Text Box 33">
          <a:extLst>
            <a:ext uri="{FF2B5EF4-FFF2-40B4-BE49-F238E27FC236}">
              <a16:creationId xmlns:a16="http://schemas.microsoft.com/office/drawing/2014/main" id="{00000000-0008-0000-1E00-000073000000}"/>
            </a:ext>
          </a:extLst>
        </xdr:cNvPr>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6" name="Text Box 33">
          <a:extLst>
            <a:ext uri="{FF2B5EF4-FFF2-40B4-BE49-F238E27FC236}">
              <a16:creationId xmlns:a16="http://schemas.microsoft.com/office/drawing/2014/main" id="{00000000-0008-0000-1E00-000074000000}"/>
            </a:ext>
          </a:extLst>
        </xdr:cNvPr>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7" name="Text Box 33">
          <a:extLst>
            <a:ext uri="{FF2B5EF4-FFF2-40B4-BE49-F238E27FC236}">
              <a16:creationId xmlns:a16="http://schemas.microsoft.com/office/drawing/2014/main" id="{00000000-0008-0000-1E00-000075000000}"/>
            </a:ext>
          </a:extLst>
        </xdr:cNvPr>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8" name="Text Box 33">
          <a:extLst>
            <a:ext uri="{FF2B5EF4-FFF2-40B4-BE49-F238E27FC236}">
              <a16:creationId xmlns:a16="http://schemas.microsoft.com/office/drawing/2014/main" id="{00000000-0008-0000-1E00-000076000000}"/>
            </a:ext>
          </a:extLst>
        </xdr:cNvPr>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18</xdr:row>
      <xdr:rowOff>0</xdr:rowOff>
    </xdr:from>
    <xdr:to>
      <xdr:col>2</xdr:col>
      <xdr:colOff>1524000</xdr:colOff>
      <xdr:row>18</xdr:row>
      <xdr:rowOff>0</xdr:rowOff>
    </xdr:to>
    <xdr:sp macro="" textlink="">
      <xdr:nvSpPr>
        <xdr:cNvPr id="119" name="Text Box 33">
          <a:extLst>
            <a:ext uri="{FF2B5EF4-FFF2-40B4-BE49-F238E27FC236}">
              <a16:creationId xmlns:a16="http://schemas.microsoft.com/office/drawing/2014/main" id="{00000000-0008-0000-1E00-000077000000}"/>
            </a:ext>
          </a:extLst>
        </xdr:cNvPr>
        <xdr:cNvSpPr txBox="1">
          <a:spLocks noChangeArrowheads="1"/>
        </xdr:cNvSpPr>
      </xdr:nvSpPr>
      <xdr:spPr bwMode="auto">
        <a:xfrm>
          <a:off x="1304925" y="230028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18</xdr:row>
      <xdr:rowOff>0</xdr:rowOff>
    </xdr:from>
    <xdr:to>
      <xdr:col>2</xdr:col>
      <xdr:colOff>1524000</xdr:colOff>
      <xdr:row>18</xdr:row>
      <xdr:rowOff>0</xdr:rowOff>
    </xdr:to>
    <xdr:sp macro="" textlink="">
      <xdr:nvSpPr>
        <xdr:cNvPr id="120" name="Text Box 33">
          <a:extLst>
            <a:ext uri="{FF2B5EF4-FFF2-40B4-BE49-F238E27FC236}">
              <a16:creationId xmlns:a16="http://schemas.microsoft.com/office/drawing/2014/main" id="{00000000-0008-0000-1E00-000078000000}"/>
            </a:ext>
          </a:extLst>
        </xdr:cNvPr>
        <xdr:cNvSpPr txBox="1">
          <a:spLocks noChangeArrowheads="1"/>
        </xdr:cNvSpPr>
      </xdr:nvSpPr>
      <xdr:spPr bwMode="auto">
        <a:xfrm>
          <a:off x="1304925" y="230028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21" name="Text Box 33">
          <a:extLst>
            <a:ext uri="{FF2B5EF4-FFF2-40B4-BE49-F238E27FC236}">
              <a16:creationId xmlns:a16="http://schemas.microsoft.com/office/drawing/2014/main" id="{00000000-0008-0000-1E00-000079000000}"/>
            </a:ext>
          </a:extLst>
        </xdr:cNvPr>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22" name="Text Box 93">
          <a:extLst>
            <a:ext uri="{FF2B5EF4-FFF2-40B4-BE49-F238E27FC236}">
              <a16:creationId xmlns:a16="http://schemas.microsoft.com/office/drawing/2014/main" id="{00000000-0008-0000-1E00-00007A000000}"/>
            </a:ext>
          </a:extLst>
        </xdr:cNvPr>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23" name="Text Box 93">
          <a:extLst>
            <a:ext uri="{FF2B5EF4-FFF2-40B4-BE49-F238E27FC236}">
              <a16:creationId xmlns:a16="http://schemas.microsoft.com/office/drawing/2014/main" id="{00000000-0008-0000-1E00-00007B000000}"/>
            </a:ext>
          </a:extLst>
        </xdr:cNvPr>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24" name="Text Box 93">
          <a:extLst>
            <a:ext uri="{FF2B5EF4-FFF2-40B4-BE49-F238E27FC236}">
              <a16:creationId xmlns:a16="http://schemas.microsoft.com/office/drawing/2014/main" id="{00000000-0008-0000-1E00-00007C000000}"/>
            </a:ext>
          </a:extLst>
        </xdr:cNvPr>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25" name="Text Box 93">
          <a:extLst>
            <a:ext uri="{FF2B5EF4-FFF2-40B4-BE49-F238E27FC236}">
              <a16:creationId xmlns:a16="http://schemas.microsoft.com/office/drawing/2014/main" id="{00000000-0008-0000-1E00-00007D00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26" name="Text Box 93">
          <a:extLst>
            <a:ext uri="{FF2B5EF4-FFF2-40B4-BE49-F238E27FC236}">
              <a16:creationId xmlns:a16="http://schemas.microsoft.com/office/drawing/2014/main" id="{00000000-0008-0000-1E00-00007E00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27" name="Text Box 93">
          <a:extLst>
            <a:ext uri="{FF2B5EF4-FFF2-40B4-BE49-F238E27FC236}">
              <a16:creationId xmlns:a16="http://schemas.microsoft.com/office/drawing/2014/main" id="{00000000-0008-0000-1E00-00007F00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28" name="Text Box 93">
          <a:extLst>
            <a:ext uri="{FF2B5EF4-FFF2-40B4-BE49-F238E27FC236}">
              <a16:creationId xmlns:a16="http://schemas.microsoft.com/office/drawing/2014/main" id="{00000000-0008-0000-1E00-00008000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29" name="Text Box 93">
          <a:extLst>
            <a:ext uri="{FF2B5EF4-FFF2-40B4-BE49-F238E27FC236}">
              <a16:creationId xmlns:a16="http://schemas.microsoft.com/office/drawing/2014/main" id="{00000000-0008-0000-1E00-00008100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130" name="Text Box 93">
          <a:extLst>
            <a:ext uri="{FF2B5EF4-FFF2-40B4-BE49-F238E27FC236}">
              <a16:creationId xmlns:a16="http://schemas.microsoft.com/office/drawing/2014/main" id="{00000000-0008-0000-1E00-000082000000}"/>
            </a:ext>
          </a:extLst>
        </xdr:cNvPr>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131" name="Text Box 93">
          <a:extLst>
            <a:ext uri="{FF2B5EF4-FFF2-40B4-BE49-F238E27FC236}">
              <a16:creationId xmlns:a16="http://schemas.microsoft.com/office/drawing/2014/main" id="{00000000-0008-0000-1E00-000083000000}"/>
            </a:ext>
          </a:extLst>
        </xdr:cNvPr>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32" name="Text Box 92">
          <a:extLst>
            <a:ext uri="{FF2B5EF4-FFF2-40B4-BE49-F238E27FC236}">
              <a16:creationId xmlns:a16="http://schemas.microsoft.com/office/drawing/2014/main" id="{00000000-0008-0000-1E00-00008400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33" name="Text Box 92">
          <a:extLst>
            <a:ext uri="{FF2B5EF4-FFF2-40B4-BE49-F238E27FC236}">
              <a16:creationId xmlns:a16="http://schemas.microsoft.com/office/drawing/2014/main" id="{00000000-0008-0000-1E00-00008500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34" name="Text Box 92">
          <a:extLst>
            <a:ext uri="{FF2B5EF4-FFF2-40B4-BE49-F238E27FC236}">
              <a16:creationId xmlns:a16="http://schemas.microsoft.com/office/drawing/2014/main" id="{00000000-0008-0000-1E00-000086000000}"/>
            </a:ext>
          </a:extLst>
        </xdr:cNvPr>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35" name="Text Box 92">
          <a:extLst>
            <a:ext uri="{FF2B5EF4-FFF2-40B4-BE49-F238E27FC236}">
              <a16:creationId xmlns:a16="http://schemas.microsoft.com/office/drawing/2014/main" id="{00000000-0008-0000-1E00-00008700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36" name="Text Box 92">
          <a:extLst>
            <a:ext uri="{FF2B5EF4-FFF2-40B4-BE49-F238E27FC236}">
              <a16:creationId xmlns:a16="http://schemas.microsoft.com/office/drawing/2014/main" id="{00000000-0008-0000-1E00-00008800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27</xdr:row>
      <xdr:rowOff>0</xdr:rowOff>
    </xdr:from>
    <xdr:to>
      <xdr:col>2</xdr:col>
      <xdr:colOff>1524000</xdr:colOff>
      <xdr:row>27</xdr:row>
      <xdr:rowOff>0</xdr:rowOff>
    </xdr:to>
    <xdr:sp macro="" textlink="">
      <xdr:nvSpPr>
        <xdr:cNvPr id="137" name="Text Box 33">
          <a:extLst>
            <a:ext uri="{FF2B5EF4-FFF2-40B4-BE49-F238E27FC236}">
              <a16:creationId xmlns:a16="http://schemas.microsoft.com/office/drawing/2014/main" id="{00000000-0008-0000-1E00-000089000000}"/>
            </a:ext>
          </a:extLst>
        </xdr:cNvPr>
        <xdr:cNvSpPr txBox="1">
          <a:spLocks noChangeArrowheads="1"/>
        </xdr:cNvSpPr>
      </xdr:nvSpPr>
      <xdr:spPr bwMode="auto">
        <a:xfrm>
          <a:off x="1304925" y="378333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36</xdr:row>
      <xdr:rowOff>0</xdr:rowOff>
    </xdr:from>
    <xdr:to>
      <xdr:col>3</xdr:col>
      <xdr:colOff>190500</xdr:colOff>
      <xdr:row>36</xdr:row>
      <xdr:rowOff>0</xdr:rowOff>
    </xdr:to>
    <xdr:sp macro="" textlink="">
      <xdr:nvSpPr>
        <xdr:cNvPr id="138" name="Text Box 93">
          <a:extLst>
            <a:ext uri="{FF2B5EF4-FFF2-40B4-BE49-F238E27FC236}">
              <a16:creationId xmlns:a16="http://schemas.microsoft.com/office/drawing/2014/main" id="{00000000-0008-0000-1E00-00008A000000}"/>
            </a:ext>
          </a:extLst>
        </xdr:cNvPr>
        <xdr:cNvSpPr txBox="1">
          <a:spLocks noChangeArrowheads="1"/>
        </xdr:cNvSpPr>
      </xdr:nvSpPr>
      <xdr:spPr bwMode="auto">
        <a:xfrm>
          <a:off x="933450" y="526637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38</xdr:row>
      <xdr:rowOff>0</xdr:rowOff>
    </xdr:from>
    <xdr:to>
      <xdr:col>3</xdr:col>
      <xdr:colOff>190500</xdr:colOff>
      <xdr:row>38</xdr:row>
      <xdr:rowOff>0</xdr:rowOff>
    </xdr:to>
    <xdr:sp macro="" textlink="">
      <xdr:nvSpPr>
        <xdr:cNvPr id="139" name="Text Box 93">
          <a:extLst>
            <a:ext uri="{FF2B5EF4-FFF2-40B4-BE49-F238E27FC236}">
              <a16:creationId xmlns:a16="http://schemas.microsoft.com/office/drawing/2014/main" id="{00000000-0008-0000-1E00-00008B000000}"/>
            </a:ext>
          </a:extLst>
        </xdr:cNvPr>
        <xdr:cNvSpPr txBox="1">
          <a:spLocks noChangeArrowheads="1"/>
        </xdr:cNvSpPr>
      </xdr:nvSpPr>
      <xdr:spPr bwMode="auto">
        <a:xfrm>
          <a:off x="933450" y="559593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40</xdr:row>
      <xdr:rowOff>0</xdr:rowOff>
    </xdr:from>
    <xdr:to>
      <xdr:col>3</xdr:col>
      <xdr:colOff>190500</xdr:colOff>
      <xdr:row>40</xdr:row>
      <xdr:rowOff>0</xdr:rowOff>
    </xdr:to>
    <xdr:sp macro="" textlink="">
      <xdr:nvSpPr>
        <xdr:cNvPr id="140" name="Text Box 93">
          <a:extLst>
            <a:ext uri="{FF2B5EF4-FFF2-40B4-BE49-F238E27FC236}">
              <a16:creationId xmlns:a16="http://schemas.microsoft.com/office/drawing/2014/main" id="{00000000-0008-0000-1E00-00008C000000}"/>
            </a:ext>
          </a:extLst>
        </xdr:cNvPr>
        <xdr:cNvSpPr txBox="1">
          <a:spLocks noChangeArrowheads="1"/>
        </xdr:cNvSpPr>
      </xdr:nvSpPr>
      <xdr:spPr bwMode="auto">
        <a:xfrm>
          <a:off x="933450" y="592550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42</xdr:row>
      <xdr:rowOff>0</xdr:rowOff>
    </xdr:from>
    <xdr:to>
      <xdr:col>3</xdr:col>
      <xdr:colOff>190500</xdr:colOff>
      <xdr:row>42</xdr:row>
      <xdr:rowOff>0</xdr:rowOff>
    </xdr:to>
    <xdr:sp macro="" textlink="">
      <xdr:nvSpPr>
        <xdr:cNvPr id="141" name="Text Box 93">
          <a:extLst>
            <a:ext uri="{FF2B5EF4-FFF2-40B4-BE49-F238E27FC236}">
              <a16:creationId xmlns:a16="http://schemas.microsoft.com/office/drawing/2014/main" id="{00000000-0008-0000-1E00-00008D000000}"/>
            </a:ext>
          </a:extLst>
        </xdr:cNvPr>
        <xdr:cNvSpPr txBox="1">
          <a:spLocks noChangeArrowheads="1"/>
        </xdr:cNvSpPr>
      </xdr:nvSpPr>
      <xdr:spPr bwMode="auto">
        <a:xfrm>
          <a:off x="933450" y="62979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44</xdr:row>
      <xdr:rowOff>0</xdr:rowOff>
    </xdr:from>
    <xdr:to>
      <xdr:col>3</xdr:col>
      <xdr:colOff>190500</xdr:colOff>
      <xdr:row>44</xdr:row>
      <xdr:rowOff>0</xdr:rowOff>
    </xdr:to>
    <xdr:sp macro="" textlink="">
      <xdr:nvSpPr>
        <xdr:cNvPr id="142" name="Text Box 93">
          <a:extLst>
            <a:ext uri="{FF2B5EF4-FFF2-40B4-BE49-F238E27FC236}">
              <a16:creationId xmlns:a16="http://schemas.microsoft.com/office/drawing/2014/main" id="{00000000-0008-0000-1E00-00008E000000}"/>
            </a:ext>
          </a:extLst>
        </xdr:cNvPr>
        <xdr:cNvSpPr txBox="1">
          <a:spLocks noChangeArrowheads="1"/>
        </xdr:cNvSpPr>
      </xdr:nvSpPr>
      <xdr:spPr bwMode="auto">
        <a:xfrm>
          <a:off x="933450" y="657415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46</xdr:row>
      <xdr:rowOff>0</xdr:rowOff>
    </xdr:from>
    <xdr:to>
      <xdr:col>3</xdr:col>
      <xdr:colOff>190500</xdr:colOff>
      <xdr:row>46</xdr:row>
      <xdr:rowOff>0</xdr:rowOff>
    </xdr:to>
    <xdr:sp macro="" textlink="">
      <xdr:nvSpPr>
        <xdr:cNvPr id="143" name="Text Box 93">
          <a:extLst>
            <a:ext uri="{FF2B5EF4-FFF2-40B4-BE49-F238E27FC236}">
              <a16:creationId xmlns:a16="http://schemas.microsoft.com/office/drawing/2014/main" id="{00000000-0008-0000-1E00-00008F000000}"/>
            </a:ext>
          </a:extLst>
        </xdr:cNvPr>
        <xdr:cNvSpPr txBox="1">
          <a:spLocks noChangeArrowheads="1"/>
        </xdr:cNvSpPr>
      </xdr:nvSpPr>
      <xdr:spPr bwMode="auto">
        <a:xfrm>
          <a:off x="933450" y="685038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48</xdr:row>
      <xdr:rowOff>0</xdr:rowOff>
    </xdr:from>
    <xdr:to>
      <xdr:col>3</xdr:col>
      <xdr:colOff>190500</xdr:colOff>
      <xdr:row>48</xdr:row>
      <xdr:rowOff>0</xdr:rowOff>
    </xdr:to>
    <xdr:sp macro="" textlink="">
      <xdr:nvSpPr>
        <xdr:cNvPr id="144" name="Text Box 93">
          <a:extLst>
            <a:ext uri="{FF2B5EF4-FFF2-40B4-BE49-F238E27FC236}">
              <a16:creationId xmlns:a16="http://schemas.microsoft.com/office/drawing/2014/main" id="{00000000-0008-0000-1E00-000090000000}"/>
            </a:ext>
          </a:extLst>
        </xdr:cNvPr>
        <xdr:cNvSpPr txBox="1">
          <a:spLocks noChangeArrowheads="1"/>
        </xdr:cNvSpPr>
      </xdr:nvSpPr>
      <xdr:spPr bwMode="auto">
        <a:xfrm>
          <a:off x="933450" y="71266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50</xdr:row>
      <xdr:rowOff>0</xdr:rowOff>
    </xdr:from>
    <xdr:to>
      <xdr:col>3</xdr:col>
      <xdr:colOff>190500</xdr:colOff>
      <xdr:row>50</xdr:row>
      <xdr:rowOff>0</xdr:rowOff>
    </xdr:to>
    <xdr:sp macro="" textlink="">
      <xdr:nvSpPr>
        <xdr:cNvPr id="145" name="Text Box 93">
          <a:extLst>
            <a:ext uri="{FF2B5EF4-FFF2-40B4-BE49-F238E27FC236}">
              <a16:creationId xmlns:a16="http://schemas.microsoft.com/office/drawing/2014/main" id="{00000000-0008-0000-1E00-000091000000}"/>
            </a:ext>
          </a:extLst>
        </xdr:cNvPr>
        <xdr:cNvSpPr txBox="1">
          <a:spLocks noChangeArrowheads="1"/>
        </xdr:cNvSpPr>
      </xdr:nvSpPr>
      <xdr:spPr bwMode="auto">
        <a:xfrm>
          <a:off x="933450" y="74028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52</xdr:row>
      <xdr:rowOff>0</xdr:rowOff>
    </xdr:from>
    <xdr:to>
      <xdr:col>3</xdr:col>
      <xdr:colOff>190500</xdr:colOff>
      <xdr:row>52</xdr:row>
      <xdr:rowOff>0</xdr:rowOff>
    </xdr:to>
    <xdr:sp macro="" textlink="">
      <xdr:nvSpPr>
        <xdr:cNvPr id="146" name="Text Box 93">
          <a:extLst>
            <a:ext uri="{FF2B5EF4-FFF2-40B4-BE49-F238E27FC236}">
              <a16:creationId xmlns:a16="http://schemas.microsoft.com/office/drawing/2014/main" id="{00000000-0008-0000-1E00-000092000000}"/>
            </a:ext>
          </a:extLst>
        </xdr:cNvPr>
        <xdr:cNvSpPr txBox="1">
          <a:spLocks noChangeArrowheads="1"/>
        </xdr:cNvSpPr>
      </xdr:nvSpPr>
      <xdr:spPr bwMode="auto">
        <a:xfrm>
          <a:off x="933450" y="767905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54</xdr:row>
      <xdr:rowOff>0</xdr:rowOff>
    </xdr:from>
    <xdr:to>
      <xdr:col>3</xdr:col>
      <xdr:colOff>190500</xdr:colOff>
      <xdr:row>54</xdr:row>
      <xdr:rowOff>0</xdr:rowOff>
    </xdr:to>
    <xdr:sp macro="" textlink="">
      <xdr:nvSpPr>
        <xdr:cNvPr id="147" name="Text Box 93">
          <a:extLst>
            <a:ext uri="{FF2B5EF4-FFF2-40B4-BE49-F238E27FC236}">
              <a16:creationId xmlns:a16="http://schemas.microsoft.com/office/drawing/2014/main" id="{00000000-0008-0000-1E00-000093000000}"/>
            </a:ext>
          </a:extLst>
        </xdr:cNvPr>
        <xdr:cNvSpPr txBox="1">
          <a:spLocks noChangeArrowheads="1"/>
        </xdr:cNvSpPr>
      </xdr:nvSpPr>
      <xdr:spPr bwMode="auto">
        <a:xfrm>
          <a:off x="933450" y="795528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48" name="Text Box 93">
          <a:extLst>
            <a:ext uri="{FF2B5EF4-FFF2-40B4-BE49-F238E27FC236}">
              <a16:creationId xmlns:a16="http://schemas.microsoft.com/office/drawing/2014/main" id="{00000000-0008-0000-1E00-000094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149" name="Text Box 93">
          <a:extLst>
            <a:ext uri="{FF2B5EF4-FFF2-40B4-BE49-F238E27FC236}">
              <a16:creationId xmlns:a16="http://schemas.microsoft.com/office/drawing/2014/main" id="{00000000-0008-0000-1E00-000095000000}"/>
            </a:ext>
          </a:extLst>
        </xdr:cNvPr>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50" name="Text Box 93">
          <a:extLst>
            <a:ext uri="{FF2B5EF4-FFF2-40B4-BE49-F238E27FC236}">
              <a16:creationId xmlns:a16="http://schemas.microsoft.com/office/drawing/2014/main" id="{00000000-0008-0000-1E00-000096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51" name="Text Box 93">
          <a:extLst>
            <a:ext uri="{FF2B5EF4-FFF2-40B4-BE49-F238E27FC236}">
              <a16:creationId xmlns:a16="http://schemas.microsoft.com/office/drawing/2014/main" id="{00000000-0008-0000-1E00-000097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52" name="Text Box 93">
          <a:extLst>
            <a:ext uri="{FF2B5EF4-FFF2-40B4-BE49-F238E27FC236}">
              <a16:creationId xmlns:a16="http://schemas.microsoft.com/office/drawing/2014/main" id="{00000000-0008-0000-1E00-000098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53" name="Text Box 93">
          <a:extLst>
            <a:ext uri="{FF2B5EF4-FFF2-40B4-BE49-F238E27FC236}">
              <a16:creationId xmlns:a16="http://schemas.microsoft.com/office/drawing/2014/main" id="{00000000-0008-0000-1E00-000099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54" name="Text Box 93">
          <a:extLst>
            <a:ext uri="{FF2B5EF4-FFF2-40B4-BE49-F238E27FC236}">
              <a16:creationId xmlns:a16="http://schemas.microsoft.com/office/drawing/2014/main" id="{00000000-0008-0000-1E00-00009A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55" name="Text Box 93">
          <a:extLst>
            <a:ext uri="{FF2B5EF4-FFF2-40B4-BE49-F238E27FC236}">
              <a16:creationId xmlns:a16="http://schemas.microsoft.com/office/drawing/2014/main" id="{00000000-0008-0000-1E00-00009B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56" name="Text Box 93">
          <a:extLst>
            <a:ext uri="{FF2B5EF4-FFF2-40B4-BE49-F238E27FC236}">
              <a16:creationId xmlns:a16="http://schemas.microsoft.com/office/drawing/2014/main" id="{00000000-0008-0000-1E00-00009C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57" name="Text Box 93">
          <a:extLst>
            <a:ext uri="{FF2B5EF4-FFF2-40B4-BE49-F238E27FC236}">
              <a16:creationId xmlns:a16="http://schemas.microsoft.com/office/drawing/2014/main" id="{00000000-0008-0000-1E00-00009D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58" name="Text Box 93">
          <a:extLst>
            <a:ext uri="{FF2B5EF4-FFF2-40B4-BE49-F238E27FC236}">
              <a16:creationId xmlns:a16="http://schemas.microsoft.com/office/drawing/2014/main" id="{00000000-0008-0000-1E00-00009E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15</xdr:row>
      <xdr:rowOff>0</xdr:rowOff>
    </xdr:from>
    <xdr:to>
      <xdr:col>3</xdr:col>
      <xdr:colOff>238125</xdr:colOff>
      <xdr:row>15</xdr:row>
      <xdr:rowOff>0</xdr:rowOff>
    </xdr:to>
    <xdr:sp macro="" textlink="">
      <xdr:nvSpPr>
        <xdr:cNvPr id="159" name="Text Box 92">
          <a:extLst>
            <a:ext uri="{FF2B5EF4-FFF2-40B4-BE49-F238E27FC236}">
              <a16:creationId xmlns:a16="http://schemas.microsoft.com/office/drawing/2014/main" id="{00000000-0008-0000-1E00-00009F000000}"/>
            </a:ext>
          </a:extLst>
        </xdr:cNvPr>
        <xdr:cNvSpPr txBox="1">
          <a:spLocks noChangeArrowheads="1"/>
        </xdr:cNvSpPr>
      </xdr:nvSpPr>
      <xdr:spPr bwMode="auto">
        <a:xfrm>
          <a:off x="981075" y="180594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160" name="Text Box 93">
          <a:extLst>
            <a:ext uri="{FF2B5EF4-FFF2-40B4-BE49-F238E27FC236}">
              <a16:creationId xmlns:a16="http://schemas.microsoft.com/office/drawing/2014/main" id="{00000000-0008-0000-1E00-0000A0000000}"/>
            </a:ext>
          </a:extLst>
        </xdr:cNvPr>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161" name="Text Box 93">
          <a:extLst>
            <a:ext uri="{FF2B5EF4-FFF2-40B4-BE49-F238E27FC236}">
              <a16:creationId xmlns:a16="http://schemas.microsoft.com/office/drawing/2014/main" id="{00000000-0008-0000-1E00-0000A1000000}"/>
            </a:ext>
          </a:extLst>
        </xdr:cNvPr>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62" name="Text Box 92">
          <a:extLst>
            <a:ext uri="{FF2B5EF4-FFF2-40B4-BE49-F238E27FC236}">
              <a16:creationId xmlns:a16="http://schemas.microsoft.com/office/drawing/2014/main" id="{00000000-0008-0000-1E00-0000A2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63" name="Text Box 92">
          <a:extLst>
            <a:ext uri="{FF2B5EF4-FFF2-40B4-BE49-F238E27FC236}">
              <a16:creationId xmlns:a16="http://schemas.microsoft.com/office/drawing/2014/main" id="{00000000-0008-0000-1E00-0000A3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64" name="Text Box 93">
          <a:extLst>
            <a:ext uri="{FF2B5EF4-FFF2-40B4-BE49-F238E27FC236}">
              <a16:creationId xmlns:a16="http://schemas.microsoft.com/office/drawing/2014/main" id="{00000000-0008-0000-1E00-0000A4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31</xdr:row>
      <xdr:rowOff>0</xdr:rowOff>
    </xdr:from>
    <xdr:to>
      <xdr:col>3</xdr:col>
      <xdr:colOff>238125</xdr:colOff>
      <xdr:row>31</xdr:row>
      <xdr:rowOff>0</xdr:rowOff>
    </xdr:to>
    <xdr:sp macro="" textlink="">
      <xdr:nvSpPr>
        <xdr:cNvPr id="165" name="Text Box 92">
          <a:extLst>
            <a:ext uri="{FF2B5EF4-FFF2-40B4-BE49-F238E27FC236}">
              <a16:creationId xmlns:a16="http://schemas.microsoft.com/office/drawing/2014/main" id="{00000000-0008-0000-1E00-0000A5000000}"/>
            </a:ext>
          </a:extLst>
        </xdr:cNvPr>
        <xdr:cNvSpPr txBox="1">
          <a:spLocks noChangeArrowheads="1"/>
        </xdr:cNvSpPr>
      </xdr:nvSpPr>
      <xdr:spPr bwMode="auto">
        <a:xfrm>
          <a:off x="981075"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166" name="Text Box 93">
          <a:extLst>
            <a:ext uri="{FF2B5EF4-FFF2-40B4-BE49-F238E27FC236}">
              <a16:creationId xmlns:a16="http://schemas.microsoft.com/office/drawing/2014/main" id="{00000000-0008-0000-1E00-0000A6000000}"/>
            </a:ext>
          </a:extLst>
        </xdr:cNvPr>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67" name="Text Box 92">
          <a:extLst>
            <a:ext uri="{FF2B5EF4-FFF2-40B4-BE49-F238E27FC236}">
              <a16:creationId xmlns:a16="http://schemas.microsoft.com/office/drawing/2014/main" id="{00000000-0008-0000-1E00-0000A7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68" name="Text Box 93">
          <a:extLst>
            <a:ext uri="{FF2B5EF4-FFF2-40B4-BE49-F238E27FC236}">
              <a16:creationId xmlns:a16="http://schemas.microsoft.com/office/drawing/2014/main" id="{00000000-0008-0000-1E00-0000A8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69" name="Text Box 92">
          <a:extLst>
            <a:ext uri="{FF2B5EF4-FFF2-40B4-BE49-F238E27FC236}">
              <a16:creationId xmlns:a16="http://schemas.microsoft.com/office/drawing/2014/main" id="{00000000-0008-0000-1E00-0000A9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70" name="Text Box 93">
          <a:extLst>
            <a:ext uri="{FF2B5EF4-FFF2-40B4-BE49-F238E27FC236}">
              <a16:creationId xmlns:a16="http://schemas.microsoft.com/office/drawing/2014/main" id="{00000000-0008-0000-1E00-0000AA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171" name="Text Box 92">
          <a:extLst>
            <a:ext uri="{FF2B5EF4-FFF2-40B4-BE49-F238E27FC236}">
              <a16:creationId xmlns:a16="http://schemas.microsoft.com/office/drawing/2014/main" id="{00000000-0008-0000-1E00-0000AB000000}"/>
            </a:ext>
          </a:extLst>
        </xdr:cNvPr>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72" name="Text Box 93">
          <a:extLst>
            <a:ext uri="{FF2B5EF4-FFF2-40B4-BE49-F238E27FC236}">
              <a16:creationId xmlns:a16="http://schemas.microsoft.com/office/drawing/2014/main" id="{00000000-0008-0000-1E00-0000AC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173" name="Text Box 92">
          <a:extLst>
            <a:ext uri="{FF2B5EF4-FFF2-40B4-BE49-F238E27FC236}">
              <a16:creationId xmlns:a16="http://schemas.microsoft.com/office/drawing/2014/main" id="{00000000-0008-0000-1E00-0000AD000000}"/>
            </a:ext>
          </a:extLst>
        </xdr:cNvPr>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74" name="Text Box 93">
          <a:extLst>
            <a:ext uri="{FF2B5EF4-FFF2-40B4-BE49-F238E27FC236}">
              <a16:creationId xmlns:a16="http://schemas.microsoft.com/office/drawing/2014/main" id="{00000000-0008-0000-1E00-0000AE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75" name="Text Box 93">
          <a:extLst>
            <a:ext uri="{FF2B5EF4-FFF2-40B4-BE49-F238E27FC236}">
              <a16:creationId xmlns:a16="http://schemas.microsoft.com/office/drawing/2014/main" id="{00000000-0008-0000-1E00-0000AF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76" name="Text Box 93">
          <a:extLst>
            <a:ext uri="{FF2B5EF4-FFF2-40B4-BE49-F238E27FC236}">
              <a16:creationId xmlns:a16="http://schemas.microsoft.com/office/drawing/2014/main" id="{00000000-0008-0000-1E00-0000B0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77" name="Text Box 93">
          <a:extLst>
            <a:ext uri="{FF2B5EF4-FFF2-40B4-BE49-F238E27FC236}">
              <a16:creationId xmlns:a16="http://schemas.microsoft.com/office/drawing/2014/main" id="{00000000-0008-0000-1E00-0000B1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78" name="Text Box 93">
          <a:extLst>
            <a:ext uri="{FF2B5EF4-FFF2-40B4-BE49-F238E27FC236}">
              <a16:creationId xmlns:a16="http://schemas.microsoft.com/office/drawing/2014/main" id="{00000000-0008-0000-1E00-0000B2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79" name="Text Box 93">
          <a:extLst>
            <a:ext uri="{FF2B5EF4-FFF2-40B4-BE49-F238E27FC236}">
              <a16:creationId xmlns:a16="http://schemas.microsoft.com/office/drawing/2014/main" id="{00000000-0008-0000-1E00-0000B3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80" name="Text Box 92">
          <a:extLst>
            <a:ext uri="{FF2B5EF4-FFF2-40B4-BE49-F238E27FC236}">
              <a16:creationId xmlns:a16="http://schemas.microsoft.com/office/drawing/2014/main" id="{00000000-0008-0000-1E00-0000B4000000}"/>
            </a:ext>
          </a:extLst>
        </xdr:cNvPr>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81" name="Text Box 92">
          <a:extLst>
            <a:ext uri="{FF2B5EF4-FFF2-40B4-BE49-F238E27FC236}">
              <a16:creationId xmlns:a16="http://schemas.microsoft.com/office/drawing/2014/main" id="{00000000-0008-0000-1E00-0000B5000000}"/>
            </a:ext>
          </a:extLst>
        </xdr:cNvPr>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14</xdr:row>
      <xdr:rowOff>0</xdr:rowOff>
    </xdr:from>
    <xdr:to>
      <xdr:col>3</xdr:col>
      <xdr:colOff>238125</xdr:colOff>
      <xdr:row>14</xdr:row>
      <xdr:rowOff>0</xdr:rowOff>
    </xdr:to>
    <xdr:sp macro="" textlink="">
      <xdr:nvSpPr>
        <xdr:cNvPr id="182" name="Text Box 92">
          <a:extLst>
            <a:ext uri="{FF2B5EF4-FFF2-40B4-BE49-F238E27FC236}">
              <a16:creationId xmlns:a16="http://schemas.microsoft.com/office/drawing/2014/main" id="{00000000-0008-0000-1E00-0000B6000000}"/>
            </a:ext>
          </a:extLst>
        </xdr:cNvPr>
        <xdr:cNvSpPr txBox="1">
          <a:spLocks noChangeArrowheads="1"/>
        </xdr:cNvSpPr>
      </xdr:nvSpPr>
      <xdr:spPr bwMode="auto">
        <a:xfrm>
          <a:off x="981075" y="164115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83" name="Text Box 93">
          <a:extLst>
            <a:ext uri="{FF2B5EF4-FFF2-40B4-BE49-F238E27FC236}">
              <a16:creationId xmlns:a16="http://schemas.microsoft.com/office/drawing/2014/main" id="{00000000-0008-0000-1E00-0000B7000000}"/>
            </a:ext>
          </a:extLst>
        </xdr:cNvPr>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84" name="Text Box 93">
          <a:extLst>
            <a:ext uri="{FF2B5EF4-FFF2-40B4-BE49-F238E27FC236}">
              <a16:creationId xmlns:a16="http://schemas.microsoft.com/office/drawing/2014/main" id="{00000000-0008-0000-1E00-0000B8000000}"/>
            </a:ext>
          </a:extLst>
        </xdr:cNvPr>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85" name="Text Box 93">
          <a:extLst>
            <a:ext uri="{FF2B5EF4-FFF2-40B4-BE49-F238E27FC236}">
              <a16:creationId xmlns:a16="http://schemas.microsoft.com/office/drawing/2014/main" id="{00000000-0008-0000-1E00-0000B9000000}"/>
            </a:ext>
          </a:extLst>
        </xdr:cNvPr>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86" name="Text Box 93">
          <a:extLst>
            <a:ext uri="{FF2B5EF4-FFF2-40B4-BE49-F238E27FC236}">
              <a16:creationId xmlns:a16="http://schemas.microsoft.com/office/drawing/2014/main" id="{00000000-0008-0000-1E00-0000BA00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87" name="Text Box 93">
          <a:extLst>
            <a:ext uri="{FF2B5EF4-FFF2-40B4-BE49-F238E27FC236}">
              <a16:creationId xmlns:a16="http://schemas.microsoft.com/office/drawing/2014/main" id="{00000000-0008-0000-1E00-0000BB00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88" name="Text Box 93">
          <a:extLst>
            <a:ext uri="{FF2B5EF4-FFF2-40B4-BE49-F238E27FC236}">
              <a16:creationId xmlns:a16="http://schemas.microsoft.com/office/drawing/2014/main" id="{00000000-0008-0000-1E00-0000BC00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89" name="Text Box 93">
          <a:extLst>
            <a:ext uri="{FF2B5EF4-FFF2-40B4-BE49-F238E27FC236}">
              <a16:creationId xmlns:a16="http://schemas.microsoft.com/office/drawing/2014/main" id="{00000000-0008-0000-1E00-0000BD00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90" name="Text Box 93">
          <a:extLst>
            <a:ext uri="{FF2B5EF4-FFF2-40B4-BE49-F238E27FC236}">
              <a16:creationId xmlns:a16="http://schemas.microsoft.com/office/drawing/2014/main" id="{00000000-0008-0000-1E00-0000BE00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191" name="Text Box 93">
          <a:extLst>
            <a:ext uri="{FF2B5EF4-FFF2-40B4-BE49-F238E27FC236}">
              <a16:creationId xmlns:a16="http://schemas.microsoft.com/office/drawing/2014/main" id="{00000000-0008-0000-1E00-0000BF000000}"/>
            </a:ext>
          </a:extLst>
        </xdr:cNvPr>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192" name="Text Box 93">
          <a:extLst>
            <a:ext uri="{FF2B5EF4-FFF2-40B4-BE49-F238E27FC236}">
              <a16:creationId xmlns:a16="http://schemas.microsoft.com/office/drawing/2014/main" id="{00000000-0008-0000-1E00-0000C0000000}"/>
            </a:ext>
          </a:extLst>
        </xdr:cNvPr>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93" name="Text Box 92">
          <a:extLst>
            <a:ext uri="{FF2B5EF4-FFF2-40B4-BE49-F238E27FC236}">
              <a16:creationId xmlns:a16="http://schemas.microsoft.com/office/drawing/2014/main" id="{00000000-0008-0000-1E00-0000C100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94" name="Text Box 92">
          <a:extLst>
            <a:ext uri="{FF2B5EF4-FFF2-40B4-BE49-F238E27FC236}">
              <a16:creationId xmlns:a16="http://schemas.microsoft.com/office/drawing/2014/main" id="{00000000-0008-0000-1E00-0000C200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95" name="Text Box 92">
          <a:extLst>
            <a:ext uri="{FF2B5EF4-FFF2-40B4-BE49-F238E27FC236}">
              <a16:creationId xmlns:a16="http://schemas.microsoft.com/office/drawing/2014/main" id="{00000000-0008-0000-1E00-0000C3000000}"/>
            </a:ext>
          </a:extLst>
        </xdr:cNvPr>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96" name="Text Box 92">
          <a:extLst>
            <a:ext uri="{FF2B5EF4-FFF2-40B4-BE49-F238E27FC236}">
              <a16:creationId xmlns:a16="http://schemas.microsoft.com/office/drawing/2014/main" id="{00000000-0008-0000-1E00-0000C400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97" name="Text Box 92">
          <a:extLst>
            <a:ext uri="{FF2B5EF4-FFF2-40B4-BE49-F238E27FC236}">
              <a16:creationId xmlns:a16="http://schemas.microsoft.com/office/drawing/2014/main" id="{00000000-0008-0000-1E00-0000C500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198" name="Text Box 33">
          <a:extLst>
            <a:ext uri="{FF2B5EF4-FFF2-40B4-BE49-F238E27FC236}">
              <a16:creationId xmlns:a16="http://schemas.microsoft.com/office/drawing/2014/main" id="{00000000-0008-0000-1E00-0000C6000000}"/>
            </a:ext>
          </a:extLst>
        </xdr:cNvPr>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99" name="Text Box 93">
          <a:extLst>
            <a:ext uri="{FF2B5EF4-FFF2-40B4-BE49-F238E27FC236}">
              <a16:creationId xmlns:a16="http://schemas.microsoft.com/office/drawing/2014/main" id="{00000000-0008-0000-1E00-0000C7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200" name="Text Box 93">
          <a:extLst>
            <a:ext uri="{FF2B5EF4-FFF2-40B4-BE49-F238E27FC236}">
              <a16:creationId xmlns:a16="http://schemas.microsoft.com/office/drawing/2014/main" id="{00000000-0008-0000-1E00-0000C8000000}"/>
            </a:ext>
          </a:extLst>
        </xdr:cNvPr>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201" name="Text Box 33">
          <a:extLst>
            <a:ext uri="{FF2B5EF4-FFF2-40B4-BE49-F238E27FC236}">
              <a16:creationId xmlns:a16="http://schemas.microsoft.com/office/drawing/2014/main" id="{00000000-0008-0000-1E00-0000C9000000}"/>
            </a:ext>
          </a:extLst>
        </xdr:cNvPr>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02" name="Text Box 93">
          <a:extLst>
            <a:ext uri="{FF2B5EF4-FFF2-40B4-BE49-F238E27FC236}">
              <a16:creationId xmlns:a16="http://schemas.microsoft.com/office/drawing/2014/main" id="{00000000-0008-0000-1E00-0000CA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203" name="Text Box 33">
          <a:extLst>
            <a:ext uri="{FF2B5EF4-FFF2-40B4-BE49-F238E27FC236}">
              <a16:creationId xmlns:a16="http://schemas.microsoft.com/office/drawing/2014/main" id="{00000000-0008-0000-1E00-0000CB000000}"/>
            </a:ext>
          </a:extLst>
        </xdr:cNvPr>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04" name="Text Box 93">
          <a:extLst>
            <a:ext uri="{FF2B5EF4-FFF2-40B4-BE49-F238E27FC236}">
              <a16:creationId xmlns:a16="http://schemas.microsoft.com/office/drawing/2014/main" id="{00000000-0008-0000-1E00-0000CC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05" name="Text Box 93">
          <a:extLst>
            <a:ext uri="{FF2B5EF4-FFF2-40B4-BE49-F238E27FC236}">
              <a16:creationId xmlns:a16="http://schemas.microsoft.com/office/drawing/2014/main" id="{00000000-0008-0000-1E00-0000CD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06" name="Text Box 93">
          <a:extLst>
            <a:ext uri="{FF2B5EF4-FFF2-40B4-BE49-F238E27FC236}">
              <a16:creationId xmlns:a16="http://schemas.microsoft.com/office/drawing/2014/main" id="{00000000-0008-0000-1E00-0000CE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07" name="Text Box 93">
          <a:extLst>
            <a:ext uri="{FF2B5EF4-FFF2-40B4-BE49-F238E27FC236}">
              <a16:creationId xmlns:a16="http://schemas.microsoft.com/office/drawing/2014/main" id="{00000000-0008-0000-1E00-0000CF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08" name="Text Box 93">
          <a:extLst>
            <a:ext uri="{FF2B5EF4-FFF2-40B4-BE49-F238E27FC236}">
              <a16:creationId xmlns:a16="http://schemas.microsoft.com/office/drawing/2014/main" id="{00000000-0008-0000-1E00-0000D0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09" name="Text Box 93">
          <a:extLst>
            <a:ext uri="{FF2B5EF4-FFF2-40B4-BE49-F238E27FC236}">
              <a16:creationId xmlns:a16="http://schemas.microsoft.com/office/drawing/2014/main" id="{00000000-0008-0000-1E00-0000D1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210" name="Text Box 93">
          <a:extLst>
            <a:ext uri="{FF2B5EF4-FFF2-40B4-BE49-F238E27FC236}">
              <a16:creationId xmlns:a16="http://schemas.microsoft.com/office/drawing/2014/main" id="{00000000-0008-0000-1E00-0000D2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211" name="Text Box 93">
          <a:extLst>
            <a:ext uri="{FF2B5EF4-FFF2-40B4-BE49-F238E27FC236}">
              <a16:creationId xmlns:a16="http://schemas.microsoft.com/office/drawing/2014/main" id="{00000000-0008-0000-1E00-0000D3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15</xdr:row>
      <xdr:rowOff>0</xdr:rowOff>
    </xdr:from>
    <xdr:to>
      <xdr:col>3</xdr:col>
      <xdr:colOff>238125</xdr:colOff>
      <xdr:row>15</xdr:row>
      <xdr:rowOff>0</xdr:rowOff>
    </xdr:to>
    <xdr:sp macro="" textlink="">
      <xdr:nvSpPr>
        <xdr:cNvPr id="212" name="Text Box 92">
          <a:extLst>
            <a:ext uri="{FF2B5EF4-FFF2-40B4-BE49-F238E27FC236}">
              <a16:creationId xmlns:a16="http://schemas.microsoft.com/office/drawing/2014/main" id="{00000000-0008-0000-1E00-0000D4000000}"/>
            </a:ext>
          </a:extLst>
        </xdr:cNvPr>
        <xdr:cNvSpPr txBox="1">
          <a:spLocks noChangeArrowheads="1"/>
        </xdr:cNvSpPr>
      </xdr:nvSpPr>
      <xdr:spPr bwMode="auto">
        <a:xfrm>
          <a:off x="981075" y="180594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13" name="Text Box 33">
          <a:extLst>
            <a:ext uri="{FF2B5EF4-FFF2-40B4-BE49-F238E27FC236}">
              <a16:creationId xmlns:a16="http://schemas.microsoft.com/office/drawing/2014/main" id="{00000000-0008-0000-1E00-0000D5000000}"/>
            </a:ext>
          </a:extLst>
        </xdr:cNvPr>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214" name="Text Box 93">
          <a:extLst>
            <a:ext uri="{FF2B5EF4-FFF2-40B4-BE49-F238E27FC236}">
              <a16:creationId xmlns:a16="http://schemas.microsoft.com/office/drawing/2014/main" id="{00000000-0008-0000-1E00-0000D6000000}"/>
            </a:ext>
          </a:extLst>
        </xdr:cNvPr>
        <xdr:cNvSpPr txBox="1">
          <a:spLocks noChangeArrowheads="1"/>
        </xdr:cNvSpPr>
      </xdr:nvSpPr>
      <xdr:spPr bwMode="auto">
        <a:xfrm>
          <a:off x="933450" y="4772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34</xdr:row>
      <xdr:rowOff>0</xdr:rowOff>
    </xdr:from>
    <xdr:to>
      <xdr:col>3</xdr:col>
      <xdr:colOff>190500</xdr:colOff>
      <xdr:row>34</xdr:row>
      <xdr:rowOff>0</xdr:rowOff>
    </xdr:to>
    <xdr:sp macro="" textlink="">
      <xdr:nvSpPr>
        <xdr:cNvPr id="215" name="Text Box 93">
          <a:extLst>
            <a:ext uri="{FF2B5EF4-FFF2-40B4-BE49-F238E27FC236}">
              <a16:creationId xmlns:a16="http://schemas.microsoft.com/office/drawing/2014/main" id="{00000000-0008-0000-1E00-0000D7000000}"/>
            </a:ext>
          </a:extLst>
        </xdr:cNvPr>
        <xdr:cNvSpPr txBox="1">
          <a:spLocks noChangeArrowheads="1"/>
        </xdr:cNvSpPr>
      </xdr:nvSpPr>
      <xdr:spPr bwMode="auto">
        <a:xfrm>
          <a:off x="933450" y="493680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16" name="Text Box 33">
          <a:extLst>
            <a:ext uri="{FF2B5EF4-FFF2-40B4-BE49-F238E27FC236}">
              <a16:creationId xmlns:a16="http://schemas.microsoft.com/office/drawing/2014/main" id="{00000000-0008-0000-1E00-0000D8000000}"/>
            </a:ext>
          </a:extLst>
        </xdr:cNvPr>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217" name="Text Box 93">
          <a:extLst>
            <a:ext uri="{FF2B5EF4-FFF2-40B4-BE49-F238E27FC236}">
              <a16:creationId xmlns:a16="http://schemas.microsoft.com/office/drawing/2014/main" id="{00000000-0008-0000-1E00-0000D9000000}"/>
            </a:ext>
          </a:extLst>
        </xdr:cNvPr>
        <xdr:cNvSpPr txBox="1">
          <a:spLocks noChangeArrowheads="1"/>
        </xdr:cNvSpPr>
      </xdr:nvSpPr>
      <xdr:spPr bwMode="auto">
        <a:xfrm>
          <a:off x="933450" y="4772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18" name="Text Box 33">
          <a:extLst>
            <a:ext uri="{FF2B5EF4-FFF2-40B4-BE49-F238E27FC236}">
              <a16:creationId xmlns:a16="http://schemas.microsoft.com/office/drawing/2014/main" id="{00000000-0008-0000-1E00-0000DA000000}"/>
            </a:ext>
          </a:extLst>
        </xdr:cNvPr>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219" name="Text Box 93">
          <a:extLst>
            <a:ext uri="{FF2B5EF4-FFF2-40B4-BE49-F238E27FC236}">
              <a16:creationId xmlns:a16="http://schemas.microsoft.com/office/drawing/2014/main" id="{00000000-0008-0000-1E00-0000DB000000}"/>
            </a:ext>
          </a:extLst>
        </xdr:cNvPr>
        <xdr:cNvSpPr txBox="1">
          <a:spLocks noChangeArrowheads="1"/>
        </xdr:cNvSpPr>
      </xdr:nvSpPr>
      <xdr:spPr bwMode="auto">
        <a:xfrm>
          <a:off x="933450" y="4772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220" name="Text Box 93">
          <a:extLst>
            <a:ext uri="{FF2B5EF4-FFF2-40B4-BE49-F238E27FC236}">
              <a16:creationId xmlns:a16="http://schemas.microsoft.com/office/drawing/2014/main" id="{00000000-0008-0000-1E00-0000DC000000}"/>
            </a:ext>
          </a:extLst>
        </xdr:cNvPr>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221" name="Text Box 93">
          <a:extLst>
            <a:ext uri="{FF2B5EF4-FFF2-40B4-BE49-F238E27FC236}">
              <a16:creationId xmlns:a16="http://schemas.microsoft.com/office/drawing/2014/main" id="{00000000-0008-0000-1E00-0000DD000000}"/>
            </a:ext>
          </a:extLst>
        </xdr:cNvPr>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222" name="Text Box 93">
          <a:extLst>
            <a:ext uri="{FF2B5EF4-FFF2-40B4-BE49-F238E27FC236}">
              <a16:creationId xmlns:a16="http://schemas.microsoft.com/office/drawing/2014/main" id="{00000000-0008-0000-1E00-0000DE000000}"/>
            </a:ext>
          </a:extLst>
        </xdr:cNvPr>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223" name="Text Box 93">
          <a:extLst>
            <a:ext uri="{FF2B5EF4-FFF2-40B4-BE49-F238E27FC236}">
              <a16:creationId xmlns:a16="http://schemas.microsoft.com/office/drawing/2014/main" id="{00000000-0008-0000-1E00-0000DF000000}"/>
            </a:ext>
          </a:extLst>
        </xdr:cNvPr>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224" name="Text Box 93">
          <a:extLst>
            <a:ext uri="{FF2B5EF4-FFF2-40B4-BE49-F238E27FC236}">
              <a16:creationId xmlns:a16="http://schemas.microsoft.com/office/drawing/2014/main" id="{00000000-0008-0000-1E00-0000E0000000}"/>
            </a:ext>
          </a:extLst>
        </xdr:cNvPr>
        <xdr:cNvSpPr txBox="1">
          <a:spLocks noChangeArrowheads="1"/>
        </xdr:cNvSpPr>
      </xdr:nvSpPr>
      <xdr:spPr bwMode="auto">
        <a:xfrm>
          <a:off x="933450" y="4607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225" name="Text Box 93">
          <a:extLst>
            <a:ext uri="{FF2B5EF4-FFF2-40B4-BE49-F238E27FC236}">
              <a16:creationId xmlns:a16="http://schemas.microsoft.com/office/drawing/2014/main" id="{00000000-0008-0000-1E00-0000E1000000}"/>
            </a:ext>
          </a:extLst>
        </xdr:cNvPr>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226" name="Text Box 93">
          <a:extLst>
            <a:ext uri="{FF2B5EF4-FFF2-40B4-BE49-F238E27FC236}">
              <a16:creationId xmlns:a16="http://schemas.microsoft.com/office/drawing/2014/main" id="{00000000-0008-0000-1E00-0000E2000000}"/>
            </a:ext>
          </a:extLst>
        </xdr:cNvPr>
        <xdr:cNvSpPr txBox="1">
          <a:spLocks noChangeArrowheads="1"/>
        </xdr:cNvSpPr>
      </xdr:nvSpPr>
      <xdr:spPr bwMode="auto">
        <a:xfrm>
          <a:off x="933450"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27" name="Text Box 92">
          <a:extLst>
            <a:ext uri="{FF2B5EF4-FFF2-40B4-BE49-F238E27FC236}">
              <a16:creationId xmlns:a16="http://schemas.microsoft.com/office/drawing/2014/main" id="{00000000-0008-0000-1E00-0000E3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28" name="Text Box 33">
          <a:extLst>
            <a:ext uri="{FF2B5EF4-FFF2-40B4-BE49-F238E27FC236}">
              <a16:creationId xmlns:a16="http://schemas.microsoft.com/office/drawing/2014/main" id="{00000000-0008-0000-1E00-0000E4000000}"/>
            </a:ext>
          </a:extLst>
        </xdr:cNvPr>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229" name="Text Box 33">
          <a:extLst>
            <a:ext uri="{FF2B5EF4-FFF2-40B4-BE49-F238E27FC236}">
              <a16:creationId xmlns:a16="http://schemas.microsoft.com/office/drawing/2014/main" id="{00000000-0008-0000-1E00-0000E5000000}"/>
            </a:ext>
          </a:extLst>
        </xdr:cNvPr>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30" name="Text Box 92">
          <a:extLst>
            <a:ext uri="{FF2B5EF4-FFF2-40B4-BE49-F238E27FC236}">
              <a16:creationId xmlns:a16="http://schemas.microsoft.com/office/drawing/2014/main" id="{00000000-0008-0000-1E00-0000E6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31" name="Text Box 93">
          <a:extLst>
            <a:ext uri="{FF2B5EF4-FFF2-40B4-BE49-F238E27FC236}">
              <a16:creationId xmlns:a16="http://schemas.microsoft.com/office/drawing/2014/main" id="{00000000-0008-0000-1E00-0000E7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23</xdr:row>
      <xdr:rowOff>0</xdr:rowOff>
    </xdr:from>
    <xdr:to>
      <xdr:col>2</xdr:col>
      <xdr:colOff>1524000</xdr:colOff>
      <xdr:row>23</xdr:row>
      <xdr:rowOff>0</xdr:rowOff>
    </xdr:to>
    <xdr:sp macro="" textlink="">
      <xdr:nvSpPr>
        <xdr:cNvPr id="232" name="Text Box 33">
          <a:extLst>
            <a:ext uri="{FF2B5EF4-FFF2-40B4-BE49-F238E27FC236}">
              <a16:creationId xmlns:a16="http://schemas.microsoft.com/office/drawing/2014/main" id="{00000000-0008-0000-1E00-0000E8000000}"/>
            </a:ext>
          </a:extLst>
        </xdr:cNvPr>
        <xdr:cNvSpPr txBox="1">
          <a:spLocks noChangeArrowheads="1"/>
        </xdr:cNvSpPr>
      </xdr:nvSpPr>
      <xdr:spPr bwMode="auto">
        <a:xfrm>
          <a:off x="1304925" y="312420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31</xdr:row>
      <xdr:rowOff>0</xdr:rowOff>
    </xdr:from>
    <xdr:to>
      <xdr:col>3</xdr:col>
      <xdr:colOff>238125</xdr:colOff>
      <xdr:row>31</xdr:row>
      <xdr:rowOff>0</xdr:rowOff>
    </xdr:to>
    <xdr:sp macro="" textlink="">
      <xdr:nvSpPr>
        <xdr:cNvPr id="233" name="Text Box 92">
          <a:extLst>
            <a:ext uri="{FF2B5EF4-FFF2-40B4-BE49-F238E27FC236}">
              <a16:creationId xmlns:a16="http://schemas.microsoft.com/office/drawing/2014/main" id="{00000000-0008-0000-1E00-0000E9000000}"/>
            </a:ext>
          </a:extLst>
        </xdr:cNvPr>
        <xdr:cNvSpPr txBox="1">
          <a:spLocks noChangeArrowheads="1"/>
        </xdr:cNvSpPr>
      </xdr:nvSpPr>
      <xdr:spPr bwMode="auto">
        <a:xfrm>
          <a:off x="981075" y="4442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234" name="Text Box 93">
          <a:extLst>
            <a:ext uri="{FF2B5EF4-FFF2-40B4-BE49-F238E27FC236}">
              <a16:creationId xmlns:a16="http://schemas.microsoft.com/office/drawing/2014/main" id="{00000000-0008-0000-1E00-0000EA000000}"/>
            </a:ext>
          </a:extLst>
        </xdr:cNvPr>
        <xdr:cNvSpPr txBox="1">
          <a:spLocks noChangeArrowheads="1"/>
        </xdr:cNvSpPr>
      </xdr:nvSpPr>
      <xdr:spPr bwMode="auto">
        <a:xfrm>
          <a:off x="933450" y="246507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35" name="Text Box 33">
          <a:extLst>
            <a:ext uri="{FF2B5EF4-FFF2-40B4-BE49-F238E27FC236}">
              <a16:creationId xmlns:a16="http://schemas.microsoft.com/office/drawing/2014/main" id="{00000000-0008-0000-1E00-0000EB000000}"/>
            </a:ext>
          </a:extLst>
        </xdr:cNvPr>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236" name="Text Box 33">
          <a:extLst>
            <a:ext uri="{FF2B5EF4-FFF2-40B4-BE49-F238E27FC236}">
              <a16:creationId xmlns:a16="http://schemas.microsoft.com/office/drawing/2014/main" id="{00000000-0008-0000-1E00-0000EC000000}"/>
            </a:ext>
          </a:extLst>
        </xdr:cNvPr>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37" name="Text Box 92">
          <a:extLst>
            <a:ext uri="{FF2B5EF4-FFF2-40B4-BE49-F238E27FC236}">
              <a16:creationId xmlns:a16="http://schemas.microsoft.com/office/drawing/2014/main" id="{00000000-0008-0000-1E00-0000ED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38" name="Text Box 93">
          <a:extLst>
            <a:ext uri="{FF2B5EF4-FFF2-40B4-BE49-F238E27FC236}">
              <a16:creationId xmlns:a16="http://schemas.microsoft.com/office/drawing/2014/main" id="{00000000-0008-0000-1E00-0000EE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39" name="Text Box 33">
          <a:extLst>
            <a:ext uri="{FF2B5EF4-FFF2-40B4-BE49-F238E27FC236}">
              <a16:creationId xmlns:a16="http://schemas.microsoft.com/office/drawing/2014/main" id="{00000000-0008-0000-1E00-0000EF000000}"/>
            </a:ext>
          </a:extLst>
        </xdr:cNvPr>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240" name="Text Box 33">
          <a:extLst>
            <a:ext uri="{FF2B5EF4-FFF2-40B4-BE49-F238E27FC236}">
              <a16:creationId xmlns:a16="http://schemas.microsoft.com/office/drawing/2014/main" id="{00000000-0008-0000-1E00-0000F0000000}"/>
            </a:ext>
          </a:extLst>
        </xdr:cNvPr>
        <xdr:cNvSpPr txBox="1">
          <a:spLocks noChangeArrowheads="1"/>
        </xdr:cNvSpPr>
      </xdr:nvSpPr>
      <xdr:spPr bwMode="auto">
        <a:xfrm>
          <a:off x="1304925" y="48768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41" name="Text Box 92">
          <a:extLst>
            <a:ext uri="{FF2B5EF4-FFF2-40B4-BE49-F238E27FC236}">
              <a16:creationId xmlns:a16="http://schemas.microsoft.com/office/drawing/2014/main" id="{00000000-0008-0000-1E00-0000F1000000}"/>
            </a:ext>
          </a:extLst>
        </xdr:cNvPr>
        <xdr:cNvSpPr txBox="1">
          <a:spLocks noChangeArrowheads="1"/>
        </xdr:cNvSpPr>
      </xdr:nvSpPr>
      <xdr:spPr bwMode="auto">
        <a:xfrm>
          <a:off x="981075"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42" name="Text Box 93">
          <a:extLst>
            <a:ext uri="{FF2B5EF4-FFF2-40B4-BE49-F238E27FC236}">
              <a16:creationId xmlns:a16="http://schemas.microsoft.com/office/drawing/2014/main" id="{00000000-0008-0000-1E00-0000F2000000}"/>
            </a:ext>
          </a:extLst>
        </xdr:cNvPr>
        <xdr:cNvSpPr txBox="1">
          <a:spLocks noChangeArrowheads="1"/>
        </xdr:cNvSpPr>
      </xdr:nvSpPr>
      <xdr:spPr bwMode="auto">
        <a:xfrm>
          <a:off x="933450" y="230028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21</xdr:row>
      <xdr:rowOff>0</xdr:rowOff>
    </xdr:from>
    <xdr:to>
      <xdr:col>2</xdr:col>
      <xdr:colOff>1524000</xdr:colOff>
      <xdr:row>21</xdr:row>
      <xdr:rowOff>0</xdr:rowOff>
    </xdr:to>
    <xdr:sp macro="" textlink="">
      <xdr:nvSpPr>
        <xdr:cNvPr id="243" name="Text Box 33">
          <a:extLst>
            <a:ext uri="{FF2B5EF4-FFF2-40B4-BE49-F238E27FC236}">
              <a16:creationId xmlns:a16="http://schemas.microsoft.com/office/drawing/2014/main" id="{00000000-0008-0000-1E00-0000F3000000}"/>
            </a:ext>
          </a:extLst>
        </xdr:cNvPr>
        <xdr:cNvSpPr txBox="1">
          <a:spLocks noChangeArrowheads="1"/>
        </xdr:cNvSpPr>
      </xdr:nvSpPr>
      <xdr:spPr bwMode="auto">
        <a:xfrm>
          <a:off x="1304925" y="2794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244" name="Text Box 92">
          <a:extLst>
            <a:ext uri="{FF2B5EF4-FFF2-40B4-BE49-F238E27FC236}">
              <a16:creationId xmlns:a16="http://schemas.microsoft.com/office/drawing/2014/main" id="{00000000-0008-0000-1E00-0000F4000000}"/>
            </a:ext>
          </a:extLst>
        </xdr:cNvPr>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45" name="Text Box 93">
          <a:extLst>
            <a:ext uri="{FF2B5EF4-FFF2-40B4-BE49-F238E27FC236}">
              <a16:creationId xmlns:a16="http://schemas.microsoft.com/office/drawing/2014/main" id="{00000000-0008-0000-1E00-0000F5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21</xdr:row>
      <xdr:rowOff>0</xdr:rowOff>
    </xdr:from>
    <xdr:to>
      <xdr:col>2</xdr:col>
      <xdr:colOff>1524000</xdr:colOff>
      <xdr:row>21</xdr:row>
      <xdr:rowOff>0</xdr:rowOff>
    </xdr:to>
    <xdr:sp macro="" textlink="">
      <xdr:nvSpPr>
        <xdr:cNvPr id="246" name="Text Box 33">
          <a:extLst>
            <a:ext uri="{FF2B5EF4-FFF2-40B4-BE49-F238E27FC236}">
              <a16:creationId xmlns:a16="http://schemas.microsoft.com/office/drawing/2014/main" id="{00000000-0008-0000-1E00-0000F6000000}"/>
            </a:ext>
          </a:extLst>
        </xdr:cNvPr>
        <xdr:cNvSpPr txBox="1">
          <a:spLocks noChangeArrowheads="1"/>
        </xdr:cNvSpPr>
      </xdr:nvSpPr>
      <xdr:spPr bwMode="auto">
        <a:xfrm>
          <a:off x="1304925" y="2794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247" name="Text Box 92">
          <a:extLst>
            <a:ext uri="{FF2B5EF4-FFF2-40B4-BE49-F238E27FC236}">
              <a16:creationId xmlns:a16="http://schemas.microsoft.com/office/drawing/2014/main" id="{00000000-0008-0000-1E00-0000F7000000}"/>
            </a:ext>
          </a:extLst>
        </xdr:cNvPr>
        <xdr:cNvSpPr txBox="1">
          <a:spLocks noChangeArrowheads="1"/>
        </xdr:cNvSpPr>
      </xdr:nvSpPr>
      <xdr:spPr bwMode="auto">
        <a:xfrm>
          <a:off x="981075"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48" name="Text Box 93">
          <a:extLst>
            <a:ext uri="{FF2B5EF4-FFF2-40B4-BE49-F238E27FC236}">
              <a16:creationId xmlns:a16="http://schemas.microsoft.com/office/drawing/2014/main" id="{00000000-0008-0000-1E00-0000F8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30</xdr:row>
      <xdr:rowOff>0</xdr:rowOff>
    </xdr:from>
    <xdr:to>
      <xdr:col>2</xdr:col>
      <xdr:colOff>1524000</xdr:colOff>
      <xdr:row>30</xdr:row>
      <xdr:rowOff>0</xdr:rowOff>
    </xdr:to>
    <xdr:sp macro="" textlink="">
      <xdr:nvSpPr>
        <xdr:cNvPr id="249" name="Text Box 33">
          <a:extLst>
            <a:ext uri="{FF2B5EF4-FFF2-40B4-BE49-F238E27FC236}">
              <a16:creationId xmlns:a16="http://schemas.microsoft.com/office/drawing/2014/main" id="{00000000-0008-0000-1E00-0000F9000000}"/>
            </a:ext>
          </a:extLst>
        </xdr:cNvPr>
        <xdr:cNvSpPr txBox="1">
          <a:spLocks noChangeArrowheads="1"/>
        </xdr:cNvSpPr>
      </xdr:nvSpPr>
      <xdr:spPr bwMode="auto">
        <a:xfrm>
          <a:off x="1304925" y="427767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50" name="Text Box 93">
          <a:extLst>
            <a:ext uri="{FF2B5EF4-FFF2-40B4-BE49-F238E27FC236}">
              <a16:creationId xmlns:a16="http://schemas.microsoft.com/office/drawing/2014/main" id="{00000000-0008-0000-1E00-0000FA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51" name="Text Box 93">
          <a:extLst>
            <a:ext uri="{FF2B5EF4-FFF2-40B4-BE49-F238E27FC236}">
              <a16:creationId xmlns:a16="http://schemas.microsoft.com/office/drawing/2014/main" id="{00000000-0008-0000-1E00-0000FB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52" name="Text Box 93">
          <a:extLst>
            <a:ext uri="{FF2B5EF4-FFF2-40B4-BE49-F238E27FC236}">
              <a16:creationId xmlns:a16="http://schemas.microsoft.com/office/drawing/2014/main" id="{00000000-0008-0000-1E00-0000FC000000}"/>
            </a:ext>
          </a:extLst>
        </xdr:cNvPr>
        <xdr:cNvSpPr txBox="1">
          <a:spLocks noChangeArrowheads="1"/>
        </xdr:cNvSpPr>
      </xdr:nvSpPr>
      <xdr:spPr bwMode="auto">
        <a:xfrm>
          <a:off x="933450" y="21355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253" name="Text Box 93">
          <a:extLst>
            <a:ext uri="{FF2B5EF4-FFF2-40B4-BE49-F238E27FC236}">
              <a16:creationId xmlns:a16="http://schemas.microsoft.com/office/drawing/2014/main" id="{00000000-0008-0000-1E00-0000FD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254" name="Text Box 93">
          <a:extLst>
            <a:ext uri="{FF2B5EF4-FFF2-40B4-BE49-F238E27FC236}">
              <a16:creationId xmlns:a16="http://schemas.microsoft.com/office/drawing/2014/main" id="{00000000-0008-0000-1E00-0000FE000000}"/>
            </a:ext>
          </a:extLst>
        </xdr:cNvPr>
        <xdr:cNvSpPr txBox="1">
          <a:spLocks noChangeArrowheads="1"/>
        </xdr:cNvSpPr>
      </xdr:nvSpPr>
      <xdr:spPr bwMode="auto">
        <a:xfrm>
          <a:off x="933450" y="197072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55" name="Text Box 33">
          <a:extLst>
            <a:ext uri="{FF2B5EF4-FFF2-40B4-BE49-F238E27FC236}">
              <a16:creationId xmlns:a16="http://schemas.microsoft.com/office/drawing/2014/main" id="{00000000-0008-0000-1E00-0000FF000000}"/>
            </a:ext>
          </a:extLst>
        </xdr:cNvPr>
        <xdr:cNvSpPr txBox="1">
          <a:spLocks noChangeArrowheads="1"/>
        </xdr:cNvSpPr>
      </xdr:nvSpPr>
      <xdr:spPr bwMode="auto">
        <a:xfrm>
          <a:off x="1304925" y="295941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256" name="Text Box 92">
          <a:extLst>
            <a:ext uri="{FF2B5EF4-FFF2-40B4-BE49-F238E27FC236}">
              <a16:creationId xmlns:a16="http://schemas.microsoft.com/office/drawing/2014/main" id="{00000000-0008-0000-1E00-000000010000}"/>
            </a:ext>
          </a:extLst>
        </xdr:cNvPr>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257" name="Text Box 92">
          <a:extLst>
            <a:ext uri="{FF2B5EF4-FFF2-40B4-BE49-F238E27FC236}">
              <a16:creationId xmlns:a16="http://schemas.microsoft.com/office/drawing/2014/main" id="{00000000-0008-0000-1E00-000001010000}"/>
            </a:ext>
          </a:extLst>
        </xdr:cNvPr>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14</xdr:row>
      <xdr:rowOff>0</xdr:rowOff>
    </xdr:from>
    <xdr:to>
      <xdr:col>3</xdr:col>
      <xdr:colOff>238125</xdr:colOff>
      <xdr:row>14</xdr:row>
      <xdr:rowOff>0</xdr:rowOff>
    </xdr:to>
    <xdr:sp macro="" textlink="">
      <xdr:nvSpPr>
        <xdr:cNvPr id="258" name="Text Box 92">
          <a:extLst>
            <a:ext uri="{FF2B5EF4-FFF2-40B4-BE49-F238E27FC236}">
              <a16:creationId xmlns:a16="http://schemas.microsoft.com/office/drawing/2014/main" id="{00000000-0008-0000-1E00-000002010000}"/>
            </a:ext>
          </a:extLst>
        </xdr:cNvPr>
        <xdr:cNvSpPr txBox="1">
          <a:spLocks noChangeArrowheads="1"/>
        </xdr:cNvSpPr>
      </xdr:nvSpPr>
      <xdr:spPr bwMode="auto">
        <a:xfrm>
          <a:off x="981075" y="164115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59" name="Text Box 33">
          <a:extLst>
            <a:ext uri="{FF2B5EF4-FFF2-40B4-BE49-F238E27FC236}">
              <a16:creationId xmlns:a16="http://schemas.microsoft.com/office/drawing/2014/main" id="{00000000-0008-0000-1E00-000003010000}"/>
            </a:ext>
          </a:extLst>
        </xdr:cNvPr>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0" name="Text Box 33">
          <a:extLst>
            <a:ext uri="{FF2B5EF4-FFF2-40B4-BE49-F238E27FC236}">
              <a16:creationId xmlns:a16="http://schemas.microsoft.com/office/drawing/2014/main" id="{00000000-0008-0000-1E00-000004010000}"/>
            </a:ext>
          </a:extLst>
        </xdr:cNvPr>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1" name="Text Box 33">
          <a:extLst>
            <a:ext uri="{FF2B5EF4-FFF2-40B4-BE49-F238E27FC236}">
              <a16:creationId xmlns:a16="http://schemas.microsoft.com/office/drawing/2014/main" id="{00000000-0008-0000-1E00-000005010000}"/>
            </a:ext>
          </a:extLst>
        </xdr:cNvPr>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2" name="Text Box 33">
          <a:extLst>
            <a:ext uri="{FF2B5EF4-FFF2-40B4-BE49-F238E27FC236}">
              <a16:creationId xmlns:a16="http://schemas.microsoft.com/office/drawing/2014/main" id="{00000000-0008-0000-1E00-000006010000}"/>
            </a:ext>
          </a:extLst>
        </xdr:cNvPr>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3" name="Text Box 33">
          <a:extLst>
            <a:ext uri="{FF2B5EF4-FFF2-40B4-BE49-F238E27FC236}">
              <a16:creationId xmlns:a16="http://schemas.microsoft.com/office/drawing/2014/main" id="{00000000-0008-0000-1E00-000007010000}"/>
            </a:ext>
          </a:extLst>
        </xdr:cNvPr>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4" name="Text Box 33">
          <a:extLst>
            <a:ext uri="{FF2B5EF4-FFF2-40B4-BE49-F238E27FC236}">
              <a16:creationId xmlns:a16="http://schemas.microsoft.com/office/drawing/2014/main" id="{00000000-0008-0000-1E00-000008010000}"/>
            </a:ext>
          </a:extLst>
        </xdr:cNvPr>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18</xdr:row>
      <xdr:rowOff>0</xdr:rowOff>
    </xdr:from>
    <xdr:to>
      <xdr:col>2</xdr:col>
      <xdr:colOff>1524000</xdr:colOff>
      <xdr:row>18</xdr:row>
      <xdr:rowOff>0</xdr:rowOff>
    </xdr:to>
    <xdr:sp macro="" textlink="">
      <xdr:nvSpPr>
        <xdr:cNvPr id="265" name="Text Box 33">
          <a:extLst>
            <a:ext uri="{FF2B5EF4-FFF2-40B4-BE49-F238E27FC236}">
              <a16:creationId xmlns:a16="http://schemas.microsoft.com/office/drawing/2014/main" id="{00000000-0008-0000-1E00-000009010000}"/>
            </a:ext>
          </a:extLst>
        </xdr:cNvPr>
        <xdr:cNvSpPr txBox="1">
          <a:spLocks noChangeArrowheads="1"/>
        </xdr:cNvSpPr>
      </xdr:nvSpPr>
      <xdr:spPr bwMode="auto">
        <a:xfrm>
          <a:off x="1304925" y="230028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18</xdr:row>
      <xdr:rowOff>0</xdr:rowOff>
    </xdr:from>
    <xdr:to>
      <xdr:col>2</xdr:col>
      <xdr:colOff>1524000</xdr:colOff>
      <xdr:row>18</xdr:row>
      <xdr:rowOff>0</xdr:rowOff>
    </xdr:to>
    <xdr:sp macro="" textlink="">
      <xdr:nvSpPr>
        <xdr:cNvPr id="266" name="Text Box 33">
          <a:extLst>
            <a:ext uri="{FF2B5EF4-FFF2-40B4-BE49-F238E27FC236}">
              <a16:creationId xmlns:a16="http://schemas.microsoft.com/office/drawing/2014/main" id="{00000000-0008-0000-1E00-00000A010000}"/>
            </a:ext>
          </a:extLst>
        </xdr:cNvPr>
        <xdr:cNvSpPr txBox="1">
          <a:spLocks noChangeArrowheads="1"/>
        </xdr:cNvSpPr>
      </xdr:nvSpPr>
      <xdr:spPr bwMode="auto">
        <a:xfrm>
          <a:off x="1304925" y="2300287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7" name="Text Box 33">
          <a:extLst>
            <a:ext uri="{FF2B5EF4-FFF2-40B4-BE49-F238E27FC236}">
              <a16:creationId xmlns:a16="http://schemas.microsoft.com/office/drawing/2014/main" id="{00000000-0008-0000-1E00-00000B010000}"/>
            </a:ext>
          </a:extLst>
        </xdr:cNvPr>
        <xdr:cNvSpPr txBox="1">
          <a:spLocks noChangeArrowheads="1"/>
        </xdr:cNvSpPr>
      </xdr:nvSpPr>
      <xdr:spPr bwMode="auto">
        <a:xfrm>
          <a:off x="1304925" y="246507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268" name="Text Box 93">
          <a:extLst>
            <a:ext uri="{FF2B5EF4-FFF2-40B4-BE49-F238E27FC236}">
              <a16:creationId xmlns:a16="http://schemas.microsoft.com/office/drawing/2014/main" id="{00000000-0008-0000-1E00-00000C010000}"/>
            </a:ext>
          </a:extLst>
        </xdr:cNvPr>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269" name="Text Box 93">
          <a:extLst>
            <a:ext uri="{FF2B5EF4-FFF2-40B4-BE49-F238E27FC236}">
              <a16:creationId xmlns:a16="http://schemas.microsoft.com/office/drawing/2014/main" id="{00000000-0008-0000-1E00-00000D010000}"/>
            </a:ext>
          </a:extLst>
        </xdr:cNvPr>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270" name="Text Box 93">
          <a:extLst>
            <a:ext uri="{FF2B5EF4-FFF2-40B4-BE49-F238E27FC236}">
              <a16:creationId xmlns:a16="http://schemas.microsoft.com/office/drawing/2014/main" id="{00000000-0008-0000-1E00-00000E010000}"/>
            </a:ext>
          </a:extLst>
        </xdr:cNvPr>
        <xdr:cNvSpPr txBox="1">
          <a:spLocks noChangeArrowheads="1"/>
        </xdr:cNvSpPr>
      </xdr:nvSpPr>
      <xdr:spPr bwMode="auto">
        <a:xfrm>
          <a:off x="933450" y="4277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271" name="Text Box 93">
          <a:extLst>
            <a:ext uri="{FF2B5EF4-FFF2-40B4-BE49-F238E27FC236}">
              <a16:creationId xmlns:a16="http://schemas.microsoft.com/office/drawing/2014/main" id="{00000000-0008-0000-1E00-00000F01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272" name="Text Box 93">
          <a:extLst>
            <a:ext uri="{FF2B5EF4-FFF2-40B4-BE49-F238E27FC236}">
              <a16:creationId xmlns:a16="http://schemas.microsoft.com/office/drawing/2014/main" id="{00000000-0008-0000-1E00-00001001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273" name="Text Box 93">
          <a:extLst>
            <a:ext uri="{FF2B5EF4-FFF2-40B4-BE49-F238E27FC236}">
              <a16:creationId xmlns:a16="http://schemas.microsoft.com/office/drawing/2014/main" id="{00000000-0008-0000-1E00-00001101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274" name="Text Box 93">
          <a:extLst>
            <a:ext uri="{FF2B5EF4-FFF2-40B4-BE49-F238E27FC236}">
              <a16:creationId xmlns:a16="http://schemas.microsoft.com/office/drawing/2014/main" id="{00000000-0008-0000-1E00-00001201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275" name="Text Box 93">
          <a:extLst>
            <a:ext uri="{FF2B5EF4-FFF2-40B4-BE49-F238E27FC236}">
              <a16:creationId xmlns:a16="http://schemas.microsoft.com/office/drawing/2014/main" id="{00000000-0008-0000-1E00-000013010000}"/>
            </a:ext>
          </a:extLst>
        </xdr:cNvPr>
        <xdr:cNvSpPr txBox="1">
          <a:spLocks noChangeArrowheads="1"/>
        </xdr:cNvSpPr>
      </xdr:nvSpPr>
      <xdr:spPr bwMode="auto">
        <a:xfrm>
          <a:off x="933450" y="4112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276" name="Text Box 93">
          <a:extLst>
            <a:ext uri="{FF2B5EF4-FFF2-40B4-BE49-F238E27FC236}">
              <a16:creationId xmlns:a16="http://schemas.microsoft.com/office/drawing/2014/main" id="{00000000-0008-0000-1E00-000014010000}"/>
            </a:ext>
          </a:extLst>
        </xdr:cNvPr>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277" name="Text Box 93">
          <a:extLst>
            <a:ext uri="{FF2B5EF4-FFF2-40B4-BE49-F238E27FC236}">
              <a16:creationId xmlns:a16="http://schemas.microsoft.com/office/drawing/2014/main" id="{00000000-0008-0000-1E00-000015010000}"/>
            </a:ext>
          </a:extLst>
        </xdr:cNvPr>
        <xdr:cNvSpPr txBox="1">
          <a:spLocks noChangeArrowheads="1"/>
        </xdr:cNvSpPr>
      </xdr:nvSpPr>
      <xdr:spPr bwMode="auto">
        <a:xfrm>
          <a:off x="933450"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278" name="Text Box 92">
          <a:extLst>
            <a:ext uri="{FF2B5EF4-FFF2-40B4-BE49-F238E27FC236}">
              <a16:creationId xmlns:a16="http://schemas.microsoft.com/office/drawing/2014/main" id="{00000000-0008-0000-1E00-00001601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279" name="Text Box 92">
          <a:extLst>
            <a:ext uri="{FF2B5EF4-FFF2-40B4-BE49-F238E27FC236}">
              <a16:creationId xmlns:a16="http://schemas.microsoft.com/office/drawing/2014/main" id="{00000000-0008-0000-1E00-00001701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280" name="Text Box 92">
          <a:extLst>
            <a:ext uri="{FF2B5EF4-FFF2-40B4-BE49-F238E27FC236}">
              <a16:creationId xmlns:a16="http://schemas.microsoft.com/office/drawing/2014/main" id="{00000000-0008-0000-1E00-000018010000}"/>
            </a:ext>
          </a:extLst>
        </xdr:cNvPr>
        <xdr:cNvSpPr txBox="1">
          <a:spLocks noChangeArrowheads="1"/>
        </xdr:cNvSpPr>
      </xdr:nvSpPr>
      <xdr:spPr bwMode="auto">
        <a:xfrm>
          <a:off x="981075" y="3948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281" name="Text Box 92">
          <a:extLst>
            <a:ext uri="{FF2B5EF4-FFF2-40B4-BE49-F238E27FC236}">
              <a16:creationId xmlns:a16="http://schemas.microsoft.com/office/drawing/2014/main" id="{00000000-0008-0000-1E00-00001901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282" name="Text Box 92">
          <a:extLst>
            <a:ext uri="{FF2B5EF4-FFF2-40B4-BE49-F238E27FC236}">
              <a16:creationId xmlns:a16="http://schemas.microsoft.com/office/drawing/2014/main" id="{00000000-0008-0000-1E00-00001A010000}"/>
            </a:ext>
          </a:extLst>
        </xdr:cNvPr>
        <xdr:cNvSpPr txBox="1">
          <a:spLocks noChangeArrowheads="1"/>
        </xdr:cNvSpPr>
      </xdr:nvSpPr>
      <xdr:spPr bwMode="auto">
        <a:xfrm>
          <a:off x="981075" y="37833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27</xdr:row>
      <xdr:rowOff>0</xdr:rowOff>
    </xdr:from>
    <xdr:to>
      <xdr:col>2</xdr:col>
      <xdr:colOff>1524000</xdr:colOff>
      <xdr:row>27</xdr:row>
      <xdr:rowOff>0</xdr:rowOff>
    </xdr:to>
    <xdr:sp macro="" textlink="">
      <xdr:nvSpPr>
        <xdr:cNvPr id="283" name="Text Box 33">
          <a:extLst>
            <a:ext uri="{FF2B5EF4-FFF2-40B4-BE49-F238E27FC236}">
              <a16:creationId xmlns:a16="http://schemas.microsoft.com/office/drawing/2014/main" id="{00000000-0008-0000-1E00-00001B010000}"/>
            </a:ext>
          </a:extLst>
        </xdr:cNvPr>
        <xdr:cNvSpPr txBox="1">
          <a:spLocks noChangeArrowheads="1"/>
        </xdr:cNvSpPr>
      </xdr:nvSpPr>
      <xdr:spPr bwMode="auto">
        <a:xfrm>
          <a:off x="1304925" y="378333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36</xdr:row>
      <xdr:rowOff>0</xdr:rowOff>
    </xdr:from>
    <xdr:to>
      <xdr:col>3</xdr:col>
      <xdr:colOff>190500</xdr:colOff>
      <xdr:row>36</xdr:row>
      <xdr:rowOff>0</xdr:rowOff>
    </xdr:to>
    <xdr:sp macro="" textlink="">
      <xdr:nvSpPr>
        <xdr:cNvPr id="284" name="Text Box 93">
          <a:extLst>
            <a:ext uri="{FF2B5EF4-FFF2-40B4-BE49-F238E27FC236}">
              <a16:creationId xmlns:a16="http://schemas.microsoft.com/office/drawing/2014/main" id="{00000000-0008-0000-1E00-00001C010000}"/>
            </a:ext>
          </a:extLst>
        </xdr:cNvPr>
        <xdr:cNvSpPr txBox="1">
          <a:spLocks noChangeArrowheads="1"/>
        </xdr:cNvSpPr>
      </xdr:nvSpPr>
      <xdr:spPr bwMode="auto">
        <a:xfrm>
          <a:off x="933450" y="526637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38</xdr:row>
      <xdr:rowOff>0</xdr:rowOff>
    </xdr:from>
    <xdr:to>
      <xdr:col>3</xdr:col>
      <xdr:colOff>190500</xdr:colOff>
      <xdr:row>38</xdr:row>
      <xdr:rowOff>0</xdr:rowOff>
    </xdr:to>
    <xdr:sp macro="" textlink="">
      <xdr:nvSpPr>
        <xdr:cNvPr id="285" name="Text Box 93">
          <a:extLst>
            <a:ext uri="{FF2B5EF4-FFF2-40B4-BE49-F238E27FC236}">
              <a16:creationId xmlns:a16="http://schemas.microsoft.com/office/drawing/2014/main" id="{00000000-0008-0000-1E00-00001D010000}"/>
            </a:ext>
          </a:extLst>
        </xdr:cNvPr>
        <xdr:cNvSpPr txBox="1">
          <a:spLocks noChangeArrowheads="1"/>
        </xdr:cNvSpPr>
      </xdr:nvSpPr>
      <xdr:spPr bwMode="auto">
        <a:xfrm>
          <a:off x="933450" y="559593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40</xdr:row>
      <xdr:rowOff>0</xdr:rowOff>
    </xdr:from>
    <xdr:to>
      <xdr:col>3</xdr:col>
      <xdr:colOff>190500</xdr:colOff>
      <xdr:row>40</xdr:row>
      <xdr:rowOff>0</xdr:rowOff>
    </xdr:to>
    <xdr:sp macro="" textlink="">
      <xdr:nvSpPr>
        <xdr:cNvPr id="286" name="Text Box 93">
          <a:extLst>
            <a:ext uri="{FF2B5EF4-FFF2-40B4-BE49-F238E27FC236}">
              <a16:creationId xmlns:a16="http://schemas.microsoft.com/office/drawing/2014/main" id="{00000000-0008-0000-1E00-00001E010000}"/>
            </a:ext>
          </a:extLst>
        </xdr:cNvPr>
        <xdr:cNvSpPr txBox="1">
          <a:spLocks noChangeArrowheads="1"/>
        </xdr:cNvSpPr>
      </xdr:nvSpPr>
      <xdr:spPr bwMode="auto">
        <a:xfrm>
          <a:off x="933450" y="592550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42</xdr:row>
      <xdr:rowOff>0</xdr:rowOff>
    </xdr:from>
    <xdr:to>
      <xdr:col>3</xdr:col>
      <xdr:colOff>190500</xdr:colOff>
      <xdr:row>42</xdr:row>
      <xdr:rowOff>0</xdr:rowOff>
    </xdr:to>
    <xdr:sp macro="" textlink="">
      <xdr:nvSpPr>
        <xdr:cNvPr id="287" name="Text Box 93">
          <a:extLst>
            <a:ext uri="{FF2B5EF4-FFF2-40B4-BE49-F238E27FC236}">
              <a16:creationId xmlns:a16="http://schemas.microsoft.com/office/drawing/2014/main" id="{00000000-0008-0000-1E00-00001F010000}"/>
            </a:ext>
          </a:extLst>
        </xdr:cNvPr>
        <xdr:cNvSpPr txBox="1">
          <a:spLocks noChangeArrowheads="1"/>
        </xdr:cNvSpPr>
      </xdr:nvSpPr>
      <xdr:spPr bwMode="auto">
        <a:xfrm>
          <a:off x="933450" y="62979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44</xdr:row>
      <xdr:rowOff>0</xdr:rowOff>
    </xdr:from>
    <xdr:to>
      <xdr:col>3</xdr:col>
      <xdr:colOff>190500</xdr:colOff>
      <xdr:row>44</xdr:row>
      <xdr:rowOff>0</xdr:rowOff>
    </xdr:to>
    <xdr:sp macro="" textlink="">
      <xdr:nvSpPr>
        <xdr:cNvPr id="288" name="Text Box 93">
          <a:extLst>
            <a:ext uri="{FF2B5EF4-FFF2-40B4-BE49-F238E27FC236}">
              <a16:creationId xmlns:a16="http://schemas.microsoft.com/office/drawing/2014/main" id="{00000000-0008-0000-1E00-000020010000}"/>
            </a:ext>
          </a:extLst>
        </xdr:cNvPr>
        <xdr:cNvSpPr txBox="1">
          <a:spLocks noChangeArrowheads="1"/>
        </xdr:cNvSpPr>
      </xdr:nvSpPr>
      <xdr:spPr bwMode="auto">
        <a:xfrm>
          <a:off x="933450" y="657415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46</xdr:row>
      <xdr:rowOff>0</xdr:rowOff>
    </xdr:from>
    <xdr:to>
      <xdr:col>3</xdr:col>
      <xdr:colOff>190500</xdr:colOff>
      <xdr:row>46</xdr:row>
      <xdr:rowOff>0</xdr:rowOff>
    </xdr:to>
    <xdr:sp macro="" textlink="">
      <xdr:nvSpPr>
        <xdr:cNvPr id="289" name="Text Box 93">
          <a:extLst>
            <a:ext uri="{FF2B5EF4-FFF2-40B4-BE49-F238E27FC236}">
              <a16:creationId xmlns:a16="http://schemas.microsoft.com/office/drawing/2014/main" id="{00000000-0008-0000-1E00-000021010000}"/>
            </a:ext>
          </a:extLst>
        </xdr:cNvPr>
        <xdr:cNvSpPr txBox="1">
          <a:spLocks noChangeArrowheads="1"/>
        </xdr:cNvSpPr>
      </xdr:nvSpPr>
      <xdr:spPr bwMode="auto">
        <a:xfrm>
          <a:off x="933450" y="685038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48</xdr:row>
      <xdr:rowOff>0</xdr:rowOff>
    </xdr:from>
    <xdr:to>
      <xdr:col>3</xdr:col>
      <xdr:colOff>190500</xdr:colOff>
      <xdr:row>48</xdr:row>
      <xdr:rowOff>0</xdr:rowOff>
    </xdr:to>
    <xdr:sp macro="" textlink="">
      <xdr:nvSpPr>
        <xdr:cNvPr id="290" name="Text Box 93">
          <a:extLst>
            <a:ext uri="{FF2B5EF4-FFF2-40B4-BE49-F238E27FC236}">
              <a16:creationId xmlns:a16="http://schemas.microsoft.com/office/drawing/2014/main" id="{00000000-0008-0000-1E00-000022010000}"/>
            </a:ext>
          </a:extLst>
        </xdr:cNvPr>
        <xdr:cNvSpPr txBox="1">
          <a:spLocks noChangeArrowheads="1"/>
        </xdr:cNvSpPr>
      </xdr:nvSpPr>
      <xdr:spPr bwMode="auto">
        <a:xfrm>
          <a:off x="933450" y="712660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50</xdr:row>
      <xdr:rowOff>0</xdr:rowOff>
    </xdr:from>
    <xdr:to>
      <xdr:col>3</xdr:col>
      <xdr:colOff>190500</xdr:colOff>
      <xdr:row>50</xdr:row>
      <xdr:rowOff>0</xdr:rowOff>
    </xdr:to>
    <xdr:sp macro="" textlink="">
      <xdr:nvSpPr>
        <xdr:cNvPr id="291" name="Text Box 93">
          <a:extLst>
            <a:ext uri="{FF2B5EF4-FFF2-40B4-BE49-F238E27FC236}">
              <a16:creationId xmlns:a16="http://schemas.microsoft.com/office/drawing/2014/main" id="{00000000-0008-0000-1E00-000023010000}"/>
            </a:ext>
          </a:extLst>
        </xdr:cNvPr>
        <xdr:cNvSpPr txBox="1">
          <a:spLocks noChangeArrowheads="1"/>
        </xdr:cNvSpPr>
      </xdr:nvSpPr>
      <xdr:spPr bwMode="auto">
        <a:xfrm>
          <a:off x="933450" y="740283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52</xdr:row>
      <xdr:rowOff>0</xdr:rowOff>
    </xdr:from>
    <xdr:to>
      <xdr:col>3</xdr:col>
      <xdr:colOff>190500</xdr:colOff>
      <xdr:row>52</xdr:row>
      <xdr:rowOff>0</xdr:rowOff>
    </xdr:to>
    <xdr:sp macro="" textlink="">
      <xdr:nvSpPr>
        <xdr:cNvPr id="292" name="Text Box 93">
          <a:extLst>
            <a:ext uri="{FF2B5EF4-FFF2-40B4-BE49-F238E27FC236}">
              <a16:creationId xmlns:a16="http://schemas.microsoft.com/office/drawing/2014/main" id="{00000000-0008-0000-1E00-000024010000}"/>
            </a:ext>
          </a:extLst>
        </xdr:cNvPr>
        <xdr:cNvSpPr txBox="1">
          <a:spLocks noChangeArrowheads="1"/>
        </xdr:cNvSpPr>
      </xdr:nvSpPr>
      <xdr:spPr bwMode="auto">
        <a:xfrm>
          <a:off x="933450" y="767905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54</xdr:row>
      <xdr:rowOff>0</xdr:rowOff>
    </xdr:from>
    <xdr:to>
      <xdr:col>3</xdr:col>
      <xdr:colOff>190500</xdr:colOff>
      <xdr:row>54</xdr:row>
      <xdr:rowOff>0</xdr:rowOff>
    </xdr:to>
    <xdr:sp macro="" textlink="">
      <xdr:nvSpPr>
        <xdr:cNvPr id="293" name="Text Box 93">
          <a:extLst>
            <a:ext uri="{FF2B5EF4-FFF2-40B4-BE49-F238E27FC236}">
              <a16:creationId xmlns:a16="http://schemas.microsoft.com/office/drawing/2014/main" id="{00000000-0008-0000-1E00-000025010000}"/>
            </a:ext>
          </a:extLst>
        </xdr:cNvPr>
        <xdr:cNvSpPr txBox="1">
          <a:spLocks noChangeArrowheads="1"/>
        </xdr:cNvSpPr>
      </xdr:nvSpPr>
      <xdr:spPr bwMode="auto">
        <a:xfrm>
          <a:off x="933450" y="795528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666750</xdr:colOff>
      <xdr:row>0</xdr:row>
      <xdr:rowOff>104775</xdr:rowOff>
    </xdr:from>
    <xdr:to>
      <xdr:col>2</xdr:col>
      <xdr:colOff>1127463</xdr:colOff>
      <xdr:row>1</xdr:row>
      <xdr:rowOff>9525</xdr:rowOff>
    </xdr:to>
    <xdr:pic>
      <xdr:nvPicPr>
        <xdr:cNvPr id="297" name="Picture 296" descr="homes.png">
          <a:hlinkClick xmlns:r="http://schemas.openxmlformats.org/officeDocument/2006/relationships" r:id="rId1"/>
          <a:extLst>
            <a:ext uri="{FF2B5EF4-FFF2-40B4-BE49-F238E27FC236}">
              <a16:creationId xmlns:a16="http://schemas.microsoft.com/office/drawing/2014/main" id="{00000000-0008-0000-1E00-000029010000}"/>
            </a:ext>
          </a:extLst>
        </xdr:cNvPr>
        <xdr:cNvPicPr>
          <a:picLocks noChangeAspect="1"/>
        </xdr:cNvPicPr>
      </xdr:nvPicPr>
      <xdr:blipFill>
        <a:blip xmlns:r="http://schemas.openxmlformats.org/officeDocument/2006/relationships" r:embed="rId2" cstate="print"/>
        <a:stretch>
          <a:fillRect/>
        </a:stretch>
      </xdr:blipFill>
      <xdr:spPr>
        <a:xfrm>
          <a:off x="1600200" y="104775"/>
          <a:ext cx="460713" cy="447675"/>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2</xdr:col>
      <xdr:colOff>0</xdr:colOff>
      <xdr:row>18</xdr:row>
      <xdr:rowOff>0</xdr:rowOff>
    </xdr:from>
    <xdr:to>
      <xdr:col>3</xdr:col>
      <xdr:colOff>190500</xdr:colOff>
      <xdr:row>18</xdr:row>
      <xdr:rowOff>0</xdr:rowOff>
    </xdr:to>
    <xdr:sp macro="" textlink="">
      <xdr:nvSpPr>
        <xdr:cNvPr id="2" name="Text Box 93">
          <a:extLst>
            <a:ext uri="{FF2B5EF4-FFF2-40B4-BE49-F238E27FC236}">
              <a16:creationId xmlns:a16="http://schemas.microsoft.com/office/drawing/2014/main" id="{00000000-0008-0000-1F00-000002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3" name="Text Box 93">
          <a:extLst>
            <a:ext uri="{FF2B5EF4-FFF2-40B4-BE49-F238E27FC236}">
              <a16:creationId xmlns:a16="http://schemas.microsoft.com/office/drawing/2014/main" id="{00000000-0008-0000-1F00-000003000000}"/>
            </a:ext>
          </a:extLst>
        </xdr:cNvPr>
        <xdr:cNvSpPr txBox="1">
          <a:spLocks noChangeArrowheads="1"/>
        </xdr:cNvSpPr>
      </xdr:nvSpPr>
      <xdr:spPr bwMode="auto">
        <a:xfrm>
          <a:off x="933450" y="2486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4" name="Text Box 93">
          <a:extLst>
            <a:ext uri="{FF2B5EF4-FFF2-40B4-BE49-F238E27FC236}">
              <a16:creationId xmlns:a16="http://schemas.microsoft.com/office/drawing/2014/main" id="{00000000-0008-0000-1F00-000004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5" name="Text Box 93">
          <a:extLst>
            <a:ext uri="{FF2B5EF4-FFF2-40B4-BE49-F238E27FC236}">
              <a16:creationId xmlns:a16="http://schemas.microsoft.com/office/drawing/2014/main" id="{00000000-0008-0000-1F00-000005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6" name="Text Box 93">
          <a:extLst>
            <a:ext uri="{FF2B5EF4-FFF2-40B4-BE49-F238E27FC236}">
              <a16:creationId xmlns:a16="http://schemas.microsoft.com/office/drawing/2014/main" id="{00000000-0008-0000-1F00-000006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7" name="Text Box 93">
          <a:extLst>
            <a:ext uri="{FF2B5EF4-FFF2-40B4-BE49-F238E27FC236}">
              <a16:creationId xmlns:a16="http://schemas.microsoft.com/office/drawing/2014/main" id="{00000000-0008-0000-1F00-000007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8" name="Text Box 93">
          <a:extLst>
            <a:ext uri="{FF2B5EF4-FFF2-40B4-BE49-F238E27FC236}">
              <a16:creationId xmlns:a16="http://schemas.microsoft.com/office/drawing/2014/main" id="{00000000-0008-0000-1F00-000008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9" name="Text Box 93">
          <a:extLst>
            <a:ext uri="{FF2B5EF4-FFF2-40B4-BE49-F238E27FC236}">
              <a16:creationId xmlns:a16="http://schemas.microsoft.com/office/drawing/2014/main" id="{00000000-0008-0000-1F00-000009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0" name="Text Box 93">
          <a:extLst>
            <a:ext uri="{FF2B5EF4-FFF2-40B4-BE49-F238E27FC236}">
              <a16:creationId xmlns:a16="http://schemas.microsoft.com/office/drawing/2014/main" id="{00000000-0008-0000-1F00-00000A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1" name="Text Box 93">
          <a:extLst>
            <a:ext uri="{FF2B5EF4-FFF2-40B4-BE49-F238E27FC236}">
              <a16:creationId xmlns:a16="http://schemas.microsoft.com/office/drawing/2014/main" id="{00000000-0008-0000-1F00-00000B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2" name="Text Box 93">
          <a:extLst>
            <a:ext uri="{FF2B5EF4-FFF2-40B4-BE49-F238E27FC236}">
              <a16:creationId xmlns:a16="http://schemas.microsoft.com/office/drawing/2014/main" id="{00000000-0008-0000-1F00-00000C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15</xdr:row>
      <xdr:rowOff>0</xdr:rowOff>
    </xdr:from>
    <xdr:to>
      <xdr:col>3</xdr:col>
      <xdr:colOff>238125</xdr:colOff>
      <xdr:row>15</xdr:row>
      <xdr:rowOff>0</xdr:rowOff>
    </xdr:to>
    <xdr:sp macro="" textlink="">
      <xdr:nvSpPr>
        <xdr:cNvPr id="13" name="Text Box 92">
          <a:extLst>
            <a:ext uri="{FF2B5EF4-FFF2-40B4-BE49-F238E27FC236}">
              <a16:creationId xmlns:a16="http://schemas.microsoft.com/office/drawing/2014/main" id="{00000000-0008-0000-1F00-00000D000000}"/>
            </a:ext>
          </a:extLst>
        </xdr:cNvPr>
        <xdr:cNvSpPr txBox="1">
          <a:spLocks noChangeArrowheads="1"/>
        </xdr:cNvSpPr>
      </xdr:nvSpPr>
      <xdr:spPr bwMode="auto">
        <a:xfrm>
          <a:off x="981075" y="1826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14" name="Text Box 93">
          <a:extLst>
            <a:ext uri="{FF2B5EF4-FFF2-40B4-BE49-F238E27FC236}">
              <a16:creationId xmlns:a16="http://schemas.microsoft.com/office/drawing/2014/main" id="{00000000-0008-0000-1F00-00000E000000}"/>
            </a:ext>
          </a:extLst>
        </xdr:cNvPr>
        <xdr:cNvSpPr txBox="1">
          <a:spLocks noChangeArrowheads="1"/>
        </xdr:cNvSpPr>
      </xdr:nvSpPr>
      <xdr:spPr bwMode="auto">
        <a:xfrm>
          <a:off x="933450" y="446341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15" name="Text Box 93">
          <a:extLst>
            <a:ext uri="{FF2B5EF4-FFF2-40B4-BE49-F238E27FC236}">
              <a16:creationId xmlns:a16="http://schemas.microsoft.com/office/drawing/2014/main" id="{00000000-0008-0000-1F00-00000F000000}"/>
            </a:ext>
          </a:extLst>
        </xdr:cNvPr>
        <xdr:cNvSpPr txBox="1">
          <a:spLocks noChangeArrowheads="1"/>
        </xdr:cNvSpPr>
      </xdr:nvSpPr>
      <xdr:spPr bwMode="auto">
        <a:xfrm>
          <a:off x="933450" y="446341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6" name="Text Box 92">
          <a:extLst>
            <a:ext uri="{FF2B5EF4-FFF2-40B4-BE49-F238E27FC236}">
              <a16:creationId xmlns:a16="http://schemas.microsoft.com/office/drawing/2014/main" id="{00000000-0008-0000-1F00-000010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7" name="Text Box 92">
          <a:extLst>
            <a:ext uri="{FF2B5EF4-FFF2-40B4-BE49-F238E27FC236}">
              <a16:creationId xmlns:a16="http://schemas.microsoft.com/office/drawing/2014/main" id="{00000000-0008-0000-1F00-000011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8" name="Text Box 93">
          <a:extLst>
            <a:ext uri="{FF2B5EF4-FFF2-40B4-BE49-F238E27FC236}">
              <a16:creationId xmlns:a16="http://schemas.microsoft.com/office/drawing/2014/main" id="{00000000-0008-0000-1F00-000012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31</xdr:row>
      <xdr:rowOff>0</xdr:rowOff>
    </xdr:from>
    <xdr:to>
      <xdr:col>3</xdr:col>
      <xdr:colOff>238125</xdr:colOff>
      <xdr:row>31</xdr:row>
      <xdr:rowOff>0</xdr:rowOff>
    </xdr:to>
    <xdr:sp macro="" textlink="">
      <xdr:nvSpPr>
        <xdr:cNvPr id="19" name="Text Box 92">
          <a:extLst>
            <a:ext uri="{FF2B5EF4-FFF2-40B4-BE49-F238E27FC236}">
              <a16:creationId xmlns:a16="http://schemas.microsoft.com/office/drawing/2014/main" id="{00000000-0008-0000-1F00-000013000000}"/>
            </a:ext>
          </a:extLst>
        </xdr:cNvPr>
        <xdr:cNvSpPr txBox="1">
          <a:spLocks noChangeArrowheads="1"/>
        </xdr:cNvSpPr>
      </xdr:nvSpPr>
      <xdr:spPr bwMode="auto">
        <a:xfrm>
          <a:off x="981075" y="446341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20" name="Text Box 93">
          <a:extLst>
            <a:ext uri="{FF2B5EF4-FFF2-40B4-BE49-F238E27FC236}">
              <a16:creationId xmlns:a16="http://schemas.microsoft.com/office/drawing/2014/main" id="{00000000-0008-0000-1F00-000014000000}"/>
            </a:ext>
          </a:extLst>
        </xdr:cNvPr>
        <xdr:cNvSpPr txBox="1">
          <a:spLocks noChangeArrowheads="1"/>
        </xdr:cNvSpPr>
      </xdr:nvSpPr>
      <xdr:spPr bwMode="auto">
        <a:xfrm>
          <a:off x="933450" y="2486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1" name="Text Box 92">
          <a:extLst>
            <a:ext uri="{FF2B5EF4-FFF2-40B4-BE49-F238E27FC236}">
              <a16:creationId xmlns:a16="http://schemas.microsoft.com/office/drawing/2014/main" id="{00000000-0008-0000-1F00-000015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2" name="Text Box 93">
          <a:extLst>
            <a:ext uri="{FF2B5EF4-FFF2-40B4-BE49-F238E27FC236}">
              <a16:creationId xmlns:a16="http://schemas.microsoft.com/office/drawing/2014/main" id="{00000000-0008-0000-1F00-000016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3" name="Text Box 92">
          <a:extLst>
            <a:ext uri="{FF2B5EF4-FFF2-40B4-BE49-F238E27FC236}">
              <a16:creationId xmlns:a16="http://schemas.microsoft.com/office/drawing/2014/main" id="{00000000-0008-0000-1F00-000017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4" name="Text Box 93">
          <a:extLst>
            <a:ext uri="{FF2B5EF4-FFF2-40B4-BE49-F238E27FC236}">
              <a16:creationId xmlns:a16="http://schemas.microsoft.com/office/drawing/2014/main" id="{00000000-0008-0000-1F00-000018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25" name="Text Box 92">
          <a:extLst>
            <a:ext uri="{FF2B5EF4-FFF2-40B4-BE49-F238E27FC236}">
              <a16:creationId xmlns:a16="http://schemas.microsoft.com/office/drawing/2014/main" id="{00000000-0008-0000-1F00-000019000000}"/>
            </a:ext>
          </a:extLst>
        </xdr:cNvPr>
        <xdr:cNvSpPr txBox="1">
          <a:spLocks noChangeArrowheads="1"/>
        </xdr:cNvSpPr>
      </xdr:nvSpPr>
      <xdr:spPr bwMode="auto">
        <a:xfrm>
          <a:off x="981075"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6" name="Text Box 93">
          <a:extLst>
            <a:ext uri="{FF2B5EF4-FFF2-40B4-BE49-F238E27FC236}">
              <a16:creationId xmlns:a16="http://schemas.microsoft.com/office/drawing/2014/main" id="{00000000-0008-0000-1F00-00001A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27" name="Text Box 92">
          <a:extLst>
            <a:ext uri="{FF2B5EF4-FFF2-40B4-BE49-F238E27FC236}">
              <a16:creationId xmlns:a16="http://schemas.microsoft.com/office/drawing/2014/main" id="{00000000-0008-0000-1F00-00001B000000}"/>
            </a:ext>
          </a:extLst>
        </xdr:cNvPr>
        <xdr:cNvSpPr txBox="1">
          <a:spLocks noChangeArrowheads="1"/>
        </xdr:cNvSpPr>
      </xdr:nvSpPr>
      <xdr:spPr bwMode="auto">
        <a:xfrm>
          <a:off x="981075"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8" name="Text Box 93">
          <a:extLst>
            <a:ext uri="{FF2B5EF4-FFF2-40B4-BE49-F238E27FC236}">
              <a16:creationId xmlns:a16="http://schemas.microsoft.com/office/drawing/2014/main" id="{00000000-0008-0000-1F00-00001C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9" name="Text Box 93">
          <a:extLst>
            <a:ext uri="{FF2B5EF4-FFF2-40B4-BE49-F238E27FC236}">
              <a16:creationId xmlns:a16="http://schemas.microsoft.com/office/drawing/2014/main" id="{00000000-0008-0000-1F00-00001D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30" name="Text Box 93">
          <a:extLst>
            <a:ext uri="{FF2B5EF4-FFF2-40B4-BE49-F238E27FC236}">
              <a16:creationId xmlns:a16="http://schemas.microsoft.com/office/drawing/2014/main" id="{00000000-0008-0000-1F00-00001E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31" name="Text Box 93">
          <a:extLst>
            <a:ext uri="{FF2B5EF4-FFF2-40B4-BE49-F238E27FC236}">
              <a16:creationId xmlns:a16="http://schemas.microsoft.com/office/drawing/2014/main" id="{00000000-0008-0000-1F00-00001F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32" name="Text Box 93">
          <a:extLst>
            <a:ext uri="{FF2B5EF4-FFF2-40B4-BE49-F238E27FC236}">
              <a16:creationId xmlns:a16="http://schemas.microsoft.com/office/drawing/2014/main" id="{00000000-0008-0000-1F00-000020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33" name="Text Box 93">
          <a:extLst>
            <a:ext uri="{FF2B5EF4-FFF2-40B4-BE49-F238E27FC236}">
              <a16:creationId xmlns:a16="http://schemas.microsoft.com/office/drawing/2014/main" id="{00000000-0008-0000-1F00-000021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34" name="Text Box 92">
          <a:extLst>
            <a:ext uri="{FF2B5EF4-FFF2-40B4-BE49-F238E27FC236}">
              <a16:creationId xmlns:a16="http://schemas.microsoft.com/office/drawing/2014/main" id="{00000000-0008-0000-1F00-000022000000}"/>
            </a:ext>
          </a:extLst>
        </xdr:cNvPr>
        <xdr:cNvSpPr txBox="1">
          <a:spLocks noChangeArrowheads="1"/>
        </xdr:cNvSpPr>
      </xdr:nvSpPr>
      <xdr:spPr bwMode="auto">
        <a:xfrm>
          <a:off x="981075"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35" name="Text Box 92">
          <a:extLst>
            <a:ext uri="{FF2B5EF4-FFF2-40B4-BE49-F238E27FC236}">
              <a16:creationId xmlns:a16="http://schemas.microsoft.com/office/drawing/2014/main" id="{00000000-0008-0000-1F00-000023000000}"/>
            </a:ext>
          </a:extLst>
        </xdr:cNvPr>
        <xdr:cNvSpPr txBox="1">
          <a:spLocks noChangeArrowheads="1"/>
        </xdr:cNvSpPr>
      </xdr:nvSpPr>
      <xdr:spPr bwMode="auto">
        <a:xfrm>
          <a:off x="981075"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14</xdr:row>
      <xdr:rowOff>0</xdr:rowOff>
    </xdr:from>
    <xdr:to>
      <xdr:col>3</xdr:col>
      <xdr:colOff>238125</xdr:colOff>
      <xdr:row>14</xdr:row>
      <xdr:rowOff>0</xdr:rowOff>
    </xdr:to>
    <xdr:sp macro="" textlink="">
      <xdr:nvSpPr>
        <xdr:cNvPr id="36" name="Text Box 92">
          <a:extLst>
            <a:ext uri="{FF2B5EF4-FFF2-40B4-BE49-F238E27FC236}">
              <a16:creationId xmlns:a16="http://schemas.microsoft.com/office/drawing/2014/main" id="{00000000-0008-0000-1F00-000024000000}"/>
            </a:ext>
          </a:extLst>
        </xdr:cNvPr>
        <xdr:cNvSpPr txBox="1">
          <a:spLocks noChangeArrowheads="1"/>
        </xdr:cNvSpPr>
      </xdr:nvSpPr>
      <xdr:spPr bwMode="auto">
        <a:xfrm>
          <a:off x="981075" y="1662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37" name="Text Box 93">
          <a:extLst>
            <a:ext uri="{FF2B5EF4-FFF2-40B4-BE49-F238E27FC236}">
              <a16:creationId xmlns:a16="http://schemas.microsoft.com/office/drawing/2014/main" id="{00000000-0008-0000-1F00-000025000000}"/>
            </a:ext>
          </a:extLst>
        </xdr:cNvPr>
        <xdr:cNvSpPr txBox="1">
          <a:spLocks noChangeArrowheads="1"/>
        </xdr:cNvSpPr>
      </xdr:nvSpPr>
      <xdr:spPr bwMode="auto">
        <a:xfrm>
          <a:off x="933450"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38" name="Text Box 93">
          <a:extLst>
            <a:ext uri="{FF2B5EF4-FFF2-40B4-BE49-F238E27FC236}">
              <a16:creationId xmlns:a16="http://schemas.microsoft.com/office/drawing/2014/main" id="{00000000-0008-0000-1F00-000026000000}"/>
            </a:ext>
          </a:extLst>
        </xdr:cNvPr>
        <xdr:cNvSpPr txBox="1">
          <a:spLocks noChangeArrowheads="1"/>
        </xdr:cNvSpPr>
      </xdr:nvSpPr>
      <xdr:spPr bwMode="auto">
        <a:xfrm>
          <a:off x="933450"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39" name="Text Box 93">
          <a:extLst>
            <a:ext uri="{FF2B5EF4-FFF2-40B4-BE49-F238E27FC236}">
              <a16:creationId xmlns:a16="http://schemas.microsoft.com/office/drawing/2014/main" id="{00000000-0008-0000-1F00-000027000000}"/>
            </a:ext>
          </a:extLst>
        </xdr:cNvPr>
        <xdr:cNvSpPr txBox="1">
          <a:spLocks noChangeArrowheads="1"/>
        </xdr:cNvSpPr>
      </xdr:nvSpPr>
      <xdr:spPr bwMode="auto">
        <a:xfrm>
          <a:off x="933450"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40" name="Text Box 93">
          <a:extLst>
            <a:ext uri="{FF2B5EF4-FFF2-40B4-BE49-F238E27FC236}">
              <a16:creationId xmlns:a16="http://schemas.microsoft.com/office/drawing/2014/main" id="{00000000-0008-0000-1F00-00002800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41" name="Text Box 93">
          <a:extLst>
            <a:ext uri="{FF2B5EF4-FFF2-40B4-BE49-F238E27FC236}">
              <a16:creationId xmlns:a16="http://schemas.microsoft.com/office/drawing/2014/main" id="{00000000-0008-0000-1F00-00002900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42" name="Text Box 93">
          <a:extLst>
            <a:ext uri="{FF2B5EF4-FFF2-40B4-BE49-F238E27FC236}">
              <a16:creationId xmlns:a16="http://schemas.microsoft.com/office/drawing/2014/main" id="{00000000-0008-0000-1F00-00002A00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43" name="Text Box 93">
          <a:extLst>
            <a:ext uri="{FF2B5EF4-FFF2-40B4-BE49-F238E27FC236}">
              <a16:creationId xmlns:a16="http://schemas.microsoft.com/office/drawing/2014/main" id="{00000000-0008-0000-1F00-00002B00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44" name="Text Box 93">
          <a:extLst>
            <a:ext uri="{FF2B5EF4-FFF2-40B4-BE49-F238E27FC236}">
              <a16:creationId xmlns:a16="http://schemas.microsoft.com/office/drawing/2014/main" id="{00000000-0008-0000-1F00-00002C00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45" name="Text Box 93">
          <a:extLst>
            <a:ext uri="{FF2B5EF4-FFF2-40B4-BE49-F238E27FC236}">
              <a16:creationId xmlns:a16="http://schemas.microsoft.com/office/drawing/2014/main" id="{00000000-0008-0000-1F00-00002D000000}"/>
            </a:ext>
          </a:extLst>
        </xdr:cNvPr>
        <xdr:cNvSpPr txBox="1">
          <a:spLocks noChangeArrowheads="1"/>
        </xdr:cNvSpPr>
      </xdr:nvSpPr>
      <xdr:spPr bwMode="auto">
        <a:xfrm>
          <a:off x="933450"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46" name="Text Box 93">
          <a:extLst>
            <a:ext uri="{FF2B5EF4-FFF2-40B4-BE49-F238E27FC236}">
              <a16:creationId xmlns:a16="http://schemas.microsoft.com/office/drawing/2014/main" id="{00000000-0008-0000-1F00-00002E000000}"/>
            </a:ext>
          </a:extLst>
        </xdr:cNvPr>
        <xdr:cNvSpPr txBox="1">
          <a:spLocks noChangeArrowheads="1"/>
        </xdr:cNvSpPr>
      </xdr:nvSpPr>
      <xdr:spPr bwMode="auto">
        <a:xfrm>
          <a:off x="933450"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47" name="Text Box 92">
          <a:extLst>
            <a:ext uri="{FF2B5EF4-FFF2-40B4-BE49-F238E27FC236}">
              <a16:creationId xmlns:a16="http://schemas.microsoft.com/office/drawing/2014/main" id="{00000000-0008-0000-1F00-00002F00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48" name="Text Box 92">
          <a:extLst>
            <a:ext uri="{FF2B5EF4-FFF2-40B4-BE49-F238E27FC236}">
              <a16:creationId xmlns:a16="http://schemas.microsoft.com/office/drawing/2014/main" id="{00000000-0008-0000-1F00-00003000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49" name="Text Box 92">
          <a:extLst>
            <a:ext uri="{FF2B5EF4-FFF2-40B4-BE49-F238E27FC236}">
              <a16:creationId xmlns:a16="http://schemas.microsoft.com/office/drawing/2014/main" id="{00000000-0008-0000-1F00-000031000000}"/>
            </a:ext>
          </a:extLst>
        </xdr:cNvPr>
        <xdr:cNvSpPr txBox="1">
          <a:spLocks noChangeArrowheads="1"/>
        </xdr:cNvSpPr>
      </xdr:nvSpPr>
      <xdr:spPr bwMode="auto">
        <a:xfrm>
          <a:off x="981075"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50" name="Text Box 92">
          <a:extLst>
            <a:ext uri="{FF2B5EF4-FFF2-40B4-BE49-F238E27FC236}">
              <a16:creationId xmlns:a16="http://schemas.microsoft.com/office/drawing/2014/main" id="{00000000-0008-0000-1F00-00003200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51" name="Text Box 92">
          <a:extLst>
            <a:ext uri="{FF2B5EF4-FFF2-40B4-BE49-F238E27FC236}">
              <a16:creationId xmlns:a16="http://schemas.microsoft.com/office/drawing/2014/main" id="{00000000-0008-0000-1F00-00003300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52" name="Text Box 33">
          <a:extLst>
            <a:ext uri="{FF2B5EF4-FFF2-40B4-BE49-F238E27FC236}">
              <a16:creationId xmlns:a16="http://schemas.microsoft.com/office/drawing/2014/main" id="{00000000-0008-0000-1F00-000034000000}"/>
            </a:ext>
          </a:extLst>
        </xdr:cNvPr>
        <xdr:cNvSpPr txBox="1">
          <a:spLocks noChangeArrowheads="1"/>
        </xdr:cNvSpPr>
      </xdr:nvSpPr>
      <xdr:spPr bwMode="auto">
        <a:xfrm>
          <a:off x="1304925" y="508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53" name="Text Box 93">
          <a:extLst>
            <a:ext uri="{FF2B5EF4-FFF2-40B4-BE49-F238E27FC236}">
              <a16:creationId xmlns:a16="http://schemas.microsoft.com/office/drawing/2014/main" id="{00000000-0008-0000-1F00-000035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54" name="Text Box 93">
          <a:extLst>
            <a:ext uri="{FF2B5EF4-FFF2-40B4-BE49-F238E27FC236}">
              <a16:creationId xmlns:a16="http://schemas.microsoft.com/office/drawing/2014/main" id="{00000000-0008-0000-1F00-000036000000}"/>
            </a:ext>
          </a:extLst>
        </xdr:cNvPr>
        <xdr:cNvSpPr txBox="1">
          <a:spLocks noChangeArrowheads="1"/>
        </xdr:cNvSpPr>
      </xdr:nvSpPr>
      <xdr:spPr bwMode="auto">
        <a:xfrm>
          <a:off x="933450" y="2486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55" name="Text Box 33">
          <a:extLst>
            <a:ext uri="{FF2B5EF4-FFF2-40B4-BE49-F238E27FC236}">
              <a16:creationId xmlns:a16="http://schemas.microsoft.com/office/drawing/2014/main" id="{00000000-0008-0000-1F00-000037000000}"/>
            </a:ext>
          </a:extLst>
        </xdr:cNvPr>
        <xdr:cNvSpPr txBox="1">
          <a:spLocks noChangeArrowheads="1"/>
        </xdr:cNvSpPr>
      </xdr:nvSpPr>
      <xdr:spPr bwMode="auto">
        <a:xfrm>
          <a:off x="1304925" y="508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56" name="Text Box 93">
          <a:extLst>
            <a:ext uri="{FF2B5EF4-FFF2-40B4-BE49-F238E27FC236}">
              <a16:creationId xmlns:a16="http://schemas.microsoft.com/office/drawing/2014/main" id="{00000000-0008-0000-1F00-000038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57" name="Text Box 33">
          <a:extLst>
            <a:ext uri="{FF2B5EF4-FFF2-40B4-BE49-F238E27FC236}">
              <a16:creationId xmlns:a16="http://schemas.microsoft.com/office/drawing/2014/main" id="{00000000-0008-0000-1F00-000039000000}"/>
            </a:ext>
          </a:extLst>
        </xdr:cNvPr>
        <xdr:cNvSpPr txBox="1">
          <a:spLocks noChangeArrowheads="1"/>
        </xdr:cNvSpPr>
      </xdr:nvSpPr>
      <xdr:spPr bwMode="auto">
        <a:xfrm>
          <a:off x="1304925" y="508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58" name="Text Box 93">
          <a:extLst>
            <a:ext uri="{FF2B5EF4-FFF2-40B4-BE49-F238E27FC236}">
              <a16:creationId xmlns:a16="http://schemas.microsoft.com/office/drawing/2014/main" id="{00000000-0008-0000-1F00-00003A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59" name="Text Box 93">
          <a:extLst>
            <a:ext uri="{FF2B5EF4-FFF2-40B4-BE49-F238E27FC236}">
              <a16:creationId xmlns:a16="http://schemas.microsoft.com/office/drawing/2014/main" id="{00000000-0008-0000-1F00-00003B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60" name="Text Box 93">
          <a:extLst>
            <a:ext uri="{FF2B5EF4-FFF2-40B4-BE49-F238E27FC236}">
              <a16:creationId xmlns:a16="http://schemas.microsoft.com/office/drawing/2014/main" id="{00000000-0008-0000-1F00-00003C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61" name="Text Box 93">
          <a:extLst>
            <a:ext uri="{FF2B5EF4-FFF2-40B4-BE49-F238E27FC236}">
              <a16:creationId xmlns:a16="http://schemas.microsoft.com/office/drawing/2014/main" id="{00000000-0008-0000-1F00-00003D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62" name="Text Box 93">
          <a:extLst>
            <a:ext uri="{FF2B5EF4-FFF2-40B4-BE49-F238E27FC236}">
              <a16:creationId xmlns:a16="http://schemas.microsoft.com/office/drawing/2014/main" id="{00000000-0008-0000-1F00-00003E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63" name="Text Box 93">
          <a:extLst>
            <a:ext uri="{FF2B5EF4-FFF2-40B4-BE49-F238E27FC236}">
              <a16:creationId xmlns:a16="http://schemas.microsoft.com/office/drawing/2014/main" id="{00000000-0008-0000-1F00-00003F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64" name="Text Box 93">
          <a:extLst>
            <a:ext uri="{FF2B5EF4-FFF2-40B4-BE49-F238E27FC236}">
              <a16:creationId xmlns:a16="http://schemas.microsoft.com/office/drawing/2014/main" id="{00000000-0008-0000-1F00-000040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65" name="Text Box 93">
          <a:extLst>
            <a:ext uri="{FF2B5EF4-FFF2-40B4-BE49-F238E27FC236}">
              <a16:creationId xmlns:a16="http://schemas.microsoft.com/office/drawing/2014/main" id="{00000000-0008-0000-1F00-000041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15</xdr:row>
      <xdr:rowOff>0</xdr:rowOff>
    </xdr:from>
    <xdr:to>
      <xdr:col>3</xdr:col>
      <xdr:colOff>238125</xdr:colOff>
      <xdr:row>15</xdr:row>
      <xdr:rowOff>0</xdr:rowOff>
    </xdr:to>
    <xdr:sp macro="" textlink="">
      <xdr:nvSpPr>
        <xdr:cNvPr id="66" name="Text Box 92">
          <a:extLst>
            <a:ext uri="{FF2B5EF4-FFF2-40B4-BE49-F238E27FC236}">
              <a16:creationId xmlns:a16="http://schemas.microsoft.com/office/drawing/2014/main" id="{00000000-0008-0000-1F00-000042000000}"/>
            </a:ext>
          </a:extLst>
        </xdr:cNvPr>
        <xdr:cNvSpPr txBox="1">
          <a:spLocks noChangeArrowheads="1"/>
        </xdr:cNvSpPr>
      </xdr:nvSpPr>
      <xdr:spPr bwMode="auto">
        <a:xfrm>
          <a:off x="981075" y="1826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67" name="Text Box 33">
          <a:extLst>
            <a:ext uri="{FF2B5EF4-FFF2-40B4-BE49-F238E27FC236}">
              <a16:creationId xmlns:a16="http://schemas.microsoft.com/office/drawing/2014/main" id="{00000000-0008-0000-1F00-000043000000}"/>
            </a:ext>
          </a:extLst>
        </xdr:cNvPr>
        <xdr:cNvSpPr txBox="1">
          <a:spLocks noChangeArrowheads="1"/>
        </xdr:cNvSpPr>
      </xdr:nvSpPr>
      <xdr:spPr bwMode="auto">
        <a:xfrm>
          <a:off x="1304925" y="298037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68" name="Text Box 93">
          <a:extLst>
            <a:ext uri="{FF2B5EF4-FFF2-40B4-BE49-F238E27FC236}">
              <a16:creationId xmlns:a16="http://schemas.microsoft.com/office/drawing/2014/main" id="{00000000-0008-0000-1F00-000044000000}"/>
            </a:ext>
          </a:extLst>
        </xdr:cNvPr>
        <xdr:cNvSpPr txBox="1">
          <a:spLocks noChangeArrowheads="1"/>
        </xdr:cNvSpPr>
      </xdr:nvSpPr>
      <xdr:spPr bwMode="auto">
        <a:xfrm>
          <a:off x="933450" y="479298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34</xdr:row>
      <xdr:rowOff>0</xdr:rowOff>
    </xdr:from>
    <xdr:to>
      <xdr:col>3</xdr:col>
      <xdr:colOff>190500</xdr:colOff>
      <xdr:row>34</xdr:row>
      <xdr:rowOff>0</xdr:rowOff>
    </xdr:to>
    <xdr:sp macro="" textlink="">
      <xdr:nvSpPr>
        <xdr:cNvPr id="69" name="Text Box 93">
          <a:extLst>
            <a:ext uri="{FF2B5EF4-FFF2-40B4-BE49-F238E27FC236}">
              <a16:creationId xmlns:a16="http://schemas.microsoft.com/office/drawing/2014/main" id="{00000000-0008-0000-1F00-000045000000}"/>
            </a:ext>
          </a:extLst>
        </xdr:cNvPr>
        <xdr:cNvSpPr txBox="1">
          <a:spLocks noChangeArrowheads="1"/>
        </xdr:cNvSpPr>
      </xdr:nvSpPr>
      <xdr:spPr bwMode="auto">
        <a:xfrm>
          <a:off x="933450" y="495776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70" name="Text Box 33">
          <a:extLst>
            <a:ext uri="{FF2B5EF4-FFF2-40B4-BE49-F238E27FC236}">
              <a16:creationId xmlns:a16="http://schemas.microsoft.com/office/drawing/2014/main" id="{00000000-0008-0000-1F00-000046000000}"/>
            </a:ext>
          </a:extLst>
        </xdr:cNvPr>
        <xdr:cNvSpPr txBox="1">
          <a:spLocks noChangeArrowheads="1"/>
        </xdr:cNvSpPr>
      </xdr:nvSpPr>
      <xdr:spPr bwMode="auto">
        <a:xfrm>
          <a:off x="1304925" y="298037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71" name="Text Box 93">
          <a:extLst>
            <a:ext uri="{FF2B5EF4-FFF2-40B4-BE49-F238E27FC236}">
              <a16:creationId xmlns:a16="http://schemas.microsoft.com/office/drawing/2014/main" id="{00000000-0008-0000-1F00-000047000000}"/>
            </a:ext>
          </a:extLst>
        </xdr:cNvPr>
        <xdr:cNvSpPr txBox="1">
          <a:spLocks noChangeArrowheads="1"/>
        </xdr:cNvSpPr>
      </xdr:nvSpPr>
      <xdr:spPr bwMode="auto">
        <a:xfrm>
          <a:off x="933450" y="479298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72" name="Text Box 33">
          <a:extLst>
            <a:ext uri="{FF2B5EF4-FFF2-40B4-BE49-F238E27FC236}">
              <a16:creationId xmlns:a16="http://schemas.microsoft.com/office/drawing/2014/main" id="{00000000-0008-0000-1F00-000048000000}"/>
            </a:ext>
          </a:extLst>
        </xdr:cNvPr>
        <xdr:cNvSpPr txBox="1">
          <a:spLocks noChangeArrowheads="1"/>
        </xdr:cNvSpPr>
      </xdr:nvSpPr>
      <xdr:spPr bwMode="auto">
        <a:xfrm>
          <a:off x="1304925" y="298037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73" name="Text Box 93">
          <a:extLst>
            <a:ext uri="{FF2B5EF4-FFF2-40B4-BE49-F238E27FC236}">
              <a16:creationId xmlns:a16="http://schemas.microsoft.com/office/drawing/2014/main" id="{00000000-0008-0000-1F00-000049000000}"/>
            </a:ext>
          </a:extLst>
        </xdr:cNvPr>
        <xdr:cNvSpPr txBox="1">
          <a:spLocks noChangeArrowheads="1"/>
        </xdr:cNvSpPr>
      </xdr:nvSpPr>
      <xdr:spPr bwMode="auto">
        <a:xfrm>
          <a:off x="933450" y="479298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74" name="Text Box 93">
          <a:extLst>
            <a:ext uri="{FF2B5EF4-FFF2-40B4-BE49-F238E27FC236}">
              <a16:creationId xmlns:a16="http://schemas.microsoft.com/office/drawing/2014/main" id="{00000000-0008-0000-1F00-00004A000000}"/>
            </a:ext>
          </a:extLst>
        </xdr:cNvPr>
        <xdr:cNvSpPr txBox="1">
          <a:spLocks noChangeArrowheads="1"/>
        </xdr:cNvSpPr>
      </xdr:nvSpPr>
      <xdr:spPr bwMode="auto">
        <a:xfrm>
          <a:off x="933450" y="462819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75" name="Text Box 93">
          <a:extLst>
            <a:ext uri="{FF2B5EF4-FFF2-40B4-BE49-F238E27FC236}">
              <a16:creationId xmlns:a16="http://schemas.microsoft.com/office/drawing/2014/main" id="{00000000-0008-0000-1F00-00004B000000}"/>
            </a:ext>
          </a:extLst>
        </xdr:cNvPr>
        <xdr:cNvSpPr txBox="1">
          <a:spLocks noChangeArrowheads="1"/>
        </xdr:cNvSpPr>
      </xdr:nvSpPr>
      <xdr:spPr bwMode="auto">
        <a:xfrm>
          <a:off x="933450" y="462819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76" name="Text Box 93">
          <a:extLst>
            <a:ext uri="{FF2B5EF4-FFF2-40B4-BE49-F238E27FC236}">
              <a16:creationId xmlns:a16="http://schemas.microsoft.com/office/drawing/2014/main" id="{00000000-0008-0000-1F00-00004C000000}"/>
            </a:ext>
          </a:extLst>
        </xdr:cNvPr>
        <xdr:cNvSpPr txBox="1">
          <a:spLocks noChangeArrowheads="1"/>
        </xdr:cNvSpPr>
      </xdr:nvSpPr>
      <xdr:spPr bwMode="auto">
        <a:xfrm>
          <a:off x="933450" y="462819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77" name="Text Box 93">
          <a:extLst>
            <a:ext uri="{FF2B5EF4-FFF2-40B4-BE49-F238E27FC236}">
              <a16:creationId xmlns:a16="http://schemas.microsoft.com/office/drawing/2014/main" id="{00000000-0008-0000-1F00-00004D000000}"/>
            </a:ext>
          </a:extLst>
        </xdr:cNvPr>
        <xdr:cNvSpPr txBox="1">
          <a:spLocks noChangeArrowheads="1"/>
        </xdr:cNvSpPr>
      </xdr:nvSpPr>
      <xdr:spPr bwMode="auto">
        <a:xfrm>
          <a:off x="933450" y="462819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78" name="Text Box 93">
          <a:extLst>
            <a:ext uri="{FF2B5EF4-FFF2-40B4-BE49-F238E27FC236}">
              <a16:creationId xmlns:a16="http://schemas.microsoft.com/office/drawing/2014/main" id="{00000000-0008-0000-1F00-00004E000000}"/>
            </a:ext>
          </a:extLst>
        </xdr:cNvPr>
        <xdr:cNvSpPr txBox="1">
          <a:spLocks noChangeArrowheads="1"/>
        </xdr:cNvSpPr>
      </xdr:nvSpPr>
      <xdr:spPr bwMode="auto">
        <a:xfrm>
          <a:off x="933450" y="462819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79" name="Text Box 93">
          <a:extLst>
            <a:ext uri="{FF2B5EF4-FFF2-40B4-BE49-F238E27FC236}">
              <a16:creationId xmlns:a16="http://schemas.microsoft.com/office/drawing/2014/main" id="{00000000-0008-0000-1F00-00004F000000}"/>
            </a:ext>
          </a:extLst>
        </xdr:cNvPr>
        <xdr:cNvSpPr txBox="1">
          <a:spLocks noChangeArrowheads="1"/>
        </xdr:cNvSpPr>
      </xdr:nvSpPr>
      <xdr:spPr bwMode="auto">
        <a:xfrm>
          <a:off x="933450" y="446341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80" name="Text Box 93">
          <a:extLst>
            <a:ext uri="{FF2B5EF4-FFF2-40B4-BE49-F238E27FC236}">
              <a16:creationId xmlns:a16="http://schemas.microsoft.com/office/drawing/2014/main" id="{00000000-0008-0000-1F00-000050000000}"/>
            </a:ext>
          </a:extLst>
        </xdr:cNvPr>
        <xdr:cNvSpPr txBox="1">
          <a:spLocks noChangeArrowheads="1"/>
        </xdr:cNvSpPr>
      </xdr:nvSpPr>
      <xdr:spPr bwMode="auto">
        <a:xfrm>
          <a:off x="933450" y="446341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81" name="Text Box 92">
          <a:extLst>
            <a:ext uri="{FF2B5EF4-FFF2-40B4-BE49-F238E27FC236}">
              <a16:creationId xmlns:a16="http://schemas.microsoft.com/office/drawing/2014/main" id="{00000000-0008-0000-1F00-000051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82" name="Text Box 33">
          <a:extLst>
            <a:ext uri="{FF2B5EF4-FFF2-40B4-BE49-F238E27FC236}">
              <a16:creationId xmlns:a16="http://schemas.microsoft.com/office/drawing/2014/main" id="{00000000-0008-0000-1F00-000052000000}"/>
            </a:ext>
          </a:extLst>
        </xdr:cNvPr>
        <xdr:cNvSpPr txBox="1">
          <a:spLocks noChangeArrowheads="1"/>
        </xdr:cNvSpPr>
      </xdr:nvSpPr>
      <xdr:spPr bwMode="auto">
        <a:xfrm>
          <a:off x="1304925" y="298037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83" name="Text Box 33">
          <a:extLst>
            <a:ext uri="{FF2B5EF4-FFF2-40B4-BE49-F238E27FC236}">
              <a16:creationId xmlns:a16="http://schemas.microsoft.com/office/drawing/2014/main" id="{00000000-0008-0000-1F00-000053000000}"/>
            </a:ext>
          </a:extLst>
        </xdr:cNvPr>
        <xdr:cNvSpPr txBox="1">
          <a:spLocks noChangeArrowheads="1"/>
        </xdr:cNvSpPr>
      </xdr:nvSpPr>
      <xdr:spPr bwMode="auto">
        <a:xfrm>
          <a:off x="1304925" y="508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84" name="Text Box 92">
          <a:extLst>
            <a:ext uri="{FF2B5EF4-FFF2-40B4-BE49-F238E27FC236}">
              <a16:creationId xmlns:a16="http://schemas.microsoft.com/office/drawing/2014/main" id="{00000000-0008-0000-1F00-000054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85" name="Text Box 93">
          <a:extLst>
            <a:ext uri="{FF2B5EF4-FFF2-40B4-BE49-F238E27FC236}">
              <a16:creationId xmlns:a16="http://schemas.microsoft.com/office/drawing/2014/main" id="{00000000-0008-0000-1F00-000055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23</xdr:row>
      <xdr:rowOff>0</xdr:rowOff>
    </xdr:from>
    <xdr:to>
      <xdr:col>2</xdr:col>
      <xdr:colOff>1524000</xdr:colOff>
      <xdr:row>23</xdr:row>
      <xdr:rowOff>0</xdr:rowOff>
    </xdr:to>
    <xdr:sp macro="" textlink="">
      <xdr:nvSpPr>
        <xdr:cNvPr id="86" name="Text Box 33">
          <a:extLst>
            <a:ext uri="{FF2B5EF4-FFF2-40B4-BE49-F238E27FC236}">
              <a16:creationId xmlns:a16="http://schemas.microsoft.com/office/drawing/2014/main" id="{00000000-0008-0000-1F00-000056000000}"/>
            </a:ext>
          </a:extLst>
        </xdr:cNvPr>
        <xdr:cNvSpPr txBox="1">
          <a:spLocks noChangeArrowheads="1"/>
        </xdr:cNvSpPr>
      </xdr:nvSpPr>
      <xdr:spPr bwMode="auto">
        <a:xfrm>
          <a:off x="1304925" y="314515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31</xdr:row>
      <xdr:rowOff>0</xdr:rowOff>
    </xdr:from>
    <xdr:to>
      <xdr:col>3</xdr:col>
      <xdr:colOff>238125</xdr:colOff>
      <xdr:row>31</xdr:row>
      <xdr:rowOff>0</xdr:rowOff>
    </xdr:to>
    <xdr:sp macro="" textlink="">
      <xdr:nvSpPr>
        <xdr:cNvPr id="87" name="Text Box 92">
          <a:extLst>
            <a:ext uri="{FF2B5EF4-FFF2-40B4-BE49-F238E27FC236}">
              <a16:creationId xmlns:a16="http://schemas.microsoft.com/office/drawing/2014/main" id="{00000000-0008-0000-1F00-000057000000}"/>
            </a:ext>
          </a:extLst>
        </xdr:cNvPr>
        <xdr:cNvSpPr txBox="1">
          <a:spLocks noChangeArrowheads="1"/>
        </xdr:cNvSpPr>
      </xdr:nvSpPr>
      <xdr:spPr bwMode="auto">
        <a:xfrm>
          <a:off x="981075" y="446341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88" name="Text Box 93">
          <a:extLst>
            <a:ext uri="{FF2B5EF4-FFF2-40B4-BE49-F238E27FC236}">
              <a16:creationId xmlns:a16="http://schemas.microsoft.com/office/drawing/2014/main" id="{00000000-0008-0000-1F00-000058000000}"/>
            </a:ext>
          </a:extLst>
        </xdr:cNvPr>
        <xdr:cNvSpPr txBox="1">
          <a:spLocks noChangeArrowheads="1"/>
        </xdr:cNvSpPr>
      </xdr:nvSpPr>
      <xdr:spPr bwMode="auto">
        <a:xfrm>
          <a:off x="933450" y="2486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89" name="Text Box 33">
          <a:extLst>
            <a:ext uri="{FF2B5EF4-FFF2-40B4-BE49-F238E27FC236}">
              <a16:creationId xmlns:a16="http://schemas.microsoft.com/office/drawing/2014/main" id="{00000000-0008-0000-1F00-000059000000}"/>
            </a:ext>
          </a:extLst>
        </xdr:cNvPr>
        <xdr:cNvSpPr txBox="1">
          <a:spLocks noChangeArrowheads="1"/>
        </xdr:cNvSpPr>
      </xdr:nvSpPr>
      <xdr:spPr bwMode="auto">
        <a:xfrm>
          <a:off x="1304925" y="298037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90" name="Text Box 33">
          <a:extLst>
            <a:ext uri="{FF2B5EF4-FFF2-40B4-BE49-F238E27FC236}">
              <a16:creationId xmlns:a16="http://schemas.microsoft.com/office/drawing/2014/main" id="{00000000-0008-0000-1F00-00005A000000}"/>
            </a:ext>
          </a:extLst>
        </xdr:cNvPr>
        <xdr:cNvSpPr txBox="1">
          <a:spLocks noChangeArrowheads="1"/>
        </xdr:cNvSpPr>
      </xdr:nvSpPr>
      <xdr:spPr bwMode="auto">
        <a:xfrm>
          <a:off x="1304925" y="508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91" name="Text Box 92">
          <a:extLst>
            <a:ext uri="{FF2B5EF4-FFF2-40B4-BE49-F238E27FC236}">
              <a16:creationId xmlns:a16="http://schemas.microsoft.com/office/drawing/2014/main" id="{00000000-0008-0000-1F00-00005B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92" name="Text Box 93">
          <a:extLst>
            <a:ext uri="{FF2B5EF4-FFF2-40B4-BE49-F238E27FC236}">
              <a16:creationId xmlns:a16="http://schemas.microsoft.com/office/drawing/2014/main" id="{00000000-0008-0000-1F00-00005C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93" name="Text Box 33">
          <a:extLst>
            <a:ext uri="{FF2B5EF4-FFF2-40B4-BE49-F238E27FC236}">
              <a16:creationId xmlns:a16="http://schemas.microsoft.com/office/drawing/2014/main" id="{00000000-0008-0000-1F00-00005D000000}"/>
            </a:ext>
          </a:extLst>
        </xdr:cNvPr>
        <xdr:cNvSpPr txBox="1">
          <a:spLocks noChangeArrowheads="1"/>
        </xdr:cNvSpPr>
      </xdr:nvSpPr>
      <xdr:spPr bwMode="auto">
        <a:xfrm>
          <a:off x="1304925" y="298037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94" name="Text Box 33">
          <a:extLst>
            <a:ext uri="{FF2B5EF4-FFF2-40B4-BE49-F238E27FC236}">
              <a16:creationId xmlns:a16="http://schemas.microsoft.com/office/drawing/2014/main" id="{00000000-0008-0000-1F00-00005E000000}"/>
            </a:ext>
          </a:extLst>
        </xdr:cNvPr>
        <xdr:cNvSpPr txBox="1">
          <a:spLocks noChangeArrowheads="1"/>
        </xdr:cNvSpPr>
      </xdr:nvSpPr>
      <xdr:spPr bwMode="auto">
        <a:xfrm>
          <a:off x="1304925" y="508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95" name="Text Box 92">
          <a:extLst>
            <a:ext uri="{FF2B5EF4-FFF2-40B4-BE49-F238E27FC236}">
              <a16:creationId xmlns:a16="http://schemas.microsoft.com/office/drawing/2014/main" id="{00000000-0008-0000-1F00-00005F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96" name="Text Box 93">
          <a:extLst>
            <a:ext uri="{FF2B5EF4-FFF2-40B4-BE49-F238E27FC236}">
              <a16:creationId xmlns:a16="http://schemas.microsoft.com/office/drawing/2014/main" id="{00000000-0008-0000-1F00-000060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21</xdr:row>
      <xdr:rowOff>0</xdr:rowOff>
    </xdr:from>
    <xdr:to>
      <xdr:col>2</xdr:col>
      <xdr:colOff>1524000</xdr:colOff>
      <xdr:row>21</xdr:row>
      <xdr:rowOff>0</xdr:rowOff>
    </xdr:to>
    <xdr:sp macro="" textlink="">
      <xdr:nvSpPr>
        <xdr:cNvPr id="97" name="Text Box 33">
          <a:extLst>
            <a:ext uri="{FF2B5EF4-FFF2-40B4-BE49-F238E27FC236}">
              <a16:creationId xmlns:a16="http://schemas.microsoft.com/office/drawing/2014/main" id="{00000000-0008-0000-1F00-000061000000}"/>
            </a:ext>
          </a:extLst>
        </xdr:cNvPr>
        <xdr:cNvSpPr txBox="1">
          <a:spLocks noChangeArrowheads="1"/>
        </xdr:cNvSpPr>
      </xdr:nvSpPr>
      <xdr:spPr bwMode="auto">
        <a:xfrm>
          <a:off x="1304925" y="281559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98" name="Text Box 92">
          <a:extLst>
            <a:ext uri="{FF2B5EF4-FFF2-40B4-BE49-F238E27FC236}">
              <a16:creationId xmlns:a16="http://schemas.microsoft.com/office/drawing/2014/main" id="{00000000-0008-0000-1F00-000062000000}"/>
            </a:ext>
          </a:extLst>
        </xdr:cNvPr>
        <xdr:cNvSpPr txBox="1">
          <a:spLocks noChangeArrowheads="1"/>
        </xdr:cNvSpPr>
      </xdr:nvSpPr>
      <xdr:spPr bwMode="auto">
        <a:xfrm>
          <a:off x="981075"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99" name="Text Box 93">
          <a:extLst>
            <a:ext uri="{FF2B5EF4-FFF2-40B4-BE49-F238E27FC236}">
              <a16:creationId xmlns:a16="http://schemas.microsoft.com/office/drawing/2014/main" id="{00000000-0008-0000-1F00-000063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21</xdr:row>
      <xdr:rowOff>0</xdr:rowOff>
    </xdr:from>
    <xdr:to>
      <xdr:col>2</xdr:col>
      <xdr:colOff>1524000</xdr:colOff>
      <xdr:row>21</xdr:row>
      <xdr:rowOff>0</xdr:rowOff>
    </xdr:to>
    <xdr:sp macro="" textlink="">
      <xdr:nvSpPr>
        <xdr:cNvPr id="100" name="Text Box 33">
          <a:extLst>
            <a:ext uri="{FF2B5EF4-FFF2-40B4-BE49-F238E27FC236}">
              <a16:creationId xmlns:a16="http://schemas.microsoft.com/office/drawing/2014/main" id="{00000000-0008-0000-1F00-000064000000}"/>
            </a:ext>
          </a:extLst>
        </xdr:cNvPr>
        <xdr:cNvSpPr txBox="1">
          <a:spLocks noChangeArrowheads="1"/>
        </xdr:cNvSpPr>
      </xdr:nvSpPr>
      <xdr:spPr bwMode="auto">
        <a:xfrm>
          <a:off x="1304925" y="281559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101" name="Text Box 92">
          <a:extLst>
            <a:ext uri="{FF2B5EF4-FFF2-40B4-BE49-F238E27FC236}">
              <a16:creationId xmlns:a16="http://schemas.microsoft.com/office/drawing/2014/main" id="{00000000-0008-0000-1F00-000065000000}"/>
            </a:ext>
          </a:extLst>
        </xdr:cNvPr>
        <xdr:cNvSpPr txBox="1">
          <a:spLocks noChangeArrowheads="1"/>
        </xdr:cNvSpPr>
      </xdr:nvSpPr>
      <xdr:spPr bwMode="auto">
        <a:xfrm>
          <a:off x="981075"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02" name="Text Box 93">
          <a:extLst>
            <a:ext uri="{FF2B5EF4-FFF2-40B4-BE49-F238E27FC236}">
              <a16:creationId xmlns:a16="http://schemas.microsoft.com/office/drawing/2014/main" id="{00000000-0008-0000-1F00-000066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30</xdr:row>
      <xdr:rowOff>0</xdr:rowOff>
    </xdr:from>
    <xdr:to>
      <xdr:col>2</xdr:col>
      <xdr:colOff>1524000</xdr:colOff>
      <xdr:row>30</xdr:row>
      <xdr:rowOff>0</xdr:rowOff>
    </xdr:to>
    <xdr:sp macro="" textlink="">
      <xdr:nvSpPr>
        <xdr:cNvPr id="103" name="Text Box 33">
          <a:extLst>
            <a:ext uri="{FF2B5EF4-FFF2-40B4-BE49-F238E27FC236}">
              <a16:creationId xmlns:a16="http://schemas.microsoft.com/office/drawing/2014/main" id="{00000000-0008-0000-1F00-000067000000}"/>
            </a:ext>
          </a:extLst>
        </xdr:cNvPr>
        <xdr:cNvSpPr txBox="1">
          <a:spLocks noChangeArrowheads="1"/>
        </xdr:cNvSpPr>
      </xdr:nvSpPr>
      <xdr:spPr bwMode="auto">
        <a:xfrm>
          <a:off x="1304925" y="429863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04" name="Text Box 93">
          <a:extLst>
            <a:ext uri="{FF2B5EF4-FFF2-40B4-BE49-F238E27FC236}">
              <a16:creationId xmlns:a16="http://schemas.microsoft.com/office/drawing/2014/main" id="{00000000-0008-0000-1F00-000068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05" name="Text Box 93">
          <a:extLst>
            <a:ext uri="{FF2B5EF4-FFF2-40B4-BE49-F238E27FC236}">
              <a16:creationId xmlns:a16="http://schemas.microsoft.com/office/drawing/2014/main" id="{00000000-0008-0000-1F00-000069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06" name="Text Box 93">
          <a:extLst>
            <a:ext uri="{FF2B5EF4-FFF2-40B4-BE49-F238E27FC236}">
              <a16:creationId xmlns:a16="http://schemas.microsoft.com/office/drawing/2014/main" id="{00000000-0008-0000-1F00-00006A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07" name="Text Box 93">
          <a:extLst>
            <a:ext uri="{FF2B5EF4-FFF2-40B4-BE49-F238E27FC236}">
              <a16:creationId xmlns:a16="http://schemas.microsoft.com/office/drawing/2014/main" id="{00000000-0008-0000-1F00-00006B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08" name="Text Box 93">
          <a:extLst>
            <a:ext uri="{FF2B5EF4-FFF2-40B4-BE49-F238E27FC236}">
              <a16:creationId xmlns:a16="http://schemas.microsoft.com/office/drawing/2014/main" id="{00000000-0008-0000-1F00-00006C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109" name="Text Box 33">
          <a:extLst>
            <a:ext uri="{FF2B5EF4-FFF2-40B4-BE49-F238E27FC236}">
              <a16:creationId xmlns:a16="http://schemas.microsoft.com/office/drawing/2014/main" id="{00000000-0008-0000-1F00-00006D000000}"/>
            </a:ext>
          </a:extLst>
        </xdr:cNvPr>
        <xdr:cNvSpPr txBox="1">
          <a:spLocks noChangeArrowheads="1"/>
        </xdr:cNvSpPr>
      </xdr:nvSpPr>
      <xdr:spPr bwMode="auto">
        <a:xfrm>
          <a:off x="1304925" y="298037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10" name="Text Box 92">
          <a:extLst>
            <a:ext uri="{FF2B5EF4-FFF2-40B4-BE49-F238E27FC236}">
              <a16:creationId xmlns:a16="http://schemas.microsoft.com/office/drawing/2014/main" id="{00000000-0008-0000-1F00-00006E000000}"/>
            </a:ext>
          </a:extLst>
        </xdr:cNvPr>
        <xdr:cNvSpPr txBox="1">
          <a:spLocks noChangeArrowheads="1"/>
        </xdr:cNvSpPr>
      </xdr:nvSpPr>
      <xdr:spPr bwMode="auto">
        <a:xfrm>
          <a:off x="981075"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11" name="Text Box 92">
          <a:extLst>
            <a:ext uri="{FF2B5EF4-FFF2-40B4-BE49-F238E27FC236}">
              <a16:creationId xmlns:a16="http://schemas.microsoft.com/office/drawing/2014/main" id="{00000000-0008-0000-1F00-00006F000000}"/>
            </a:ext>
          </a:extLst>
        </xdr:cNvPr>
        <xdr:cNvSpPr txBox="1">
          <a:spLocks noChangeArrowheads="1"/>
        </xdr:cNvSpPr>
      </xdr:nvSpPr>
      <xdr:spPr bwMode="auto">
        <a:xfrm>
          <a:off x="981075"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14</xdr:row>
      <xdr:rowOff>0</xdr:rowOff>
    </xdr:from>
    <xdr:to>
      <xdr:col>3</xdr:col>
      <xdr:colOff>238125</xdr:colOff>
      <xdr:row>14</xdr:row>
      <xdr:rowOff>0</xdr:rowOff>
    </xdr:to>
    <xdr:sp macro="" textlink="">
      <xdr:nvSpPr>
        <xdr:cNvPr id="112" name="Text Box 92">
          <a:extLst>
            <a:ext uri="{FF2B5EF4-FFF2-40B4-BE49-F238E27FC236}">
              <a16:creationId xmlns:a16="http://schemas.microsoft.com/office/drawing/2014/main" id="{00000000-0008-0000-1F00-000070000000}"/>
            </a:ext>
          </a:extLst>
        </xdr:cNvPr>
        <xdr:cNvSpPr txBox="1">
          <a:spLocks noChangeArrowheads="1"/>
        </xdr:cNvSpPr>
      </xdr:nvSpPr>
      <xdr:spPr bwMode="auto">
        <a:xfrm>
          <a:off x="981075" y="1662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3" name="Text Box 33">
          <a:extLst>
            <a:ext uri="{FF2B5EF4-FFF2-40B4-BE49-F238E27FC236}">
              <a16:creationId xmlns:a16="http://schemas.microsoft.com/office/drawing/2014/main" id="{00000000-0008-0000-1F00-000071000000}"/>
            </a:ext>
          </a:extLst>
        </xdr:cNvPr>
        <xdr:cNvSpPr txBox="1">
          <a:spLocks noChangeArrowheads="1"/>
        </xdr:cNvSpPr>
      </xdr:nvSpPr>
      <xdr:spPr bwMode="auto">
        <a:xfrm>
          <a:off x="1304925" y="248602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4" name="Text Box 33">
          <a:extLst>
            <a:ext uri="{FF2B5EF4-FFF2-40B4-BE49-F238E27FC236}">
              <a16:creationId xmlns:a16="http://schemas.microsoft.com/office/drawing/2014/main" id="{00000000-0008-0000-1F00-000072000000}"/>
            </a:ext>
          </a:extLst>
        </xdr:cNvPr>
        <xdr:cNvSpPr txBox="1">
          <a:spLocks noChangeArrowheads="1"/>
        </xdr:cNvSpPr>
      </xdr:nvSpPr>
      <xdr:spPr bwMode="auto">
        <a:xfrm>
          <a:off x="1304925" y="248602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5" name="Text Box 33">
          <a:extLst>
            <a:ext uri="{FF2B5EF4-FFF2-40B4-BE49-F238E27FC236}">
              <a16:creationId xmlns:a16="http://schemas.microsoft.com/office/drawing/2014/main" id="{00000000-0008-0000-1F00-000073000000}"/>
            </a:ext>
          </a:extLst>
        </xdr:cNvPr>
        <xdr:cNvSpPr txBox="1">
          <a:spLocks noChangeArrowheads="1"/>
        </xdr:cNvSpPr>
      </xdr:nvSpPr>
      <xdr:spPr bwMode="auto">
        <a:xfrm>
          <a:off x="1304925" y="248602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6" name="Text Box 33">
          <a:extLst>
            <a:ext uri="{FF2B5EF4-FFF2-40B4-BE49-F238E27FC236}">
              <a16:creationId xmlns:a16="http://schemas.microsoft.com/office/drawing/2014/main" id="{00000000-0008-0000-1F00-000074000000}"/>
            </a:ext>
          </a:extLst>
        </xdr:cNvPr>
        <xdr:cNvSpPr txBox="1">
          <a:spLocks noChangeArrowheads="1"/>
        </xdr:cNvSpPr>
      </xdr:nvSpPr>
      <xdr:spPr bwMode="auto">
        <a:xfrm>
          <a:off x="1304925" y="248602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7" name="Text Box 33">
          <a:extLst>
            <a:ext uri="{FF2B5EF4-FFF2-40B4-BE49-F238E27FC236}">
              <a16:creationId xmlns:a16="http://schemas.microsoft.com/office/drawing/2014/main" id="{00000000-0008-0000-1F00-000075000000}"/>
            </a:ext>
          </a:extLst>
        </xdr:cNvPr>
        <xdr:cNvSpPr txBox="1">
          <a:spLocks noChangeArrowheads="1"/>
        </xdr:cNvSpPr>
      </xdr:nvSpPr>
      <xdr:spPr bwMode="auto">
        <a:xfrm>
          <a:off x="1304925" y="248602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18" name="Text Box 33">
          <a:extLst>
            <a:ext uri="{FF2B5EF4-FFF2-40B4-BE49-F238E27FC236}">
              <a16:creationId xmlns:a16="http://schemas.microsoft.com/office/drawing/2014/main" id="{00000000-0008-0000-1F00-000076000000}"/>
            </a:ext>
          </a:extLst>
        </xdr:cNvPr>
        <xdr:cNvSpPr txBox="1">
          <a:spLocks noChangeArrowheads="1"/>
        </xdr:cNvSpPr>
      </xdr:nvSpPr>
      <xdr:spPr bwMode="auto">
        <a:xfrm>
          <a:off x="1304925" y="248602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18</xdr:row>
      <xdr:rowOff>0</xdr:rowOff>
    </xdr:from>
    <xdr:to>
      <xdr:col>2</xdr:col>
      <xdr:colOff>1524000</xdr:colOff>
      <xdr:row>18</xdr:row>
      <xdr:rowOff>0</xdr:rowOff>
    </xdr:to>
    <xdr:sp macro="" textlink="">
      <xdr:nvSpPr>
        <xdr:cNvPr id="119" name="Text Box 33">
          <a:extLst>
            <a:ext uri="{FF2B5EF4-FFF2-40B4-BE49-F238E27FC236}">
              <a16:creationId xmlns:a16="http://schemas.microsoft.com/office/drawing/2014/main" id="{00000000-0008-0000-1F00-000077000000}"/>
            </a:ext>
          </a:extLst>
        </xdr:cNvPr>
        <xdr:cNvSpPr txBox="1">
          <a:spLocks noChangeArrowheads="1"/>
        </xdr:cNvSpPr>
      </xdr:nvSpPr>
      <xdr:spPr bwMode="auto">
        <a:xfrm>
          <a:off x="1304925" y="232124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18</xdr:row>
      <xdr:rowOff>0</xdr:rowOff>
    </xdr:from>
    <xdr:to>
      <xdr:col>2</xdr:col>
      <xdr:colOff>1524000</xdr:colOff>
      <xdr:row>18</xdr:row>
      <xdr:rowOff>0</xdr:rowOff>
    </xdr:to>
    <xdr:sp macro="" textlink="">
      <xdr:nvSpPr>
        <xdr:cNvPr id="120" name="Text Box 33">
          <a:extLst>
            <a:ext uri="{FF2B5EF4-FFF2-40B4-BE49-F238E27FC236}">
              <a16:creationId xmlns:a16="http://schemas.microsoft.com/office/drawing/2014/main" id="{00000000-0008-0000-1F00-000078000000}"/>
            </a:ext>
          </a:extLst>
        </xdr:cNvPr>
        <xdr:cNvSpPr txBox="1">
          <a:spLocks noChangeArrowheads="1"/>
        </xdr:cNvSpPr>
      </xdr:nvSpPr>
      <xdr:spPr bwMode="auto">
        <a:xfrm>
          <a:off x="1304925" y="232124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121" name="Text Box 33">
          <a:extLst>
            <a:ext uri="{FF2B5EF4-FFF2-40B4-BE49-F238E27FC236}">
              <a16:creationId xmlns:a16="http://schemas.microsoft.com/office/drawing/2014/main" id="{00000000-0008-0000-1F00-000079000000}"/>
            </a:ext>
          </a:extLst>
        </xdr:cNvPr>
        <xdr:cNvSpPr txBox="1">
          <a:spLocks noChangeArrowheads="1"/>
        </xdr:cNvSpPr>
      </xdr:nvSpPr>
      <xdr:spPr bwMode="auto">
        <a:xfrm>
          <a:off x="1304925" y="248602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22" name="Text Box 93">
          <a:extLst>
            <a:ext uri="{FF2B5EF4-FFF2-40B4-BE49-F238E27FC236}">
              <a16:creationId xmlns:a16="http://schemas.microsoft.com/office/drawing/2014/main" id="{00000000-0008-0000-1F00-00007A000000}"/>
            </a:ext>
          </a:extLst>
        </xdr:cNvPr>
        <xdr:cNvSpPr txBox="1">
          <a:spLocks noChangeArrowheads="1"/>
        </xdr:cNvSpPr>
      </xdr:nvSpPr>
      <xdr:spPr bwMode="auto">
        <a:xfrm>
          <a:off x="933450"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23" name="Text Box 93">
          <a:extLst>
            <a:ext uri="{FF2B5EF4-FFF2-40B4-BE49-F238E27FC236}">
              <a16:creationId xmlns:a16="http://schemas.microsoft.com/office/drawing/2014/main" id="{00000000-0008-0000-1F00-00007B000000}"/>
            </a:ext>
          </a:extLst>
        </xdr:cNvPr>
        <xdr:cNvSpPr txBox="1">
          <a:spLocks noChangeArrowheads="1"/>
        </xdr:cNvSpPr>
      </xdr:nvSpPr>
      <xdr:spPr bwMode="auto">
        <a:xfrm>
          <a:off x="933450"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24" name="Text Box 93">
          <a:extLst>
            <a:ext uri="{FF2B5EF4-FFF2-40B4-BE49-F238E27FC236}">
              <a16:creationId xmlns:a16="http://schemas.microsoft.com/office/drawing/2014/main" id="{00000000-0008-0000-1F00-00007C000000}"/>
            </a:ext>
          </a:extLst>
        </xdr:cNvPr>
        <xdr:cNvSpPr txBox="1">
          <a:spLocks noChangeArrowheads="1"/>
        </xdr:cNvSpPr>
      </xdr:nvSpPr>
      <xdr:spPr bwMode="auto">
        <a:xfrm>
          <a:off x="933450"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25" name="Text Box 93">
          <a:extLst>
            <a:ext uri="{FF2B5EF4-FFF2-40B4-BE49-F238E27FC236}">
              <a16:creationId xmlns:a16="http://schemas.microsoft.com/office/drawing/2014/main" id="{00000000-0008-0000-1F00-00007D00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26" name="Text Box 93">
          <a:extLst>
            <a:ext uri="{FF2B5EF4-FFF2-40B4-BE49-F238E27FC236}">
              <a16:creationId xmlns:a16="http://schemas.microsoft.com/office/drawing/2014/main" id="{00000000-0008-0000-1F00-00007E00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27" name="Text Box 93">
          <a:extLst>
            <a:ext uri="{FF2B5EF4-FFF2-40B4-BE49-F238E27FC236}">
              <a16:creationId xmlns:a16="http://schemas.microsoft.com/office/drawing/2014/main" id="{00000000-0008-0000-1F00-00007F00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28" name="Text Box 93">
          <a:extLst>
            <a:ext uri="{FF2B5EF4-FFF2-40B4-BE49-F238E27FC236}">
              <a16:creationId xmlns:a16="http://schemas.microsoft.com/office/drawing/2014/main" id="{00000000-0008-0000-1F00-00008000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29" name="Text Box 93">
          <a:extLst>
            <a:ext uri="{FF2B5EF4-FFF2-40B4-BE49-F238E27FC236}">
              <a16:creationId xmlns:a16="http://schemas.microsoft.com/office/drawing/2014/main" id="{00000000-0008-0000-1F00-00008100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130" name="Text Box 93">
          <a:extLst>
            <a:ext uri="{FF2B5EF4-FFF2-40B4-BE49-F238E27FC236}">
              <a16:creationId xmlns:a16="http://schemas.microsoft.com/office/drawing/2014/main" id="{00000000-0008-0000-1F00-000082000000}"/>
            </a:ext>
          </a:extLst>
        </xdr:cNvPr>
        <xdr:cNvSpPr txBox="1">
          <a:spLocks noChangeArrowheads="1"/>
        </xdr:cNvSpPr>
      </xdr:nvSpPr>
      <xdr:spPr bwMode="auto">
        <a:xfrm>
          <a:off x="933450"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131" name="Text Box 93">
          <a:extLst>
            <a:ext uri="{FF2B5EF4-FFF2-40B4-BE49-F238E27FC236}">
              <a16:creationId xmlns:a16="http://schemas.microsoft.com/office/drawing/2014/main" id="{00000000-0008-0000-1F00-000083000000}"/>
            </a:ext>
          </a:extLst>
        </xdr:cNvPr>
        <xdr:cNvSpPr txBox="1">
          <a:spLocks noChangeArrowheads="1"/>
        </xdr:cNvSpPr>
      </xdr:nvSpPr>
      <xdr:spPr bwMode="auto">
        <a:xfrm>
          <a:off x="933450"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32" name="Text Box 92">
          <a:extLst>
            <a:ext uri="{FF2B5EF4-FFF2-40B4-BE49-F238E27FC236}">
              <a16:creationId xmlns:a16="http://schemas.microsoft.com/office/drawing/2014/main" id="{00000000-0008-0000-1F00-00008400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33" name="Text Box 92">
          <a:extLst>
            <a:ext uri="{FF2B5EF4-FFF2-40B4-BE49-F238E27FC236}">
              <a16:creationId xmlns:a16="http://schemas.microsoft.com/office/drawing/2014/main" id="{00000000-0008-0000-1F00-00008500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34" name="Text Box 92">
          <a:extLst>
            <a:ext uri="{FF2B5EF4-FFF2-40B4-BE49-F238E27FC236}">
              <a16:creationId xmlns:a16="http://schemas.microsoft.com/office/drawing/2014/main" id="{00000000-0008-0000-1F00-000086000000}"/>
            </a:ext>
          </a:extLst>
        </xdr:cNvPr>
        <xdr:cNvSpPr txBox="1">
          <a:spLocks noChangeArrowheads="1"/>
        </xdr:cNvSpPr>
      </xdr:nvSpPr>
      <xdr:spPr bwMode="auto">
        <a:xfrm>
          <a:off x="981075"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35" name="Text Box 92">
          <a:extLst>
            <a:ext uri="{FF2B5EF4-FFF2-40B4-BE49-F238E27FC236}">
              <a16:creationId xmlns:a16="http://schemas.microsoft.com/office/drawing/2014/main" id="{00000000-0008-0000-1F00-00008700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36" name="Text Box 92">
          <a:extLst>
            <a:ext uri="{FF2B5EF4-FFF2-40B4-BE49-F238E27FC236}">
              <a16:creationId xmlns:a16="http://schemas.microsoft.com/office/drawing/2014/main" id="{00000000-0008-0000-1F00-00008800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27</xdr:row>
      <xdr:rowOff>0</xdr:rowOff>
    </xdr:from>
    <xdr:to>
      <xdr:col>2</xdr:col>
      <xdr:colOff>1524000</xdr:colOff>
      <xdr:row>27</xdr:row>
      <xdr:rowOff>0</xdr:rowOff>
    </xdr:to>
    <xdr:sp macro="" textlink="">
      <xdr:nvSpPr>
        <xdr:cNvPr id="137" name="Text Box 33">
          <a:extLst>
            <a:ext uri="{FF2B5EF4-FFF2-40B4-BE49-F238E27FC236}">
              <a16:creationId xmlns:a16="http://schemas.microsoft.com/office/drawing/2014/main" id="{00000000-0008-0000-1F00-000089000000}"/>
            </a:ext>
          </a:extLst>
        </xdr:cNvPr>
        <xdr:cNvSpPr txBox="1">
          <a:spLocks noChangeArrowheads="1"/>
        </xdr:cNvSpPr>
      </xdr:nvSpPr>
      <xdr:spPr bwMode="auto">
        <a:xfrm>
          <a:off x="1304925" y="380428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36</xdr:row>
      <xdr:rowOff>0</xdr:rowOff>
    </xdr:from>
    <xdr:to>
      <xdr:col>3</xdr:col>
      <xdr:colOff>190500</xdr:colOff>
      <xdr:row>36</xdr:row>
      <xdr:rowOff>0</xdr:rowOff>
    </xdr:to>
    <xdr:sp macro="" textlink="">
      <xdr:nvSpPr>
        <xdr:cNvPr id="138" name="Text Box 93">
          <a:extLst>
            <a:ext uri="{FF2B5EF4-FFF2-40B4-BE49-F238E27FC236}">
              <a16:creationId xmlns:a16="http://schemas.microsoft.com/office/drawing/2014/main" id="{00000000-0008-0000-1F00-00008A000000}"/>
            </a:ext>
          </a:extLst>
        </xdr:cNvPr>
        <xdr:cNvSpPr txBox="1">
          <a:spLocks noChangeArrowheads="1"/>
        </xdr:cNvSpPr>
      </xdr:nvSpPr>
      <xdr:spPr bwMode="auto">
        <a:xfrm>
          <a:off x="933450" y="528732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38</xdr:row>
      <xdr:rowOff>0</xdr:rowOff>
    </xdr:from>
    <xdr:to>
      <xdr:col>3</xdr:col>
      <xdr:colOff>190500</xdr:colOff>
      <xdr:row>38</xdr:row>
      <xdr:rowOff>0</xdr:rowOff>
    </xdr:to>
    <xdr:sp macro="" textlink="">
      <xdr:nvSpPr>
        <xdr:cNvPr id="139" name="Text Box 93">
          <a:extLst>
            <a:ext uri="{FF2B5EF4-FFF2-40B4-BE49-F238E27FC236}">
              <a16:creationId xmlns:a16="http://schemas.microsoft.com/office/drawing/2014/main" id="{00000000-0008-0000-1F00-00008B000000}"/>
            </a:ext>
          </a:extLst>
        </xdr:cNvPr>
        <xdr:cNvSpPr txBox="1">
          <a:spLocks noChangeArrowheads="1"/>
        </xdr:cNvSpPr>
      </xdr:nvSpPr>
      <xdr:spPr bwMode="auto">
        <a:xfrm>
          <a:off x="933450" y="561689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40</xdr:row>
      <xdr:rowOff>0</xdr:rowOff>
    </xdr:from>
    <xdr:to>
      <xdr:col>3</xdr:col>
      <xdr:colOff>190500</xdr:colOff>
      <xdr:row>40</xdr:row>
      <xdr:rowOff>0</xdr:rowOff>
    </xdr:to>
    <xdr:sp macro="" textlink="">
      <xdr:nvSpPr>
        <xdr:cNvPr id="140" name="Text Box 93">
          <a:extLst>
            <a:ext uri="{FF2B5EF4-FFF2-40B4-BE49-F238E27FC236}">
              <a16:creationId xmlns:a16="http://schemas.microsoft.com/office/drawing/2014/main" id="{00000000-0008-0000-1F00-00008C000000}"/>
            </a:ext>
          </a:extLst>
        </xdr:cNvPr>
        <xdr:cNvSpPr txBox="1">
          <a:spLocks noChangeArrowheads="1"/>
        </xdr:cNvSpPr>
      </xdr:nvSpPr>
      <xdr:spPr bwMode="auto">
        <a:xfrm>
          <a:off x="933450" y="594645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42</xdr:row>
      <xdr:rowOff>0</xdr:rowOff>
    </xdr:from>
    <xdr:to>
      <xdr:col>3</xdr:col>
      <xdr:colOff>190500</xdr:colOff>
      <xdr:row>42</xdr:row>
      <xdr:rowOff>0</xdr:rowOff>
    </xdr:to>
    <xdr:sp macro="" textlink="">
      <xdr:nvSpPr>
        <xdr:cNvPr id="141" name="Text Box 93">
          <a:extLst>
            <a:ext uri="{FF2B5EF4-FFF2-40B4-BE49-F238E27FC236}">
              <a16:creationId xmlns:a16="http://schemas.microsoft.com/office/drawing/2014/main" id="{00000000-0008-0000-1F00-00008D000000}"/>
            </a:ext>
          </a:extLst>
        </xdr:cNvPr>
        <xdr:cNvSpPr txBox="1">
          <a:spLocks noChangeArrowheads="1"/>
        </xdr:cNvSpPr>
      </xdr:nvSpPr>
      <xdr:spPr bwMode="auto">
        <a:xfrm>
          <a:off x="933450" y="63188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44</xdr:row>
      <xdr:rowOff>0</xdr:rowOff>
    </xdr:from>
    <xdr:to>
      <xdr:col>3</xdr:col>
      <xdr:colOff>190500</xdr:colOff>
      <xdr:row>44</xdr:row>
      <xdr:rowOff>0</xdr:rowOff>
    </xdr:to>
    <xdr:sp macro="" textlink="">
      <xdr:nvSpPr>
        <xdr:cNvPr id="142" name="Text Box 93">
          <a:extLst>
            <a:ext uri="{FF2B5EF4-FFF2-40B4-BE49-F238E27FC236}">
              <a16:creationId xmlns:a16="http://schemas.microsoft.com/office/drawing/2014/main" id="{00000000-0008-0000-1F00-00008E000000}"/>
            </a:ext>
          </a:extLst>
        </xdr:cNvPr>
        <xdr:cNvSpPr txBox="1">
          <a:spLocks noChangeArrowheads="1"/>
        </xdr:cNvSpPr>
      </xdr:nvSpPr>
      <xdr:spPr bwMode="auto">
        <a:xfrm>
          <a:off x="933450" y="659511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46</xdr:row>
      <xdr:rowOff>0</xdr:rowOff>
    </xdr:from>
    <xdr:to>
      <xdr:col>3</xdr:col>
      <xdr:colOff>190500</xdr:colOff>
      <xdr:row>46</xdr:row>
      <xdr:rowOff>0</xdr:rowOff>
    </xdr:to>
    <xdr:sp macro="" textlink="">
      <xdr:nvSpPr>
        <xdr:cNvPr id="143" name="Text Box 93">
          <a:extLst>
            <a:ext uri="{FF2B5EF4-FFF2-40B4-BE49-F238E27FC236}">
              <a16:creationId xmlns:a16="http://schemas.microsoft.com/office/drawing/2014/main" id="{00000000-0008-0000-1F00-00008F000000}"/>
            </a:ext>
          </a:extLst>
        </xdr:cNvPr>
        <xdr:cNvSpPr txBox="1">
          <a:spLocks noChangeArrowheads="1"/>
        </xdr:cNvSpPr>
      </xdr:nvSpPr>
      <xdr:spPr bwMode="auto">
        <a:xfrm>
          <a:off x="933450" y="687133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48</xdr:row>
      <xdr:rowOff>0</xdr:rowOff>
    </xdr:from>
    <xdr:to>
      <xdr:col>3</xdr:col>
      <xdr:colOff>190500</xdr:colOff>
      <xdr:row>48</xdr:row>
      <xdr:rowOff>0</xdr:rowOff>
    </xdr:to>
    <xdr:sp macro="" textlink="">
      <xdr:nvSpPr>
        <xdr:cNvPr id="144" name="Text Box 93">
          <a:extLst>
            <a:ext uri="{FF2B5EF4-FFF2-40B4-BE49-F238E27FC236}">
              <a16:creationId xmlns:a16="http://schemas.microsoft.com/office/drawing/2014/main" id="{00000000-0008-0000-1F00-000090000000}"/>
            </a:ext>
          </a:extLst>
        </xdr:cNvPr>
        <xdr:cNvSpPr txBox="1">
          <a:spLocks noChangeArrowheads="1"/>
        </xdr:cNvSpPr>
      </xdr:nvSpPr>
      <xdr:spPr bwMode="auto">
        <a:xfrm>
          <a:off x="933450" y="71475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50</xdr:row>
      <xdr:rowOff>0</xdr:rowOff>
    </xdr:from>
    <xdr:to>
      <xdr:col>3</xdr:col>
      <xdr:colOff>190500</xdr:colOff>
      <xdr:row>50</xdr:row>
      <xdr:rowOff>0</xdr:rowOff>
    </xdr:to>
    <xdr:sp macro="" textlink="">
      <xdr:nvSpPr>
        <xdr:cNvPr id="145" name="Text Box 93">
          <a:extLst>
            <a:ext uri="{FF2B5EF4-FFF2-40B4-BE49-F238E27FC236}">
              <a16:creationId xmlns:a16="http://schemas.microsoft.com/office/drawing/2014/main" id="{00000000-0008-0000-1F00-000091000000}"/>
            </a:ext>
          </a:extLst>
        </xdr:cNvPr>
        <xdr:cNvSpPr txBox="1">
          <a:spLocks noChangeArrowheads="1"/>
        </xdr:cNvSpPr>
      </xdr:nvSpPr>
      <xdr:spPr bwMode="auto">
        <a:xfrm>
          <a:off x="933450" y="74237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52</xdr:row>
      <xdr:rowOff>0</xdr:rowOff>
    </xdr:from>
    <xdr:to>
      <xdr:col>3</xdr:col>
      <xdr:colOff>190500</xdr:colOff>
      <xdr:row>52</xdr:row>
      <xdr:rowOff>0</xdr:rowOff>
    </xdr:to>
    <xdr:sp macro="" textlink="">
      <xdr:nvSpPr>
        <xdr:cNvPr id="146" name="Text Box 93">
          <a:extLst>
            <a:ext uri="{FF2B5EF4-FFF2-40B4-BE49-F238E27FC236}">
              <a16:creationId xmlns:a16="http://schemas.microsoft.com/office/drawing/2014/main" id="{00000000-0008-0000-1F00-000092000000}"/>
            </a:ext>
          </a:extLst>
        </xdr:cNvPr>
        <xdr:cNvSpPr txBox="1">
          <a:spLocks noChangeArrowheads="1"/>
        </xdr:cNvSpPr>
      </xdr:nvSpPr>
      <xdr:spPr bwMode="auto">
        <a:xfrm>
          <a:off x="933450" y="770001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54</xdr:row>
      <xdr:rowOff>0</xdr:rowOff>
    </xdr:from>
    <xdr:to>
      <xdr:col>3</xdr:col>
      <xdr:colOff>190500</xdr:colOff>
      <xdr:row>54</xdr:row>
      <xdr:rowOff>0</xdr:rowOff>
    </xdr:to>
    <xdr:sp macro="" textlink="">
      <xdr:nvSpPr>
        <xdr:cNvPr id="147" name="Text Box 93">
          <a:extLst>
            <a:ext uri="{FF2B5EF4-FFF2-40B4-BE49-F238E27FC236}">
              <a16:creationId xmlns:a16="http://schemas.microsoft.com/office/drawing/2014/main" id="{00000000-0008-0000-1F00-000093000000}"/>
            </a:ext>
          </a:extLst>
        </xdr:cNvPr>
        <xdr:cNvSpPr txBox="1">
          <a:spLocks noChangeArrowheads="1"/>
        </xdr:cNvSpPr>
      </xdr:nvSpPr>
      <xdr:spPr bwMode="auto">
        <a:xfrm>
          <a:off x="933450" y="797623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48" name="Text Box 93">
          <a:extLst>
            <a:ext uri="{FF2B5EF4-FFF2-40B4-BE49-F238E27FC236}">
              <a16:creationId xmlns:a16="http://schemas.microsoft.com/office/drawing/2014/main" id="{00000000-0008-0000-1F00-000094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149" name="Text Box 93">
          <a:extLst>
            <a:ext uri="{FF2B5EF4-FFF2-40B4-BE49-F238E27FC236}">
              <a16:creationId xmlns:a16="http://schemas.microsoft.com/office/drawing/2014/main" id="{00000000-0008-0000-1F00-000095000000}"/>
            </a:ext>
          </a:extLst>
        </xdr:cNvPr>
        <xdr:cNvSpPr txBox="1">
          <a:spLocks noChangeArrowheads="1"/>
        </xdr:cNvSpPr>
      </xdr:nvSpPr>
      <xdr:spPr bwMode="auto">
        <a:xfrm>
          <a:off x="933450" y="2486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50" name="Text Box 93">
          <a:extLst>
            <a:ext uri="{FF2B5EF4-FFF2-40B4-BE49-F238E27FC236}">
              <a16:creationId xmlns:a16="http://schemas.microsoft.com/office/drawing/2014/main" id="{00000000-0008-0000-1F00-000096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51" name="Text Box 93">
          <a:extLst>
            <a:ext uri="{FF2B5EF4-FFF2-40B4-BE49-F238E27FC236}">
              <a16:creationId xmlns:a16="http://schemas.microsoft.com/office/drawing/2014/main" id="{00000000-0008-0000-1F00-000097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52" name="Text Box 93">
          <a:extLst>
            <a:ext uri="{FF2B5EF4-FFF2-40B4-BE49-F238E27FC236}">
              <a16:creationId xmlns:a16="http://schemas.microsoft.com/office/drawing/2014/main" id="{00000000-0008-0000-1F00-000098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53" name="Text Box 93">
          <a:extLst>
            <a:ext uri="{FF2B5EF4-FFF2-40B4-BE49-F238E27FC236}">
              <a16:creationId xmlns:a16="http://schemas.microsoft.com/office/drawing/2014/main" id="{00000000-0008-0000-1F00-000099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54" name="Text Box 93">
          <a:extLst>
            <a:ext uri="{FF2B5EF4-FFF2-40B4-BE49-F238E27FC236}">
              <a16:creationId xmlns:a16="http://schemas.microsoft.com/office/drawing/2014/main" id="{00000000-0008-0000-1F00-00009A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55" name="Text Box 93">
          <a:extLst>
            <a:ext uri="{FF2B5EF4-FFF2-40B4-BE49-F238E27FC236}">
              <a16:creationId xmlns:a16="http://schemas.microsoft.com/office/drawing/2014/main" id="{00000000-0008-0000-1F00-00009B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56" name="Text Box 93">
          <a:extLst>
            <a:ext uri="{FF2B5EF4-FFF2-40B4-BE49-F238E27FC236}">
              <a16:creationId xmlns:a16="http://schemas.microsoft.com/office/drawing/2014/main" id="{00000000-0008-0000-1F00-00009C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57" name="Text Box 93">
          <a:extLst>
            <a:ext uri="{FF2B5EF4-FFF2-40B4-BE49-F238E27FC236}">
              <a16:creationId xmlns:a16="http://schemas.microsoft.com/office/drawing/2014/main" id="{00000000-0008-0000-1F00-00009D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58" name="Text Box 93">
          <a:extLst>
            <a:ext uri="{FF2B5EF4-FFF2-40B4-BE49-F238E27FC236}">
              <a16:creationId xmlns:a16="http://schemas.microsoft.com/office/drawing/2014/main" id="{00000000-0008-0000-1F00-00009E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15</xdr:row>
      <xdr:rowOff>0</xdr:rowOff>
    </xdr:from>
    <xdr:to>
      <xdr:col>3</xdr:col>
      <xdr:colOff>238125</xdr:colOff>
      <xdr:row>15</xdr:row>
      <xdr:rowOff>0</xdr:rowOff>
    </xdr:to>
    <xdr:sp macro="" textlink="">
      <xdr:nvSpPr>
        <xdr:cNvPr id="159" name="Text Box 92">
          <a:extLst>
            <a:ext uri="{FF2B5EF4-FFF2-40B4-BE49-F238E27FC236}">
              <a16:creationId xmlns:a16="http://schemas.microsoft.com/office/drawing/2014/main" id="{00000000-0008-0000-1F00-00009F000000}"/>
            </a:ext>
          </a:extLst>
        </xdr:cNvPr>
        <xdr:cNvSpPr txBox="1">
          <a:spLocks noChangeArrowheads="1"/>
        </xdr:cNvSpPr>
      </xdr:nvSpPr>
      <xdr:spPr bwMode="auto">
        <a:xfrm>
          <a:off x="981075" y="1826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160" name="Text Box 93">
          <a:extLst>
            <a:ext uri="{FF2B5EF4-FFF2-40B4-BE49-F238E27FC236}">
              <a16:creationId xmlns:a16="http://schemas.microsoft.com/office/drawing/2014/main" id="{00000000-0008-0000-1F00-0000A0000000}"/>
            </a:ext>
          </a:extLst>
        </xdr:cNvPr>
        <xdr:cNvSpPr txBox="1">
          <a:spLocks noChangeArrowheads="1"/>
        </xdr:cNvSpPr>
      </xdr:nvSpPr>
      <xdr:spPr bwMode="auto">
        <a:xfrm>
          <a:off x="933450" y="446341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161" name="Text Box 93">
          <a:extLst>
            <a:ext uri="{FF2B5EF4-FFF2-40B4-BE49-F238E27FC236}">
              <a16:creationId xmlns:a16="http://schemas.microsoft.com/office/drawing/2014/main" id="{00000000-0008-0000-1F00-0000A1000000}"/>
            </a:ext>
          </a:extLst>
        </xdr:cNvPr>
        <xdr:cNvSpPr txBox="1">
          <a:spLocks noChangeArrowheads="1"/>
        </xdr:cNvSpPr>
      </xdr:nvSpPr>
      <xdr:spPr bwMode="auto">
        <a:xfrm>
          <a:off x="933450" y="446341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62" name="Text Box 92">
          <a:extLst>
            <a:ext uri="{FF2B5EF4-FFF2-40B4-BE49-F238E27FC236}">
              <a16:creationId xmlns:a16="http://schemas.microsoft.com/office/drawing/2014/main" id="{00000000-0008-0000-1F00-0000A2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63" name="Text Box 92">
          <a:extLst>
            <a:ext uri="{FF2B5EF4-FFF2-40B4-BE49-F238E27FC236}">
              <a16:creationId xmlns:a16="http://schemas.microsoft.com/office/drawing/2014/main" id="{00000000-0008-0000-1F00-0000A3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64" name="Text Box 93">
          <a:extLst>
            <a:ext uri="{FF2B5EF4-FFF2-40B4-BE49-F238E27FC236}">
              <a16:creationId xmlns:a16="http://schemas.microsoft.com/office/drawing/2014/main" id="{00000000-0008-0000-1F00-0000A4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31</xdr:row>
      <xdr:rowOff>0</xdr:rowOff>
    </xdr:from>
    <xdr:to>
      <xdr:col>3</xdr:col>
      <xdr:colOff>238125</xdr:colOff>
      <xdr:row>31</xdr:row>
      <xdr:rowOff>0</xdr:rowOff>
    </xdr:to>
    <xdr:sp macro="" textlink="">
      <xdr:nvSpPr>
        <xdr:cNvPr id="165" name="Text Box 92">
          <a:extLst>
            <a:ext uri="{FF2B5EF4-FFF2-40B4-BE49-F238E27FC236}">
              <a16:creationId xmlns:a16="http://schemas.microsoft.com/office/drawing/2014/main" id="{00000000-0008-0000-1F00-0000A5000000}"/>
            </a:ext>
          </a:extLst>
        </xdr:cNvPr>
        <xdr:cNvSpPr txBox="1">
          <a:spLocks noChangeArrowheads="1"/>
        </xdr:cNvSpPr>
      </xdr:nvSpPr>
      <xdr:spPr bwMode="auto">
        <a:xfrm>
          <a:off x="981075" y="446341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166" name="Text Box 93">
          <a:extLst>
            <a:ext uri="{FF2B5EF4-FFF2-40B4-BE49-F238E27FC236}">
              <a16:creationId xmlns:a16="http://schemas.microsoft.com/office/drawing/2014/main" id="{00000000-0008-0000-1F00-0000A6000000}"/>
            </a:ext>
          </a:extLst>
        </xdr:cNvPr>
        <xdr:cNvSpPr txBox="1">
          <a:spLocks noChangeArrowheads="1"/>
        </xdr:cNvSpPr>
      </xdr:nvSpPr>
      <xdr:spPr bwMode="auto">
        <a:xfrm>
          <a:off x="933450" y="2486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67" name="Text Box 92">
          <a:extLst>
            <a:ext uri="{FF2B5EF4-FFF2-40B4-BE49-F238E27FC236}">
              <a16:creationId xmlns:a16="http://schemas.microsoft.com/office/drawing/2014/main" id="{00000000-0008-0000-1F00-0000A7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68" name="Text Box 93">
          <a:extLst>
            <a:ext uri="{FF2B5EF4-FFF2-40B4-BE49-F238E27FC236}">
              <a16:creationId xmlns:a16="http://schemas.microsoft.com/office/drawing/2014/main" id="{00000000-0008-0000-1F00-0000A8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169" name="Text Box 92">
          <a:extLst>
            <a:ext uri="{FF2B5EF4-FFF2-40B4-BE49-F238E27FC236}">
              <a16:creationId xmlns:a16="http://schemas.microsoft.com/office/drawing/2014/main" id="{00000000-0008-0000-1F00-0000A9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70" name="Text Box 93">
          <a:extLst>
            <a:ext uri="{FF2B5EF4-FFF2-40B4-BE49-F238E27FC236}">
              <a16:creationId xmlns:a16="http://schemas.microsoft.com/office/drawing/2014/main" id="{00000000-0008-0000-1F00-0000AA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171" name="Text Box 92">
          <a:extLst>
            <a:ext uri="{FF2B5EF4-FFF2-40B4-BE49-F238E27FC236}">
              <a16:creationId xmlns:a16="http://schemas.microsoft.com/office/drawing/2014/main" id="{00000000-0008-0000-1F00-0000AB000000}"/>
            </a:ext>
          </a:extLst>
        </xdr:cNvPr>
        <xdr:cNvSpPr txBox="1">
          <a:spLocks noChangeArrowheads="1"/>
        </xdr:cNvSpPr>
      </xdr:nvSpPr>
      <xdr:spPr bwMode="auto">
        <a:xfrm>
          <a:off x="981075"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72" name="Text Box 93">
          <a:extLst>
            <a:ext uri="{FF2B5EF4-FFF2-40B4-BE49-F238E27FC236}">
              <a16:creationId xmlns:a16="http://schemas.microsoft.com/office/drawing/2014/main" id="{00000000-0008-0000-1F00-0000AC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173" name="Text Box 92">
          <a:extLst>
            <a:ext uri="{FF2B5EF4-FFF2-40B4-BE49-F238E27FC236}">
              <a16:creationId xmlns:a16="http://schemas.microsoft.com/office/drawing/2014/main" id="{00000000-0008-0000-1F00-0000AD000000}"/>
            </a:ext>
          </a:extLst>
        </xdr:cNvPr>
        <xdr:cNvSpPr txBox="1">
          <a:spLocks noChangeArrowheads="1"/>
        </xdr:cNvSpPr>
      </xdr:nvSpPr>
      <xdr:spPr bwMode="auto">
        <a:xfrm>
          <a:off x="981075"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74" name="Text Box 93">
          <a:extLst>
            <a:ext uri="{FF2B5EF4-FFF2-40B4-BE49-F238E27FC236}">
              <a16:creationId xmlns:a16="http://schemas.microsoft.com/office/drawing/2014/main" id="{00000000-0008-0000-1F00-0000AE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75" name="Text Box 93">
          <a:extLst>
            <a:ext uri="{FF2B5EF4-FFF2-40B4-BE49-F238E27FC236}">
              <a16:creationId xmlns:a16="http://schemas.microsoft.com/office/drawing/2014/main" id="{00000000-0008-0000-1F00-0000AF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76" name="Text Box 93">
          <a:extLst>
            <a:ext uri="{FF2B5EF4-FFF2-40B4-BE49-F238E27FC236}">
              <a16:creationId xmlns:a16="http://schemas.microsoft.com/office/drawing/2014/main" id="{00000000-0008-0000-1F00-0000B0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177" name="Text Box 93">
          <a:extLst>
            <a:ext uri="{FF2B5EF4-FFF2-40B4-BE49-F238E27FC236}">
              <a16:creationId xmlns:a16="http://schemas.microsoft.com/office/drawing/2014/main" id="{00000000-0008-0000-1F00-0000B1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78" name="Text Box 93">
          <a:extLst>
            <a:ext uri="{FF2B5EF4-FFF2-40B4-BE49-F238E27FC236}">
              <a16:creationId xmlns:a16="http://schemas.microsoft.com/office/drawing/2014/main" id="{00000000-0008-0000-1F00-0000B2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179" name="Text Box 93">
          <a:extLst>
            <a:ext uri="{FF2B5EF4-FFF2-40B4-BE49-F238E27FC236}">
              <a16:creationId xmlns:a16="http://schemas.microsoft.com/office/drawing/2014/main" id="{00000000-0008-0000-1F00-0000B3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80" name="Text Box 92">
          <a:extLst>
            <a:ext uri="{FF2B5EF4-FFF2-40B4-BE49-F238E27FC236}">
              <a16:creationId xmlns:a16="http://schemas.microsoft.com/office/drawing/2014/main" id="{00000000-0008-0000-1F00-0000B4000000}"/>
            </a:ext>
          </a:extLst>
        </xdr:cNvPr>
        <xdr:cNvSpPr txBox="1">
          <a:spLocks noChangeArrowheads="1"/>
        </xdr:cNvSpPr>
      </xdr:nvSpPr>
      <xdr:spPr bwMode="auto">
        <a:xfrm>
          <a:off x="981075"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81" name="Text Box 92">
          <a:extLst>
            <a:ext uri="{FF2B5EF4-FFF2-40B4-BE49-F238E27FC236}">
              <a16:creationId xmlns:a16="http://schemas.microsoft.com/office/drawing/2014/main" id="{00000000-0008-0000-1F00-0000B5000000}"/>
            </a:ext>
          </a:extLst>
        </xdr:cNvPr>
        <xdr:cNvSpPr txBox="1">
          <a:spLocks noChangeArrowheads="1"/>
        </xdr:cNvSpPr>
      </xdr:nvSpPr>
      <xdr:spPr bwMode="auto">
        <a:xfrm>
          <a:off x="981075"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14</xdr:row>
      <xdr:rowOff>0</xdr:rowOff>
    </xdr:from>
    <xdr:to>
      <xdr:col>3</xdr:col>
      <xdr:colOff>238125</xdr:colOff>
      <xdr:row>14</xdr:row>
      <xdr:rowOff>0</xdr:rowOff>
    </xdr:to>
    <xdr:sp macro="" textlink="">
      <xdr:nvSpPr>
        <xdr:cNvPr id="182" name="Text Box 92">
          <a:extLst>
            <a:ext uri="{FF2B5EF4-FFF2-40B4-BE49-F238E27FC236}">
              <a16:creationId xmlns:a16="http://schemas.microsoft.com/office/drawing/2014/main" id="{00000000-0008-0000-1F00-0000B6000000}"/>
            </a:ext>
          </a:extLst>
        </xdr:cNvPr>
        <xdr:cNvSpPr txBox="1">
          <a:spLocks noChangeArrowheads="1"/>
        </xdr:cNvSpPr>
      </xdr:nvSpPr>
      <xdr:spPr bwMode="auto">
        <a:xfrm>
          <a:off x="981075" y="1662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83" name="Text Box 93">
          <a:extLst>
            <a:ext uri="{FF2B5EF4-FFF2-40B4-BE49-F238E27FC236}">
              <a16:creationId xmlns:a16="http://schemas.microsoft.com/office/drawing/2014/main" id="{00000000-0008-0000-1F00-0000B7000000}"/>
            </a:ext>
          </a:extLst>
        </xdr:cNvPr>
        <xdr:cNvSpPr txBox="1">
          <a:spLocks noChangeArrowheads="1"/>
        </xdr:cNvSpPr>
      </xdr:nvSpPr>
      <xdr:spPr bwMode="auto">
        <a:xfrm>
          <a:off x="933450"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84" name="Text Box 93">
          <a:extLst>
            <a:ext uri="{FF2B5EF4-FFF2-40B4-BE49-F238E27FC236}">
              <a16:creationId xmlns:a16="http://schemas.microsoft.com/office/drawing/2014/main" id="{00000000-0008-0000-1F00-0000B8000000}"/>
            </a:ext>
          </a:extLst>
        </xdr:cNvPr>
        <xdr:cNvSpPr txBox="1">
          <a:spLocks noChangeArrowheads="1"/>
        </xdr:cNvSpPr>
      </xdr:nvSpPr>
      <xdr:spPr bwMode="auto">
        <a:xfrm>
          <a:off x="933450"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185" name="Text Box 93">
          <a:extLst>
            <a:ext uri="{FF2B5EF4-FFF2-40B4-BE49-F238E27FC236}">
              <a16:creationId xmlns:a16="http://schemas.microsoft.com/office/drawing/2014/main" id="{00000000-0008-0000-1F00-0000B9000000}"/>
            </a:ext>
          </a:extLst>
        </xdr:cNvPr>
        <xdr:cNvSpPr txBox="1">
          <a:spLocks noChangeArrowheads="1"/>
        </xdr:cNvSpPr>
      </xdr:nvSpPr>
      <xdr:spPr bwMode="auto">
        <a:xfrm>
          <a:off x="933450"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86" name="Text Box 93">
          <a:extLst>
            <a:ext uri="{FF2B5EF4-FFF2-40B4-BE49-F238E27FC236}">
              <a16:creationId xmlns:a16="http://schemas.microsoft.com/office/drawing/2014/main" id="{00000000-0008-0000-1F00-0000BA00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87" name="Text Box 93">
          <a:extLst>
            <a:ext uri="{FF2B5EF4-FFF2-40B4-BE49-F238E27FC236}">
              <a16:creationId xmlns:a16="http://schemas.microsoft.com/office/drawing/2014/main" id="{00000000-0008-0000-1F00-0000BB00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88" name="Text Box 93">
          <a:extLst>
            <a:ext uri="{FF2B5EF4-FFF2-40B4-BE49-F238E27FC236}">
              <a16:creationId xmlns:a16="http://schemas.microsoft.com/office/drawing/2014/main" id="{00000000-0008-0000-1F00-0000BC00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89" name="Text Box 93">
          <a:extLst>
            <a:ext uri="{FF2B5EF4-FFF2-40B4-BE49-F238E27FC236}">
              <a16:creationId xmlns:a16="http://schemas.microsoft.com/office/drawing/2014/main" id="{00000000-0008-0000-1F00-0000BD00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190" name="Text Box 93">
          <a:extLst>
            <a:ext uri="{FF2B5EF4-FFF2-40B4-BE49-F238E27FC236}">
              <a16:creationId xmlns:a16="http://schemas.microsoft.com/office/drawing/2014/main" id="{00000000-0008-0000-1F00-0000BE00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191" name="Text Box 93">
          <a:extLst>
            <a:ext uri="{FF2B5EF4-FFF2-40B4-BE49-F238E27FC236}">
              <a16:creationId xmlns:a16="http://schemas.microsoft.com/office/drawing/2014/main" id="{00000000-0008-0000-1F00-0000BF000000}"/>
            </a:ext>
          </a:extLst>
        </xdr:cNvPr>
        <xdr:cNvSpPr txBox="1">
          <a:spLocks noChangeArrowheads="1"/>
        </xdr:cNvSpPr>
      </xdr:nvSpPr>
      <xdr:spPr bwMode="auto">
        <a:xfrm>
          <a:off x="933450"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192" name="Text Box 93">
          <a:extLst>
            <a:ext uri="{FF2B5EF4-FFF2-40B4-BE49-F238E27FC236}">
              <a16:creationId xmlns:a16="http://schemas.microsoft.com/office/drawing/2014/main" id="{00000000-0008-0000-1F00-0000C0000000}"/>
            </a:ext>
          </a:extLst>
        </xdr:cNvPr>
        <xdr:cNvSpPr txBox="1">
          <a:spLocks noChangeArrowheads="1"/>
        </xdr:cNvSpPr>
      </xdr:nvSpPr>
      <xdr:spPr bwMode="auto">
        <a:xfrm>
          <a:off x="933450"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93" name="Text Box 92">
          <a:extLst>
            <a:ext uri="{FF2B5EF4-FFF2-40B4-BE49-F238E27FC236}">
              <a16:creationId xmlns:a16="http://schemas.microsoft.com/office/drawing/2014/main" id="{00000000-0008-0000-1F00-0000C100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94" name="Text Box 92">
          <a:extLst>
            <a:ext uri="{FF2B5EF4-FFF2-40B4-BE49-F238E27FC236}">
              <a16:creationId xmlns:a16="http://schemas.microsoft.com/office/drawing/2014/main" id="{00000000-0008-0000-1F00-0000C200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195" name="Text Box 92">
          <a:extLst>
            <a:ext uri="{FF2B5EF4-FFF2-40B4-BE49-F238E27FC236}">
              <a16:creationId xmlns:a16="http://schemas.microsoft.com/office/drawing/2014/main" id="{00000000-0008-0000-1F00-0000C3000000}"/>
            </a:ext>
          </a:extLst>
        </xdr:cNvPr>
        <xdr:cNvSpPr txBox="1">
          <a:spLocks noChangeArrowheads="1"/>
        </xdr:cNvSpPr>
      </xdr:nvSpPr>
      <xdr:spPr bwMode="auto">
        <a:xfrm>
          <a:off x="981075"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96" name="Text Box 92">
          <a:extLst>
            <a:ext uri="{FF2B5EF4-FFF2-40B4-BE49-F238E27FC236}">
              <a16:creationId xmlns:a16="http://schemas.microsoft.com/office/drawing/2014/main" id="{00000000-0008-0000-1F00-0000C400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197" name="Text Box 92">
          <a:extLst>
            <a:ext uri="{FF2B5EF4-FFF2-40B4-BE49-F238E27FC236}">
              <a16:creationId xmlns:a16="http://schemas.microsoft.com/office/drawing/2014/main" id="{00000000-0008-0000-1F00-0000C500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198" name="Text Box 33">
          <a:extLst>
            <a:ext uri="{FF2B5EF4-FFF2-40B4-BE49-F238E27FC236}">
              <a16:creationId xmlns:a16="http://schemas.microsoft.com/office/drawing/2014/main" id="{00000000-0008-0000-1F00-0000C6000000}"/>
            </a:ext>
          </a:extLst>
        </xdr:cNvPr>
        <xdr:cNvSpPr txBox="1">
          <a:spLocks noChangeArrowheads="1"/>
        </xdr:cNvSpPr>
      </xdr:nvSpPr>
      <xdr:spPr bwMode="auto">
        <a:xfrm>
          <a:off x="1304925" y="508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199" name="Text Box 93">
          <a:extLst>
            <a:ext uri="{FF2B5EF4-FFF2-40B4-BE49-F238E27FC236}">
              <a16:creationId xmlns:a16="http://schemas.microsoft.com/office/drawing/2014/main" id="{00000000-0008-0000-1F00-0000C7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200" name="Text Box 93">
          <a:extLst>
            <a:ext uri="{FF2B5EF4-FFF2-40B4-BE49-F238E27FC236}">
              <a16:creationId xmlns:a16="http://schemas.microsoft.com/office/drawing/2014/main" id="{00000000-0008-0000-1F00-0000C8000000}"/>
            </a:ext>
          </a:extLst>
        </xdr:cNvPr>
        <xdr:cNvSpPr txBox="1">
          <a:spLocks noChangeArrowheads="1"/>
        </xdr:cNvSpPr>
      </xdr:nvSpPr>
      <xdr:spPr bwMode="auto">
        <a:xfrm>
          <a:off x="933450" y="2486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201" name="Text Box 33">
          <a:extLst>
            <a:ext uri="{FF2B5EF4-FFF2-40B4-BE49-F238E27FC236}">
              <a16:creationId xmlns:a16="http://schemas.microsoft.com/office/drawing/2014/main" id="{00000000-0008-0000-1F00-0000C9000000}"/>
            </a:ext>
          </a:extLst>
        </xdr:cNvPr>
        <xdr:cNvSpPr txBox="1">
          <a:spLocks noChangeArrowheads="1"/>
        </xdr:cNvSpPr>
      </xdr:nvSpPr>
      <xdr:spPr bwMode="auto">
        <a:xfrm>
          <a:off x="1304925" y="508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02" name="Text Box 93">
          <a:extLst>
            <a:ext uri="{FF2B5EF4-FFF2-40B4-BE49-F238E27FC236}">
              <a16:creationId xmlns:a16="http://schemas.microsoft.com/office/drawing/2014/main" id="{00000000-0008-0000-1F00-0000CA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203" name="Text Box 33">
          <a:extLst>
            <a:ext uri="{FF2B5EF4-FFF2-40B4-BE49-F238E27FC236}">
              <a16:creationId xmlns:a16="http://schemas.microsoft.com/office/drawing/2014/main" id="{00000000-0008-0000-1F00-0000CB000000}"/>
            </a:ext>
          </a:extLst>
        </xdr:cNvPr>
        <xdr:cNvSpPr txBox="1">
          <a:spLocks noChangeArrowheads="1"/>
        </xdr:cNvSpPr>
      </xdr:nvSpPr>
      <xdr:spPr bwMode="auto">
        <a:xfrm>
          <a:off x="1304925" y="508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04" name="Text Box 93">
          <a:extLst>
            <a:ext uri="{FF2B5EF4-FFF2-40B4-BE49-F238E27FC236}">
              <a16:creationId xmlns:a16="http://schemas.microsoft.com/office/drawing/2014/main" id="{00000000-0008-0000-1F00-0000CC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05" name="Text Box 93">
          <a:extLst>
            <a:ext uri="{FF2B5EF4-FFF2-40B4-BE49-F238E27FC236}">
              <a16:creationId xmlns:a16="http://schemas.microsoft.com/office/drawing/2014/main" id="{00000000-0008-0000-1F00-0000CD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06" name="Text Box 93">
          <a:extLst>
            <a:ext uri="{FF2B5EF4-FFF2-40B4-BE49-F238E27FC236}">
              <a16:creationId xmlns:a16="http://schemas.microsoft.com/office/drawing/2014/main" id="{00000000-0008-0000-1F00-0000CE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07" name="Text Box 93">
          <a:extLst>
            <a:ext uri="{FF2B5EF4-FFF2-40B4-BE49-F238E27FC236}">
              <a16:creationId xmlns:a16="http://schemas.microsoft.com/office/drawing/2014/main" id="{00000000-0008-0000-1F00-0000CF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08" name="Text Box 93">
          <a:extLst>
            <a:ext uri="{FF2B5EF4-FFF2-40B4-BE49-F238E27FC236}">
              <a16:creationId xmlns:a16="http://schemas.microsoft.com/office/drawing/2014/main" id="{00000000-0008-0000-1F00-0000D0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09" name="Text Box 93">
          <a:extLst>
            <a:ext uri="{FF2B5EF4-FFF2-40B4-BE49-F238E27FC236}">
              <a16:creationId xmlns:a16="http://schemas.microsoft.com/office/drawing/2014/main" id="{00000000-0008-0000-1F00-0000D1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210" name="Text Box 93">
          <a:extLst>
            <a:ext uri="{FF2B5EF4-FFF2-40B4-BE49-F238E27FC236}">
              <a16:creationId xmlns:a16="http://schemas.microsoft.com/office/drawing/2014/main" id="{00000000-0008-0000-1F00-0000D2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211" name="Text Box 93">
          <a:extLst>
            <a:ext uri="{FF2B5EF4-FFF2-40B4-BE49-F238E27FC236}">
              <a16:creationId xmlns:a16="http://schemas.microsoft.com/office/drawing/2014/main" id="{00000000-0008-0000-1F00-0000D3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15</xdr:row>
      <xdr:rowOff>0</xdr:rowOff>
    </xdr:from>
    <xdr:to>
      <xdr:col>3</xdr:col>
      <xdr:colOff>238125</xdr:colOff>
      <xdr:row>15</xdr:row>
      <xdr:rowOff>0</xdr:rowOff>
    </xdr:to>
    <xdr:sp macro="" textlink="">
      <xdr:nvSpPr>
        <xdr:cNvPr id="212" name="Text Box 92">
          <a:extLst>
            <a:ext uri="{FF2B5EF4-FFF2-40B4-BE49-F238E27FC236}">
              <a16:creationId xmlns:a16="http://schemas.microsoft.com/office/drawing/2014/main" id="{00000000-0008-0000-1F00-0000D4000000}"/>
            </a:ext>
          </a:extLst>
        </xdr:cNvPr>
        <xdr:cNvSpPr txBox="1">
          <a:spLocks noChangeArrowheads="1"/>
        </xdr:cNvSpPr>
      </xdr:nvSpPr>
      <xdr:spPr bwMode="auto">
        <a:xfrm>
          <a:off x="981075" y="182689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13" name="Text Box 33">
          <a:extLst>
            <a:ext uri="{FF2B5EF4-FFF2-40B4-BE49-F238E27FC236}">
              <a16:creationId xmlns:a16="http://schemas.microsoft.com/office/drawing/2014/main" id="{00000000-0008-0000-1F00-0000D5000000}"/>
            </a:ext>
          </a:extLst>
        </xdr:cNvPr>
        <xdr:cNvSpPr txBox="1">
          <a:spLocks noChangeArrowheads="1"/>
        </xdr:cNvSpPr>
      </xdr:nvSpPr>
      <xdr:spPr bwMode="auto">
        <a:xfrm>
          <a:off x="1304925" y="298037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214" name="Text Box 93">
          <a:extLst>
            <a:ext uri="{FF2B5EF4-FFF2-40B4-BE49-F238E27FC236}">
              <a16:creationId xmlns:a16="http://schemas.microsoft.com/office/drawing/2014/main" id="{00000000-0008-0000-1F00-0000D6000000}"/>
            </a:ext>
          </a:extLst>
        </xdr:cNvPr>
        <xdr:cNvSpPr txBox="1">
          <a:spLocks noChangeArrowheads="1"/>
        </xdr:cNvSpPr>
      </xdr:nvSpPr>
      <xdr:spPr bwMode="auto">
        <a:xfrm>
          <a:off x="933450" y="479298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34</xdr:row>
      <xdr:rowOff>0</xdr:rowOff>
    </xdr:from>
    <xdr:to>
      <xdr:col>3</xdr:col>
      <xdr:colOff>190500</xdr:colOff>
      <xdr:row>34</xdr:row>
      <xdr:rowOff>0</xdr:rowOff>
    </xdr:to>
    <xdr:sp macro="" textlink="">
      <xdr:nvSpPr>
        <xdr:cNvPr id="215" name="Text Box 93">
          <a:extLst>
            <a:ext uri="{FF2B5EF4-FFF2-40B4-BE49-F238E27FC236}">
              <a16:creationId xmlns:a16="http://schemas.microsoft.com/office/drawing/2014/main" id="{00000000-0008-0000-1F00-0000D7000000}"/>
            </a:ext>
          </a:extLst>
        </xdr:cNvPr>
        <xdr:cNvSpPr txBox="1">
          <a:spLocks noChangeArrowheads="1"/>
        </xdr:cNvSpPr>
      </xdr:nvSpPr>
      <xdr:spPr bwMode="auto">
        <a:xfrm>
          <a:off x="933450" y="495776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16" name="Text Box 33">
          <a:extLst>
            <a:ext uri="{FF2B5EF4-FFF2-40B4-BE49-F238E27FC236}">
              <a16:creationId xmlns:a16="http://schemas.microsoft.com/office/drawing/2014/main" id="{00000000-0008-0000-1F00-0000D8000000}"/>
            </a:ext>
          </a:extLst>
        </xdr:cNvPr>
        <xdr:cNvSpPr txBox="1">
          <a:spLocks noChangeArrowheads="1"/>
        </xdr:cNvSpPr>
      </xdr:nvSpPr>
      <xdr:spPr bwMode="auto">
        <a:xfrm>
          <a:off x="1304925" y="298037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217" name="Text Box 93">
          <a:extLst>
            <a:ext uri="{FF2B5EF4-FFF2-40B4-BE49-F238E27FC236}">
              <a16:creationId xmlns:a16="http://schemas.microsoft.com/office/drawing/2014/main" id="{00000000-0008-0000-1F00-0000D9000000}"/>
            </a:ext>
          </a:extLst>
        </xdr:cNvPr>
        <xdr:cNvSpPr txBox="1">
          <a:spLocks noChangeArrowheads="1"/>
        </xdr:cNvSpPr>
      </xdr:nvSpPr>
      <xdr:spPr bwMode="auto">
        <a:xfrm>
          <a:off x="933450" y="479298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18" name="Text Box 33">
          <a:extLst>
            <a:ext uri="{FF2B5EF4-FFF2-40B4-BE49-F238E27FC236}">
              <a16:creationId xmlns:a16="http://schemas.microsoft.com/office/drawing/2014/main" id="{00000000-0008-0000-1F00-0000DA000000}"/>
            </a:ext>
          </a:extLst>
        </xdr:cNvPr>
        <xdr:cNvSpPr txBox="1">
          <a:spLocks noChangeArrowheads="1"/>
        </xdr:cNvSpPr>
      </xdr:nvSpPr>
      <xdr:spPr bwMode="auto">
        <a:xfrm>
          <a:off x="1304925" y="298037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33</xdr:row>
      <xdr:rowOff>0</xdr:rowOff>
    </xdr:from>
    <xdr:to>
      <xdr:col>3</xdr:col>
      <xdr:colOff>190500</xdr:colOff>
      <xdr:row>33</xdr:row>
      <xdr:rowOff>0</xdr:rowOff>
    </xdr:to>
    <xdr:sp macro="" textlink="">
      <xdr:nvSpPr>
        <xdr:cNvPr id="219" name="Text Box 93">
          <a:extLst>
            <a:ext uri="{FF2B5EF4-FFF2-40B4-BE49-F238E27FC236}">
              <a16:creationId xmlns:a16="http://schemas.microsoft.com/office/drawing/2014/main" id="{00000000-0008-0000-1F00-0000DB000000}"/>
            </a:ext>
          </a:extLst>
        </xdr:cNvPr>
        <xdr:cNvSpPr txBox="1">
          <a:spLocks noChangeArrowheads="1"/>
        </xdr:cNvSpPr>
      </xdr:nvSpPr>
      <xdr:spPr bwMode="auto">
        <a:xfrm>
          <a:off x="933450" y="479298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220" name="Text Box 93">
          <a:extLst>
            <a:ext uri="{FF2B5EF4-FFF2-40B4-BE49-F238E27FC236}">
              <a16:creationId xmlns:a16="http://schemas.microsoft.com/office/drawing/2014/main" id="{00000000-0008-0000-1F00-0000DC000000}"/>
            </a:ext>
          </a:extLst>
        </xdr:cNvPr>
        <xdr:cNvSpPr txBox="1">
          <a:spLocks noChangeArrowheads="1"/>
        </xdr:cNvSpPr>
      </xdr:nvSpPr>
      <xdr:spPr bwMode="auto">
        <a:xfrm>
          <a:off x="933450" y="462819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221" name="Text Box 93">
          <a:extLst>
            <a:ext uri="{FF2B5EF4-FFF2-40B4-BE49-F238E27FC236}">
              <a16:creationId xmlns:a16="http://schemas.microsoft.com/office/drawing/2014/main" id="{00000000-0008-0000-1F00-0000DD000000}"/>
            </a:ext>
          </a:extLst>
        </xdr:cNvPr>
        <xdr:cNvSpPr txBox="1">
          <a:spLocks noChangeArrowheads="1"/>
        </xdr:cNvSpPr>
      </xdr:nvSpPr>
      <xdr:spPr bwMode="auto">
        <a:xfrm>
          <a:off x="933450" y="462819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222" name="Text Box 93">
          <a:extLst>
            <a:ext uri="{FF2B5EF4-FFF2-40B4-BE49-F238E27FC236}">
              <a16:creationId xmlns:a16="http://schemas.microsoft.com/office/drawing/2014/main" id="{00000000-0008-0000-1F00-0000DE000000}"/>
            </a:ext>
          </a:extLst>
        </xdr:cNvPr>
        <xdr:cNvSpPr txBox="1">
          <a:spLocks noChangeArrowheads="1"/>
        </xdr:cNvSpPr>
      </xdr:nvSpPr>
      <xdr:spPr bwMode="auto">
        <a:xfrm>
          <a:off x="933450" y="462819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223" name="Text Box 93">
          <a:extLst>
            <a:ext uri="{FF2B5EF4-FFF2-40B4-BE49-F238E27FC236}">
              <a16:creationId xmlns:a16="http://schemas.microsoft.com/office/drawing/2014/main" id="{00000000-0008-0000-1F00-0000DF000000}"/>
            </a:ext>
          </a:extLst>
        </xdr:cNvPr>
        <xdr:cNvSpPr txBox="1">
          <a:spLocks noChangeArrowheads="1"/>
        </xdr:cNvSpPr>
      </xdr:nvSpPr>
      <xdr:spPr bwMode="auto">
        <a:xfrm>
          <a:off x="933450" y="462819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32</xdr:row>
      <xdr:rowOff>0</xdr:rowOff>
    </xdr:from>
    <xdr:to>
      <xdr:col>3</xdr:col>
      <xdr:colOff>190500</xdr:colOff>
      <xdr:row>32</xdr:row>
      <xdr:rowOff>0</xdr:rowOff>
    </xdr:to>
    <xdr:sp macro="" textlink="">
      <xdr:nvSpPr>
        <xdr:cNvPr id="224" name="Text Box 93">
          <a:extLst>
            <a:ext uri="{FF2B5EF4-FFF2-40B4-BE49-F238E27FC236}">
              <a16:creationId xmlns:a16="http://schemas.microsoft.com/office/drawing/2014/main" id="{00000000-0008-0000-1F00-0000E0000000}"/>
            </a:ext>
          </a:extLst>
        </xdr:cNvPr>
        <xdr:cNvSpPr txBox="1">
          <a:spLocks noChangeArrowheads="1"/>
        </xdr:cNvSpPr>
      </xdr:nvSpPr>
      <xdr:spPr bwMode="auto">
        <a:xfrm>
          <a:off x="933450" y="462819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225" name="Text Box 93">
          <a:extLst>
            <a:ext uri="{FF2B5EF4-FFF2-40B4-BE49-F238E27FC236}">
              <a16:creationId xmlns:a16="http://schemas.microsoft.com/office/drawing/2014/main" id="{00000000-0008-0000-1F00-0000E1000000}"/>
            </a:ext>
          </a:extLst>
        </xdr:cNvPr>
        <xdr:cNvSpPr txBox="1">
          <a:spLocks noChangeArrowheads="1"/>
        </xdr:cNvSpPr>
      </xdr:nvSpPr>
      <xdr:spPr bwMode="auto">
        <a:xfrm>
          <a:off x="933450" y="446341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31</xdr:row>
      <xdr:rowOff>0</xdr:rowOff>
    </xdr:from>
    <xdr:to>
      <xdr:col>3</xdr:col>
      <xdr:colOff>190500</xdr:colOff>
      <xdr:row>31</xdr:row>
      <xdr:rowOff>0</xdr:rowOff>
    </xdr:to>
    <xdr:sp macro="" textlink="">
      <xdr:nvSpPr>
        <xdr:cNvPr id="226" name="Text Box 93">
          <a:extLst>
            <a:ext uri="{FF2B5EF4-FFF2-40B4-BE49-F238E27FC236}">
              <a16:creationId xmlns:a16="http://schemas.microsoft.com/office/drawing/2014/main" id="{00000000-0008-0000-1F00-0000E2000000}"/>
            </a:ext>
          </a:extLst>
        </xdr:cNvPr>
        <xdr:cNvSpPr txBox="1">
          <a:spLocks noChangeArrowheads="1"/>
        </xdr:cNvSpPr>
      </xdr:nvSpPr>
      <xdr:spPr bwMode="auto">
        <a:xfrm>
          <a:off x="933450" y="446341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27" name="Text Box 92">
          <a:extLst>
            <a:ext uri="{FF2B5EF4-FFF2-40B4-BE49-F238E27FC236}">
              <a16:creationId xmlns:a16="http://schemas.microsoft.com/office/drawing/2014/main" id="{00000000-0008-0000-1F00-0000E3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28" name="Text Box 33">
          <a:extLst>
            <a:ext uri="{FF2B5EF4-FFF2-40B4-BE49-F238E27FC236}">
              <a16:creationId xmlns:a16="http://schemas.microsoft.com/office/drawing/2014/main" id="{00000000-0008-0000-1F00-0000E4000000}"/>
            </a:ext>
          </a:extLst>
        </xdr:cNvPr>
        <xdr:cNvSpPr txBox="1">
          <a:spLocks noChangeArrowheads="1"/>
        </xdr:cNvSpPr>
      </xdr:nvSpPr>
      <xdr:spPr bwMode="auto">
        <a:xfrm>
          <a:off x="1304925" y="298037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229" name="Text Box 33">
          <a:extLst>
            <a:ext uri="{FF2B5EF4-FFF2-40B4-BE49-F238E27FC236}">
              <a16:creationId xmlns:a16="http://schemas.microsoft.com/office/drawing/2014/main" id="{00000000-0008-0000-1F00-0000E5000000}"/>
            </a:ext>
          </a:extLst>
        </xdr:cNvPr>
        <xdr:cNvSpPr txBox="1">
          <a:spLocks noChangeArrowheads="1"/>
        </xdr:cNvSpPr>
      </xdr:nvSpPr>
      <xdr:spPr bwMode="auto">
        <a:xfrm>
          <a:off x="1304925" y="508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30" name="Text Box 92">
          <a:extLst>
            <a:ext uri="{FF2B5EF4-FFF2-40B4-BE49-F238E27FC236}">
              <a16:creationId xmlns:a16="http://schemas.microsoft.com/office/drawing/2014/main" id="{00000000-0008-0000-1F00-0000E6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31" name="Text Box 93">
          <a:extLst>
            <a:ext uri="{FF2B5EF4-FFF2-40B4-BE49-F238E27FC236}">
              <a16:creationId xmlns:a16="http://schemas.microsoft.com/office/drawing/2014/main" id="{00000000-0008-0000-1F00-0000E7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23</xdr:row>
      <xdr:rowOff>0</xdr:rowOff>
    </xdr:from>
    <xdr:to>
      <xdr:col>2</xdr:col>
      <xdr:colOff>1524000</xdr:colOff>
      <xdr:row>23</xdr:row>
      <xdr:rowOff>0</xdr:rowOff>
    </xdr:to>
    <xdr:sp macro="" textlink="">
      <xdr:nvSpPr>
        <xdr:cNvPr id="232" name="Text Box 33">
          <a:extLst>
            <a:ext uri="{FF2B5EF4-FFF2-40B4-BE49-F238E27FC236}">
              <a16:creationId xmlns:a16="http://schemas.microsoft.com/office/drawing/2014/main" id="{00000000-0008-0000-1F00-0000E8000000}"/>
            </a:ext>
          </a:extLst>
        </xdr:cNvPr>
        <xdr:cNvSpPr txBox="1">
          <a:spLocks noChangeArrowheads="1"/>
        </xdr:cNvSpPr>
      </xdr:nvSpPr>
      <xdr:spPr bwMode="auto">
        <a:xfrm>
          <a:off x="1304925" y="314515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31</xdr:row>
      <xdr:rowOff>0</xdr:rowOff>
    </xdr:from>
    <xdr:to>
      <xdr:col>3</xdr:col>
      <xdr:colOff>238125</xdr:colOff>
      <xdr:row>31</xdr:row>
      <xdr:rowOff>0</xdr:rowOff>
    </xdr:to>
    <xdr:sp macro="" textlink="">
      <xdr:nvSpPr>
        <xdr:cNvPr id="233" name="Text Box 92">
          <a:extLst>
            <a:ext uri="{FF2B5EF4-FFF2-40B4-BE49-F238E27FC236}">
              <a16:creationId xmlns:a16="http://schemas.microsoft.com/office/drawing/2014/main" id="{00000000-0008-0000-1F00-0000E9000000}"/>
            </a:ext>
          </a:extLst>
        </xdr:cNvPr>
        <xdr:cNvSpPr txBox="1">
          <a:spLocks noChangeArrowheads="1"/>
        </xdr:cNvSpPr>
      </xdr:nvSpPr>
      <xdr:spPr bwMode="auto">
        <a:xfrm>
          <a:off x="981075" y="446341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19</xdr:row>
      <xdr:rowOff>0</xdr:rowOff>
    </xdr:from>
    <xdr:to>
      <xdr:col>3</xdr:col>
      <xdr:colOff>190500</xdr:colOff>
      <xdr:row>19</xdr:row>
      <xdr:rowOff>0</xdr:rowOff>
    </xdr:to>
    <xdr:sp macro="" textlink="">
      <xdr:nvSpPr>
        <xdr:cNvPr id="234" name="Text Box 93">
          <a:extLst>
            <a:ext uri="{FF2B5EF4-FFF2-40B4-BE49-F238E27FC236}">
              <a16:creationId xmlns:a16="http://schemas.microsoft.com/office/drawing/2014/main" id="{00000000-0008-0000-1F00-0000EA000000}"/>
            </a:ext>
          </a:extLst>
        </xdr:cNvPr>
        <xdr:cNvSpPr txBox="1">
          <a:spLocks noChangeArrowheads="1"/>
        </xdr:cNvSpPr>
      </xdr:nvSpPr>
      <xdr:spPr bwMode="auto">
        <a:xfrm>
          <a:off x="933450" y="248602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35" name="Text Box 33">
          <a:extLst>
            <a:ext uri="{FF2B5EF4-FFF2-40B4-BE49-F238E27FC236}">
              <a16:creationId xmlns:a16="http://schemas.microsoft.com/office/drawing/2014/main" id="{00000000-0008-0000-1F00-0000EB000000}"/>
            </a:ext>
          </a:extLst>
        </xdr:cNvPr>
        <xdr:cNvSpPr txBox="1">
          <a:spLocks noChangeArrowheads="1"/>
        </xdr:cNvSpPr>
      </xdr:nvSpPr>
      <xdr:spPr bwMode="auto">
        <a:xfrm>
          <a:off x="1304925" y="298037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236" name="Text Box 33">
          <a:extLst>
            <a:ext uri="{FF2B5EF4-FFF2-40B4-BE49-F238E27FC236}">
              <a16:creationId xmlns:a16="http://schemas.microsoft.com/office/drawing/2014/main" id="{00000000-0008-0000-1F00-0000EC000000}"/>
            </a:ext>
          </a:extLst>
        </xdr:cNvPr>
        <xdr:cNvSpPr txBox="1">
          <a:spLocks noChangeArrowheads="1"/>
        </xdr:cNvSpPr>
      </xdr:nvSpPr>
      <xdr:spPr bwMode="auto">
        <a:xfrm>
          <a:off x="1304925" y="508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37" name="Text Box 92">
          <a:extLst>
            <a:ext uri="{FF2B5EF4-FFF2-40B4-BE49-F238E27FC236}">
              <a16:creationId xmlns:a16="http://schemas.microsoft.com/office/drawing/2014/main" id="{00000000-0008-0000-1F00-0000ED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38" name="Text Box 93">
          <a:extLst>
            <a:ext uri="{FF2B5EF4-FFF2-40B4-BE49-F238E27FC236}">
              <a16:creationId xmlns:a16="http://schemas.microsoft.com/office/drawing/2014/main" id="{00000000-0008-0000-1F00-0000EE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39" name="Text Box 33">
          <a:extLst>
            <a:ext uri="{FF2B5EF4-FFF2-40B4-BE49-F238E27FC236}">
              <a16:creationId xmlns:a16="http://schemas.microsoft.com/office/drawing/2014/main" id="{00000000-0008-0000-1F00-0000EF000000}"/>
            </a:ext>
          </a:extLst>
        </xdr:cNvPr>
        <xdr:cNvSpPr txBox="1">
          <a:spLocks noChangeArrowheads="1"/>
        </xdr:cNvSpPr>
      </xdr:nvSpPr>
      <xdr:spPr bwMode="auto">
        <a:xfrm>
          <a:off x="1304925" y="298037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7</xdr:row>
      <xdr:rowOff>0</xdr:rowOff>
    </xdr:from>
    <xdr:to>
      <xdr:col>2</xdr:col>
      <xdr:colOff>1524000</xdr:colOff>
      <xdr:row>7</xdr:row>
      <xdr:rowOff>0</xdr:rowOff>
    </xdr:to>
    <xdr:sp macro="" textlink="">
      <xdr:nvSpPr>
        <xdr:cNvPr id="240" name="Text Box 33">
          <a:extLst>
            <a:ext uri="{FF2B5EF4-FFF2-40B4-BE49-F238E27FC236}">
              <a16:creationId xmlns:a16="http://schemas.microsoft.com/office/drawing/2014/main" id="{00000000-0008-0000-1F00-0000F0000000}"/>
            </a:ext>
          </a:extLst>
        </xdr:cNvPr>
        <xdr:cNvSpPr txBox="1">
          <a:spLocks noChangeArrowheads="1"/>
        </xdr:cNvSpPr>
      </xdr:nvSpPr>
      <xdr:spPr bwMode="auto">
        <a:xfrm>
          <a:off x="1304925" y="50863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30</xdr:row>
      <xdr:rowOff>0</xdr:rowOff>
    </xdr:from>
    <xdr:to>
      <xdr:col>3</xdr:col>
      <xdr:colOff>238125</xdr:colOff>
      <xdr:row>30</xdr:row>
      <xdr:rowOff>0</xdr:rowOff>
    </xdr:to>
    <xdr:sp macro="" textlink="">
      <xdr:nvSpPr>
        <xdr:cNvPr id="241" name="Text Box 92">
          <a:extLst>
            <a:ext uri="{FF2B5EF4-FFF2-40B4-BE49-F238E27FC236}">
              <a16:creationId xmlns:a16="http://schemas.microsoft.com/office/drawing/2014/main" id="{00000000-0008-0000-1F00-0000F1000000}"/>
            </a:ext>
          </a:extLst>
        </xdr:cNvPr>
        <xdr:cNvSpPr txBox="1">
          <a:spLocks noChangeArrowheads="1"/>
        </xdr:cNvSpPr>
      </xdr:nvSpPr>
      <xdr:spPr bwMode="auto">
        <a:xfrm>
          <a:off x="981075"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18</xdr:row>
      <xdr:rowOff>0</xdr:rowOff>
    </xdr:from>
    <xdr:to>
      <xdr:col>3</xdr:col>
      <xdr:colOff>190500</xdr:colOff>
      <xdr:row>18</xdr:row>
      <xdr:rowOff>0</xdr:rowOff>
    </xdr:to>
    <xdr:sp macro="" textlink="">
      <xdr:nvSpPr>
        <xdr:cNvPr id="242" name="Text Box 93">
          <a:extLst>
            <a:ext uri="{FF2B5EF4-FFF2-40B4-BE49-F238E27FC236}">
              <a16:creationId xmlns:a16="http://schemas.microsoft.com/office/drawing/2014/main" id="{00000000-0008-0000-1F00-0000F2000000}"/>
            </a:ext>
          </a:extLst>
        </xdr:cNvPr>
        <xdr:cNvSpPr txBox="1">
          <a:spLocks noChangeArrowheads="1"/>
        </xdr:cNvSpPr>
      </xdr:nvSpPr>
      <xdr:spPr bwMode="auto">
        <a:xfrm>
          <a:off x="933450" y="232124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21</xdr:row>
      <xdr:rowOff>0</xdr:rowOff>
    </xdr:from>
    <xdr:to>
      <xdr:col>2</xdr:col>
      <xdr:colOff>1524000</xdr:colOff>
      <xdr:row>21</xdr:row>
      <xdr:rowOff>0</xdr:rowOff>
    </xdr:to>
    <xdr:sp macro="" textlink="">
      <xdr:nvSpPr>
        <xdr:cNvPr id="243" name="Text Box 33">
          <a:extLst>
            <a:ext uri="{FF2B5EF4-FFF2-40B4-BE49-F238E27FC236}">
              <a16:creationId xmlns:a16="http://schemas.microsoft.com/office/drawing/2014/main" id="{00000000-0008-0000-1F00-0000F3000000}"/>
            </a:ext>
          </a:extLst>
        </xdr:cNvPr>
        <xdr:cNvSpPr txBox="1">
          <a:spLocks noChangeArrowheads="1"/>
        </xdr:cNvSpPr>
      </xdr:nvSpPr>
      <xdr:spPr bwMode="auto">
        <a:xfrm>
          <a:off x="1304925" y="281559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244" name="Text Box 92">
          <a:extLst>
            <a:ext uri="{FF2B5EF4-FFF2-40B4-BE49-F238E27FC236}">
              <a16:creationId xmlns:a16="http://schemas.microsoft.com/office/drawing/2014/main" id="{00000000-0008-0000-1F00-0000F4000000}"/>
            </a:ext>
          </a:extLst>
        </xdr:cNvPr>
        <xdr:cNvSpPr txBox="1">
          <a:spLocks noChangeArrowheads="1"/>
        </xdr:cNvSpPr>
      </xdr:nvSpPr>
      <xdr:spPr bwMode="auto">
        <a:xfrm>
          <a:off x="981075"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45" name="Text Box 93">
          <a:extLst>
            <a:ext uri="{FF2B5EF4-FFF2-40B4-BE49-F238E27FC236}">
              <a16:creationId xmlns:a16="http://schemas.microsoft.com/office/drawing/2014/main" id="{00000000-0008-0000-1F00-0000F5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21</xdr:row>
      <xdr:rowOff>0</xdr:rowOff>
    </xdr:from>
    <xdr:to>
      <xdr:col>2</xdr:col>
      <xdr:colOff>1524000</xdr:colOff>
      <xdr:row>21</xdr:row>
      <xdr:rowOff>0</xdr:rowOff>
    </xdr:to>
    <xdr:sp macro="" textlink="">
      <xdr:nvSpPr>
        <xdr:cNvPr id="246" name="Text Box 33">
          <a:extLst>
            <a:ext uri="{FF2B5EF4-FFF2-40B4-BE49-F238E27FC236}">
              <a16:creationId xmlns:a16="http://schemas.microsoft.com/office/drawing/2014/main" id="{00000000-0008-0000-1F00-0000F6000000}"/>
            </a:ext>
          </a:extLst>
        </xdr:cNvPr>
        <xdr:cNvSpPr txBox="1">
          <a:spLocks noChangeArrowheads="1"/>
        </xdr:cNvSpPr>
      </xdr:nvSpPr>
      <xdr:spPr bwMode="auto">
        <a:xfrm>
          <a:off x="1304925" y="2815590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29</xdr:row>
      <xdr:rowOff>0</xdr:rowOff>
    </xdr:from>
    <xdr:to>
      <xdr:col>3</xdr:col>
      <xdr:colOff>238125</xdr:colOff>
      <xdr:row>29</xdr:row>
      <xdr:rowOff>0</xdr:rowOff>
    </xdr:to>
    <xdr:sp macro="" textlink="">
      <xdr:nvSpPr>
        <xdr:cNvPr id="247" name="Text Box 92">
          <a:extLst>
            <a:ext uri="{FF2B5EF4-FFF2-40B4-BE49-F238E27FC236}">
              <a16:creationId xmlns:a16="http://schemas.microsoft.com/office/drawing/2014/main" id="{00000000-0008-0000-1F00-0000F7000000}"/>
            </a:ext>
          </a:extLst>
        </xdr:cNvPr>
        <xdr:cNvSpPr txBox="1">
          <a:spLocks noChangeArrowheads="1"/>
        </xdr:cNvSpPr>
      </xdr:nvSpPr>
      <xdr:spPr bwMode="auto">
        <a:xfrm>
          <a:off x="981075"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48" name="Text Box 93">
          <a:extLst>
            <a:ext uri="{FF2B5EF4-FFF2-40B4-BE49-F238E27FC236}">
              <a16:creationId xmlns:a16="http://schemas.microsoft.com/office/drawing/2014/main" id="{00000000-0008-0000-1F00-0000F8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30</xdr:row>
      <xdr:rowOff>0</xdr:rowOff>
    </xdr:from>
    <xdr:to>
      <xdr:col>2</xdr:col>
      <xdr:colOff>1524000</xdr:colOff>
      <xdr:row>30</xdr:row>
      <xdr:rowOff>0</xdr:rowOff>
    </xdr:to>
    <xdr:sp macro="" textlink="">
      <xdr:nvSpPr>
        <xdr:cNvPr id="249" name="Text Box 33">
          <a:extLst>
            <a:ext uri="{FF2B5EF4-FFF2-40B4-BE49-F238E27FC236}">
              <a16:creationId xmlns:a16="http://schemas.microsoft.com/office/drawing/2014/main" id="{00000000-0008-0000-1F00-0000F9000000}"/>
            </a:ext>
          </a:extLst>
        </xdr:cNvPr>
        <xdr:cNvSpPr txBox="1">
          <a:spLocks noChangeArrowheads="1"/>
        </xdr:cNvSpPr>
      </xdr:nvSpPr>
      <xdr:spPr bwMode="auto">
        <a:xfrm>
          <a:off x="1304925" y="429863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50" name="Text Box 93">
          <a:extLst>
            <a:ext uri="{FF2B5EF4-FFF2-40B4-BE49-F238E27FC236}">
              <a16:creationId xmlns:a16="http://schemas.microsoft.com/office/drawing/2014/main" id="{00000000-0008-0000-1F00-0000FA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51" name="Text Box 93">
          <a:extLst>
            <a:ext uri="{FF2B5EF4-FFF2-40B4-BE49-F238E27FC236}">
              <a16:creationId xmlns:a16="http://schemas.microsoft.com/office/drawing/2014/main" id="{00000000-0008-0000-1F00-0000FB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17</xdr:row>
      <xdr:rowOff>0</xdr:rowOff>
    </xdr:from>
    <xdr:to>
      <xdr:col>3</xdr:col>
      <xdr:colOff>190500</xdr:colOff>
      <xdr:row>17</xdr:row>
      <xdr:rowOff>0</xdr:rowOff>
    </xdr:to>
    <xdr:sp macro="" textlink="">
      <xdr:nvSpPr>
        <xdr:cNvPr id="252" name="Text Box 93">
          <a:extLst>
            <a:ext uri="{FF2B5EF4-FFF2-40B4-BE49-F238E27FC236}">
              <a16:creationId xmlns:a16="http://schemas.microsoft.com/office/drawing/2014/main" id="{00000000-0008-0000-1F00-0000FC000000}"/>
            </a:ext>
          </a:extLst>
        </xdr:cNvPr>
        <xdr:cNvSpPr txBox="1">
          <a:spLocks noChangeArrowheads="1"/>
        </xdr:cNvSpPr>
      </xdr:nvSpPr>
      <xdr:spPr bwMode="auto">
        <a:xfrm>
          <a:off x="933450" y="21564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253" name="Text Box 93">
          <a:extLst>
            <a:ext uri="{FF2B5EF4-FFF2-40B4-BE49-F238E27FC236}">
              <a16:creationId xmlns:a16="http://schemas.microsoft.com/office/drawing/2014/main" id="{00000000-0008-0000-1F00-0000FD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16</xdr:row>
      <xdr:rowOff>0</xdr:rowOff>
    </xdr:from>
    <xdr:to>
      <xdr:col>3</xdr:col>
      <xdr:colOff>190500</xdr:colOff>
      <xdr:row>16</xdr:row>
      <xdr:rowOff>0</xdr:rowOff>
    </xdr:to>
    <xdr:sp macro="" textlink="">
      <xdr:nvSpPr>
        <xdr:cNvPr id="254" name="Text Box 93">
          <a:extLst>
            <a:ext uri="{FF2B5EF4-FFF2-40B4-BE49-F238E27FC236}">
              <a16:creationId xmlns:a16="http://schemas.microsoft.com/office/drawing/2014/main" id="{00000000-0008-0000-1F00-0000FE000000}"/>
            </a:ext>
          </a:extLst>
        </xdr:cNvPr>
        <xdr:cNvSpPr txBox="1">
          <a:spLocks noChangeArrowheads="1"/>
        </xdr:cNvSpPr>
      </xdr:nvSpPr>
      <xdr:spPr bwMode="auto">
        <a:xfrm>
          <a:off x="933450" y="199167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22</xdr:row>
      <xdr:rowOff>0</xdr:rowOff>
    </xdr:from>
    <xdr:to>
      <xdr:col>2</xdr:col>
      <xdr:colOff>1524000</xdr:colOff>
      <xdr:row>22</xdr:row>
      <xdr:rowOff>0</xdr:rowOff>
    </xdr:to>
    <xdr:sp macro="" textlink="">
      <xdr:nvSpPr>
        <xdr:cNvPr id="255" name="Text Box 33">
          <a:extLst>
            <a:ext uri="{FF2B5EF4-FFF2-40B4-BE49-F238E27FC236}">
              <a16:creationId xmlns:a16="http://schemas.microsoft.com/office/drawing/2014/main" id="{00000000-0008-0000-1F00-0000FF000000}"/>
            </a:ext>
          </a:extLst>
        </xdr:cNvPr>
        <xdr:cNvSpPr txBox="1">
          <a:spLocks noChangeArrowheads="1"/>
        </xdr:cNvSpPr>
      </xdr:nvSpPr>
      <xdr:spPr bwMode="auto">
        <a:xfrm>
          <a:off x="1304925" y="298037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256" name="Text Box 92">
          <a:extLst>
            <a:ext uri="{FF2B5EF4-FFF2-40B4-BE49-F238E27FC236}">
              <a16:creationId xmlns:a16="http://schemas.microsoft.com/office/drawing/2014/main" id="{00000000-0008-0000-1F00-000000010000}"/>
            </a:ext>
          </a:extLst>
        </xdr:cNvPr>
        <xdr:cNvSpPr txBox="1">
          <a:spLocks noChangeArrowheads="1"/>
        </xdr:cNvSpPr>
      </xdr:nvSpPr>
      <xdr:spPr bwMode="auto">
        <a:xfrm>
          <a:off x="981075"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257" name="Text Box 92">
          <a:extLst>
            <a:ext uri="{FF2B5EF4-FFF2-40B4-BE49-F238E27FC236}">
              <a16:creationId xmlns:a16="http://schemas.microsoft.com/office/drawing/2014/main" id="{00000000-0008-0000-1F00-000001010000}"/>
            </a:ext>
          </a:extLst>
        </xdr:cNvPr>
        <xdr:cNvSpPr txBox="1">
          <a:spLocks noChangeArrowheads="1"/>
        </xdr:cNvSpPr>
      </xdr:nvSpPr>
      <xdr:spPr bwMode="auto">
        <a:xfrm>
          <a:off x="981075"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14</xdr:row>
      <xdr:rowOff>0</xdr:rowOff>
    </xdr:from>
    <xdr:to>
      <xdr:col>3</xdr:col>
      <xdr:colOff>238125</xdr:colOff>
      <xdr:row>14</xdr:row>
      <xdr:rowOff>0</xdr:rowOff>
    </xdr:to>
    <xdr:sp macro="" textlink="">
      <xdr:nvSpPr>
        <xdr:cNvPr id="258" name="Text Box 92">
          <a:extLst>
            <a:ext uri="{FF2B5EF4-FFF2-40B4-BE49-F238E27FC236}">
              <a16:creationId xmlns:a16="http://schemas.microsoft.com/office/drawing/2014/main" id="{00000000-0008-0000-1F00-000002010000}"/>
            </a:ext>
          </a:extLst>
        </xdr:cNvPr>
        <xdr:cNvSpPr txBox="1">
          <a:spLocks noChangeArrowheads="1"/>
        </xdr:cNvSpPr>
      </xdr:nvSpPr>
      <xdr:spPr bwMode="auto">
        <a:xfrm>
          <a:off x="981075" y="166211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59" name="Text Box 33">
          <a:extLst>
            <a:ext uri="{FF2B5EF4-FFF2-40B4-BE49-F238E27FC236}">
              <a16:creationId xmlns:a16="http://schemas.microsoft.com/office/drawing/2014/main" id="{00000000-0008-0000-1F00-000003010000}"/>
            </a:ext>
          </a:extLst>
        </xdr:cNvPr>
        <xdr:cNvSpPr txBox="1">
          <a:spLocks noChangeArrowheads="1"/>
        </xdr:cNvSpPr>
      </xdr:nvSpPr>
      <xdr:spPr bwMode="auto">
        <a:xfrm>
          <a:off x="1304925" y="248602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0" name="Text Box 33">
          <a:extLst>
            <a:ext uri="{FF2B5EF4-FFF2-40B4-BE49-F238E27FC236}">
              <a16:creationId xmlns:a16="http://schemas.microsoft.com/office/drawing/2014/main" id="{00000000-0008-0000-1F00-000004010000}"/>
            </a:ext>
          </a:extLst>
        </xdr:cNvPr>
        <xdr:cNvSpPr txBox="1">
          <a:spLocks noChangeArrowheads="1"/>
        </xdr:cNvSpPr>
      </xdr:nvSpPr>
      <xdr:spPr bwMode="auto">
        <a:xfrm>
          <a:off x="1304925" y="248602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1" name="Text Box 33">
          <a:extLst>
            <a:ext uri="{FF2B5EF4-FFF2-40B4-BE49-F238E27FC236}">
              <a16:creationId xmlns:a16="http://schemas.microsoft.com/office/drawing/2014/main" id="{00000000-0008-0000-1F00-000005010000}"/>
            </a:ext>
          </a:extLst>
        </xdr:cNvPr>
        <xdr:cNvSpPr txBox="1">
          <a:spLocks noChangeArrowheads="1"/>
        </xdr:cNvSpPr>
      </xdr:nvSpPr>
      <xdr:spPr bwMode="auto">
        <a:xfrm>
          <a:off x="1304925" y="248602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2" name="Text Box 33">
          <a:extLst>
            <a:ext uri="{FF2B5EF4-FFF2-40B4-BE49-F238E27FC236}">
              <a16:creationId xmlns:a16="http://schemas.microsoft.com/office/drawing/2014/main" id="{00000000-0008-0000-1F00-000006010000}"/>
            </a:ext>
          </a:extLst>
        </xdr:cNvPr>
        <xdr:cNvSpPr txBox="1">
          <a:spLocks noChangeArrowheads="1"/>
        </xdr:cNvSpPr>
      </xdr:nvSpPr>
      <xdr:spPr bwMode="auto">
        <a:xfrm>
          <a:off x="1304925" y="248602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3" name="Text Box 33">
          <a:extLst>
            <a:ext uri="{FF2B5EF4-FFF2-40B4-BE49-F238E27FC236}">
              <a16:creationId xmlns:a16="http://schemas.microsoft.com/office/drawing/2014/main" id="{00000000-0008-0000-1F00-000007010000}"/>
            </a:ext>
          </a:extLst>
        </xdr:cNvPr>
        <xdr:cNvSpPr txBox="1">
          <a:spLocks noChangeArrowheads="1"/>
        </xdr:cNvSpPr>
      </xdr:nvSpPr>
      <xdr:spPr bwMode="auto">
        <a:xfrm>
          <a:off x="1304925" y="248602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4" name="Text Box 33">
          <a:extLst>
            <a:ext uri="{FF2B5EF4-FFF2-40B4-BE49-F238E27FC236}">
              <a16:creationId xmlns:a16="http://schemas.microsoft.com/office/drawing/2014/main" id="{00000000-0008-0000-1F00-000008010000}"/>
            </a:ext>
          </a:extLst>
        </xdr:cNvPr>
        <xdr:cNvSpPr txBox="1">
          <a:spLocks noChangeArrowheads="1"/>
        </xdr:cNvSpPr>
      </xdr:nvSpPr>
      <xdr:spPr bwMode="auto">
        <a:xfrm>
          <a:off x="1304925" y="248602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18</xdr:row>
      <xdr:rowOff>0</xdr:rowOff>
    </xdr:from>
    <xdr:to>
      <xdr:col>2</xdr:col>
      <xdr:colOff>1524000</xdr:colOff>
      <xdr:row>18</xdr:row>
      <xdr:rowOff>0</xdr:rowOff>
    </xdr:to>
    <xdr:sp macro="" textlink="">
      <xdr:nvSpPr>
        <xdr:cNvPr id="265" name="Text Box 33">
          <a:extLst>
            <a:ext uri="{FF2B5EF4-FFF2-40B4-BE49-F238E27FC236}">
              <a16:creationId xmlns:a16="http://schemas.microsoft.com/office/drawing/2014/main" id="{00000000-0008-0000-1F00-000009010000}"/>
            </a:ext>
          </a:extLst>
        </xdr:cNvPr>
        <xdr:cNvSpPr txBox="1">
          <a:spLocks noChangeArrowheads="1"/>
        </xdr:cNvSpPr>
      </xdr:nvSpPr>
      <xdr:spPr bwMode="auto">
        <a:xfrm>
          <a:off x="1304925" y="232124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18</xdr:row>
      <xdr:rowOff>0</xdr:rowOff>
    </xdr:from>
    <xdr:to>
      <xdr:col>2</xdr:col>
      <xdr:colOff>1524000</xdr:colOff>
      <xdr:row>18</xdr:row>
      <xdr:rowOff>0</xdr:rowOff>
    </xdr:to>
    <xdr:sp macro="" textlink="">
      <xdr:nvSpPr>
        <xdr:cNvPr id="266" name="Text Box 33">
          <a:extLst>
            <a:ext uri="{FF2B5EF4-FFF2-40B4-BE49-F238E27FC236}">
              <a16:creationId xmlns:a16="http://schemas.microsoft.com/office/drawing/2014/main" id="{00000000-0008-0000-1F00-00000A010000}"/>
            </a:ext>
          </a:extLst>
        </xdr:cNvPr>
        <xdr:cNvSpPr txBox="1">
          <a:spLocks noChangeArrowheads="1"/>
        </xdr:cNvSpPr>
      </xdr:nvSpPr>
      <xdr:spPr bwMode="auto">
        <a:xfrm>
          <a:off x="1304925" y="23212425"/>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371475</xdr:colOff>
      <xdr:row>19</xdr:row>
      <xdr:rowOff>0</xdr:rowOff>
    </xdr:from>
    <xdr:to>
      <xdr:col>2</xdr:col>
      <xdr:colOff>1524000</xdr:colOff>
      <xdr:row>19</xdr:row>
      <xdr:rowOff>0</xdr:rowOff>
    </xdr:to>
    <xdr:sp macro="" textlink="">
      <xdr:nvSpPr>
        <xdr:cNvPr id="267" name="Text Box 33">
          <a:extLst>
            <a:ext uri="{FF2B5EF4-FFF2-40B4-BE49-F238E27FC236}">
              <a16:creationId xmlns:a16="http://schemas.microsoft.com/office/drawing/2014/main" id="{00000000-0008-0000-1F00-00000B010000}"/>
            </a:ext>
          </a:extLst>
        </xdr:cNvPr>
        <xdr:cNvSpPr txBox="1">
          <a:spLocks noChangeArrowheads="1"/>
        </xdr:cNvSpPr>
      </xdr:nvSpPr>
      <xdr:spPr bwMode="auto">
        <a:xfrm>
          <a:off x="1304925" y="248602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268" name="Text Box 93">
          <a:extLst>
            <a:ext uri="{FF2B5EF4-FFF2-40B4-BE49-F238E27FC236}">
              <a16:creationId xmlns:a16="http://schemas.microsoft.com/office/drawing/2014/main" id="{00000000-0008-0000-1F00-00000C010000}"/>
            </a:ext>
          </a:extLst>
        </xdr:cNvPr>
        <xdr:cNvSpPr txBox="1">
          <a:spLocks noChangeArrowheads="1"/>
        </xdr:cNvSpPr>
      </xdr:nvSpPr>
      <xdr:spPr bwMode="auto">
        <a:xfrm>
          <a:off x="933450"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269" name="Text Box 93">
          <a:extLst>
            <a:ext uri="{FF2B5EF4-FFF2-40B4-BE49-F238E27FC236}">
              <a16:creationId xmlns:a16="http://schemas.microsoft.com/office/drawing/2014/main" id="{00000000-0008-0000-1F00-00000D010000}"/>
            </a:ext>
          </a:extLst>
        </xdr:cNvPr>
        <xdr:cNvSpPr txBox="1">
          <a:spLocks noChangeArrowheads="1"/>
        </xdr:cNvSpPr>
      </xdr:nvSpPr>
      <xdr:spPr bwMode="auto">
        <a:xfrm>
          <a:off x="933450"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30</xdr:row>
      <xdr:rowOff>0</xdr:rowOff>
    </xdr:from>
    <xdr:to>
      <xdr:col>3</xdr:col>
      <xdr:colOff>190500</xdr:colOff>
      <xdr:row>30</xdr:row>
      <xdr:rowOff>0</xdr:rowOff>
    </xdr:to>
    <xdr:sp macro="" textlink="">
      <xdr:nvSpPr>
        <xdr:cNvPr id="270" name="Text Box 93">
          <a:extLst>
            <a:ext uri="{FF2B5EF4-FFF2-40B4-BE49-F238E27FC236}">
              <a16:creationId xmlns:a16="http://schemas.microsoft.com/office/drawing/2014/main" id="{00000000-0008-0000-1F00-00000E010000}"/>
            </a:ext>
          </a:extLst>
        </xdr:cNvPr>
        <xdr:cNvSpPr txBox="1">
          <a:spLocks noChangeArrowheads="1"/>
        </xdr:cNvSpPr>
      </xdr:nvSpPr>
      <xdr:spPr bwMode="auto">
        <a:xfrm>
          <a:off x="933450" y="429863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271" name="Text Box 93">
          <a:extLst>
            <a:ext uri="{FF2B5EF4-FFF2-40B4-BE49-F238E27FC236}">
              <a16:creationId xmlns:a16="http://schemas.microsoft.com/office/drawing/2014/main" id="{00000000-0008-0000-1F00-00000F01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272" name="Text Box 93">
          <a:extLst>
            <a:ext uri="{FF2B5EF4-FFF2-40B4-BE49-F238E27FC236}">
              <a16:creationId xmlns:a16="http://schemas.microsoft.com/office/drawing/2014/main" id="{00000000-0008-0000-1F00-00001001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273" name="Text Box 93">
          <a:extLst>
            <a:ext uri="{FF2B5EF4-FFF2-40B4-BE49-F238E27FC236}">
              <a16:creationId xmlns:a16="http://schemas.microsoft.com/office/drawing/2014/main" id="{00000000-0008-0000-1F00-00001101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274" name="Text Box 93">
          <a:extLst>
            <a:ext uri="{FF2B5EF4-FFF2-40B4-BE49-F238E27FC236}">
              <a16:creationId xmlns:a16="http://schemas.microsoft.com/office/drawing/2014/main" id="{00000000-0008-0000-1F00-00001201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29</xdr:row>
      <xdr:rowOff>0</xdr:rowOff>
    </xdr:from>
    <xdr:to>
      <xdr:col>3</xdr:col>
      <xdr:colOff>190500</xdr:colOff>
      <xdr:row>29</xdr:row>
      <xdr:rowOff>0</xdr:rowOff>
    </xdr:to>
    <xdr:sp macro="" textlink="">
      <xdr:nvSpPr>
        <xdr:cNvPr id="275" name="Text Box 93">
          <a:extLst>
            <a:ext uri="{FF2B5EF4-FFF2-40B4-BE49-F238E27FC236}">
              <a16:creationId xmlns:a16="http://schemas.microsoft.com/office/drawing/2014/main" id="{00000000-0008-0000-1F00-000013010000}"/>
            </a:ext>
          </a:extLst>
        </xdr:cNvPr>
        <xdr:cNvSpPr txBox="1">
          <a:spLocks noChangeArrowheads="1"/>
        </xdr:cNvSpPr>
      </xdr:nvSpPr>
      <xdr:spPr bwMode="auto">
        <a:xfrm>
          <a:off x="933450" y="413385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276" name="Text Box 93">
          <a:extLst>
            <a:ext uri="{FF2B5EF4-FFF2-40B4-BE49-F238E27FC236}">
              <a16:creationId xmlns:a16="http://schemas.microsoft.com/office/drawing/2014/main" id="{00000000-0008-0000-1F00-000014010000}"/>
            </a:ext>
          </a:extLst>
        </xdr:cNvPr>
        <xdr:cNvSpPr txBox="1">
          <a:spLocks noChangeArrowheads="1"/>
        </xdr:cNvSpPr>
      </xdr:nvSpPr>
      <xdr:spPr bwMode="auto">
        <a:xfrm>
          <a:off x="933450"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28</xdr:row>
      <xdr:rowOff>0</xdr:rowOff>
    </xdr:from>
    <xdr:to>
      <xdr:col>3</xdr:col>
      <xdr:colOff>190500</xdr:colOff>
      <xdr:row>28</xdr:row>
      <xdr:rowOff>0</xdr:rowOff>
    </xdr:to>
    <xdr:sp macro="" textlink="">
      <xdr:nvSpPr>
        <xdr:cNvPr id="277" name="Text Box 93">
          <a:extLst>
            <a:ext uri="{FF2B5EF4-FFF2-40B4-BE49-F238E27FC236}">
              <a16:creationId xmlns:a16="http://schemas.microsoft.com/office/drawing/2014/main" id="{00000000-0008-0000-1F00-000015010000}"/>
            </a:ext>
          </a:extLst>
        </xdr:cNvPr>
        <xdr:cNvSpPr txBox="1">
          <a:spLocks noChangeArrowheads="1"/>
        </xdr:cNvSpPr>
      </xdr:nvSpPr>
      <xdr:spPr bwMode="auto">
        <a:xfrm>
          <a:off x="933450"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278" name="Text Box 92">
          <a:extLst>
            <a:ext uri="{FF2B5EF4-FFF2-40B4-BE49-F238E27FC236}">
              <a16:creationId xmlns:a16="http://schemas.microsoft.com/office/drawing/2014/main" id="{00000000-0008-0000-1F00-00001601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279" name="Text Box 92">
          <a:extLst>
            <a:ext uri="{FF2B5EF4-FFF2-40B4-BE49-F238E27FC236}">
              <a16:creationId xmlns:a16="http://schemas.microsoft.com/office/drawing/2014/main" id="{00000000-0008-0000-1F00-00001701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28</xdr:row>
      <xdr:rowOff>0</xdr:rowOff>
    </xdr:from>
    <xdr:to>
      <xdr:col>3</xdr:col>
      <xdr:colOff>238125</xdr:colOff>
      <xdr:row>28</xdr:row>
      <xdr:rowOff>0</xdr:rowOff>
    </xdr:to>
    <xdr:sp macro="" textlink="">
      <xdr:nvSpPr>
        <xdr:cNvPr id="280" name="Text Box 92">
          <a:extLst>
            <a:ext uri="{FF2B5EF4-FFF2-40B4-BE49-F238E27FC236}">
              <a16:creationId xmlns:a16="http://schemas.microsoft.com/office/drawing/2014/main" id="{00000000-0008-0000-1F00-000018010000}"/>
            </a:ext>
          </a:extLst>
        </xdr:cNvPr>
        <xdr:cNvSpPr txBox="1">
          <a:spLocks noChangeArrowheads="1"/>
        </xdr:cNvSpPr>
      </xdr:nvSpPr>
      <xdr:spPr bwMode="auto">
        <a:xfrm>
          <a:off x="981075" y="396906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281" name="Text Box 92">
          <a:extLst>
            <a:ext uri="{FF2B5EF4-FFF2-40B4-BE49-F238E27FC236}">
              <a16:creationId xmlns:a16="http://schemas.microsoft.com/office/drawing/2014/main" id="{00000000-0008-0000-1F00-00001901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47625</xdr:colOff>
      <xdr:row>27</xdr:row>
      <xdr:rowOff>0</xdr:rowOff>
    </xdr:from>
    <xdr:to>
      <xdr:col>3</xdr:col>
      <xdr:colOff>238125</xdr:colOff>
      <xdr:row>27</xdr:row>
      <xdr:rowOff>0</xdr:rowOff>
    </xdr:to>
    <xdr:sp macro="" textlink="">
      <xdr:nvSpPr>
        <xdr:cNvPr id="282" name="Text Box 92">
          <a:extLst>
            <a:ext uri="{FF2B5EF4-FFF2-40B4-BE49-F238E27FC236}">
              <a16:creationId xmlns:a16="http://schemas.microsoft.com/office/drawing/2014/main" id="{00000000-0008-0000-1F00-00001A010000}"/>
            </a:ext>
          </a:extLst>
        </xdr:cNvPr>
        <xdr:cNvSpPr txBox="1">
          <a:spLocks noChangeArrowheads="1"/>
        </xdr:cNvSpPr>
      </xdr:nvSpPr>
      <xdr:spPr bwMode="auto">
        <a:xfrm>
          <a:off x="981075" y="38042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371475</xdr:colOff>
      <xdr:row>27</xdr:row>
      <xdr:rowOff>0</xdr:rowOff>
    </xdr:from>
    <xdr:to>
      <xdr:col>2</xdr:col>
      <xdr:colOff>1524000</xdr:colOff>
      <xdr:row>27</xdr:row>
      <xdr:rowOff>0</xdr:rowOff>
    </xdr:to>
    <xdr:sp macro="" textlink="">
      <xdr:nvSpPr>
        <xdr:cNvPr id="283" name="Text Box 33">
          <a:extLst>
            <a:ext uri="{FF2B5EF4-FFF2-40B4-BE49-F238E27FC236}">
              <a16:creationId xmlns:a16="http://schemas.microsoft.com/office/drawing/2014/main" id="{00000000-0008-0000-1F00-00001B010000}"/>
            </a:ext>
          </a:extLst>
        </xdr:cNvPr>
        <xdr:cNvSpPr txBox="1">
          <a:spLocks noChangeArrowheads="1"/>
        </xdr:cNvSpPr>
      </xdr:nvSpPr>
      <xdr:spPr bwMode="auto">
        <a:xfrm>
          <a:off x="1304925" y="38042850"/>
          <a:ext cx="11525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en-US" sz="1000" b="0" i="0" strike="noStrike">
              <a:solidFill>
                <a:srgbClr val="000000"/>
              </a:solidFill>
              <a:latin typeface="Arial"/>
              <a:cs typeface="Arial"/>
            </a:rPr>
            <a:t>KEPALA SEKOLAH</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TTD</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r>
            <a:rPr lang="en-US" sz="1000" b="0" i="0" strike="noStrike">
              <a:solidFill>
                <a:srgbClr val="000000"/>
              </a:solidFill>
              <a:latin typeface="Arial"/>
              <a:cs typeface="Arial"/>
            </a:rPr>
            <a:t>DRS. FATCHURROCHIM</a:t>
          </a: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a:p>
          <a:pPr algn="ctr" rtl="1">
            <a:defRPr sz="1000"/>
          </a:pPr>
          <a:endParaRPr lang="en-US" sz="1000" b="0" i="0" strike="noStrike">
            <a:solidFill>
              <a:srgbClr val="000000"/>
            </a:solidFill>
            <a:latin typeface="Arial"/>
            <a:cs typeface="Arial"/>
          </a:endParaRPr>
        </a:p>
      </xdr:txBody>
    </xdr:sp>
    <xdr:clientData/>
  </xdr:twoCellAnchor>
  <xdr:twoCellAnchor>
    <xdr:from>
      <xdr:col>2</xdr:col>
      <xdr:colOff>0</xdr:colOff>
      <xdr:row>36</xdr:row>
      <xdr:rowOff>0</xdr:rowOff>
    </xdr:from>
    <xdr:to>
      <xdr:col>3</xdr:col>
      <xdr:colOff>190500</xdr:colOff>
      <xdr:row>36</xdr:row>
      <xdr:rowOff>0</xdr:rowOff>
    </xdr:to>
    <xdr:sp macro="" textlink="">
      <xdr:nvSpPr>
        <xdr:cNvPr id="284" name="Text Box 93">
          <a:extLst>
            <a:ext uri="{FF2B5EF4-FFF2-40B4-BE49-F238E27FC236}">
              <a16:creationId xmlns:a16="http://schemas.microsoft.com/office/drawing/2014/main" id="{00000000-0008-0000-1F00-00001C010000}"/>
            </a:ext>
          </a:extLst>
        </xdr:cNvPr>
        <xdr:cNvSpPr txBox="1">
          <a:spLocks noChangeArrowheads="1"/>
        </xdr:cNvSpPr>
      </xdr:nvSpPr>
      <xdr:spPr bwMode="auto">
        <a:xfrm>
          <a:off x="933450" y="528732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38</xdr:row>
      <xdr:rowOff>0</xdr:rowOff>
    </xdr:from>
    <xdr:to>
      <xdr:col>3</xdr:col>
      <xdr:colOff>190500</xdr:colOff>
      <xdr:row>38</xdr:row>
      <xdr:rowOff>0</xdr:rowOff>
    </xdr:to>
    <xdr:sp macro="" textlink="">
      <xdr:nvSpPr>
        <xdr:cNvPr id="285" name="Text Box 93">
          <a:extLst>
            <a:ext uri="{FF2B5EF4-FFF2-40B4-BE49-F238E27FC236}">
              <a16:creationId xmlns:a16="http://schemas.microsoft.com/office/drawing/2014/main" id="{00000000-0008-0000-1F00-00001D010000}"/>
            </a:ext>
          </a:extLst>
        </xdr:cNvPr>
        <xdr:cNvSpPr txBox="1">
          <a:spLocks noChangeArrowheads="1"/>
        </xdr:cNvSpPr>
      </xdr:nvSpPr>
      <xdr:spPr bwMode="auto">
        <a:xfrm>
          <a:off x="933450" y="5616892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40</xdr:row>
      <xdr:rowOff>0</xdr:rowOff>
    </xdr:from>
    <xdr:to>
      <xdr:col>3</xdr:col>
      <xdr:colOff>190500</xdr:colOff>
      <xdr:row>40</xdr:row>
      <xdr:rowOff>0</xdr:rowOff>
    </xdr:to>
    <xdr:sp macro="" textlink="">
      <xdr:nvSpPr>
        <xdr:cNvPr id="286" name="Text Box 93">
          <a:extLst>
            <a:ext uri="{FF2B5EF4-FFF2-40B4-BE49-F238E27FC236}">
              <a16:creationId xmlns:a16="http://schemas.microsoft.com/office/drawing/2014/main" id="{00000000-0008-0000-1F00-00001E010000}"/>
            </a:ext>
          </a:extLst>
        </xdr:cNvPr>
        <xdr:cNvSpPr txBox="1">
          <a:spLocks noChangeArrowheads="1"/>
        </xdr:cNvSpPr>
      </xdr:nvSpPr>
      <xdr:spPr bwMode="auto">
        <a:xfrm>
          <a:off x="933450" y="59464575"/>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42</xdr:row>
      <xdr:rowOff>0</xdr:rowOff>
    </xdr:from>
    <xdr:to>
      <xdr:col>3</xdr:col>
      <xdr:colOff>190500</xdr:colOff>
      <xdr:row>42</xdr:row>
      <xdr:rowOff>0</xdr:rowOff>
    </xdr:to>
    <xdr:sp macro="" textlink="">
      <xdr:nvSpPr>
        <xdr:cNvPr id="287" name="Text Box 93">
          <a:extLst>
            <a:ext uri="{FF2B5EF4-FFF2-40B4-BE49-F238E27FC236}">
              <a16:creationId xmlns:a16="http://schemas.microsoft.com/office/drawing/2014/main" id="{00000000-0008-0000-1F00-00001F010000}"/>
            </a:ext>
          </a:extLst>
        </xdr:cNvPr>
        <xdr:cNvSpPr txBox="1">
          <a:spLocks noChangeArrowheads="1"/>
        </xdr:cNvSpPr>
      </xdr:nvSpPr>
      <xdr:spPr bwMode="auto">
        <a:xfrm>
          <a:off x="933450" y="63188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44</xdr:row>
      <xdr:rowOff>0</xdr:rowOff>
    </xdr:from>
    <xdr:to>
      <xdr:col>3</xdr:col>
      <xdr:colOff>190500</xdr:colOff>
      <xdr:row>44</xdr:row>
      <xdr:rowOff>0</xdr:rowOff>
    </xdr:to>
    <xdr:sp macro="" textlink="">
      <xdr:nvSpPr>
        <xdr:cNvPr id="288" name="Text Box 93">
          <a:extLst>
            <a:ext uri="{FF2B5EF4-FFF2-40B4-BE49-F238E27FC236}">
              <a16:creationId xmlns:a16="http://schemas.microsoft.com/office/drawing/2014/main" id="{00000000-0008-0000-1F00-000020010000}"/>
            </a:ext>
          </a:extLst>
        </xdr:cNvPr>
        <xdr:cNvSpPr txBox="1">
          <a:spLocks noChangeArrowheads="1"/>
        </xdr:cNvSpPr>
      </xdr:nvSpPr>
      <xdr:spPr bwMode="auto">
        <a:xfrm>
          <a:off x="933450" y="659511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46</xdr:row>
      <xdr:rowOff>0</xdr:rowOff>
    </xdr:from>
    <xdr:to>
      <xdr:col>3</xdr:col>
      <xdr:colOff>190500</xdr:colOff>
      <xdr:row>46</xdr:row>
      <xdr:rowOff>0</xdr:rowOff>
    </xdr:to>
    <xdr:sp macro="" textlink="">
      <xdr:nvSpPr>
        <xdr:cNvPr id="289" name="Text Box 93">
          <a:extLst>
            <a:ext uri="{FF2B5EF4-FFF2-40B4-BE49-F238E27FC236}">
              <a16:creationId xmlns:a16="http://schemas.microsoft.com/office/drawing/2014/main" id="{00000000-0008-0000-1F00-000021010000}"/>
            </a:ext>
          </a:extLst>
        </xdr:cNvPr>
        <xdr:cNvSpPr txBox="1">
          <a:spLocks noChangeArrowheads="1"/>
        </xdr:cNvSpPr>
      </xdr:nvSpPr>
      <xdr:spPr bwMode="auto">
        <a:xfrm>
          <a:off x="933450" y="687133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48</xdr:row>
      <xdr:rowOff>0</xdr:rowOff>
    </xdr:from>
    <xdr:to>
      <xdr:col>3</xdr:col>
      <xdr:colOff>190500</xdr:colOff>
      <xdr:row>48</xdr:row>
      <xdr:rowOff>0</xdr:rowOff>
    </xdr:to>
    <xdr:sp macro="" textlink="">
      <xdr:nvSpPr>
        <xdr:cNvPr id="290" name="Text Box 93">
          <a:extLst>
            <a:ext uri="{FF2B5EF4-FFF2-40B4-BE49-F238E27FC236}">
              <a16:creationId xmlns:a16="http://schemas.microsoft.com/office/drawing/2014/main" id="{00000000-0008-0000-1F00-000022010000}"/>
            </a:ext>
          </a:extLst>
        </xdr:cNvPr>
        <xdr:cNvSpPr txBox="1">
          <a:spLocks noChangeArrowheads="1"/>
        </xdr:cNvSpPr>
      </xdr:nvSpPr>
      <xdr:spPr bwMode="auto">
        <a:xfrm>
          <a:off x="933450" y="714756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50</xdr:row>
      <xdr:rowOff>0</xdr:rowOff>
    </xdr:from>
    <xdr:to>
      <xdr:col>3</xdr:col>
      <xdr:colOff>190500</xdr:colOff>
      <xdr:row>50</xdr:row>
      <xdr:rowOff>0</xdr:rowOff>
    </xdr:to>
    <xdr:sp macro="" textlink="">
      <xdr:nvSpPr>
        <xdr:cNvPr id="291" name="Text Box 93">
          <a:extLst>
            <a:ext uri="{FF2B5EF4-FFF2-40B4-BE49-F238E27FC236}">
              <a16:creationId xmlns:a16="http://schemas.microsoft.com/office/drawing/2014/main" id="{00000000-0008-0000-1F00-000023010000}"/>
            </a:ext>
          </a:extLst>
        </xdr:cNvPr>
        <xdr:cNvSpPr txBox="1">
          <a:spLocks noChangeArrowheads="1"/>
        </xdr:cNvSpPr>
      </xdr:nvSpPr>
      <xdr:spPr bwMode="auto">
        <a:xfrm>
          <a:off x="933450" y="742378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52</xdr:row>
      <xdr:rowOff>0</xdr:rowOff>
    </xdr:from>
    <xdr:to>
      <xdr:col>3</xdr:col>
      <xdr:colOff>190500</xdr:colOff>
      <xdr:row>52</xdr:row>
      <xdr:rowOff>0</xdr:rowOff>
    </xdr:to>
    <xdr:sp macro="" textlink="">
      <xdr:nvSpPr>
        <xdr:cNvPr id="292" name="Text Box 93">
          <a:extLst>
            <a:ext uri="{FF2B5EF4-FFF2-40B4-BE49-F238E27FC236}">
              <a16:creationId xmlns:a16="http://schemas.microsoft.com/office/drawing/2014/main" id="{00000000-0008-0000-1F00-000024010000}"/>
            </a:ext>
          </a:extLst>
        </xdr:cNvPr>
        <xdr:cNvSpPr txBox="1">
          <a:spLocks noChangeArrowheads="1"/>
        </xdr:cNvSpPr>
      </xdr:nvSpPr>
      <xdr:spPr bwMode="auto">
        <a:xfrm>
          <a:off x="933450" y="7700010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xdr:from>
      <xdr:col>2</xdr:col>
      <xdr:colOff>0</xdr:colOff>
      <xdr:row>54</xdr:row>
      <xdr:rowOff>0</xdr:rowOff>
    </xdr:from>
    <xdr:to>
      <xdr:col>3</xdr:col>
      <xdr:colOff>190500</xdr:colOff>
      <xdr:row>54</xdr:row>
      <xdr:rowOff>0</xdr:rowOff>
    </xdr:to>
    <xdr:sp macro="" textlink="">
      <xdr:nvSpPr>
        <xdr:cNvPr id="293" name="Text Box 93">
          <a:extLst>
            <a:ext uri="{FF2B5EF4-FFF2-40B4-BE49-F238E27FC236}">
              <a16:creationId xmlns:a16="http://schemas.microsoft.com/office/drawing/2014/main" id="{00000000-0008-0000-1F00-000025010000}"/>
            </a:ext>
          </a:extLst>
        </xdr:cNvPr>
        <xdr:cNvSpPr txBox="1">
          <a:spLocks noChangeArrowheads="1"/>
        </xdr:cNvSpPr>
      </xdr:nvSpPr>
      <xdr:spPr bwMode="auto">
        <a:xfrm>
          <a:off x="933450" y="79762350"/>
          <a:ext cx="2257425"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1">
            <a:defRPr sz="1000"/>
          </a:pPr>
          <a:r>
            <a:rPr lang="id-ID" sz="1000" b="0" i="0" strike="noStrike">
              <a:solidFill>
                <a:srgbClr val="000000"/>
              </a:solidFill>
              <a:latin typeface="Arial"/>
              <a:cs typeface="Arial"/>
            </a:rPr>
            <a:t>KEPALA SEKOLAH</a:t>
          </a: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endParaRPr lang="id-ID" sz="1000" b="0" i="0" strike="noStrike">
            <a:solidFill>
              <a:srgbClr val="000000"/>
            </a:solidFill>
            <a:latin typeface="Arial"/>
            <a:cs typeface="Arial"/>
          </a:endParaRPr>
        </a:p>
        <a:p>
          <a:pPr algn="ctr" rtl="1">
            <a:defRPr sz="1000"/>
          </a:pPr>
          <a:r>
            <a:rPr lang="id-ID" sz="1000" b="0" i="0" strike="noStrike">
              <a:solidFill>
                <a:srgbClr val="000000"/>
              </a:solidFill>
              <a:latin typeface="Arial"/>
              <a:cs typeface="Arial"/>
            </a:rPr>
            <a:t>Drs. H. FATCHURROCHIM, M.Si</a:t>
          </a:r>
        </a:p>
      </xdr:txBody>
    </xdr:sp>
    <xdr:clientData/>
  </xdr:twoCellAnchor>
  <xdr:twoCellAnchor editAs="oneCell">
    <xdr:from>
      <xdr:col>66</xdr:col>
      <xdr:colOff>0</xdr:colOff>
      <xdr:row>0</xdr:row>
      <xdr:rowOff>44824</xdr:rowOff>
    </xdr:from>
    <xdr:to>
      <xdr:col>71</xdr:col>
      <xdr:colOff>149319</xdr:colOff>
      <xdr:row>0</xdr:row>
      <xdr:rowOff>527691</xdr:rowOff>
    </xdr:to>
    <xdr:pic>
      <xdr:nvPicPr>
        <xdr:cNvPr id="296" name="Picture 295" descr="HomeBBB.gif">
          <a:hlinkClick xmlns:r="http://schemas.openxmlformats.org/officeDocument/2006/relationships" r:id="rId1"/>
          <a:extLst>
            <a:ext uri="{FF2B5EF4-FFF2-40B4-BE49-F238E27FC236}">
              <a16:creationId xmlns:a16="http://schemas.microsoft.com/office/drawing/2014/main" id="{00000000-0008-0000-1F00-00002801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16102853" y="44824"/>
          <a:ext cx="1090613" cy="482867"/>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1008530</xdr:colOff>
      <xdr:row>0</xdr:row>
      <xdr:rowOff>44824</xdr:rowOff>
    </xdr:from>
    <xdr:to>
      <xdr:col>5</xdr:col>
      <xdr:colOff>37260</xdr:colOff>
      <xdr:row>0</xdr:row>
      <xdr:rowOff>527691</xdr:rowOff>
    </xdr:to>
    <xdr:pic>
      <xdr:nvPicPr>
        <xdr:cNvPr id="297" name="Picture 296" descr="HomeBBB.gif">
          <a:hlinkClick xmlns:r="http://schemas.openxmlformats.org/officeDocument/2006/relationships" r:id="rId1"/>
          <a:extLst>
            <a:ext uri="{FF2B5EF4-FFF2-40B4-BE49-F238E27FC236}">
              <a16:creationId xmlns:a16="http://schemas.microsoft.com/office/drawing/2014/main" id="{00000000-0008-0000-1F00-00002901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1938618" y="44824"/>
          <a:ext cx="1090613" cy="482867"/>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2</xdr:col>
      <xdr:colOff>828675</xdr:colOff>
      <xdr:row>0</xdr:row>
      <xdr:rowOff>57150</xdr:rowOff>
    </xdr:from>
    <xdr:to>
      <xdr:col>2</xdr:col>
      <xdr:colOff>1919288</xdr:colOff>
      <xdr:row>0</xdr:row>
      <xdr:rowOff>447675</xdr:rowOff>
    </xdr:to>
    <xdr:pic>
      <xdr:nvPicPr>
        <xdr:cNvPr id="3" name="Picture 2" descr="HomeBBB.gif">
          <a:hlinkClick xmlns:r="http://schemas.openxmlformats.org/officeDocument/2006/relationships" r:id="rId1"/>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1857375" y="57150"/>
          <a:ext cx="1090613" cy="390525"/>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16</xdr:col>
      <xdr:colOff>345282</xdr:colOff>
      <xdr:row>0</xdr:row>
      <xdr:rowOff>107156</xdr:rowOff>
    </xdr:from>
    <xdr:to>
      <xdr:col>17</xdr:col>
      <xdr:colOff>357760</xdr:colOff>
      <xdr:row>0</xdr:row>
      <xdr:rowOff>507206</xdr:rowOff>
    </xdr:to>
    <xdr:pic>
      <xdr:nvPicPr>
        <xdr:cNvPr id="2" name="Picture 1" descr="homes.png">
          <a:hlinkClick xmlns:r="http://schemas.openxmlformats.org/officeDocument/2006/relationships" r:id="rId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2" cstate="print"/>
        <a:stretch>
          <a:fillRect/>
        </a:stretch>
      </xdr:blipFill>
      <xdr:spPr>
        <a:xfrm>
          <a:off x="10517982" y="107156"/>
          <a:ext cx="460153" cy="40005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1080547</xdr:colOff>
      <xdr:row>0</xdr:row>
      <xdr:rowOff>111125</xdr:rowOff>
    </xdr:from>
    <xdr:to>
      <xdr:col>3</xdr:col>
      <xdr:colOff>1080547</xdr:colOff>
      <xdr:row>5</xdr:row>
      <xdr:rowOff>74881</xdr:rowOff>
    </xdr:to>
    <xdr:pic>
      <xdr:nvPicPr>
        <xdr:cNvPr id="2" name="Picture 1" descr="pemdalumajang B-w.JPG">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a:stretch>
          <a:fillRect/>
        </a:stretch>
      </xdr:blipFill>
      <xdr:spPr>
        <a:xfrm>
          <a:off x="3099847" y="111125"/>
          <a:ext cx="1977681" cy="2407351"/>
        </a:xfrm>
        <a:prstGeom prst="rect">
          <a:avLst/>
        </a:prstGeom>
      </xdr:spPr>
    </xdr:pic>
    <xdr:clientData/>
  </xdr:twoCellAnchor>
  <xdr:twoCellAnchor>
    <xdr:from>
      <xdr:col>12</xdr:col>
      <xdr:colOff>272144</xdr:colOff>
      <xdr:row>0</xdr:row>
      <xdr:rowOff>149679</xdr:rowOff>
    </xdr:from>
    <xdr:to>
      <xdr:col>12</xdr:col>
      <xdr:colOff>2408464</xdr:colOff>
      <xdr:row>4</xdr:row>
      <xdr:rowOff>122464</xdr:rowOff>
    </xdr:to>
    <xdr:sp macro="" textlink="">
      <xdr:nvSpPr>
        <xdr:cNvPr id="3" name="Rounded Rectangular Callout 2">
          <a:extLst>
            <a:ext uri="{FF2B5EF4-FFF2-40B4-BE49-F238E27FC236}">
              <a16:creationId xmlns:a16="http://schemas.microsoft.com/office/drawing/2014/main" id="{00000000-0008-0000-2200-000003000000}"/>
            </a:ext>
          </a:extLst>
        </xdr:cNvPr>
        <xdr:cNvSpPr/>
      </xdr:nvSpPr>
      <xdr:spPr>
        <a:xfrm>
          <a:off x="10749644" y="149679"/>
          <a:ext cx="2136320" cy="744310"/>
        </a:xfrm>
        <a:prstGeom prst="wedgeRoundRectCallout">
          <a:avLst>
            <a:gd name="adj1" fmla="val -75842"/>
            <a:gd name="adj2" fmla="val -11059"/>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l"/>
          <a:r>
            <a:rPr lang="id-ID" sz="1100" b="0">
              <a:solidFill>
                <a:schemeClr val="tx1"/>
              </a:solidFill>
              <a:latin typeface="Arial Black" pitchFamily="34" charset="0"/>
            </a:rPr>
            <a:t>KLIK</a:t>
          </a:r>
          <a:r>
            <a:rPr lang="id-ID" sz="1100" b="0" baseline="0">
              <a:solidFill>
                <a:schemeClr val="tx1"/>
              </a:solidFill>
              <a:latin typeface="Arial Black" pitchFamily="34" charset="0"/>
            </a:rPr>
            <a:t> DI SINI UNTUK MENENTUKAN</a:t>
          </a:r>
          <a:r>
            <a:rPr lang="en-US" sz="1100" b="0" baseline="0">
              <a:solidFill>
                <a:schemeClr val="tx1"/>
              </a:solidFill>
              <a:latin typeface="Arial Black" pitchFamily="34" charset="0"/>
            </a:rPr>
            <a:t> </a:t>
          </a:r>
        </a:p>
        <a:p>
          <a:pPr algn="l"/>
          <a:r>
            <a:rPr lang="id-ID" sz="1100" b="0" baseline="0">
              <a:solidFill>
                <a:schemeClr val="tx1"/>
              </a:solidFill>
              <a:latin typeface="Arial Black" pitchFamily="34" charset="0"/>
            </a:rPr>
            <a:t>(NO. URUT SISWA )</a:t>
          </a:r>
          <a:endParaRPr lang="id-ID" sz="1100" b="0">
            <a:solidFill>
              <a:schemeClr val="tx1"/>
            </a:solidFill>
            <a:latin typeface="Arial Black" pitchFamily="34" charset="0"/>
          </a:endParaRPr>
        </a:p>
      </xdr:txBody>
    </xdr:sp>
    <xdr:clientData/>
  </xdr:twoCellAnchor>
  <xdr:twoCellAnchor>
    <xdr:from>
      <xdr:col>12</xdr:col>
      <xdr:colOff>2195287</xdr:colOff>
      <xdr:row>0</xdr:row>
      <xdr:rowOff>27215</xdr:rowOff>
    </xdr:from>
    <xdr:to>
      <xdr:col>12</xdr:col>
      <xdr:colOff>4571999</xdr:colOff>
      <xdr:row>5</xdr:row>
      <xdr:rowOff>328840</xdr:rowOff>
    </xdr:to>
    <xdr:sp macro="" textlink="">
      <xdr:nvSpPr>
        <xdr:cNvPr id="4" name="Horizontal Scroll 3">
          <a:extLst>
            <a:ext uri="{FF2B5EF4-FFF2-40B4-BE49-F238E27FC236}">
              <a16:creationId xmlns:a16="http://schemas.microsoft.com/office/drawing/2014/main" id="{00000000-0008-0000-2200-000004000000}"/>
            </a:ext>
          </a:extLst>
        </xdr:cNvPr>
        <xdr:cNvSpPr/>
      </xdr:nvSpPr>
      <xdr:spPr>
        <a:xfrm>
          <a:off x="12672787" y="27215"/>
          <a:ext cx="2376712" cy="1263650"/>
        </a:xfrm>
        <a:prstGeom prst="horizontalScroll">
          <a:avLst/>
        </a:prstGeom>
        <a:ln>
          <a:solidFill>
            <a:sysClr val="windowText" lastClr="000000"/>
          </a:solidFill>
        </a:ln>
      </xdr:spPr>
      <xdr:style>
        <a:lnRef idx="0">
          <a:schemeClr val="accent6"/>
        </a:lnRef>
        <a:fillRef idx="3">
          <a:schemeClr val="accent6"/>
        </a:fillRef>
        <a:effectRef idx="3">
          <a:schemeClr val="accent6"/>
        </a:effectRef>
        <a:fontRef idx="minor">
          <a:schemeClr val="lt1"/>
        </a:fontRef>
      </xdr:style>
      <xdr:txBody>
        <a:bodyPr rtlCol="0" anchor="ctr"/>
        <a:lstStyle/>
        <a:p>
          <a:pPr algn="l"/>
          <a:r>
            <a:rPr lang="en-US" sz="1600"/>
            <a:t>APLIKASI  INI DI SETTING</a:t>
          </a:r>
        </a:p>
        <a:p>
          <a:pPr algn="l"/>
          <a:r>
            <a:rPr lang="en-US" sz="1600"/>
            <a:t>MENGGUNAKAN </a:t>
          </a:r>
        </a:p>
        <a:p>
          <a:pPr algn="l"/>
          <a:r>
            <a:rPr lang="en-US" sz="1600" b="1"/>
            <a:t>KERTAS F4</a:t>
          </a:r>
          <a:endParaRPr lang="en-US" sz="1800" b="1"/>
        </a:p>
      </xdr:txBody>
    </xdr:sp>
    <xdr:clientData/>
  </xdr:twoCellAnchor>
  <xdr:twoCellAnchor>
    <xdr:from>
      <xdr:col>9</xdr:col>
      <xdr:colOff>136072</xdr:colOff>
      <xdr:row>7</xdr:row>
      <xdr:rowOff>56814</xdr:rowOff>
    </xdr:from>
    <xdr:to>
      <xdr:col>12</xdr:col>
      <xdr:colOff>501953</xdr:colOff>
      <xdr:row>9</xdr:row>
      <xdr:rowOff>8033</xdr:rowOff>
    </xdr:to>
    <xdr:sp macro="" textlink="">
      <xdr:nvSpPr>
        <xdr:cNvPr id="6" name="Snip Single Corner Rectangle 5">
          <a:hlinkClick xmlns:r="http://schemas.openxmlformats.org/officeDocument/2006/relationships" r:id="rId2"/>
          <a:extLst>
            <a:ext uri="{FF2B5EF4-FFF2-40B4-BE49-F238E27FC236}">
              <a16:creationId xmlns:a16="http://schemas.microsoft.com/office/drawing/2014/main" id="{00000000-0008-0000-2200-000006000000}"/>
            </a:ext>
          </a:extLst>
        </xdr:cNvPr>
        <xdr:cNvSpPr/>
      </xdr:nvSpPr>
      <xdr:spPr>
        <a:xfrm>
          <a:off x="8674954" y="1793726"/>
          <a:ext cx="2293293" cy="332219"/>
        </a:xfrm>
        <a:prstGeom prst="snip1Rect">
          <a:avLst/>
        </a:prstGeom>
        <a:blipFill>
          <a:blip xmlns:r="http://schemas.openxmlformats.org/officeDocument/2006/relationships" r:embed="rId3" cstate="print"/>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DATA</a:t>
          </a:r>
          <a:r>
            <a:rPr lang="en-US" sz="2000" baseline="0">
              <a:solidFill>
                <a:schemeClr val="lt1"/>
              </a:solidFill>
              <a:latin typeface="+mn-lt"/>
              <a:ea typeface="+mn-ea"/>
              <a:cs typeface="+mn-cs"/>
            </a:rPr>
            <a:t> </a:t>
          </a:r>
          <a:r>
            <a:rPr lang="en-US" sz="2000">
              <a:solidFill>
                <a:schemeClr val="lt1"/>
              </a:solidFill>
              <a:latin typeface="+mn-lt"/>
              <a:ea typeface="+mn-ea"/>
              <a:cs typeface="+mn-cs"/>
            </a:rPr>
            <a:t> RAPORT</a:t>
          </a:r>
          <a:endParaRPr lang="en-US" sz="2000"/>
        </a:p>
      </xdr:txBody>
    </xdr:sp>
    <xdr:clientData/>
  </xdr:twoCellAnchor>
  <xdr:twoCellAnchor>
    <xdr:from>
      <xdr:col>9</xdr:col>
      <xdr:colOff>142875</xdr:colOff>
      <xdr:row>9</xdr:row>
      <xdr:rowOff>120847</xdr:rowOff>
    </xdr:from>
    <xdr:to>
      <xdr:col>12</xdr:col>
      <xdr:colOff>511024</xdr:colOff>
      <xdr:row>9</xdr:row>
      <xdr:rowOff>459441</xdr:rowOff>
    </xdr:to>
    <xdr:sp macro="" textlink="">
      <xdr:nvSpPr>
        <xdr:cNvPr id="7" name="Snip Single Corner Rectangle 6">
          <a:hlinkClick xmlns:r="http://schemas.openxmlformats.org/officeDocument/2006/relationships" r:id="rId4"/>
          <a:extLst>
            <a:ext uri="{FF2B5EF4-FFF2-40B4-BE49-F238E27FC236}">
              <a16:creationId xmlns:a16="http://schemas.microsoft.com/office/drawing/2014/main" id="{00000000-0008-0000-2200-000007000000}"/>
            </a:ext>
          </a:extLst>
        </xdr:cNvPr>
        <xdr:cNvSpPr/>
      </xdr:nvSpPr>
      <xdr:spPr>
        <a:xfrm>
          <a:off x="8681757" y="2238759"/>
          <a:ext cx="2295561" cy="338594"/>
        </a:xfrm>
        <a:prstGeom prst="snip1Rect">
          <a:avLst/>
        </a:prstGeom>
        <a:blipFill>
          <a:blip xmlns:r="http://schemas.openxmlformats.org/officeDocument/2006/relationships" r:embed="rId3" cstate="print"/>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DESKRIPSI RAPORT</a:t>
          </a:r>
          <a:endParaRPr lang="en-US" sz="2000"/>
        </a:p>
      </xdr:txBody>
    </xdr:sp>
    <xdr:clientData/>
  </xdr:twoCellAnchor>
  <xdr:twoCellAnchor>
    <xdr:from>
      <xdr:col>13</xdr:col>
      <xdr:colOff>0</xdr:colOff>
      <xdr:row>6</xdr:row>
      <xdr:rowOff>1361</xdr:rowOff>
    </xdr:from>
    <xdr:to>
      <xdr:col>13</xdr:col>
      <xdr:colOff>0</xdr:colOff>
      <xdr:row>8</xdr:row>
      <xdr:rowOff>1362</xdr:rowOff>
    </xdr:to>
    <xdr:grpSp>
      <xdr:nvGrpSpPr>
        <xdr:cNvPr id="8" name="Group 7">
          <a:hlinkClick xmlns:r="http://schemas.openxmlformats.org/officeDocument/2006/relationships" r:id="rId5"/>
          <a:extLst>
            <a:ext uri="{FF2B5EF4-FFF2-40B4-BE49-F238E27FC236}">
              <a16:creationId xmlns:a16="http://schemas.microsoft.com/office/drawing/2014/main" id="{00000000-0008-0000-2200-000008000000}"/>
            </a:ext>
          </a:extLst>
        </xdr:cNvPr>
        <xdr:cNvGrpSpPr/>
      </xdr:nvGrpSpPr>
      <xdr:grpSpPr>
        <a:xfrm>
          <a:off x="15398750" y="2414361"/>
          <a:ext cx="0" cy="603251"/>
          <a:chOff x="6496050" y="781049"/>
          <a:chExt cx="952500" cy="1143001"/>
        </a:xfrm>
      </xdr:grpSpPr>
      <xdr:pic>
        <xdr:nvPicPr>
          <xdr:cNvPr id="9" name="Picture 8" descr="homes.png">
            <a:extLst>
              <a:ext uri="{FF2B5EF4-FFF2-40B4-BE49-F238E27FC236}">
                <a16:creationId xmlns:a16="http://schemas.microsoft.com/office/drawing/2014/main" id="{00000000-0008-0000-2200-000009000000}"/>
              </a:ext>
            </a:extLst>
          </xdr:cNvPr>
          <xdr:cNvPicPr>
            <a:picLocks noChangeAspect="1"/>
          </xdr:cNvPicPr>
        </xdr:nvPicPr>
        <xdr:blipFill>
          <a:blip xmlns:r="http://schemas.openxmlformats.org/officeDocument/2006/relationships" r:embed="rId6"/>
          <a:stretch>
            <a:fillRect/>
          </a:stretch>
        </xdr:blipFill>
        <xdr:spPr>
          <a:xfrm>
            <a:off x="6496050" y="781049"/>
            <a:ext cx="952500" cy="809625"/>
          </a:xfrm>
          <a:prstGeom prst="rect">
            <a:avLst/>
          </a:prstGeom>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6543675" y="1600200"/>
            <a:ext cx="85725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1600">
                <a:ln>
                  <a:noFill/>
                </a:ln>
                <a:solidFill>
                  <a:schemeClr val="tx2"/>
                </a:solidFill>
              </a:rPr>
              <a:t>HOME</a:t>
            </a:r>
          </a:p>
        </xdr:txBody>
      </xdr:sp>
    </xdr:grpSp>
    <xdr:clientData/>
  </xdr:twoCellAnchor>
  <xdr:twoCellAnchor editAs="oneCell">
    <xdr:from>
      <xdr:col>10</xdr:col>
      <xdr:colOff>0</xdr:colOff>
      <xdr:row>10</xdr:row>
      <xdr:rowOff>0</xdr:rowOff>
    </xdr:from>
    <xdr:to>
      <xdr:col>10</xdr:col>
      <xdr:colOff>976219</xdr:colOff>
      <xdr:row>12</xdr:row>
      <xdr:rowOff>221191</xdr:rowOff>
    </xdr:to>
    <xdr:pic>
      <xdr:nvPicPr>
        <xdr:cNvPr id="16" name="Picture 15">
          <a:hlinkClick xmlns:r="http://schemas.openxmlformats.org/officeDocument/2006/relationships" r:id="rId7"/>
          <a:extLst>
            <a:ext uri="{FF2B5EF4-FFF2-40B4-BE49-F238E27FC236}">
              <a16:creationId xmlns:a16="http://schemas.microsoft.com/office/drawing/2014/main" id="{00000000-0008-0000-22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001125" y="3984625"/>
          <a:ext cx="976219" cy="104669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152400</xdr:colOff>
          <xdr:row>1</xdr:row>
          <xdr:rowOff>0</xdr:rowOff>
        </xdr:from>
        <xdr:to>
          <xdr:col>10</xdr:col>
          <xdr:colOff>609600</xdr:colOff>
          <xdr:row>4</xdr:row>
          <xdr:rowOff>28575</xdr:rowOff>
        </xdr:to>
        <xdr:sp macro="" textlink="">
          <xdr:nvSpPr>
            <xdr:cNvPr id="28673" name="Spinner 1" hidden="1">
              <a:extLst>
                <a:ext uri="{63B3BB69-23CF-44E3-9099-C40C66FF867C}">
                  <a14:compatExt spid="_x0000_s28673"/>
                </a:ext>
                <a:ext uri="{FF2B5EF4-FFF2-40B4-BE49-F238E27FC236}">
                  <a16:creationId xmlns:a16="http://schemas.microsoft.com/office/drawing/2014/main" id="{00000000-0008-0000-2200-000001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5</xdr:col>
      <xdr:colOff>111125</xdr:colOff>
      <xdr:row>3</xdr:row>
      <xdr:rowOff>0</xdr:rowOff>
    </xdr:from>
    <xdr:to>
      <xdr:col>5</xdr:col>
      <xdr:colOff>1524000</xdr:colOff>
      <xdr:row>6</xdr:row>
      <xdr:rowOff>317500</xdr:rowOff>
    </xdr:to>
    <xdr:pic>
      <xdr:nvPicPr>
        <xdr:cNvPr id="5" name="Picture 4">
          <a:extLst>
            <a:ext uri="{FF2B5EF4-FFF2-40B4-BE49-F238E27FC236}">
              <a16:creationId xmlns:a16="http://schemas.microsoft.com/office/drawing/2014/main" id="{00000000-0008-0000-2200-000005000000}"/>
            </a:ext>
          </a:extLst>
        </xdr:cNvPr>
        <xdr:cNvPicPr>
          <a:picLocks noChangeAspect="1"/>
        </xdr:cNvPicPr>
      </xdr:nvPicPr>
      <xdr:blipFill>
        <a:blip xmlns:r="http://schemas.openxmlformats.org/officeDocument/2006/relationships" r:embed="rId9"/>
        <a:stretch>
          <a:fillRect/>
        </a:stretch>
      </xdr:blipFill>
      <xdr:spPr>
        <a:xfrm>
          <a:off x="3349625" y="1000125"/>
          <a:ext cx="1412875" cy="1730375"/>
        </a:xfrm>
        <a:prstGeom prst="rect">
          <a:avLst/>
        </a:prstGeom>
      </xdr:spPr>
    </xdr:pic>
    <xdr:clientData/>
  </xdr:twoCellAnchor>
  <xdr:twoCellAnchor editAs="oneCell">
    <xdr:from>
      <xdr:col>5</xdr:col>
      <xdr:colOff>47625</xdr:colOff>
      <xdr:row>34</xdr:row>
      <xdr:rowOff>746125</xdr:rowOff>
    </xdr:from>
    <xdr:to>
      <xdr:col>5</xdr:col>
      <xdr:colOff>1666875</xdr:colOff>
      <xdr:row>37</xdr:row>
      <xdr:rowOff>349250</xdr:rowOff>
    </xdr:to>
    <xdr:pic>
      <xdr:nvPicPr>
        <xdr:cNvPr id="11" name="Picture 10">
          <a:extLst>
            <a:ext uri="{FF2B5EF4-FFF2-40B4-BE49-F238E27FC236}">
              <a16:creationId xmlns:a16="http://schemas.microsoft.com/office/drawing/2014/main" id="{00000000-0008-0000-2200-00000B000000}"/>
            </a:ext>
          </a:extLst>
        </xdr:cNvPr>
        <xdr:cNvPicPr>
          <a:picLocks noChangeAspect="1"/>
        </xdr:cNvPicPr>
      </xdr:nvPicPr>
      <xdr:blipFill>
        <a:blip xmlns:r="http://schemas.openxmlformats.org/officeDocument/2006/relationships" r:embed="rId9"/>
        <a:stretch>
          <a:fillRect/>
        </a:stretch>
      </xdr:blipFill>
      <xdr:spPr>
        <a:xfrm>
          <a:off x="3286125" y="13747750"/>
          <a:ext cx="1619250" cy="2079625"/>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19</xdr:col>
      <xdr:colOff>1</xdr:colOff>
      <xdr:row>0</xdr:row>
      <xdr:rowOff>13607</xdr:rowOff>
    </xdr:from>
    <xdr:to>
      <xdr:col>20</xdr:col>
      <xdr:colOff>1959428</xdr:colOff>
      <xdr:row>2</xdr:row>
      <xdr:rowOff>149680</xdr:rowOff>
    </xdr:to>
    <xdr:sp macro="" textlink="">
      <xdr:nvSpPr>
        <xdr:cNvPr id="2" name="Rounded Rectangular Callout 1">
          <a:extLst>
            <a:ext uri="{FF2B5EF4-FFF2-40B4-BE49-F238E27FC236}">
              <a16:creationId xmlns:a16="http://schemas.microsoft.com/office/drawing/2014/main" id="{00000000-0008-0000-2300-000002000000}"/>
            </a:ext>
          </a:extLst>
        </xdr:cNvPr>
        <xdr:cNvSpPr/>
      </xdr:nvSpPr>
      <xdr:spPr>
        <a:xfrm>
          <a:off x="10010776" y="13607"/>
          <a:ext cx="2140402" cy="926648"/>
        </a:xfrm>
        <a:prstGeom prst="wedgeRoundRectCallout">
          <a:avLst>
            <a:gd name="adj1" fmla="val -75842"/>
            <a:gd name="adj2" fmla="val -11059"/>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l"/>
          <a:r>
            <a:rPr lang="id-ID" sz="1100" b="0">
              <a:solidFill>
                <a:schemeClr val="tx1"/>
              </a:solidFill>
              <a:latin typeface="Arial Black" pitchFamily="34" charset="0"/>
            </a:rPr>
            <a:t>KLIK</a:t>
          </a:r>
          <a:r>
            <a:rPr lang="id-ID" sz="1100" b="0" baseline="0">
              <a:solidFill>
                <a:schemeClr val="tx1"/>
              </a:solidFill>
              <a:latin typeface="Arial Black" pitchFamily="34" charset="0"/>
            </a:rPr>
            <a:t> DI SINI UNTUK MENENTUKAN</a:t>
          </a:r>
          <a:r>
            <a:rPr lang="en-US" sz="1100" b="0" baseline="0">
              <a:solidFill>
                <a:schemeClr val="tx1"/>
              </a:solidFill>
              <a:latin typeface="Arial Black" pitchFamily="34" charset="0"/>
            </a:rPr>
            <a:t> </a:t>
          </a:r>
        </a:p>
        <a:p>
          <a:pPr algn="l"/>
          <a:r>
            <a:rPr lang="id-ID" sz="1100" b="0" baseline="0">
              <a:solidFill>
                <a:schemeClr val="tx1"/>
              </a:solidFill>
              <a:latin typeface="Arial Black" pitchFamily="34" charset="0"/>
            </a:rPr>
            <a:t>(NO. URUT SISWA )</a:t>
          </a:r>
          <a:endParaRPr lang="id-ID" sz="1100" b="0">
            <a:solidFill>
              <a:schemeClr val="tx1"/>
            </a:solidFill>
            <a:latin typeface="Arial Black" pitchFamily="34" charset="0"/>
          </a:endParaRPr>
        </a:p>
      </xdr:txBody>
    </xdr:sp>
    <xdr:clientData/>
  </xdr:twoCellAnchor>
  <xdr:twoCellAnchor>
    <xdr:from>
      <xdr:col>20</xdr:col>
      <xdr:colOff>2195286</xdr:colOff>
      <xdr:row>0</xdr:row>
      <xdr:rowOff>27215</xdr:rowOff>
    </xdr:from>
    <xdr:to>
      <xdr:col>20</xdr:col>
      <xdr:colOff>5048249</xdr:colOff>
      <xdr:row>2</xdr:row>
      <xdr:rowOff>328840</xdr:rowOff>
    </xdr:to>
    <xdr:sp macro="" textlink="">
      <xdr:nvSpPr>
        <xdr:cNvPr id="3" name="Horizontal Scroll 2">
          <a:extLst>
            <a:ext uri="{FF2B5EF4-FFF2-40B4-BE49-F238E27FC236}">
              <a16:creationId xmlns:a16="http://schemas.microsoft.com/office/drawing/2014/main" id="{00000000-0008-0000-2300-000003000000}"/>
            </a:ext>
          </a:extLst>
        </xdr:cNvPr>
        <xdr:cNvSpPr/>
      </xdr:nvSpPr>
      <xdr:spPr>
        <a:xfrm>
          <a:off x="12387036" y="27215"/>
          <a:ext cx="2852963" cy="1054100"/>
        </a:xfrm>
        <a:prstGeom prst="horizontalScroll">
          <a:avLst/>
        </a:prstGeom>
        <a:ln>
          <a:solidFill>
            <a:sysClr val="windowText" lastClr="000000"/>
          </a:solidFill>
        </a:ln>
      </xdr:spPr>
      <xdr:style>
        <a:lnRef idx="0">
          <a:schemeClr val="accent6"/>
        </a:lnRef>
        <a:fillRef idx="3">
          <a:schemeClr val="accent6"/>
        </a:fillRef>
        <a:effectRef idx="3">
          <a:schemeClr val="accent6"/>
        </a:effectRef>
        <a:fontRef idx="minor">
          <a:schemeClr val="lt1"/>
        </a:fontRef>
      </xdr:style>
      <xdr:txBody>
        <a:bodyPr rtlCol="0" anchor="ctr"/>
        <a:lstStyle/>
        <a:p>
          <a:pPr algn="l"/>
          <a:r>
            <a:rPr lang="en-US" sz="1600"/>
            <a:t>APLIKASI  INI DI SETTING</a:t>
          </a:r>
        </a:p>
        <a:p>
          <a:pPr algn="l"/>
          <a:r>
            <a:rPr lang="en-US" sz="1600"/>
            <a:t>MENGGUNAKAN </a:t>
          </a:r>
        </a:p>
        <a:p>
          <a:pPr algn="l"/>
          <a:r>
            <a:rPr lang="en-US" sz="1600" b="1"/>
            <a:t>KERTAS A4</a:t>
          </a:r>
          <a:endParaRPr lang="en-US" sz="1800" b="1"/>
        </a:p>
      </xdr:txBody>
    </xdr:sp>
    <xdr:clientData/>
  </xdr:twoCellAnchor>
  <xdr:twoCellAnchor>
    <xdr:from>
      <xdr:col>17</xdr:col>
      <xdr:colOff>136072</xdr:colOff>
      <xdr:row>5</xdr:row>
      <xdr:rowOff>95251</xdr:rowOff>
    </xdr:from>
    <xdr:to>
      <xdr:col>20</xdr:col>
      <xdr:colOff>501953</xdr:colOff>
      <xdr:row>6</xdr:row>
      <xdr:rowOff>111127</xdr:rowOff>
    </xdr:to>
    <xdr:sp macro="" textlink="">
      <xdr:nvSpPr>
        <xdr:cNvPr id="4" name="Snip Single Corner Rectangle 3">
          <a:hlinkClick xmlns:r="http://schemas.openxmlformats.org/officeDocument/2006/relationships" r:id="rId1"/>
          <a:extLst>
            <a:ext uri="{FF2B5EF4-FFF2-40B4-BE49-F238E27FC236}">
              <a16:creationId xmlns:a16="http://schemas.microsoft.com/office/drawing/2014/main" id="{00000000-0008-0000-2300-000004000000}"/>
            </a:ext>
          </a:extLst>
        </xdr:cNvPr>
        <xdr:cNvSpPr/>
      </xdr:nvSpPr>
      <xdr:spPr>
        <a:xfrm>
          <a:off x="8382001" y="1483180"/>
          <a:ext cx="2298095" cy="328840"/>
        </a:xfrm>
        <a:prstGeom prst="snip1Rect">
          <a:avLst/>
        </a:prstGeom>
        <a:blipFill>
          <a:blip xmlns:r="http://schemas.openxmlformats.org/officeDocument/2006/relationships" r:embed="rId2" cstate="print"/>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SAMPUL RAPORT</a:t>
          </a:r>
          <a:endParaRPr lang="en-US" sz="2000"/>
        </a:p>
      </xdr:txBody>
    </xdr:sp>
    <xdr:clientData/>
  </xdr:twoCellAnchor>
  <xdr:twoCellAnchor>
    <xdr:from>
      <xdr:col>17</xdr:col>
      <xdr:colOff>131669</xdr:colOff>
      <xdr:row>6</xdr:row>
      <xdr:rowOff>237950</xdr:rowOff>
    </xdr:from>
    <xdr:to>
      <xdr:col>20</xdr:col>
      <xdr:colOff>499818</xdr:colOff>
      <xdr:row>7</xdr:row>
      <xdr:rowOff>312966</xdr:rowOff>
    </xdr:to>
    <xdr:sp macro="" textlink="">
      <xdr:nvSpPr>
        <xdr:cNvPr id="6" name="Snip Single Corner Rectangle 5">
          <a:hlinkClick xmlns:r="http://schemas.openxmlformats.org/officeDocument/2006/relationships" r:id="rId3"/>
          <a:extLst>
            <a:ext uri="{FF2B5EF4-FFF2-40B4-BE49-F238E27FC236}">
              <a16:creationId xmlns:a16="http://schemas.microsoft.com/office/drawing/2014/main" id="{00000000-0008-0000-2300-000006000000}"/>
            </a:ext>
          </a:extLst>
        </xdr:cNvPr>
        <xdr:cNvSpPr/>
      </xdr:nvSpPr>
      <xdr:spPr>
        <a:xfrm>
          <a:off x="8377598" y="1938843"/>
          <a:ext cx="2300363" cy="415194"/>
        </a:xfrm>
        <a:prstGeom prst="snip1Rect">
          <a:avLst/>
        </a:prstGeom>
        <a:blipFill>
          <a:blip xmlns:r="http://schemas.openxmlformats.org/officeDocument/2006/relationships" r:embed="rId2" cstate="print"/>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DESKRIPSI RAPORT</a:t>
          </a:r>
          <a:endParaRPr lang="en-US" sz="2000"/>
        </a:p>
      </xdr:txBody>
    </xdr:sp>
    <xdr:clientData/>
  </xdr:twoCellAnchor>
  <xdr:twoCellAnchor>
    <xdr:from>
      <xdr:col>21</xdr:col>
      <xdr:colOff>0</xdr:colOff>
      <xdr:row>5</xdr:row>
      <xdr:rowOff>189059</xdr:rowOff>
    </xdr:from>
    <xdr:to>
      <xdr:col>21</xdr:col>
      <xdr:colOff>0</xdr:colOff>
      <xdr:row>8</xdr:row>
      <xdr:rowOff>56030</xdr:rowOff>
    </xdr:to>
    <xdr:grpSp>
      <xdr:nvGrpSpPr>
        <xdr:cNvPr id="7" name="Group 6">
          <a:hlinkClick xmlns:r="http://schemas.openxmlformats.org/officeDocument/2006/relationships" r:id="rId4"/>
          <a:extLst>
            <a:ext uri="{FF2B5EF4-FFF2-40B4-BE49-F238E27FC236}">
              <a16:creationId xmlns:a16="http://schemas.microsoft.com/office/drawing/2014/main" id="{00000000-0008-0000-2300-000007000000}"/>
            </a:ext>
          </a:extLst>
        </xdr:cNvPr>
        <xdr:cNvGrpSpPr/>
      </xdr:nvGrpSpPr>
      <xdr:grpSpPr>
        <a:xfrm>
          <a:off x="15716250" y="1468130"/>
          <a:ext cx="0" cy="860293"/>
          <a:chOff x="6496050" y="781049"/>
          <a:chExt cx="952500" cy="1143001"/>
        </a:xfrm>
      </xdr:grpSpPr>
      <xdr:pic>
        <xdr:nvPicPr>
          <xdr:cNvPr id="8" name="Picture 7" descr="homes.png">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5" cstate="print"/>
          <a:stretch>
            <a:fillRect/>
          </a:stretch>
        </xdr:blipFill>
        <xdr:spPr>
          <a:xfrm>
            <a:off x="6496050" y="781049"/>
            <a:ext cx="952500" cy="809625"/>
          </a:xfrm>
          <a:prstGeom prst="rect">
            <a:avLst/>
          </a:prstGeom>
        </xdr:spPr>
      </xdr:pic>
      <xdr:sp macro="" textlink="">
        <xdr:nvSpPr>
          <xdr:cNvPr id="9" name="TextBox 8">
            <a:extLst>
              <a:ext uri="{FF2B5EF4-FFF2-40B4-BE49-F238E27FC236}">
                <a16:creationId xmlns:a16="http://schemas.microsoft.com/office/drawing/2014/main" id="{00000000-0008-0000-2300-000009000000}"/>
              </a:ext>
            </a:extLst>
          </xdr:cNvPr>
          <xdr:cNvSpPr txBox="1"/>
        </xdr:nvSpPr>
        <xdr:spPr>
          <a:xfrm>
            <a:off x="6543675" y="1600200"/>
            <a:ext cx="85725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1600">
                <a:ln>
                  <a:noFill/>
                </a:ln>
                <a:solidFill>
                  <a:schemeClr val="tx2"/>
                </a:solidFill>
              </a:rPr>
              <a:t>HOME</a:t>
            </a:r>
          </a:p>
        </xdr:txBody>
      </xdr:sp>
    </xdr:grpSp>
    <xdr:clientData/>
  </xdr:twoCellAnchor>
  <xdr:twoCellAnchor editAs="oneCell">
    <xdr:from>
      <xdr:col>18</xdr:col>
      <xdr:colOff>0</xdr:colOff>
      <xdr:row>8</xdr:row>
      <xdr:rowOff>27214</xdr:rowOff>
    </xdr:from>
    <xdr:to>
      <xdr:col>18</xdr:col>
      <xdr:colOff>976219</xdr:colOff>
      <xdr:row>11</xdr:row>
      <xdr:rowOff>53369</xdr:rowOff>
    </xdr:to>
    <xdr:pic>
      <xdr:nvPicPr>
        <xdr:cNvPr id="13" name="Picture 12">
          <a:hlinkClick xmlns:r="http://schemas.openxmlformats.org/officeDocument/2006/relationships" r:id="rId6"/>
          <a:extLst>
            <a:ext uri="{FF2B5EF4-FFF2-40B4-BE49-F238E27FC236}">
              <a16:creationId xmlns:a16="http://schemas.microsoft.com/office/drawing/2014/main" id="{00000000-0008-0000-2300-00000D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212036" y="2299607"/>
          <a:ext cx="976219" cy="1046691"/>
        </a:xfrm>
        <a:prstGeom prst="rect">
          <a:avLst/>
        </a:prstGeom>
      </xdr:spPr>
    </xdr:pic>
    <xdr:clientData/>
  </xdr:twoCellAnchor>
  <mc:AlternateContent xmlns:mc="http://schemas.openxmlformats.org/markup-compatibility/2006">
    <mc:Choice xmlns:a14="http://schemas.microsoft.com/office/drawing/2010/main" Requires="a14">
      <xdr:twoCellAnchor>
        <xdr:from>
          <xdr:col>18</xdr:col>
          <xdr:colOff>95250</xdr:colOff>
          <xdr:row>1</xdr:row>
          <xdr:rowOff>0</xdr:rowOff>
        </xdr:from>
        <xdr:to>
          <xdr:col>18</xdr:col>
          <xdr:colOff>552450</xdr:colOff>
          <xdr:row>2</xdr:row>
          <xdr:rowOff>0</xdr:rowOff>
        </xdr:to>
        <xdr:sp macro="" textlink="">
          <xdr:nvSpPr>
            <xdr:cNvPr id="29697" name="Spinner 1" hidden="1">
              <a:extLst>
                <a:ext uri="{63B3BB69-23CF-44E3-9099-C40C66FF867C}">
                  <a14:compatExt spid="_x0000_s29697"/>
                </a:ext>
                <a:ext uri="{FF2B5EF4-FFF2-40B4-BE49-F238E27FC236}">
                  <a16:creationId xmlns:a16="http://schemas.microsoft.com/office/drawing/2014/main" id="{00000000-0008-0000-23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xdr:from>
      <xdr:col>0</xdr:col>
      <xdr:colOff>152400</xdr:colOff>
      <xdr:row>86</xdr:row>
      <xdr:rowOff>28575</xdr:rowOff>
    </xdr:from>
    <xdr:to>
      <xdr:col>5</xdr:col>
      <xdr:colOff>158750</xdr:colOff>
      <xdr:row>93</xdr:row>
      <xdr:rowOff>57150</xdr:rowOff>
    </xdr:to>
    <xdr:sp macro="" textlink="">
      <xdr:nvSpPr>
        <xdr:cNvPr id="2" name="TextBox 1">
          <a:extLst>
            <a:ext uri="{FF2B5EF4-FFF2-40B4-BE49-F238E27FC236}">
              <a16:creationId xmlns:a16="http://schemas.microsoft.com/office/drawing/2014/main" id="{00000000-0008-0000-2400-000002000000}"/>
            </a:ext>
          </a:extLst>
        </xdr:cNvPr>
        <xdr:cNvSpPr txBox="1"/>
      </xdr:nvSpPr>
      <xdr:spPr bwMode="auto">
        <a:xfrm>
          <a:off x="152400" y="56226075"/>
          <a:ext cx="2197100" cy="18065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latin typeface="Times New Roman" panose="02020603050405020304" pitchFamily="18" charset="0"/>
              <a:cs typeface="Times New Roman" panose="02020603050405020304" pitchFamily="18" charset="0"/>
            </a:rPr>
            <a:t> </a:t>
          </a:r>
        </a:p>
        <a:p>
          <a:pPr algn="ctr"/>
          <a:r>
            <a:rPr lang="en-US" sz="1600">
              <a:latin typeface="Times New Roman" panose="02020603050405020304" pitchFamily="18" charset="0"/>
              <a:cs typeface="Times New Roman" panose="02020603050405020304" pitchFamily="18" charset="0"/>
            </a:rPr>
            <a:t>Orang Tua/ Wali</a:t>
          </a:r>
        </a:p>
        <a:p>
          <a:pPr algn="ctr"/>
          <a:endParaRPr lang="en-US" sz="1600">
            <a:latin typeface="Times New Roman" panose="02020603050405020304" pitchFamily="18" charset="0"/>
            <a:cs typeface="Times New Roman" panose="02020603050405020304" pitchFamily="18" charset="0"/>
          </a:endParaRPr>
        </a:p>
        <a:p>
          <a:pPr algn="ctr"/>
          <a:endParaRPr lang="en-US" sz="1600">
            <a:latin typeface="Times New Roman" panose="02020603050405020304" pitchFamily="18" charset="0"/>
            <a:cs typeface="Times New Roman" panose="02020603050405020304" pitchFamily="18" charset="0"/>
          </a:endParaRPr>
        </a:p>
        <a:p>
          <a:pPr algn="ctr"/>
          <a:endParaRPr lang="en-US" sz="1600">
            <a:latin typeface="Times New Roman" panose="02020603050405020304" pitchFamily="18" charset="0"/>
            <a:cs typeface="Times New Roman" panose="02020603050405020304" pitchFamily="18" charset="0"/>
          </a:endParaRPr>
        </a:p>
        <a:p>
          <a:pPr algn="ctr"/>
          <a:r>
            <a:rPr lang="en-US" sz="1600">
              <a:latin typeface="Times New Roman" panose="02020603050405020304" pitchFamily="18" charset="0"/>
              <a:cs typeface="Times New Roman" panose="02020603050405020304" pitchFamily="18" charset="0"/>
            </a:rPr>
            <a:t>..........................................</a:t>
          </a:r>
        </a:p>
      </xdr:txBody>
    </xdr:sp>
    <xdr:clientData/>
  </xdr:twoCellAnchor>
  <xdr:twoCellAnchor>
    <xdr:from>
      <xdr:col>12</xdr:col>
      <xdr:colOff>0</xdr:colOff>
      <xdr:row>7</xdr:row>
      <xdr:rowOff>0</xdr:rowOff>
    </xdr:from>
    <xdr:to>
      <xdr:col>15</xdr:col>
      <xdr:colOff>469295</xdr:colOff>
      <xdr:row>9</xdr:row>
      <xdr:rowOff>44450</xdr:rowOff>
    </xdr:to>
    <xdr:sp macro="" textlink="">
      <xdr:nvSpPr>
        <xdr:cNvPr id="6" name="Snip Single Corner Rectangle 5">
          <a:hlinkClick xmlns:r="http://schemas.openxmlformats.org/officeDocument/2006/relationships" r:id="rId1"/>
          <a:extLst>
            <a:ext uri="{FF2B5EF4-FFF2-40B4-BE49-F238E27FC236}">
              <a16:creationId xmlns:a16="http://schemas.microsoft.com/office/drawing/2014/main" id="{00000000-0008-0000-2400-000006000000}"/>
            </a:ext>
          </a:extLst>
        </xdr:cNvPr>
        <xdr:cNvSpPr/>
      </xdr:nvSpPr>
      <xdr:spPr>
        <a:xfrm>
          <a:off x="7343775" y="1704975"/>
          <a:ext cx="2298095" cy="444500"/>
        </a:xfrm>
        <a:prstGeom prst="snip1Rect">
          <a:avLst/>
        </a:prstGeom>
        <a:blipFill>
          <a:blip xmlns:r="http://schemas.openxmlformats.org/officeDocument/2006/relationships" r:embed="rId2" cstate="print"/>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SAMPUL RAPORT</a:t>
          </a:r>
          <a:endParaRPr lang="en-US" sz="2000"/>
        </a:p>
      </xdr:txBody>
    </xdr:sp>
    <xdr:clientData/>
  </xdr:twoCellAnchor>
  <xdr:twoCellAnchor>
    <xdr:from>
      <xdr:col>12</xdr:col>
      <xdr:colOff>0</xdr:colOff>
      <xdr:row>9</xdr:row>
      <xdr:rowOff>123826</xdr:rowOff>
    </xdr:from>
    <xdr:to>
      <xdr:col>15</xdr:col>
      <xdr:colOff>469295</xdr:colOff>
      <xdr:row>9</xdr:row>
      <xdr:rowOff>619126</xdr:rowOff>
    </xdr:to>
    <xdr:sp macro="" textlink="">
      <xdr:nvSpPr>
        <xdr:cNvPr id="7" name="Snip Single Corner Rectangle 6">
          <a:hlinkClick xmlns:r="http://schemas.openxmlformats.org/officeDocument/2006/relationships" r:id="rId3"/>
          <a:extLst>
            <a:ext uri="{FF2B5EF4-FFF2-40B4-BE49-F238E27FC236}">
              <a16:creationId xmlns:a16="http://schemas.microsoft.com/office/drawing/2014/main" id="{00000000-0008-0000-2400-000007000000}"/>
            </a:ext>
          </a:extLst>
        </xdr:cNvPr>
        <xdr:cNvSpPr/>
      </xdr:nvSpPr>
      <xdr:spPr>
        <a:xfrm>
          <a:off x="7343775" y="1933576"/>
          <a:ext cx="2298095" cy="495300"/>
        </a:xfrm>
        <a:prstGeom prst="snip1Rect">
          <a:avLst/>
        </a:prstGeom>
        <a:blipFill>
          <a:blip xmlns:r="http://schemas.openxmlformats.org/officeDocument/2006/relationships" r:embed="rId2" cstate="print"/>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DATA</a:t>
          </a:r>
          <a:r>
            <a:rPr lang="en-US" sz="2000" baseline="0">
              <a:solidFill>
                <a:schemeClr val="lt1"/>
              </a:solidFill>
              <a:latin typeface="+mn-lt"/>
              <a:ea typeface="+mn-ea"/>
              <a:cs typeface="+mn-cs"/>
            </a:rPr>
            <a:t> </a:t>
          </a:r>
          <a:r>
            <a:rPr lang="en-US" sz="2000">
              <a:solidFill>
                <a:schemeClr val="lt1"/>
              </a:solidFill>
              <a:latin typeface="+mn-lt"/>
              <a:ea typeface="+mn-ea"/>
              <a:cs typeface="+mn-cs"/>
            </a:rPr>
            <a:t> RAPORT</a:t>
          </a:r>
          <a:endParaRPr lang="en-US" sz="2000"/>
        </a:p>
      </xdr:txBody>
    </xdr:sp>
    <xdr:clientData/>
  </xdr:twoCellAnchor>
  <xdr:twoCellAnchor editAs="oneCell">
    <xdr:from>
      <xdr:col>12</xdr:col>
      <xdr:colOff>517071</xdr:colOff>
      <xdr:row>9</xdr:row>
      <xdr:rowOff>789214</xdr:rowOff>
    </xdr:from>
    <xdr:to>
      <xdr:col>14</xdr:col>
      <xdr:colOff>268648</xdr:colOff>
      <xdr:row>10</xdr:row>
      <xdr:rowOff>393548</xdr:rowOff>
    </xdr:to>
    <xdr:pic>
      <xdr:nvPicPr>
        <xdr:cNvPr id="9" name="Picture 8">
          <a:hlinkClick xmlns:r="http://schemas.openxmlformats.org/officeDocument/2006/relationships" r:id="rId4"/>
          <a:extLst>
            <a:ext uri="{FF2B5EF4-FFF2-40B4-BE49-F238E27FC236}">
              <a16:creationId xmlns:a16="http://schemas.microsoft.com/office/drawing/2014/main" id="{00000000-0008-0000-24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667750" y="3673928"/>
          <a:ext cx="976219" cy="1046691"/>
        </a:xfrm>
        <a:prstGeom prst="rect">
          <a:avLst/>
        </a:prstGeom>
      </xdr:spPr>
    </xdr:pic>
    <xdr:clientData/>
  </xdr:twoCellAnchor>
  <xdr:twoCellAnchor>
    <xdr:from>
      <xdr:col>12</xdr:col>
      <xdr:colOff>108857</xdr:colOff>
      <xdr:row>10</xdr:row>
      <xdr:rowOff>544285</xdr:rowOff>
    </xdr:from>
    <xdr:to>
      <xdr:col>16</xdr:col>
      <xdr:colOff>36283</xdr:colOff>
      <xdr:row>12</xdr:row>
      <xdr:rowOff>152025</xdr:rowOff>
    </xdr:to>
    <xdr:sp macro="" textlink="">
      <xdr:nvSpPr>
        <xdr:cNvPr id="8" name="Horizontal Scroll 7">
          <a:extLst>
            <a:ext uri="{FF2B5EF4-FFF2-40B4-BE49-F238E27FC236}">
              <a16:creationId xmlns:a16="http://schemas.microsoft.com/office/drawing/2014/main" id="{00000000-0008-0000-2400-000008000000}"/>
            </a:ext>
          </a:extLst>
        </xdr:cNvPr>
        <xdr:cNvSpPr/>
      </xdr:nvSpPr>
      <xdr:spPr>
        <a:xfrm>
          <a:off x="8395607" y="4871356"/>
          <a:ext cx="2376712" cy="1295026"/>
        </a:xfrm>
        <a:prstGeom prst="horizontalScroll">
          <a:avLst/>
        </a:prstGeom>
        <a:ln>
          <a:solidFill>
            <a:sysClr val="windowText" lastClr="000000"/>
          </a:solidFill>
        </a:ln>
      </xdr:spPr>
      <xdr:style>
        <a:lnRef idx="0">
          <a:schemeClr val="accent6"/>
        </a:lnRef>
        <a:fillRef idx="3">
          <a:schemeClr val="accent6"/>
        </a:fillRef>
        <a:effectRef idx="3">
          <a:schemeClr val="accent6"/>
        </a:effectRef>
        <a:fontRef idx="minor">
          <a:schemeClr val="lt1"/>
        </a:fontRef>
      </xdr:style>
      <xdr:txBody>
        <a:bodyPr rtlCol="0" anchor="ctr"/>
        <a:lstStyle/>
        <a:p>
          <a:pPr algn="l"/>
          <a:r>
            <a:rPr lang="en-US" sz="1600"/>
            <a:t>APLIKASI  INI DI SETTING</a:t>
          </a:r>
        </a:p>
        <a:p>
          <a:pPr algn="l"/>
          <a:r>
            <a:rPr lang="en-US" sz="1600"/>
            <a:t>MENGGUNAKAN </a:t>
          </a:r>
        </a:p>
        <a:p>
          <a:pPr algn="l"/>
          <a:r>
            <a:rPr lang="en-US" sz="1600" b="1"/>
            <a:t>KERTAS A4</a:t>
          </a:r>
          <a:endParaRPr lang="en-US" sz="1800" b="1"/>
        </a:p>
      </xdr:txBody>
    </xdr:sp>
    <xdr:clientData/>
  </xdr:twoCellAnchor>
  <mc:AlternateContent xmlns:mc="http://schemas.openxmlformats.org/markup-compatibility/2006">
    <mc:Choice xmlns:a14="http://schemas.microsoft.com/office/drawing/2010/main" Requires="a14">
      <xdr:twoCellAnchor>
        <xdr:from>
          <xdr:col>13</xdr:col>
          <xdr:colOff>85725</xdr:colOff>
          <xdr:row>1</xdr:row>
          <xdr:rowOff>133350</xdr:rowOff>
        </xdr:from>
        <xdr:to>
          <xdr:col>14</xdr:col>
          <xdr:colOff>19050</xdr:colOff>
          <xdr:row>4</xdr:row>
          <xdr:rowOff>123825</xdr:rowOff>
        </xdr:to>
        <xdr:sp macro="" textlink="">
          <xdr:nvSpPr>
            <xdr:cNvPr id="30721" name="Spinner 1" hidden="1">
              <a:extLst>
                <a:ext uri="{63B3BB69-23CF-44E3-9099-C40C66FF867C}">
                  <a14:compatExt spid="_x0000_s30721"/>
                </a:ext>
                <a:ext uri="{FF2B5EF4-FFF2-40B4-BE49-F238E27FC236}">
                  <a16:creationId xmlns:a16="http://schemas.microsoft.com/office/drawing/2014/main" id="{00000000-0008-0000-2400-0000017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22</xdr:col>
      <xdr:colOff>304800</xdr:colOff>
      <xdr:row>0</xdr:row>
      <xdr:rowOff>152401</xdr:rowOff>
    </xdr:from>
    <xdr:to>
      <xdr:col>24</xdr:col>
      <xdr:colOff>352425</xdr:colOff>
      <xdr:row>3</xdr:row>
      <xdr:rowOff>203970</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39025" y="152401"/>
          <a:ext cx="714375" cy="765944"/>
        </a:xfrm>
        <a:prstGeom prst="rect">
          <a:avLst/>
        </a:prstGeom>
      </xdr:spPr>
    </xdr:pic>
    <xdr:clientData/>
  </xdr:twoCellAnchor>
  <xdr:twoCellAnchor>
    <xdr:from>
      <xdr:col>21</xdr:col>
      <xdr:colOff>0</xdr:colOff>
      <xdr:row>4</xdr:row>
      <xdr:rowOff>0</xdr:rowOff>
    </xdr:from>
    <xdr:to>
      <xdr:col>26</xdr:col>
      <xdr:colOff>78770</xdr:colOff>
      <xdr:row>5</xdr:row>
      <xdr:rowOff>33566</xdr:rowOff>
    </xdr:to>
    <xdr:sp macro="" textlink="">
      <xdr:nvSpPr>
        <xdr:cNvPr id="4" name="Snip Single Corner Rectangle 3">
          <a:hlinkClick xmlns:r="http://schemas.openxmlformats.org/officeDocument/2006/relationships" r:id="rId3"/>
          <a:extLst>
            <a:ext uri="{FF2B5EF4-FFF2-40B4-BE49-F238E27FC236}">
              <a16:creationId xmlns:a16="http://schemas.microsoft.com/office/drawing/2014/main" id="{00000000-0008-0000-2500-000004000000}"/>
            </a:ext>
          </a:extLst>
        </xdr:cNvPr>
        <xdr:cNvSpPr/>
      </xdr:nvSpPr>
      <xdr:spPr>
        <a:xfrm>
          <a:off x="6800850" y="952500"/>
          <a:ext cx="2298095" cy="328841"/>
        </a:xfrm>
        <a:prstGeom prst="snip1Rect">
          <a:avLst/>
        </a:prstGeom>
        <a:blipFill>
          <a:blip xmlns:r="http://schemas.openxmlformats.org/officeDocument/2006/relationships" r:embed="rId4" cstate="print">
            <a:duotone>
              <a:prstClr val="black"/>
              <a:schemeClr val="accent3">
                <a:tint val="45000"/>
                <a:satMod val="400000"/>
              </a:schemeClr>
            </a:duotone>
          </a:blip>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DATA</a:t>
          </a:r>
          <a:r>
            <a:rPr lang="en-US" sz="2000" baseline="0">
              <a:solidFill>
                <a:schemeClr val="lt1"/>
              </a:solidFill>
              <a:latin typeface="+mn-lt"/>
              <a:ea typeface="+mn-ea"/>
              <a:cs typeface="+mn-cs"/>
            </a:rPr>
            <a:t> BUKU INDUK</a:t>
          </a:r>
          <a:endParaRPr lang="en-US" sz="2000"/>
        </a:p>
      </xdr:txBody>
    </xdr:sp>
    <xdr:clientData/>
  </xdr:twoCellAnchor>
  <xdr:twoCellAnchor>
    <xdr:from>
      <xdr:col>20</xdr:col>
      <xdr:colOff>314325</xdr:colOff>
      <xdr:row>5</xdr:row>
      <xdr:rowOff>114300</xdr:rowOff>
    </xdr:from>
    <xdr:to>
      <xdr:col>26</xdr:col>
      <xdr:colOff>59720</xdr:colOff>
      <xdr:row>7</xdr:row>
      <xdr:rowOff>43091</xdr:rowOff>
    </xdr:to>
    <xdr:sp macro="" textlink="">
      <xdr:nvSpPr>
        <xdr:cNvPr id="5" name="Snip Single Corner Rectangle 4">
          <a:hlinkClick xmlns:r="http://schemas.openxmlformats.org/officeDocument/2006/relationships" r:id="rId5"/>
          <a:extLst>
            <a:ext uri="{FF2B5EF4-FFF2-40B4-BE49-F238E27FC236}">
              <a16:creationId xmlns:a16="http://schemas.microsoft.com/office/drawing/2014/main" id="{00000000-0008-0000-2500-000005000000}"/>
            </a:ext>
          </a:extLst>
        </xdr:cNvPr>
        <xdr:cNvSpPr/>
      </xdr:nvSpPr>
      <xdr:spPr>
        <a:xfrm>
          <a:off x="6781800" y="1362075"/>
          <a:ext cx="2298095" cy="328841"/>
        </a:xfrm>
        <a:prstGeom prst="snip1Rect">
          <a:avLst/>
        </a:prstGeom>
        <a:blipFill>
          <a:blip xmlns:r="http://schemas.openxmlformats.org/officeDocument/2006/relationships" r:embed="rId4" cstate="print">
            <a:duotone>
              <a:prstClr val="black"/>
              <a:schemeClr val="accent3">
                <a:tint val="45000"/>
                <a:satMod val="400000"/>
              </a:schemeClr>
            </a:duotone>
          </a:blip>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NILAI</a:t>
          </a:r>
          <a:r>
            <a:rPr lang="en-US" sz="2000" baseline="0">
              <a:solidFill>
                <a:schemeClr val="lt1"/>
              </a:solidFill>
              <a:latin typeface="+mn-lt"/>
              <a:ea typeface="+mn-ea"/>
              <a:cs typeface="+mn-cs"/>
            </a:rPr>
            <a:t> BUKU INDUK</a:t>
          </a:r>
          <a:endParaRPr lang="en-US" sz="2000"/>
        </a:p>
      </xdr:txBody>
    </xdr:sp>
    <xdr:clientData/>
  </xdr:twoCellAnchor>
  <xdr:twoCellAnchor editAs="oneCell">
    <xdr:from>
      <xdr:col>8</xdr:col>
      <xdr:colOff>0</xdr:colOff>
      <xdr:row>8</xdr:row>
      <xdr:rowOff>119063</xdr:rowOff>
    </xdr:from>
    <xdr:to>
      <xdr:col>11</xdr:col>
      <xdr:colOff>154781</xdr:colOff>
      <xdr:row>14</xdr:row>
      <xdr:rowOff>119063</xdr:rowOff>
    </xdr:to>
    <xdr:pic>
      <xdr:nvPicPr>
        <xdr:cNvPr id="7" name="Picture 6">
          <a:extLst>
            <a:ext uri="{FF2B5EF4-FFF2-40B4-BE49-F238E27FC236}">
              <a16:creationId xmlns:a16="http://schemas.microsoft.com/office/drawing/2014/main" id="{00000000-0008-0000-2500-000007000000}"/>
            </a:ext>
          </a:extLst>
        </xdr:cNvPr>
        <xdr:cNvPicPr>
          <a:picLocks noChangeAspect="1"/>
        </xdr:cNvPicPr>
      </xdr:nvPicPr>
      <xdr:blipFill>
        <a:blip xmlns:r="http://schemas.openxmlformats.org/officeDocument/2006/relationships" r:embed="rId6"/>
        <a:stretch>
          <a:fillRect/>
        </a:stretch>
      </xdr:blipFill>
      <xdr:spPr>
        <a:xfrm>
          <a:off x="2583656" y="1976438"/>
          <a:ext cx="1035844" cy="1214438"/>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xdr:from>
      <xdr:col>15</xdr:col>
      <xdr:colOff>192698</xdr:colOff>
      <xdr:row>2</xdr:row>
      <xdr:rowOff>31506</xdr:rowOff>
    </xdr:from>
    <xdr:to>
      <xdr:col>18</xdr:col>
      <xdr:colOff>200757</xdr:colOff>
      <xdr:row>7</xdr:row>
      <xdr:rowOff>68141</xdr:rowOff>
    </xdr:to>
    <xdr:sp macro="" textlink="">
      <xdr:nvSpPr>
        <xdr:cNvPr id="2" name="Rectangle 6">
          <a:extLst>
            <a:ext uri="{FF2B5EF4-FFF2-40B4-BE49-F238E27FC236}">
              <a16:creationId xmlns:a16="http://schemas.microsoft.com/office/drawing/2014/main" id="{00000000-0008-0000-2600-000002000000}"/>
            </a:ext>
          </a:extLst>
        </xdr:cNvPr>
        <xdr:cNvSpPr>
          <a:spLocks noChangeArrowheads="1"/>
        </xdr:cNvSpPr>
      </xdr:nvSpPr>
      <xdr:spPr bwMode="auto">
        <a:xfrm>
          <a:off x="5440973" y="469656"/>
          <a:ext cx="865309" cy="108438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200" b="0" i="0" strike="noStrike">
              <a:solidFill>
                <a:srgbClr val="000000"/>
              </a:solidFill>
              <a:latin typeface="Calibri"/>
              <a:cs typeface="Calibri"/>
            </a:rPr>
            <a:t> </a:t>
          </a:r>
          <a:endParaRPr lang="en-US" sz="1200" b="0" i="0" strike="noStrike">
            <a:solidFill>
              <a:srgbClr val="000000"/>
            </a:solidFill>
            <a:latin typeface="Times New Roman"/>
            <a:cs typeface="Times New Roman"/>
          </a:endParaRPr>
        </a:p>
        <a:p>
          <a:pPr algn="ctr" rtl="0">
            <a:defRPr sz="1000"/>
          </a:pPr>
          <a:r>
            <a:rPr lang="en-US" sz="1100" b="0" i="0" strike="noStrike">
              <a:solidFill>
                <a:srgbClr val="000000"/>
              </a:solidFill>
              <a:latin typeface="Calibri"/>
              <a:cs typeface="Calibri"/>
            </a:rPr>
            <a:t>Foto</a:t>
          </a:r>
          <a:endParaRPr lang="en-US" sz="1200" b="0" i="0" strike="noStrike">
            <a:solidFill>
              <a:srgbClr val="000000"/>
            </a:solidFill>
            <a:latin typeface="Times New Roman"/>
            <a:cs typeface="Times New Roman"/>
          </a:endParaRPr>
        </a:p>
        <a:p>
          <a:pPr algn="ctr" rtl="0">
            <a:defRPr sz="1000"/>
          </a:pPr>
          <a:r>
            <a:rPr lang="en-US" sz="900" b="0" i="0" strike="noStrike">
              <a:solidFill>
                <a:srgbClr val="000000"/>
              </a:solidFill>
              <a:latin typeface="Calibri"/>
              <a:cs typeface="Calibri"/>
            </a:rPr>
            <a:t> </a:t>
          </a:r>
          <a:endParaRPr lang="en-US" sz="1200" b="0" i="0" strike="noStrike">
            <a:solidFill>
              <a:srgbClr val="000000"/>
            </a:solidFill>
            <a:latin typeface="Times New Roman"/>
            <a:cs typeface="Times New Roman"/>
          </a:endParaRPr>
        </a:p>
        <a:p>
          <a:pPr algn="ctr" rtl="0">
            <a:defRPr sz="1000"/>
          </a:pPr>
          <a:r>
            <a:rPr lang="en-US" sz="1100" b="0" i="0" strike="noStrike">
              <a:solidFill>
                <a:srgbClr val="000000"/>
              </a:solidFill>
              <a:latin typeface="Calibri"/>
              <a:cs typeface="Calibri"/>
            </a:rPr>
            <a:t>3 x 4 cm</a:t>
          </a:r>
        </a:p>
      </xdr:txBody>
    </xdr:sp>
    <xdr:clientData/>
  </xdr:twoCellAnchor>
  <xdr:twoCellAnchor editAs="oneCell">
    <xdr:from>
      <xdr:col>20</xdr:col>
      <xdr:colOff>815284</xdr:colOff>
      <xdr:row>9</xdr:row>
      <xdr:rowOff>179180</xdr:rowOff>
    </xdr:from>
    <xdr:to>
      <xdr:col>22</xdr:col>
      <xdr:colOff>79741</xdr:colOff>
      <xdr:row>13</xdr:row>
      <xdr:rowOff>183124</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2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30409" y="1950830"/>
          <a:ext cx="708025" cy="765944"/>
        </a:xfrm>
        <a:prstGeom prst="rect">
          <a:avLst/>
        </a:prstGeom>
      </xdr:spPr>
    </xdr:pic>
    <xdr:clientData/>
  </xdr:twoCellAnchor>
  <xdr:twoCellAnchor>
    <xdr:from>
      <xdr:col>20</xdr:col>
      <xdr:colOff>19050</xdr:colOff>
      <xdr:row>14</xdr:row>
      <xdr:rowOff>0</xdr:rowOff>
    </xdr:from>
    <xdr:to>
      <xdr:col>23</xdr:col>
      <xdr:colOff>474057</xdr:colOff>
      <xdr:row>15</xdr:row>
      <xdr:rowOff>138341</xdr:rowOff>
    </xdr:to>
    <xdr:sp macro="" textlink="">
      <xdr:nvSpPr>
        <xdr:cNvPr id="6" name="Snip Single Corner Rectangle 5">
          <a:hlinkClick xmlns:r="http://schemas.openxmlformats.org/officeDocument/2006/relationships" r:id="rId3"/>
          <a:extLst>
            <a:ext uri="{FF2B5EF4-FFF2-40B4-BE49-F238E27FC236}">
              <a16:creationId xmlns:a16="http://schemas.microsoft.com/office/drawing/2014/main" id="{00000000-0008-0000-2600-000006000000}"/>
            </a:ext>
          </a:extLst>
        </xdr:cNvPr>
        <xdr:cNvSpPr/>
      </xdr:nvSpPr>
      <xdr:spPr>
        <a:xfrm>
          <a:off x="6769376" y="2716696"/>
          <a:ext cx="2591920" cy="328841"/>
        </a:xfrm>
        <a:prstGeom prst="snip1Rect">
          <a:avLst/>
        </a:prstGeom>
        <a:blipFill>
          <a:blip xmlns:r="http://schemas.openxmlformats.org/officeDocument/2006/relationships" r:embed="rId4" cstate="print">
            <a:duotone>
              <a:prstClr val="black"/>
              <a:schemeClr val="accent3">
                <a:tint val="45000"/>
                <a:satMod val="400000"/>
              </a:schemeClr>
            </a:duotone>
          </a:blip>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SAMPUL</a:t>
          </a:r>
          <a:r>
            <a:rPr lang="en-US" sz="2000" baseline="0">
              <a:solidFill>
                <a:schemeClr val="lt1"/>
              </a:solidFill>
              <a:latin typeface="+mn-lt"/>
              <a:ea typeface="+mn-ea"/>
              <a:cs typeface="+mn-cs"/>
            </a:rPr>
            <a:t> BUKU INDUK</a:t>
          </a:r>
          <a:endParaRPr lang="en-US" sz="2000"/>
        </a:p>
      </xdr:txBody>
    </xdr:sp>
    <xdr:clientData/>
  </xdr:twoCellAnchor>
  <xdr:twoCellAnchor>
    <xdr:from>
      <xdr:col>20</xdr:col>
      <xdr:colOff>0</xdr:colOff>
      <xdr:row>16</xdr:row>
      <xdr:rowOff>28575</xdr:rowOff>
    </xdr:from>
    <xdr:to>
      <xdr:col>23</xdr:col>
      <xdr:colOff>161182</xdr:colOff>
      <xdr:row>17</xdr:row>
      <xdr:rowOff>166916</xdr:rowOff>
    </xdr:to>
    <xdr:sp macro="" textlink="">
      <xdr:nvSpPr>
        <xdr:cNvPr id="7" name="Snip Single Corner Rectangle 6">
          <a:hlinkClick xmlns:r="http://schemas.openxmlformats.org/officeDocument/2006/relationships" r:id="rId5"/>
          <a:extLst>
            <a:ext uri="{FF2B5EF4-FFF2-40B4-BE49-F238E27FC236}">
              <a16:creationId xmlns:a16="http://schemas.microsoft.com/office/drawing/2014/main" id="{00000000-0008-0000-2600-000007000000}"/>
            </a:ext>
          </a:extLst>
        </xdr:cNvPr>
        <xdr:cNvSpPr/>
      </xdr:nvSpPr>
      <xdr:spPr>
        <a:xfrm>
          <a:off x="6750326" y="3126271"/>
          <a:ext cx="2298095" cy="328841"/>
        </a:xfrm>
        <a:prstGeom prst="snip1Rect">
          <a:avLst/>
        </a:prstGeom>
        <a:blipFill>
          <a:blip xmlns:r="http://schemas.openxmlformats.org/officeDocument/2006/relationships" r:embed="rId4" cstate="print">
            <a:duotone>
              <a:prstClr val="black"/>
              <a:schemeClr val="accent3">
                <a:tint val="45000"/>
                <a:satMod val="400000"/>
              </a:schemeClr>
            </a:duotone>
          </a:blip>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NILAI</a:t>
          </a:r>
          <a:r>
            <a:rPr lang="en-US" sz="2000" baseline="0">
              <a:solidFill>
                <a:schemeClr val="lt1"/>
              </a:solidFill>
              <a:latin typeface="+mn-lt"/>
              <a:ea typeface="+mn-ea"/>
              <a:cs typeface="+mn-cs"/>
            </a:rPr>
            <a:t> BUKU INDUK</a:t>
          </a:r>
          <a:endParaRPr lang="en-US" sz="2000"/>
        </a:p>
      </xdr:txBody>
    </xdr:sp>
    <xdr:clientData/>
  </xdr:twoCellAnchor>
  <mc:AlternateContent xmlns:mc="http://schemas.openxmlformats.org/markup-compatibility/2006">
    <mc:Choice xmlns:a14="http://schemas.microsoft.com/office/drawing/2010/main" Requires="a14">
      <xdr:twoCellAnchor>
        <xdr:from>
          <xdr:col>21</xdr:col>
          <xdr:colOff>0</xdr:colOff>
          <xdr:row>2</xdr:row>
          <xdr:rowOff>161925</xdr:rowOff>
        </xdr:from>
        <xdr:to>
          <xdr:col>21</xdr:col>
          <xdr:colOff>542925</xdr:colOff>
          <xdr:row>8</xdr:row>
          <xdr:rowOff>76200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26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36</xdr:col>
      <xdr:colOff>100852</xdr:colOff>
      <xdr:row>5</xdr:row>
      <xdr:rowOff>437036</xdr:rowOff>
    </xdr:from>
    <xdr:to>
      <xdr:col>38</xdr:col>
      <xdr:colOff>253114</xdr:colOff>
      <xdr:row>5</xdr:row>
      <xdr:rowOff>1206902</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65323" y="1647271"/>
          <a:ext cx="712557" cy="769866"/>
        </a:xfrm>
        <a:prstGeom prst="rect">
          <a:avLst/>
        </a:prstGeom>
      </xdr:spPr>
    </xdr:pic>
    <xdr:clientData/>
  </xdr:twoCellAnchor>
  <xdr:twoCellAnchor>
    <xdr:from>
      <xdr:col>33</xdr:col>
      <xdr:colOff>164727</xdr:colOff>
      <xdr:row>5</xdr:row>
      <xdr:rowOff>1243859</xdr:rowOff>
    </xdr:from>
    <xdr:to>
      <xdr:col>42</xdr:col>
      <xdr:colOff>235323</xdr:colOff>
      <xdr:row>6</xdr:row>
      <xdr:rowOff>149553</xdr:rowOff>
    </xdr:to>
    <xdr:sp macro="" textlink="">
      <xdr:nvSpPr>
        <xdr:cNvPr id="4" name="Snip Single Corner Rectangle 3">
          <a:hlinkClick xmlns:r="http://schemas.openxmlformats.org/officeDocument/2006/relationships" r:id="rId3"/>
          <a:extLst>
            <a:ext uri="{FF2B5EF4-FFF2-40B4-BE49-F238E27FC236}">
              <a16:creationId xmlns:a16="http://schemas.microsoft.com/office/drawing/2014/main" id="{00000000-0008-0000-2700-000004000000}"/>
            </a:ext>
          </a:extLst>
        </xdr:cNvPr>
        <xdr:cNvSpPr/>
      </xdr:nvSpPr>
      <xdr:spPr>
        <a:xfrm>
          <a:off x="10888756" y="2454094"/>
          <a:ext cx="2591920" cy="328841"/>
        </a:xfrm>
        <a:prstGeom prst="snip1Rect">
          <a:avLst/>
        </a:prstGeom>
        <a:blipFill>
          <a:blip xmlns:r="http://schemas.openxmlformats.org/officeDocument/2006/relationships" r:embed="rId4" cstate="print">
            <a:duotone>
              <a:prstClr val="black"/>
              <a:schemeClr val="accent3">
                <a:tint val="45000"/>
                <a:satMod val="400000"/>
              </a:schemeClr>
            </a:duotone>
          </a:blip>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SAMPUL</a:t>
          </a:r>
          <a:r>
            <a:rPr lang="en-US" sz="2000" baseline="0">
              <a:solidFill>
                <a:schemeClr val="lt1"/>
              </a:solidFill>
              <a:latin typeface="+mn-lt"/>
              <a:ea typeface="+mn-ea"/>
              <a:cs typeface="+mn-cs"/>
            </a:rPr>
            <a:t> BUKU INDUK</a:t>
          </a:r>
          <a:endParaRPr lang="en-US" sz="2000"/>
        </a:p>
      </xdr:txBody>
    </xdr:sp>
    <xdr:clientData/>
  </xdr:twoCellAnchor>
  <xdr:twoCellAnchor>
    <xdr:from>
      <xdr:col>33</xdr:col>
      <xdr:colOff>145677</xdr:colOff>
      <xdr:row>6</xdr:row>
      <xdr:rowOff>230287</xdr:rowOff>
    </xdr:from>
    <xdr:to>
      <xdr:col>41</xdr:col>
      <xdr:colOff>202595</xdr:colOff>
      <xdr:row>6</xdr:row>
      <xdr:rowOff>559128</xdr:rowOff>
    </xdr:to>
    <xdr:sp macro="" textlink="">
      <xdr:nvSpPr>
        <xdr:cNvPr id="5" name="Snip Single Corner Rectangle 4">
          <a:hlinkClick xmlns:r="http://schemas.openxmlformats.org/officeDocument/2006/relationships" r:id="rId5"/>
          <a:extLst>
            <a:ext uri="{FF2B5EF4-FFF2-40B4-BE49-F238E27FC236}">
              <a16:creationId xmlns:a16="http://schemas.microsoft.com/office/drawing/2014/main" id="{00000000-0008-0000-2700-000005000000}"/>
            </a:ext>
          </a:extLst>
        </xdr:cNvPr>
        <xdr:cNvSpPr/>
      </xdr:nvSpPr>
      <xdr:spPr>
        <a:xfrm>
          <a:off x="10869706" y="2863669"/>
          <a:ext cx="2298095" cy="328841"/>
        </a:xfrm>
        <a:prstGeom prst="snip1Rect">
          <a:avLst/>
        </a:prstGeom>
        <a:blipFill>
          <a:blip xmlns:r="http://schemas.openxmlformats.org/officeDocument/2006/relationships" r:embed="rId4" cstate="print">
            <a:duotone>
              <a:prstClr val="black"/>
              <a:schemeClr val="accent3">
                <a:tint val="45000"/>
                <a:satMod val="400000"/>
              </a:schemeClr>
            </a:duotone>
          </a:blip>
          <a:tile tx="0" ty="0" sx="100000" sy="100000" flip="none" algn="tl"/>
        </a:blipFill>
      </xdr:spPr>
      <xdr:style>
        <a:lnRef idx="0">
          <a:schemeClr val="dk1"/>
        </a:lnRef>
        <a:fillRef idx="3">
          <a:schemeClr val="dk1"/>
        </a:fillRef>
        <a:effectRef idx="3">
          <a:schemeClr val="dk1"/>
        </a:effectRef>
        <a:fontRef idx="minor">
          <a:schemeClr val="lt1"/>
        </a:fontRef>
      </xdr:style>
      <xdr:txBody>
        <a:bodyPr rtlCol="0" anchor="ctr"/>
        <a:lstStyle/>
        <a:p>
          <a:pPr algn="l"/>
          <a:r>
            <a:rPr lang="en-US" sz="2000">
              <a:solidFill>
                <a:schemeClr val="lt1"/>
              </a:solidFill>
              <a:latin typeface="+mn-lt"/>
              <a:ea typeface="+mn-ea"/>
              <a:cs typeface="+mn-cs"/>
            </a:rPr>
            <a:t>DATA</a:t>
          </a:r>
          <a:r>
            <a:rPr lang="en-US" sz="2000" baseline="0">
              <a:solidFill>
                <a:schemeClr val="lt1"/>
              </a:solidFill>
              <a:latin typeface="+mn-lt"/>
              <a:ea typeface="+mn-ea"/>
              <a:cs typeface="+mn-cs"/>
            </a:rPr>
            <a:t> BUKU INDUK</a:t>
          </a:r>
          <a:endParaRPr lang="en-US" sz="2000"/>
        </a:p>
      </xdr:txBody>
    </xdr:sp>
    <xdr:clientData/>
  </xdr:twoCellAnchor>
  <mc:AlternateContent xmlns:mc="http://schemas.openxmlformats.org/markup-compatibility/2006">
    <mc:Choice xmlns:a14="http://schemas.microsoft.com/office/drawing/2010/main" Requires="a14">
      <xdr:twoCellAnchor>
        <xdr:from>
          <xdr:col>36</xdr:col>
          <xdr:colOff>57150</xdr:colOff>
          <xdr:row>1</xdr:row>
          <xdr:rowOff>152400</xdr:rowOff>
        </xdr:from>
        <xdr:to>
          <xdr:col>38</xdr:col>
          <xdr:colOff>9525</xdr:colOff>
          <xdr:row>5</xdr:row>
          <xdr:rowOff>180975</xdr:rowOff>
        </xdr:to>
        <xdr:sp macro="" textlink="">
          <xdr:nvSpPr>
            <xdr:cNvPr id="33793" name="Spinner 1" hidden="1">
              <a:extLst>
                <a:ext uri="{63B3BB69-23CF-44E3-9099-C40C66FF867C}">
                  <a14:compatExt spid="_x0000_s33793"/>
                </a:ext>
                <a:ext uri="{FF2B5EF4-FFF2-40B4-BE49-F238E27FC236}">
                  <a16:creationId xmlns:a16="http://schemas.microsoft.com/office/drawing/2014/main" id="{00000000-0008-0000-2700-000001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20APLIKASI%20EXCEL\-%20APLIKASI%20K13\-%20APLIKASI%20RAPORT%20K13%20REVISI%202017\APLIKASI%20K13%20SMT%201%20REVISI%20DESEMBER%202017\SEMESTER%201\6.%20RAPORT%20K13%20KELAS%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onversi"/>
      <sheetName val="HOME"/>
      <sheetName val="KOMDAS"/>
      <sheetName val="SEKOLAH"/>
      <sheetName val="SISWA"/>
      <sheetName val="K1.SPIRITUAL"/>
      <sheetName val="K2. SOSIAL"/>
      <sheetName val="PAI K3"/>
      <sheetName val="PKN K3"/>
      <sheetName val="BIN K3"/>
      <sheetName val="MAT K3"/>
      <sheetName val="SBdP k3"/>
      <sheetName val="PJOK K3"/>
      <sheetName val="BD3"/>
      <sheetName val="B.INGG"/>
      <sheetName val="ARAB3"/>
      <sheetName val="ASWAJA3"/>
      <sheetName val="TIK3"/>
      <sheetName val="PAI K4"/>
      <sheetName val="PKN K4"/>
      <sheetName val="BIN K4"/>
      <sheetName val="MAT K4"/>
      <sheetName val="SPdP K4"/>
      <sheetName val="PJOK k4 "/>
      <sheetName val="BD K4"/>
      <sheetName val="b.ingg4"/>
      <sheetName val="Arab4"/>
      <sheetName val="aswaja4"/>
      <sheetName val="TIK4"/>
      <sheetName val="REKAP"/>
      <sheetName val="RAPORT"/>
      <sheetName val="DATA RAPORT"/>
      <sheetName val="RAPOR EDIT"/>
      <sheetName val="OTHER"/>
      <sheetName val="TUTO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row r="6">
          <cell r="B6">
            <v>4822</v>
          </cell>
          <cell r="C6" t="str">
            <v>Ahmad Rendy Ardiansyah</v>
          </cell>
          <cell r="D6" t="str">
            <v xml:space="preserve">Menunjukkan sikap  kebiasaan mengaji Alqur'an,   yang sangat menonjol. perlu pembinaan dalam ketaatan melaksanakan sholat berjamaah di sekolah,     </v>
          </cell>
          <cell r="E6" t="str">
            <v xml:space="preserve">Menunjukkan sikap   suka bekerjasama, membantu teman yang kesulitan,    Perlu bimbingan dalam sikapberani dan percaya diri ketika mengunkapkan pendapat.      </v>
          </cell>
          <cell r="F6">
            <v>82.5</v>
          </cell>
          <cell r="G6" t="str">
            <v>B</v>
          </cell>
          <cell r="H6" t="str">
            <v xml:space="preserve">Mampu     Mengetahui kisah Nabi Muhammad saw. perlu pembinaan dalam      Memahami hikmah berzakat sebagai implementasi rukun Islam  </v>
          </cell>
          <cell r="I6">
            <v>86.5</v>
          </cell>
          <cell r="J6" t="str">
            <v>B</v>
          </cell>
          <cell r="K6" t="str">
            <v xml:space="preserve">Mampu    mengenal arti bersatu dalam keberagaman di rumah dan sekolah  perlu pembinaan dalam     mengenal keberagaman karateristik individu di rumah dan di sekolah   </v>
          </cell>
          <cell r="L6">
            <v>88.4</v>
          </cell>
          <cell r="M6" t="str">
            <v>B</v>
          </cell>
          <cell r="N6"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diagram/label tentang anggota keluarga dan kerabat dengan bantuan guru atau teman dalam bahasa Indonesia lisan dan tulis yang dapat diisi dengan kosakata bahasa daerah untuk membantu pemahaman </v>
          </cell>
          <cell r="O6">
            <v>80.666666666666671</v>
          </cell>
          <cell r="P6" t="str">
            <v>B</v>
          </cell>
          <cell r="Q6" t="str">
            <v xml:space="preserve">Mampu   mengenal dan memprediksi pola-pola bilangan sederhana menggunakan gambar-gambar/benda konkrit  menemukan bangun yang membentuk pola pengubinan sederhanaperlu pembinaan dalam    mengenal bilangan asli sampai 99 dengan menggunakan benda-benda yang ada di sekitar rumah, sekolah, atau tempat bermain    </v>
          </cell>
          <cell r="R6">
            <v>80.166666666666671</v>
          </cell>
          <cell r="S6" t="str">
            <v>B</v>
          </cell>
          <cell r="T6" t="str">
            <v xml:space="preserve">Mampu     mengenal karya seni budaya benda dan bahasa daerah setempat perlu pembinaan dalam      mengamati berbagai bahan, alat serta fungsinya dalam membuat prakarya  </v>
          </cell>
          <cell r="U6">
            <v>82</v>
          </cell>
          <cell r="V6" t="str">
            <v>B</v>
          </cell>
          <cell r="W6" t="str">
            <v xml:space="preserve">Mampu      mengetahui konsep penggunaan pola gerak dasar lokomotor dan non-lokomotor sesuai dengan irama (ketukan) tanpa/ dengan musik dalam aktivitas gerak rimtik.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6">
            <v>77.666666666666671</v>
          </cell>
          <cell r="Y6" t="str">
            <v>B</v>
          </cell>
          <cell r="Z6"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6">
            <v>81.5</v>
          </cell>
          <cell r="AB6" t="str">
            <v>B</v>
          </cell>
          <cell r="AC6" t="str">
            <v xml:space="preserve">Mampu    Mengenal, memahami dan mengidentifikasi shopping activity (how to ask price, show the price, bargain, accept and refuse to bargain, etc)  perlu pembinaan dalam     Mengenal, memahami dan mengidentifikasi macam-macam compass at the map and traffic sign   </v>
          </cell>
          <cell r="AD6">
            <v>81.5</v>
          </cell>
          <cell r="AE6" t="str">
            <v>B</v>
          </cell>
          <cell r="AF6" t="str">
            <v xml:space="preserve">Mampu    Memahami wacana dalam bentuk paparan tentang profesi dengan menggunakan pola kalimat isim isyarah/ dhamir + profesi  perlu pembinaan dalam     Memahami wacana dalam bentuk paparan tentang perkenalan diri(2) dengan menggunakan pola kalimat yang meliputi dhamir (kata ganti) ana, anta, anti, huwa, hiya + isim mufrad mu’annats/mudzakkar    </v>
          </cell>
          <cell r="AG6">
            <v>77.666666666666671</v>
          </cell>
          <cell r="AH6" t="str">
            <v>B</v>
          </cell>
          <cell r="AI6" t="str">
            <v xml:space="preserve">Mampu Mengenal sejarah munculnya Ahlus Sunnah wal Jama'ah     perlu pembinaan dalam     memahami kepribadian NU   </v>
          </cell>
          <cell r="AJ6">
            <v>71.5</v>
          </cell>
          <cell r="AK6" t="str">
            <v>C</v>
          </cell>
          <cell r="AL6" t="str">
            <v xml:space="preserve">Mampu Mengenal software pengolah kata dengan ikon-ikon pendukung     perlu pembinaan dalam    Mengenal fungsi ikon-ikon pendukung pengolah kata (word processing)    </v>
          </cell>
          <cell r="AM6">
            <v>82.5</v>
          </cell>
          <cell r="AN6" t="str">
            <v>B</v>
          </cell>
          <cell r="AO6" t="str">
            <v xml:space="preserve">Mampu     Menceritakan kisah keteladanan Nabi Muhammad saw. perlu pembinaan dalam      Mencontohkan perilaku toleran dan simpati sebagai implementasi dari pemahaman Q.S. al-Kaafiruun  </v>
          </cell>
          <cell r="AP6">
            <v>69</v>
          </cell>
          <cell r="AQ6" t="str">
            <v>C</v>
          </cell>
          <cell r="AR6" t="str">
            <v xml:space="preserve">Mampu Mengamati dan menceritakan perilaku di sekitar rumah dan sekolah dan mengaitkannya dengan pengenalannya terhadap salah satu simbol sila Pancasila     perlu pembinaan dalam      Mengamati dan menceriterakan keberagaman karateristik individu di rumah dan sekolah  </v>
          </cell>
          <cell r="AS6">
            <v>83</v>
          </cell>
          <cell r="AT6" t="str">
            <v>B</v>
          </cell>
          <cell r="AU6" t="str">
            <v xml:space="preserve">Mampu     membuat teks diagram/label  tentang anggota keluarga dan kerabat secara mandiri dalam bahasa Indonesia lisan dan tulis yang dapat diisi dengan kosa kat bahasa daerah untuk membantu penyajian perlu pembinaan dalam      menyampaikan teks cerita diri/personal tentang keluarga secara mandiri dalam bahasa Indonesia lisan dan tulis  yang dapat diisi dengan kosakata bahasa daerah untuk membantu penyajian  </v>
          </cell>
          <cell r="AV6">
            <v>82</v>
          </cell>
          <cell r="AW6" t="str">
            <v>B</v>
          </cell>
          <cell r="AX6" t="str">
            <v xml:space="preserve">Mampu    membentuk berbagai bangun datar dengan menggunakan papan berpaku atau media lainnya perlu pembinaan dalam    mendeskripsikan, mengembangkan, dan membuat pola yang berulang  </v>
          </cell>
          <cell r="AY6">
            <v>82</v>
          </cell>
          <cell r="AZ6" t="str">
            <v>B</v>
          </cell>
          <cell r="BA6" t="str">
            <v xml:space="preserve">Mampu      memainkan pola irama lagu bertanda birama dua dengan tepuk dan gerakperlu pembinaan dalam       menyanyikan lagu anak-anak dan memperagakan tepuk birama dengan gerak </v>
          </cell>
          <cell r="BB6">
            <v>82</v>
          </cell>
          <cell r="BC6" t="str">
            <v>B</v>
          </cell>
          <cell r="BD6" t="str">
            <v xml:space="preserve">Mampu      mempraktikkan penggunaan pola gerak dasar lokomotor dan non-lokomotor sesuai dengan irama (ketukan) tanpa/dengan musik dalam aktivitas gerak rimtik.perlu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6">
            <v>77.666666666666671</v>
          </cell>
          <cell r="BF6" t="str">
            <v>B</v>
          </cell>
          <cell r="BG6"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6">
            <v>71.5</v>
          </cell>
          <cell r="BI6" t="str">
            <v>C</v>
          </cell>
          <cell r="BJ6" t="str">
            <v xml:space="preserve">Mampu Menulis kalimat order, request dan prohibition dengan baik sesuai dengan rumus      perlu pembinaan dalam    Membuat percakapan tentang aktifitas berbelanja dan mempraktikkan di depan kelas berpasang-pasangan    </v>
          </cell>
          <cell r="BK6">
            <v>71.5</v>
          </cell>
          <cell r="BL6" t="str">
            <v>C</v>
          </cell>
          <cell r="BM6" t="str">
            <v xml:space="preserve">Mampu Memahami wacana tertulis dalam bentuk paparan atau bacaan tentang kegiatan sehari-hari disertai waktu     perlu pembinaan dalam    Menuliskan kata atau ungkapan pendek  sederhana tentang kegiatan sehari-hari disertai waktu    </v>
          </cell>
          <cell r="BN6">
            <v>82</v>
          </cell>
          <cell r="BO6" t="str">
            <v>B</v>
          </cell>
          <cell r="BP6" t="str">
            <v xml:space="preserve">Mampu      kdperlu pembinaan dalam       kd </v>
          </cell>
          <cell r="BQ6">
            <v>71.5</v>
          </cell>
          <cell r="BR6" t="str">
            <v>C</v>
          </cell>
          <cell r="BS6" t="str">
            <v xml:space="preserve">Mampu Menunjukkan ikon untuk membuat gambar dan teks     perlu pembinaan dalam    Terampil mengoperasikan ikon-ikon text box, shapes, clip art, picture dan insert tabel    </v>
          </cell>
          <cell r="BT6" t="str">
            <v xml:space="preserve">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6" t="str">
            <v>Futsal</v>
          </cell>
          <cell r="BV6" t="str">
            <v>baik sekali</v>
          </cell>
          <cell r="BW6">
            <v>0</v>
          </cell>
          <cell r="BX6">
            <v>0</v>
          </cell>
          <cell r="BY6">
            <v>0</v>
          </cell>
          <cell r="BZ6">
            <v>0</v>
          </cell>
          <cell r="CA6" t="str">
            <v>1 hari</v>
          </cell>
          <cell r="CB6" t="str">
            <v xml:space="preserve">Alhamdulillah, ananda selama satu semester ini sudah banyak peningkatan dalam prestasi belajarnya, mohon ditingkatkan lagi prestasinya. Jangan lupa sholat lima waktu dan selalu berdo'a. </v>
          </cell>
          <cell r="CC6" t="str">
            <v>137 cm</v>
          </cell>
          <cell r="CD6" t="str">
            <v>27 kg</v>
          </cell>
          <cell r="CE6" t="str">
            <v>Serumen (+)</v>
          </cell>
          <cell r="CF6" t="str">
            <v>Baik, normal</v>
          </cell>
          <cell r="CG6" t="str">
            <v>Bagus</v>
          </cell>
          <cell r="CH6" t="str">
            <v>Futsal</v>
          </cell>
          <cell r="CI6" t="str">
            <v>Juara 1 (class meeting semester 1)</v>
          </cell>
          <cell r="CJ6">
            <v>0</v>
          </cell>
          <cell r="CK6">
            <v>0</v>
          </cell>
        </row>
        <row r="7">
          <cell r="B7">
            <v>4826</v>
          </cell>
          <cell r="C7" t="str">
            <v>Akhmad Ramadhani</v>
          </cell>
          <cell r="D7" t="str">
            <v xml:space="preserve">Menunjukkan sikap     toleransi kepada teman yang melaksanakan ibadah, yang sangat menonjol. perlu pembinaan dalam  kebiasaan mengaji Alqur'an,   </v>
          </cell>
          <cell r="E7" t="str">
            <v xml:space="preserve">Menunjukkan sikap  disiplin serta taat pada aturan.     Perlu bimbingan dalam sikap   santun kepada guru, orang yang lebih tua.   </v>
          </cell>
          <cell r="F7">
            <v>82.666666666666671</v>
          </cell>
          <cell r="G7" t="str">
            <v>B</v>
          </cell>
          <cell r="H7" t="str">
            <v xml:space="preserve">Mampu      Mengetahui kisah keteladanan sahabat-sahabat Nabi Muhammad saw.perlu pembinaan dalam   Mengetahui makna Q.S. Al-Kaafiruun dengan benar,      </v>
          </cell>
          <cell r="I7">
            <v>79.75</v>
          </cell>
          <cell r="J7" t="str">
            <v>B</v>
          </cell>
          <cell r="K7" t="str">
            <v xml:space="preserve">Mampu mengenal simbol-simbol sila Pancasila dalam lambang negara “Garuda Pancasila”     perlu pembinaan dalam      mengenal arti bersatu dalam keberagaman di rumah dan sekolah  </v>
          </cell>
          <cell r="L7">
            <v>77.400000000000006</v>
          </cell>
          <cell r="M7" t="str">
            <v>B</v>
          </cell>
          <cell r="N7" t="str">
            <v xml:space="preserve">Mampu   mengenal teks petunjuk/arahan tentang perawatan tubuh serta pemeliharaan kesehatan dan kebugaran tubuh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pemahamanMengenal teks diagram/label tentang anggota keluarga dan kerabat dengan bantuan guru atau teman dalam bahasa Indonesia lisan dan tulis yang dapat diisi dengan kosakata bahasa daerah untuk membantu pemahaman </v>
          </cell>
          <cell r="O7">
            <v>82.833333333333329</v>
          </cell>
          <cell r="P7" t="str">
            <v>B</v>
          </cell>
          <cell r="Q7" t="str">
            <v xml:space="preserve">Mampu mengenal lambang bilangan dan mendeskripsikan kemunculan bilangan dengan bahasa yang sederhana   menunjukkan pemahaman tentang besaran dengan menghitung maju sampai 100 dan mundur dari 20  perlu pembinaan dalam       mengenal bangun datar dan bangun ruang menggunakan benda-benda yang ada di sekitar rumah, sekolah, atau tempat bermain. </v>
          </cell>
          <cell r="R7">
            <v>81.333333333333329</v>
          </cell>
          <cell r="S7" t="str">
            <v>B</v>
          </cell>
          <cell r="T7" t="str">
            <v xml:space="preserve">Mampu   mengenal unsur-unsur gerak, bagian-bagian gerak anggota tubuh dan level gerak dalam menari  menggambar ekspresi dengan mengolah garis, warna dan bentuk berdasarkan hasil pengamatan di lingkungan sekitarperlu pembinaan dalam    mengenal cara dan hasil karya seni ekspresi     </v>
          </cell>
          <cell r="U7">
            <v>77</v>
          </cell>
          <cell r="V7" t="str">
            <v>B</v>
          </cell>
          <cell r="W7" t="str">
            <v xml:space="preserve">Mampu    mengetahui konsep bergerak secara seimbang dan cepat dalam rangka pengembangan kebugaran jasmani melalui permainan sederhana dan atau tradisional.  perlu pembinaan dalam   mengetahui konsep gerak dasar lokomotor sesuai dengan dimensi anggota tubuh yang digunakan, arah, ruang  gerak, hubungan, dan usaha, dalam berbagai bentuk permainan sederhana dan atau tradisional.mengetahui konsep gerak dasar non-lokomotor sesuai dengan dimensi  anggota tubuh yang digunakan, arah, ruang  gerak, hubungan, dan usaha, dalam berbagai bentuk permainan sederhana dan atau permainan tradisional.    </v>
          </cell>
          <cell r="X7">
            <v>81.666666666666671</v>
          </cell>
          <cell r="Y7" t="str">
            <v>B</v>
          </cell>
          <cell r="Z7"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7">
            <v>83</v>
          </cell>
          <cell r="AB7" t="str">
            <v>B</v>
          </cell>
          <cell r="AC7" t="str">
            <v xml:space="preserve">Mampu  Mengenal, memahami dan mengidentifikasi macam-macam weather and season based on the country    perlu pembinaan dalam     Mengenal, memahami dan mengidentifikasi macam-macam compass at the map and traffic sign   </v>
          </cell>
          <cell r="AD7">
            <v>83</v>
          </cell>
          <cell r="AE7" t="str">
            <v>B</v>
          </cell>
          <cell r="AF7"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7">
            <v>81.666666666666671</v>
          </cell>
          <cell r="AH7" t="str">
            <v>B</v>
          </cell>
          <cell r="AI7" t="str">
            <v xml:space="preserve">Mampu  Memahami amaliah NU    perlu pembinaan dalam     memahami kepribadian NU   </v>
          </cell>
          <cell r="AJ7">
            <v>83.5</v>
          </cell>
          <cell r="AK7" t="str">
            <v>B</v>
          </cell>
          <cell r="AL7" t="str">
            <v xml:space="preserve">Mampu Mengenal software pengolah kata dengan ikon-ikon pendukung     perlu pembinaan dalam    Mengenal fungsi ikon-ikon pendukung pengolah kata (word processing)    </v>
          </cell>
          <cell r="AM7">
            <v>76.333333333333329</v>
          </cell>
          <cell r="AN7" t="str">
            <v>B</v>
          </cell>
          <cell r="AO7" t="str">
            <v>Mampu   Menyebutkan arti Q.S. al-Kaafiruun dengan jelas dan benar   perlu pembinaan dalam        Menceritakan kisah keteladanan sahabat-sahabat Nabi Muhammad saw.</v>
          </cell>
          <cell r="AP7">
            <v>79.75</v>
          </cell>
          <cell r="AQ7" t="str">
            <v>B</v>
          </cell>
          <cell r="AR7" t="str">
            <v xml:space="preserve">Mampu Mengamati dan menceritakan perilaku di sekitar rumah dan sekolah dan mengaitkannya dengan pengenalannya terhadap salah satu simbol sila Pancasila     perlu pembinaan dalam      Mengamati dan menceriterakan kebersamaan dalam keberagaman di rumah dan sekolah   </v>
          </cell>
          <cell r="AS7">
            <v>79.400000000000006</v>
          </cell>
          <cell r="AT7" t="str">
            <v>B</v>
          </cell>
          <cell r="AU7" t="str">
            <v xml:space="preserve">Mampu   menyampaikan teks terima kasih mengenai sikap kasih sayang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7">
            <v>77</v>
          </cell>
          <cell r="AW7" t="str">
            <v>B</v>
          </cell>
          <cell r="AX7" t="str">
            <v xml:space="preserve">Mampu  mengemukakan kembali dengan kalimat sendiri dan memecahkan masalah yang berkaitan dengan penjumlahan dan pengurangan terkait dengan aktivitas sehari-hari serta memeriksa kebenarannya   perlu pembinaan dalam 0     </v>
          </cell>
          <cell r="AY7">
            <v>77</v>
          </cell>
          <cell r="AZ7" t="str">
            <v>B</v>
          </cell>
          <cell r="BA7" t="str">
            <v xml:space="preserve">Mampu    Membentuk karya seni ekspresi dari bahan lunak  perlu pembinaan dalam   menggambar ekspresi dengan mengolah garis, warna dan bentuk berdasarkan hasil pengamatan di lingkungan sekitarmembuat karya seni ekspresi dengan memanfaatkan berbagai teknik cetak sederhana menggunakan bahan alam    </v>
          </cell>
          <cell r="BB7">
            <v>77</v>
          </cell>
          <cell r="BC7" t="str">
            <v>B</v>
          </cell>
          <cell r="BD7" t="str">
            <v xml:space="preserve">Mampu    mempraktikkan aktivitas pengembangan kebugaran jasmani untuk melatih keseimbangan dan kecepatan tubuh melalui permainan sederhanadan dan atau tradisional.  perlu pembinaan dalam   mempraktikkan pola gerak dasar lokomotor sesuai dengan dimensi anggota tubuh yang digunakan, arah, ruang gerak, hubungan dan usaha, dalam berbagai bentuk permainan sederhana dan atau tradisional. mempraktikkan pola gerak dasar manipulatif sesuai dengan dimensi anggota tubuh yang digunakan, arah, ruang gerak, hubungan, dan usaha, dalam berbagai bentuk permainan sederhana dan atau permainan tradisional.   </v>
          </cell>
          <cell r="BE7">
            <v>81.666666666666671</v>
          </cell>
          <cell r="BF7" t="str">
            <v>B</v>
          </cell>
          <cell r="BG7" t="str">
            <v xml:space="preserve">Mampu  menceritakan isi tembang macapat.     perlu pembinaan dalam     menanggapi teks lisan maupun tulis yang memuat ungkapan tradisional Jawa/ Madura (paribasan, bebasan, saloka)   </v>
          </cell>
          <cell r="BH7">
            <v>83.5</v>
          </cell>
          <cell r="BI7" t="str">
            <v>B</v>
          </cell>
          <cell r="BJ7" t="str">
            <v xml:space="preserve">Mampu Menulis kalimat order, request dan prohibition dengan baik sesuai dengan rumus      perlu pembinaan dalam    Membuat percakapan tentang aktifitas berbelanja dan mempraktikkan di depan kelas berpasang-pasangan    </v>
          </cell>
          <cell r="BK7">
            <v>83.5</v>
          </cell>
          <cell r="BL7" t="str">
            <v>B</v>
          </cell>
          <cell r="BM7" t="str">
            <v xml:space="preserve">Mampu Memahami wacana tertulis dalam bentuk paparan atau bacaan tentang kegiatan sehari-hari disertai waktu     perlu pembinaan dalam    Menuliskan kata atau ungkapan pendek  sederhana tentang kegiatan sehari-hari disertai waktu    </v>
          </cell>
          <cell r="BN7">
            <v>77</v>
          </cell>
          <cell r="BO7" t="str">
            <v>B</v>
          </cell>
          <cell r="BP7" t="str">
            <v xml:space="preserve">Mampu    kd  perlu pembinaan dalam   kdkd    </v>
          </cell>
          <cell r="BQ7">
            <v>83.5</v>
          </cell>
          <cell r="BR7" t="str">
            <v>B</v>
          </cell>
          <cell r="BS7" t="str">
            <v xml:space="preserve">Mampu Menunjukkan ikon untuk membuat gambar dan teks     perlu pembinaan dalam    Terampil mengoperasikan ikon-ikon text box, shapes, clip art, picture dan insert tabel    </v>
          </cell>
          <cell r="BT7" t="str">
            <v xml:space="preserve"> 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7" t="str">
            <v>Futsal</v>
          </cell>
          <cell r="BV7" t="str">
            <v>baik sekali</v>
          </cell>
          <cell r="BW7">
            <v>0</v>
          </cell>
          <cell r="BX7">
            <v>0</v>
          </cell>
          <cell r="BY7" t="str">
            <v>7 hari</v>
          </cell>
          <cell r="BZ7">
            <v>0</v>
          </cell>
          <cell r="CA7" t="str">
            <v>7 hari</v>
          </cell>
          <cell r="CB7" t="str">
            <v xml:space="preserve">Ananda selama satu semester masih kurang dalam konsentrasi belajarnya, kurangi bicara ketika pembelajaran. Tingkatkan terus prestasi ananda. Jangan lupa sholat lima waktu dan selalu berdo'a. </v>
          </cell>
          <cell r="CC7" t="str">
            <v>137 cm</v>
          </cell>
          <cell r="CD7" t="str">
            <v>31 kg</v>
          </cell>
          <cell r="CE7" t="str">
            <v>Serumen (+)</v>
          </cell>
          <cell r="CF7" t="str">
            <v>Baik, normal</v>
          </cell>
          <cell r="CG7" t="str">
            <v xml:space="preserve">geraham bawah kanan dan kiri karies. </v>
          </cell>
          <cell r="CH7">
            <v>0</v>
          </cell>
          <cell r="CI7">
            <v>0</v>
          </cell>
          <cell r="CJ7">
            <v>0</v>
          </cell>
          <cell r="CK7">
            <v>0</v>
          </cell>
        </row>
        <row r="8">
          <cell r="B8">
            <v>4834</v>
          </cell>
          <cell r="C8" t="str">
            <v>Asshifa Adhisti Avrina</v>
          </cell>
          <cell r="D8" t="str">
            <v xml:space="preserve">Menunjukkan sikap     yang sangat menonjol. perlu pembinaan dalam ketaatan berdo'a pada awal dan akhir ketika melakukan suatu kegiatan,    </v>
          </cell>
          <cell r="E8" t="str">
            <v xml:space="preserve">Menunjukkan sikap   suka bekerjasama, membantu teman yang kesulitan,    Perlu bimbingan dalam sikapberani dan percaya diri ketika mengunkapkan pendapat.      </v>
          </cell>
          <cell r="F8">
            <v>80</v>
          </cell>
          <cell r="G8" t="str">
            <v>B</v>
          </cell>
          <cell r="H8" t="str">
            <v xml:space="preserve">Mampu Mengetahui makna Q.S. Al-Kaafiruun dengan benar,      perlu pembinaan dalam       Mengetahui kisah Nabi Muhammad saw. </v>
          </cell>
          <cell r="I8">
            <v>72.25</v>
          </cell>
          <cell r="J8" t="str">
            <v>C</v>
          </cell>
          <cell r="K8" t="str">
            <v xml:space="preserve">Mampu mengenal simbol-simbol sila Pancasila dalam lambang negara “Garuda Pancasila”     perlu pembinaan dalam     mengenal keberagaman karateristik individu di rumah dan di sekolah   </v>
          </cell>
          <cell r="L8">
            <v>77.2</v>
          </cell>
          <cell r="M8" t="str">
            <v>B</v>
          </cell>
          <cell r="N8" t="str">
            <v xml:space="preserve">Mampu   mengenal teks terima kasih tentang sikap kasih sayang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8">
            <v>71.833333333333329</v>
          </cell>
          <cell r="P8" t="str">
            <v>C</v>
          </cell>
          <cell r="Q8" t="str">
            <v>Mampu mengenal lambang bilangan dan mendeskripsikan kemunculan bilangan dengan bahasa yang sederhana   menunjukkan pemahaman tentang besaran dengan menghitung maju sampai 100 dan mundur dari 20  perlu pembinaan dalam     mengenal dan memprediksi pola-pola bilangan sederhana menggunakan gambar-gambar/benda konkrit  menemukan bangun yang membentuk pola pengubinan sederhana</v>
          </cell>
          <cell r="R8">
            <v>79.166666666666671</v>
          </cell>
          <cell r="S8" t="str">
            <v>B</v>
          </cell>
          <cell r="T8" t="str">
            <v xml:space="preserve">Mampu   mengenal unsur-unsur gerak, bagian-bagian gerak anggota tubuh dan level gerak dalam menari   perlu pembinaan dalam       mengenal karya seni budaya benda dan bahasa daerah setempat </v>
          </cell>
          <cell r="U8">
            <v>79.333333333333329</v>
          </cell>
          <cell r="V8" t="str">
            <v>B</v>
          </cell>
          <cell r="W8" t="str">
            <v xml:space="preserve">Mampu mengetahui konsep gerak dasar lokomotor sesuai dengan dimensi anggota tubuh yang digunakan, arah, ruang  gerak, hubungan, dan usaha, dalam berbagai bentuk permainan sederhana dan atau tradisional.     perlu pembinaan dalam        mengetahui konsep penggunaan pola gerak dasar lokomotor dan non-lokomotor sesuai dengan irama (ketukan) tanpa/ dengan musik dalam aktivitas gerak rimtik. </v>
          </cell>
          <cell r="X8">
            <v>85.666666666666671</v>
          </cell>
          <cell r="Y8" t="str">
            <v>B</v>
          </cell>
          <cell r="Z8"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8">
            <v>80.5</v>
          </cell>
          <cell r="AB8" t="str">
            <v>B</v>
          </cell>
          <cell r="AC8"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8">
            <v>80.5</v>
          </cell>
          <cell r="AE8" t="str">
            <v>B</v>
          </cell>
          <cell r="AF8"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8">
            <v>85.666666666666671</v>
          </cell>
          <cell r="AH8" t="str">
            <v>B</v>
          </cell>
          <cell r="AI8" t="str">
            <v xml:space="preserve">Mampu  Memahami amaliah NU    perlu pembinaan dalam     memahami kepribadian NU   </v>
          </cell>
          <cell r="AJ8">
            <v>84</v>
          </cell>
          <cell r="AK8" t="str">
            <v>B</v>
          </cell>
          <cell r="AL8" t="str">
            <v xml:space="preserve">Mampu Mengenal software pengolah kata dengan ikon-ikon pendukung     perlu pembinaan dalam    Mengenal fungsi ikon-ikon pendukung pengolah kata (word processing)    </v>
          </cell>
          <cell r="AM8">
            <v>85.5</v>
          </cell>
          <cell r="AN8" t="str">
            <v>B</v>
          </cell>
          <cell r="AO8" t="str">
            <v xml:space="preserve">Mampu Membaca Q.S. al-Kaafiruun dengan jelas dan benar     perlu pembinaan dalam       Menceritakan kisah keteladanan Nabi Muhammad saw. </v>
          </cell>
          <cell r="AP8">
            <v>76.5</v>
          </cell>
          <cell r="AQ8" t="str">
            <v>B</v>
          </cell>
          <cell r="AR8" t="str">
            <v xml:space="preserve">Mampu Mengamati dan menceritakan perilaku di sekitar rumah dan sekolah dan mengaitkannya dengan pengenalannya terhadap salah satu simbol sila Pancasila     perlu pembinaan dalam      Mengamati dan menceriterakan keberagaman karateristik individu di rumah dan sekolah  </v>
          </cell>
          <cell r="AS8">
            <v>84</v>
          </cell>
          <cell r="AT8" t="str">
            <v>B</v>
          </cell>
          <cell r="AU8"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8">
            <v>82.666666666666671</v>
          </cell>
          <cell r="AW8" t="str">
            <v>B</v>
          </cell>
          <cell r="AX8" t="str">
            <v xml:space="preserve">Mampu0     perlu pembinaan dalam     membentuk berbagai bangun datar dengan menggunakan papan berpaku atau media lainnya </v>
          </cell>
          <cell r="AY8">
            <v>82.666666666666671</v>
          </cell>
          <cell r="AZ8" t="str">
            <v>B</v>
          </cell>
          <cell r="BA8" t="str">
            <v>Mampu menggambar ekspresi dengan mengolah garis, warna dan bentuk berdasarkan hasil pengamatan di lingkungan sekitar     perlu pembinaan dalam        memainkan pola irama lagu bertanda birama dua dengan tepuk dan gerak</v>
          </cell>
          <cell r="BB8">
            <v>82.666666666666671</v>
          </cell>
          <cell r="BC8" t="str">
            <v>B</v>
          </cell>
          <cell r="BD8" t="str">
            <v>Mampu mempraktikkan pola gerak dasar lokomotor sesuai dengan dimensi anggota tubuh yang digunakan, arah, ruang gerak, hubungan dan usaha, dalam berbagai bentuk permainan sederhana dan atau tradisional.     perlu pembinaan dalam        mempraktikkan penggunaan pola gerak dasar lokomotor dan non-lokomotor sesuai dengan irama (ketukan) tanpa/dengan musik dalam aktivitas gerak rimtik.</v>
          </cell>
          <cell r="BE8">
            <v>85.666666666666671</v>
          </cell>
          <cell r="BF8" t="str">
            <v>B</v>
          </cell>
          <cell r="BG8" t="str">
            <v xml:space="preserve">Mampu  menceritakan isi tembang macapat.     perlu pembinaan dalam     menanggapi teks lisan maupun tulis yang memuat ungkapan tradisional Jawa/ Madura (paribasan, bebasan, saloka)   </v>
          </cell>
          <cell r="BH8">
            <v>84</v>
          </cell>
          <cell r="BI8" t="str">
            <v>B</v>
          </cell>
          <cell r="BJ8" t="str">
            <v xml:space="preserve">Mampu Menulis kalimat order, request dan prohibition dengan baik sesuai dengan rumus      perlu pembinaan dalam    Membuat percakapan tentang aktifitas berbelanja dan mempraktikkan di depan kelas berpasang-pasangan    </v>
          </cell>
          <cell r="BK8">
            <v>84</v>
          </cell>
          <cell r="BL8" t="str">
            <v>B</v>
          </cell>
          <cell r="BM8" t="str">
            <v xml:space="preserve">Mampu Memahami wacana tertulis dalam bentuk paparan atau bacaan tentang kegiatan sehari-hari disertai waktu     perlu pembinaan dalam    Menuliskan kata atau ungkapan pendek  sederhana tentang kegiatan sehari-hari disertai waktu    </v>
          </cell>
          <cell r="BN8">
            <v>82.666666666666671</v>
          </cell>
          <cell r="BO8" t="str">
            <v>B</v>
          </cell>
          <cell r="BP8" t="str">
            <v>Mampu kd     perlu pembinaan dalam        kd</v>
          </cell>
          <cell r="BQ8">
            <v>84</v>
          </cell>
          <cell r="BR8" t="str">
            <v>B</v>
          </cell>
          <cell r="BS8" t="str">
            <v xml:space="preserve">Mampu Menunjukkan ikon untuk membuat gambar dan teks     perlu pembinaan dalam    Terampil mengoperasikan ikon-ikon text box, shapes, clip art, picture dan insert tabel    </v>
          </cell>
          <cell r="BT8" t="str">
            <v xml:space="preserve">Mampu  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8" t="str">
            <v>Drumband</v>
          </cell>
          <cell r="BV8" t="str">
            <v>baik sekali</v>
          </cell>
          <cell r="BW8">
            <v>0</v>
          </cell>
          <cell r="BX8">
            <v>0</v>
          </cell>
          <cell r="BY8" t="str">
            <v>2 hari</v>
          </cell>
          <cell r="BZ8" t="str">
            <v>1 hari</v>
          </cell>
          <cell r="CA8">
            <v>0</v>
          </cell>
          <cell r="CB8" t="str">
            <v xml:space="preserve">Ananda selama satu semester masih kurang dalam konsentrasi belajarnya, ulangi terus pelajaran yang sudah ananda peroleh di sekolah ketika di rumah. Tingkatkan terus prestasi abelajar nanda. Jangan lupa sholat lima waktu dan selalu berdo'a. </v>
          </cell>
          <cell r="CC8" t="str">
            <v>134 cm</v>
          </cell>
          <cell r="CD8" t="str">
            <v>25 kg</v>
          </cell>
          <cell r="CE8" t="str">
            <v>Baik, normal</v>
          </cell>
          <cell r="CF8" t="str">
            <v>Baik, normal</v>
          </cell>
          <cell r="CG8" t="str">
            <v>geraham atas kanan karies.</v>
          </cell>
          <cell r="CH8">
            <v>0</v>
          </cell>
          <cell r="CI8">
            <v>0</v>
          </cell>
          <cell r="CJ8">
            <v>0</v>
          </cell>
          <cell r="CK8">
            <v>0</v>
          </cell>
        </row>
        <row r="9">
          <cell r="B9">
            <v>4839</v>
          </cell>
          <cell r="C9" t="str">
            <v>Daniswara Zaidan Abhinaya</v>
          </cell>
          <cell r="D9" t="str">
            <v xml:space="preserve">Menunjukkan sikap     yang sangat menonjol. perlu pembinaan dalam     </v>
          </cell>
          <cell r="E9" t="str">
            <v xml:space="preserve">Menunjukkan sikap     teliti dalam menyelesaikan tugas atau pekerjaan.   Perlu bimbingan dalam sikapberani dan percaya diri ketika mengunkapkan pendapat.      </v>
          </cell>
          <cell r="F9">
            <v>82.333333333333329</v>
          </cell>
          <cell r="G9" t="str">
            <v>B</v>
          </cell>
          <cell r="H9" t="str">
            <v>Mampu  Mengerti makna Asma'ul Husna : as-Samad, al- Muqtadir, al-Muqaddim, al-Baqi    perlu pembinaan dalam     Memahami hikmah beriman kepada Hari Akhir yang dapat membentuk perilaku akhlak mulia</v>
          </cell>
          <cell r="I9">
            <v>80.75</v>
          </cell>
          <cell r="J9" t="str">
            <v>B</v>
          </cell>
          <cell r="K9" t="str">
            <v xml:space="preserve">Mampu  mengenal tata tertib dan aturan yang berlaku dalam kehidupan sehari-hari di rumah dan sekolah    perlu pembinaan dalam   mengenal simbol-simbol sila Pancasila dalam lambang negara “Garuda Pancasila”     </v>
          </cell>
          <cell r="L9">
            <v>83.2</v>
          </cell>
          <cell r="M9" t="str">
            <v>B</v>
          </cell>
          <cell r="N9"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9">
            <v>79.833333333333329</v>
          </cell>
          <cell r="P9" t="str">
            <v>B</v>
          </cell>
          <cell r="Q9" t="str">
            <v xml:space="preserve">Mampu  mengenal bilangan asli sampai 99 dengan menggunakan benda-benda yang ada di sekitar rumah, sekolah, atau tempat bermain    perlu pembinaan dalam   mengenal lambang bilangan dan mendeskripsikan kemunculan bilangan dengan bahasa yang sederhana   menunjukkan pemahaman tentang besaran dengan menghitung maju sampai 100 dan mundur dari 20  </v>
          </cell>
          <cell r="R9">
            <v>78</v>
          </cell>
          <cell r="S9" t="str">
            <v>B</v>
          </cell>
          <cell r="T9" t="str">
            <v xml:space="preserve">Mampu    mengamati berbagai bahan, alat serta fungsinya dalam membuat prakarya  perlu pembinaan dalam    mengenal  pola irama lagu bervariasi menggunakan alat musik ritmis    </v>
          </cell>
          <cell r="U9">
            <v>82</v>
          </cell>
          <cell r="V9" t="str">
            <v>B</v>
          </cell>
          <cell r="W9" t="str">
            <v xml:space="preserve">Mampu   mengetahui konsep gerak dasar manipulatif sesuai dengan dimensi anggota tubuh yang  digunakan, arah, ruang  gerak, hubungan, dan usaha, dalam berbagai bentuk permainan sederhana dan atau permainan tradisional.   perlu pembinaan dalam      mengetahui konsep bergerak secara seimbang dan cepat dalam rangka pengembangan kebugaran jasmani melalui permainan sederhana dan atau tradisional.  </v>
          </cell>
          <cell r="X9">
            <v>78</v>
          </cell>
          <cell r="Y9" t="str">
            <v>B</v>
          </cell>
          <cell r="Z9"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9">
            <v>77.5</v>
          </cell>
          <cell r="AB9" t="str">
            <v>B</v>
          </cell>
          <cell r="AC9" t="str">
            <v xml:space="preserve">Mampu   Mengenal, memahami dan mengidentifikasi macam-macam compass at the map and traffic sign   perlu pembinaan dalam   Mengenal, memahami dan mengidentifikasi macam-macam kalimat (order, request, and prohibition)     </v>
          </cell>
          <cell r="AD9">
            <v>77.5</v>
          </cell>
          <cell r="AE9" t="str">
            <v>B</v>
          </cell>
          <cell r="AF9" t="str">
            <v xml:space="preserve">Mampu   Memahami wacana dalam bentuk paparan tentang perkenalan diri(2) dengan menggunakan pola kalimat yang meliputi dhamir (kata ganti) ana, anta, anti, huwa, hiya + isim mufrad mu’annats/mudzakkar    perlu pembinaan dalam   Memahami wacana dalam bentuk paparan tentang perkenalan diri (1) dengan menggunakan pola kalimat yang meliputi isim isyarah (kata tunjuk) orang atau benda yang dekat (haadza, haadzihi) + alam + isim mufrad     </v>
          </cell>
          <cell r="AG9">
            <v>78</v>
          </cell>
          <cell r="AH9" t="str">
            <v>B</v>
          </cell>
          <cell r="AI9" t="str">
            <v xml:space="preserve">Mampu   memahami kepribadian NU   perlu pembinaan dalam   Mengenal sejarah munculnya Ahlus Sunnah wal Jama'ah     </v>
          </cell>
          <cell r="AJ9">
            <v>84.5</v>
          </cell>
          <cell r="AK9" t="str">
            <v>B</v>
          </cell>
          <cell r="AL9" t="str">
            <v xml:space="preserve">Mampu  Mengenal fungsi ikon-ikon pendukung pengolah kata (word processing)    perlu pembinaan dalam   Mengenal software pengolah kata dengan ikon-ikon pendukung     </v>
          </cell>
          <cell r="AM9">
            <v>79.166666666666671</v>
          </cell>
          <cell r="AN9" t="str">
            <v>B</v>
          </cell>
          <cell r="AO9" t="str">
            <v xml:space="preserve">Mampu    Mencontohkan perilaku toleran dan simpati sebagai implementasi dari pemahaman Q.S. al-Kaafiruun  perlu pembinaan dalam    Menulis Q.S. al-Kaafiruun dengan jelas dan benar    </v>
          </cell>
          <cell r="AP9">
            <v>81.75</v>
          </cell>
          <cell r="AQ9" t="str">
            <v>B</v>
          </cell>
          <cell r="AR9" t="str">
            <v xml:space="preserve">Mampu    Melaksanakan tata tertib di rumah dan sekolah    perlu pembinaan dalam   Mengamati dan menceritakan perilaku di sekitar rumah dan sekolah dan mengaitkannya dengan pengenalannya terhadap salah satu simbol sila Pancasila  Mengamati dan menceriterakan kebersamaan dalam keberagaman di rumah dan sekolah   </v>
          </cell>
          <cell r="AS9">
            <v>77.599999999999994</v>
          </cell>
          <cell r="AT9" t="str">
            <v>B</v>
          </cell>
          <cell r="AU9" t="str">
            <v xml:space="preserve">Mampu    menyampaikan teks cerita diri/personal tentang keluarga secara mandiri dalam bahasa Indonesia lisan dan tulis  yang dapat diisi dengan kosakata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9">
            <v>77.666666666666671</v>
          </cell>
          <cell r="AW9" t="str">
            <v>B</v>
          </cell>
          <cell r="AX9" t="str">
            <v xml:space="preserve">Mampu   mendeskripsikan, mengembangkan, dan membuat pola yang berulang  perlu pembinaan dalam  menggunakan benda konkrit untuk menelusuri pecahan dan jumlah uang     </v>
          </cell>
          <cell r="AY9">
            <v>77.666666666666671</v>
          </cell>
          <cell r="AZ9" t="str">
            <v>B</v>
          </cell>
          <cell r="BA9" t="str">
            <v xml:space="preserve">Mampu     menyanyikan lagu anak-anak dan memperagakan tepuk birama dengan gerak perlu pembinaan dalam     menggambar dengan memanfaatkan beragam media kering   </v>
          </cell>
          <cell r="BB9">
            <v>77.666666666666671</v>
          </cell>
          <cell r="BC9" t="str">
            <v>B</v>
          </cell>
          <cell r="BD9" t="str">
            <v xml:space="preserve">Mampu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perlu pembinaan dalam    mempraktikkan pola gerak dasar non-lokomotor sesuai dengan dimensi anggota tubuh yang digunakan, arah, ruang gerak, hubungan, dan usaha,dalam berbagai bentuk permainan sederhana dan atau tradisional.    </v>
          </cell>
          <cell r="BE9">
            <v>78</v>
          </cell>
          <cell r="BF9" t="str">
            <v>B</v>
          </cell>
          <cell r="BG9"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9">
            <v>84.5</v>
          </cell>
          <cell r="BI9" t="str">
            <v>B</v>
          </cell>
          <cell r="BJ9" t="str">
            <v xml:space="preserve">Mampu  Membuat percakapan tentang aktifitas berbelanja dan mempraktikkan di depan kelas berpasang-pasangan    perlu pembinaan dalam   Menulis kalimat order, request dan prohibition dengan baik sesuai dengan rumus      </v>
          </cell>
          <cell r="BK9">
            <v>84.5</v>
          </cell>
          <cell r="BL9" t="str">
            <v>B</v>
          </cell>
          <cell r="BM9" t="str">
            <v xml:space="preserve">Mampu  Menuliskan kata atau ungkapan pendek  sederhana tentang kegiatan sehari-hari disertai waktu    perlu pembinaan dalam   Memahami wacana tertulis dalam bentuk paparan atau bacaan tentang kegiatan sehari-hari disertai waktu     </v>
          </cell>
          <cell r="BN9">
            <v>77.666666666666671</v>
          </cell>
          <cell r="BO9" t="str">
            <v>B</v>
          </cell>
          <cell r="BP9" t="str">
            <v xml:space="preserve">Mampu     kd perlu pembinaan dalam     kd   </v>
          </cell>
          <cell r="BQ9">
            <v>84.5</v>
          </cell>
          <cell r="BR9" t="str">
            <v>B</v>
          </cell>
          <cell r="BS9" t="str">
            <v xml:space="preserve">Mampu  Terampil mengoperasikan ikon-ikon text box, shapes, clip art, picture dan insert tabel    perlu pembinaan dalam   Menunjukkan ikon untuk membuat gambar dan teks     </v>
          </cell>
          <cell r="BT9" t="str">
            <v xml:space="preserve"> 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9" t="str">
            <v>Drumband</v>
          </cell>
          <cell r="BV9" t="str">
            <v>baik sekali</v>
          </cell>
          <cell r="BW9">
            <v>0</v>
          </cell>
          <cell r="BX9">
            <v>0</v>
          </cell>
          <cell r="BY9" t="str">
            <v>1 hari</v>
          </cell>
          <cell r="BZ9">
            <v>0</v>
          </cell>
          <cell r="CA9" t="str">
            <v>2 hari</v>
          </cell>
          <cell r="CB9" t="str">
            <v xml:space="preserve">Alhamdulillah, ananda selama satu semester ini sudah banyak peningkatan dalam prestasi belajarnya, mohon ditingkatkan lagi prestasinya. Jangan lupa sholat lima waktu dan selalu berdo'a. </v>
          </cell>
          <cell r="CC9" t="str">
            <v>126 cm</v>
          </cell>
          <cell r="CD9" t="str">
            <v>29 kg</v>
          </cell>
          <cell r="CE9" t="str">
            <v>Baik, normal</v>
          </cell>
          <cell r="CF9" t="str">
            <v>Baik, normal</v>
          </cell>
          <cell r="CG9" t="str">
            <v>Gigi atas perlu diratakan, dan geraham bawah kanan karies</v>
          </cell>
          <cell r="CH9">
            <v>0</v>
          </cell>
          <cell r="CI9">
            <v>0</v>
          </cell>
          <cell r="CJ9">
            <v>0</v>
          </cell>
          <cell r="CK9">
            <v>0</v>
          </cell>
        </row>
        <row r="10">
          <cell r="B10">
            <v>4840</v>
          </cell>
          <cell r="C10" t="str">
            <v>Devina Joelian Salsadillah</v>
          </cell>
          <cell r="D10" t="str">
            <v xml:space="preserve">Menunjukkan sikap     yang sangat menonjol. perlu pembinaan dalam     </v>
          </cell>
          <cell r="E10" t="str">
            <v xml:space="preserve">Menunjukkan sikap    santun kepada guru, orang yang lebih tua.   Perlu bimbingan dalam sikapberani dan percaya diri ketika mengunkapkan pendapat.      </v>
          </cell>
          <cell r="F10">
            <v>78</v>
          </cell>
          <cell r="G10" t="str">
            <v>B</v>
          </cell>
          <cell r="H10" t="str">
            <v xml:space="preserve">Mampu    Memahami hikmah berzakat sebagai implementasi rukun Islam  perlu pembinaan dalam   Mengetahui makna Q.S. Al-Kaafiruun dengan benar,      </v>
          </cell>
          <cell r="I10">
            <v>84</v>
          </cell>
          <cell r="J10" t="str">
            <v>B</v>
          </cell>
          <cell r="K10" t="str">
            <v xml:space="preserve">Mampu  mengenal tata tertib dan aturan yang berlaku dalam kehidupan sehari-hari di rumah dan sekolah mengenal arti bersatu dalam keberagaman di rumah dan sekolah  perlu pembinaan dalam     mengenal keberagaman karateristik individu di rumah dan di sekolah   </v>
          </cell>
          <cell r="L10">
            <v>85</v>
          </cell>
          <cell r="M10" t="str">
            <v>B</v>
          </cell>
          <cell r="N10" t="str">
            <v xml:space="preserve">Mampu   mengenal teks petunjuk/arahan tentang perawatan tubuh serta pemeliharaan kesehatan dan kebugaran tubuh dengan bantuan guru atau teman dalam bahasa Indonesia lisan dan tulis yang dapat diisi dengan kosakata bahasa daerah untuk membantu pemahaman  Mengenal teks diagram/label tentang anggota keluarga dan kerabat dengan bantuan guru atau teman dalam bahasa Indonesia lisan dan tulis yang dapat diisi dengan kosakata bahasa daerah untuk membantu pemahaman perlu pembinaan dalam     mengenal teks terima kasih tentang sikap kasih sayang dengan bantuan guru atau teman dalam bahasa Indonesia lisan dan tulis yang dapat diisi dengan kosakata bahasa daerah untuk membantu pemahaman   </v>
          </cell>
          <cell r="O10">
            <v>81.666666666666671</v>
          </cell>
          <cell r="P10" t="str">
            <v>B</v>
          </cell>
          <cell r="Q10" t="str">
            <v>Mampu  mengenal bilangan asli sampai 99 dengan menggunakan benda-benda yang ada di sekitar rumah, sekolah, atau tempat bermain  mengenal bangun datar dan bangun ruang menggunakan benda-benda yang ada di sekitar rumah, sekolah, atau tempat bermain. perlu pembinaan dalam     mengenal dan memprediksi pola-pola bilangan sederhana menggunakan gambar-gambar/benda konkrit  menemukan bangun yang membentuk pola pengubinan sederhana</v>
          </cell>
          <cell r="R10">
            <v>85.333333333333329</v>
          </cell>
          <cell r="S10" t="str">
            <v>B</v>
          </cell>
          <cell r="T10" t="str">
            <v xml:space="preserve">Mampu  mengenal  pola irama lagu bervariasi menggunakan alat musik ritmis    perlu pembinaan dalam       mengenal karya seni budaya benda dan bahasa daerah setempat </v>
          </cell>
          <cell r="U10">
            <v>79.833333333333329</v>
          </cell>
          <cell r="V10" t="str">
            <v>B</v>
          </cell>
          <cell r="W10" t="str">
            <v xml:space="preserve">Mampu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perlu pembinaan dalam   mengetahui konsep gerak dasar lokomotor sesuai dengan dimensi anggota tubuh yang digunakan, arah, ruang  gerak, hubungan, dan usaha, dalam berbagai bentuk permainan sederhana dan atau tradisional.     </v>
          </cell>
          <cell r="X10">
            <v>89</v>
          </cell>
          <cell r="Y10" t="str">
            <v>B</v>
          </cell>
          <cell r="Z10"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10">
            <v>84.5</v>
          </cell>
          <cell r="AB10" t="str">
            <v>B</v>
          </cell>
          <cell r="AC10" t="str">
            <v xml:space="preserve">Mampu Mengenal, memahami dan mengidentifikasi macam-macam kalimat (order, request, and prohibition)     perlu pembinaan dalam      Mengenal, memahami dan mengidentifikasi shopping activity (how to ask price, show the price, bargain, accept and refuse to bargain, etc)  </v>
          </cell>
          <cell r="AD10">
            <v>84.5</v>
          </cell>
          <cell r="AE10" t="str">
            <v>B</v>
          </cell>
          <cell r="AF10"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profesi dengan menggunakan pola kalimat isim isyarah/ dhamir + profesi  </v>
          </cell>
          <cell r="AG10">
            <v>89</v>
          </cell>
          <cell r="AH10" t="str">
            <v>B</v>
          </cell>
          <cell r="AI10" t="str">
            <v xml:space="preserve">Mampu Mengenal sejarah munculnya Ahlus Sunnah wal Jama'ah     perlu pembinaan dalam     memahami kepribadian NU   </v>
          </cell>
          <cell r="AJ10">
            <v>84.5</v>
          </cell>
          <cell r="AK10" t="str">
            <v>B</v>
          </cell>
          <cell r="AL10" t="str">
            <v xml:space="preserve">Mampu Mengenal software pengolah kata dengan ikon-ikon pendukung     perlu pembinaan dalam    Mengenal fungsi ikon-ikon pendukung pengolah kata (word processing)    </v>
          </cell>
          <cell r="AM10">
            <v>77.666666666666671</v>
          </cell>
          <cell r="AN10" t="str">
            <v>B</v>
          </cell>
          <cell r="AO10" t="str">
            <v>Mampu  Menulis Q.S. al-Kaafiruun dengan jelas dan benar    perlu pembinaan dalam        Menceritakan kisah keteladanan sahabat-sahabat Nabi Muhammad saw.</v>
          </cell>
          <cell r="AP10">
            <v>84</v>
          </cell>
          <cell r="AQ10" t="str">
            <v>B</v>
          </cell>
          <cell r="AR10" t="str">
            <v xml:space="preserve">Mampu    Mengamati dan menceriterakan kebersamaan dalam keberagaman di rumah dan sekolah   perlu pembinaan dalam      Mengamati dan menceriterakan keberagaman karateristik individu di rumah dan sekolah  </v>
          </cell>
          <cell r="AS10">
            <v>80.8</v>
          </cell>
          <cell r="AT10" t="str">
            <v>B</v>
          </cell>
          <cell r="AU10" t="str">
            <v xml:space="preserve">Mampu   mempraktikkan teks arahan/petunjuk tentang merawat tubuh serta kesehatan dan kebugaran tubuh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10">
            <v>82.5</v>
          </cell>
          <cell r="AW10" t="str">
            <v>B</v>
          </cell>
          <cell r="AX10" t="str">
            <v xml:space="preserve">Mampu menggunakan benda konkrit untuk menelusuri pecahan dan jumlah uang     perlu pembinaan dalam 0     </v>
          </cell>
          <cell r="AY10">
            <v>82.5</v>
          </cell>
          <cell r="AZ10" t="str">
            <v>B</v>
          </cell>
          <cell r="BA10" t="str">
            <v xml:space="preserve">Mampu   menggambar dengan memanfaatkan beragam media kering   perlu pembinaan dalam   menggambar ekspresi dengan mengolah garis, warna dan bentuk berdasarkan hasil pengamatan di lingkungan sekitar     </v>
          </cell>
          <cell r="BB10">
            <v>82.5</v>
          </cell>
          <cell r="BC10" t="str">
            <v>B</v>
          </cell>
          <cell r="BD10" t="str">
            <v xml:space="preserve">Mampu  mempraktikkan pola gerak dasar non-lokomotor sesuai dengan dimensi anggota tubuh yang digunakan, arah, ruang gerak, hubungan, dan usaha,dalam berbagai bentuk permainan sederhana dan atau tradisional.    perlu pembinaan dalam   mempraktikkan pola gerak dasar lokomotor sesuai dengan dimensi anggota tubuh yang digunakan, arah, ruang gerak, hubungan dan usaha, dalam berbagai bentuk permainan sederhana dan atau tradisional.     </v>
          </cell>
          <cell r="BE10">
            <v>89</v>
          </cell>
          <cell r="BF10" t="str">
            <v>B</v>
          </cell>
          <cell r="BG10"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10">
            <v>84.5</v>
          </cell>
          <cell r="BI10" t="str">
            <v>B</v>
          </cell>
          <cell r="BJ10" t="str">
            <v xml:space="preserve">Mampu Menulis kalimat order, request dan prohibition dengan baik sesuai dengan rumus      perlu pembinaan dalam    Membuat percakapan tentang aktifitas berbelanja dan mempraktikkan di depan kelas berpasang-pasangan    </v>
          </cell>
          <cell r="BK10">
            <v>84.5</v>
          </cell>
          <cell r="BL10" t="str">
            <v>B</v>
          </cell>
          <cell r="BM10" t="str">
            <v xml:space="preserve">Mampu Memahami wacana tertulis dalam bentuk paparan atau bacaan tentang kegiatan sehari-hari disertai waktu     perlu pembinaan dalam    Menuliskan kata atau ungkapan pendek  sederhana tentang kegiatan sehari-hari disertai waktu    </v>
          </cell>
          <cell r="BN10">
            <v>82.5</v>
          </cell>
          <cell r="BO10" t="str">
            <v>B</v>
          </cell>
          <cell r="BP10" t="str">
            <v xml:space="preserve">Mampu   kd   perlu pembinaan dalam   kd     </v>
          </cell>
          <cell r="BQ10">
            <v>84.5</v>
          </cell>
          <cell r="BR10" t="str">
            <v>B</v>
          </cell>
          <cell r="BS10" t="str">
            <v xml:space="preserve">Mampu Menunjukkan ikon untuk membuat gambar dan teks     perlu pembinaan dalam    Terampil mengoperasikan ikon-ikon text box, shapes, clip art, picture dan insert tabel    </v>
          </cell>
          <cell r="BT10" t="str">
            <v xml:space="preserve">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10" t="str">
            <v>Drumband</v>
          </cell>
          <cell r="BV10" t="str">
            <v>baik sekali</v>
          </cell>
          <cell r="BW10">
            <v>0</v>
          </cell>
          <cell r="BX10">
            <v>0</v>
          </cell>
          <cell r="BY10">
            <v>0</v>
          </cell>
          <cell r="BZ10">
            <v>0</v>
          </cell>
          <cell r="CA10">
            <v>0</v>
          </cell>
          <cell r="CB10" t="str">
            <v xml:space="preserve">Alhamdulillah, ananda selama satu semester ini sudah banyak peningkatan dalam prestasi belajarnya, mohon ditingkatkan lagi prestasinya. Jangan lupa sholat lima waktu dan selalu berdo'a. </v>
          </cell>
          <cell r="CC10" t="str">
            <v>143 cm</v>
          </cell>
          <cell r="CD10" t="str">
            <v>43 kg</v>
          </cell>
          <cell r="CE10" t="str">
            <v>Baik, normal</v>
          </cell>
          <cell r="CF10" t="str">
            <v>Baik, normal</v>
          </cell>
          <cell r="CG10" t="str">
            <v xml:space="preserve">Geraham kanan bawah persistensi. </v>
          </cell>
          <cell r="CH10">
            <v>0</v>
          </cell>
          <cell r="CI10">
            <v>0</v>
          </cell>
          <cell r="CJ10">
            <v>0</v>
          </cell>
          <cell r="CK10">
            <v>0</v>
          </cell>
        </row>
        <row r="11">
          <cell r="B11">
            <v>4842</v>
          </cell>
          <cell r="C11" t="str">
            <v>Dinata Karima Zahra</v>
          </cell>
          <cell r="D11" t="str">
            <v xml:space="preserve">Menunjukkan sikap     yang sangat menonjol. perlu pembinaan dalam     </v>
          </cell>
          <cell r="E11" t="str">
            <v xml:space="preserve">Menunjukkan sikap   suka bekerjasama, membantu teman yang kesulitan,    Perlu bimbingan dalam sikapberani dan percaya diri ketika mengunkapkan pendapat.      </v>
          </cell>
          <cell r="F11">
            <v>78</v>
          </cell>
          <cell r="G11" t="str">
            <v>B</v>
          </cell>
          <cell r="H11" t="str">
            <v xml:space="preserve">Mampu  Mengerti makna Asma'ul Husna : as-Samad, al- Muqtadir, al-Muqaddim, al-Baqi    perlu pembinaan dalam      Memahami hikmah berzakat sebagai implementasi rukun Islam  </v>
          </cell>
          <cell r="I11">
            <v>74.75</v>
          </cell>
          <cell r="J11" t="str">
            <v>C</v>
          </cell>
          <cell r="K11" t="str">
            <v xml:space="preserve">Mampu    mengenal arti bersatu dalam keberagaman di rumah dan sekolah  perlu pembinaan dalam    mengenal tata tertib dan aturan yang berlaku dalam kehidupan sehari-hari di rumah dan sekolah    </v>
          </cell>
          <cell r="L11">
            <v>78.400000000000006</v>
          </cell>
          <cell r="M11" t="str">
            <v>B</v>
          </cell>
          <cell r="N11" t="str">
            <v xml:space="preserve">Mampu    Mengenal teks cerita diri/personal tentang keberadaan keluarga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11">
            <v>75.5</v>
          </cell>
          <cell r="P11" t="str">
            <v>C</v>
          </cell>
          <cell r="Q11" t="str">
            <v xml:space="preserve">Mampu     mengenal bangun datar dan bangun ruang menggunakan benda-benda yang ada di sekitar rumah, sekolah, atau tempat bermain. perlu pembinaan dalam    mengenal bilangan asli sampai 99 dengan menggunakan benda-benda yang ada di sekitar rumah, sekolah, atau tempat bermain    </v>
          </cell>
          <cell r="R11">
            <v>79.833333333333329</v>
          </cell>
          <cell r="S11" t="str">
            <v>B</v>
          </cell>
          <cell r="T11" t="str">
            <v>Mampu   mengenal unsur-unsur gerak, bagian-bagian gerak anggota tubuh dan level gerak dalam menari   perlu pembinaan dalam      mengamati berbagai bahan, alat serta fungsinya dalam membuat prakarya menggambar ekspresi dengan mengolah garis, warna dan bentuk berdasarkan hasil pengamatan di lingkungan sekitar</v>
          </cell>
          <cell r="U11">
            <v>78</v>
          </cell>
          <cell r="V11" t="str">
            <v>B</v>
          </cell>
          <cell r="W11" t="str">
            <v xml:space="preserve">Mampu   mengetahui konsep gerak dasar manipulatif sesuai dengan dimensi anggota tubuh yang  digunakan, arah, ruang  gerak, hubungan, dan usaha, dalam berbagai bentuk permainan sederhana dan atau permainan tradisional.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11">
            <v>81.666666666666671</v>
          </cell>
          <cell r="Y11" t="str">
            <v>B</v>
          </cell>
          <cell r="Z11"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11">
            <v>83.5</v>
          </cell>
          <cell r="AB11" t="str">
            <v>B</v>
          </cell>
          <cell r="AC11" t="str">
            <v xml:space="preserve">Mampu  Mengenal, memahami dan mengidentifikasi macam-macam weather and season based on the country    perlu pembinaan dalam     Mengenal, memahami dan mengidentifikasi macam-macam compass at the map and traffic sign   </v>
          </cell>
          <cell r="AD11">
            <v>83.5</v>
          </cell>
          <cell r="AE11" t="str">
            <v>B</v>
          </cell>
          <cell r="AF11"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11">
            <v>81.666666666666671</v>
          </cell>
          <cell r="AH11" t="str">
            <v>B</v>
          </cell>
          <cell r="AI11" t="str">
            <v xml:space="preserve">Mampu  Memahami amaliah NU    perlu pembinaan dalam     memahami kepribadian NU   </v>
          </cell>
          <cell r="AJ11">
            <v>83.5</v>
          </cell>
          <cell r="AK11" t="str">
            <v>B</v>
          </cell>
          <cell r="AL11" t="str">
            <v xml:space="preserve">Mampu Mengenal software pengolah kata dengan ikon-ikon pendukung     perlu pembinaan dalam    Mengenal fungsi ikon-ikon pendukung pengolah kata (word processing)    </v>
          </cell>
          <cell r="AM11">
            <v>82</v>
          </cell>
          <cell r="AN11" t="str">
            <v>B</v>
          </cell>
          <cell r="AO11" t="str">
            <v xml:space="preserve">Mampu   Menyebutkan arti Q.S. al-Kaafiruun dengan jelas dan benar   perlu pembinaan dalam      Mencontohkan perilaku toleran dan simpati sebagai implementasi dari pemahaman Q.S. al-Kaafiruun  </v>
          </cell>
          <cell r="AP11">
            <v>81.25</v>
          </cell>
          <cell r="AQ11" t="str">
            <v>B</v>
          </cell>
          <cell r="AR11" t="str">
            <v xml:space="preserve">Mampu Mengamati dan menceritakan perilaku di sekitar rumah dan sekolah dan mengaitkannya dengan pengenalannya terhadap salah satu simbol sila Pancasila     perlu pembinaan dalam      Melaksanakan tata tertib di rumah dan sekolah    </v>
          </cell>
          <cell r="AS11">
            <v>82.4</v>
          </cell>
          <cell r="AT11" t="str">
            <v>B</v>
          </cell>
          <cell r="AU11" t="str">
            <v xml:space="preserve">Mampu   menyampaikan teks terima kasih mengenai sikap kasih sayang secara mandiri dalam bahasa Indonesia lisan dan tulis yang dapat diisi dengan kosakata bahasa daerah untuk membantu penyajian   perlu pembinaan dalam      menyampaikan teks cerita diri/personal tentang keluarga secara mandiri dalam bahasa Indonesia lisan dan tulis  yang dapat diisi dengan kosakata bahasa daerah untuk membantu penyajian  </v>
          </cell>
          <cell r="AV11">
            <v>82</v>
          </cell>
          <cell r="AW11" t="str">
            <v>B</v>
          </cell>
          <cell r="AX11" t="str">
            <v xml:space="preserve">Mampu  mengemukakan kembali dengan kalimat sendiri dan memecahkan masalah yang berkaitan dengan penjumlahan dan pengurangan terkait dengan aktivitas sehari-hari serta memeriksa kebenarannya   perlu pembinaan dalam    mendeskripsikan, mengembangkan, dan membuat pola yang berulang  </v>
          </cell>
          <cell r="AY11">
            <v>82</v>
          </cell>
          <cell r="AZ11" t="str">
            <v>B</v>
          </cell>
          <cell r="BA11" t="str">
            <v xml:space="preserve">Mampu    Membentuk karya seni ekspresi dari bahan lunak  perlu pembinaan dalam       menyanyikan lagu anak-anak dan memperagakan tepuk birama dengan gerak </v>
          </cell>
          <cell r="BB11">
            <v>82</v>
          </cell>
          <cell r="BC11" t="str">
            <v>B</v>
          </cell>
          <cell r="BD11" t="str">
            <v xml:space="preserve">Mampu    mempraktikkan aktivitas pengembangan kebugaran jasmani untuk melatih keseimbangan dan kecepatan tubuh melalui permainan sederhanadan dan atau tradisional.  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11">
            <v>81.666666666666671</v>
          </cell>
          <cell r="BF11" t="str">
            <v>B</v>
          </cell>
          <cell r="BG11" t="str">
            <v xml:space="preserve">Mampu  menceritakan isi tembang macapat.     perlu pembinaan dalam     menanggapi teks lisan maupun tulis yang memuat ungkapan tradisional Jawa/ Madura (paribasan, bebasan, saloka)   </v>
          </cell>
          <cell r="BH11">
            <v>83.5</v>
          </cell>
          <cell r="BI11" t="str">
            <v>B</v>
          </cell>
          <cell r="BJ11" t="str">
            <v xml:space="preserve">Mampu Menulis kalimat order, request dan prohibition dengan baik sesuai dengan rumus      perlu pembinaan dalam    Membuat percakapan tentang aktifitas berbelanja dan mempraktikkan di depan kelas berpasang-pasangan    </v>
          </cell>
          <cell r="BK11">
            <v>83.5</v>
          </cell>
          <cell r="BL11" t="str">
            <v>B</v>
          </cell>
          <cell r="BM11" t="str">
            <v xml:space="preserve">Mampu Memahami wacana tertulis dalam bentuk paparan atau bacaan tentang kegiatan sehari-hari disertai waktu     perlu pembinaan dalam    Menuliskan kata atau ungkapan pendek  sederhana tentang kegiatan sehari-hari disertai waktu    </v>
          </cell>
          <cell r="BN11">
            <v>82</v>
          </cell>
          <cell r="BO11" t="str">
            <v>B</v>
          </cell>
          <cell r="BP11" t="str">
            <v xml:space="preserve">Mampu    kd  perlu pembinaan dalam       kd </v>
          </cell>
          <cell r="BQ11">
            <v>83.5</v>
          </cell>
          <cell r="BR11" t="str">
            <v>B</v>
          </cell>
          <cell r="BS11" t="str">
            <v xml:space="preserve">Mampu Menunjukkan ikon untuk membuat gambar dan teks     perlu pembinaan dalam    Terampil mengoperasikan ikon-ikon text box, shapes, clip art, picture dan insert tabel    </v>
          </cell>
          <cell r="BT11" t="str">
            <v xml:space="preserve">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11" t="str">
            <v>Kaligrafi</v>
          </cell>
          <cell r="BV11" t="str">
            <v>Baik</v>
          </cell>
          <cell r="BW11">
            <v>0</v>
          </cell>
          <cell r="BX11">
            <v>0</v>
          </cell>
          <cell r="BY11" t="str">
            <v>1 hari</v>
          </cell>
          <cell r="BZ11">
            <v>0</v>
          </cell>
          <cell r="CA11">
            <v>0</v>
          </cell>
          <cell r="CB11" t="str">
            <v xml:space="preserve">Alhamdulillah, ananda selama satu semester ini sudah banyak peningkatan dalam prestasi belajarnya, mohon ditingkatkan lagi prestasinya. Jangan lupa sholat lima waktu dan selalu berdo'a. </v>
          </cell>
          <cell r="CC11" t="str">
            <v>131 cm</v>
          </cell>
          <cell r="CD11" t="str">
            <v>27 kg</v>
          </cell>
          <cell r="CE11" t="str">
            <v>Baik, normal</v>
          </cell>
          <cell r="CF11" t="str">
            <v>Baik, normal</v>
          </cell>
          <cell r="CG11" t="str">
            <v xml:space="preserve">Taring atas kiri persistensi. </v>
          </cell>
          <cell r="CH11">
            <v>0</v>
          </cell>
          <cell r="CI11">
            <v>0</v>
          </cell>
          <cell r="CJ11">
            <v>0</v>
          </cell>
          <cell r="CK11">
            <v>0</v>
          </cell>
        </row>
        <row r="12">
          <cell r="B12">
            <v>4843</v>
          </cell>
          <cell r="C12" t="str">
            <v>Dwi Lailatul Fitria</v>
          </cell>
          <cell r="D12" t="str">
            <v xml:space="preserve">Menunjukkan sikap     yang sangat menonjol. perlu pembinaan dalam     </v>
          </cell>
          <cell r="E12" t="str">
            <v xml:space="preserve">Menunjukkan sikap   suka bekerjasama, membantu teman yang kesulitan,    Perlu bimbingan dalam sikapberani dan percaya diri ketika mengunkapkan pendapat.      </v>
          </cell>
          <cell r="F12">
            <v>84.5</v>
          </cell>
          <cell r="G12" t="str">
            <v>B</v>
          </cell>
          <cell r="H12" t="str">
            <v>Mampu     Mengetahui kisah Nabi Muhammad saw. perlu pembinaan dalam     Memahami hikmah beriman kepada Hari Akhir yang dapat membentuk perilaku akhlak mulia</v>
          </cell>
          <cell r="I12">
            <v>83.5</v>
          </cell>
          <cell r="J12" t="str">
            <v>B</v>
          </cell>
          <cell r="K12" t="str">
            <v xml:space="preserve">Mampu   mengenal keberagaman karateristik individu di rumah dan di sekolah   perlu pembinaan dalam   mengenal simbol-simbol sila Pancasila dalam lambang negara “Garuda Pancasila”     </v>
          </cell>
          <cell r="L12">
            <v>77.2</v>
          </cell>
          <cell r="M12" t="str">
            <v>B</v>
          </cell>
          <cell r="N12" t="str">
            <v xml:space="preserve">Mampu   mengenal teks petunjuk/arahan tentang perawatan tubuh serta pemeliharaan kesehatan dan kebugaran tubuh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12">
            <v>84</v>
          </cell>
          <cell r="P12" t="str">
            <v>B</v>
          </cell>
          <cell r="Q12" t="str">
            <v xml:space="preserve">Mampu   mengenal dan memprediksi pola-pola bilangan sederhana menggunakan gambar-gambar/benda konkrit  menemukan bangun yang membentuk pola pengubinan sederhanaperlu pembinaan dalam   mengenal lambang bilangan dan mendeskripsikan kemunculan bilangan dengan bahasa yang sederhana   menunjukkan pemahaman tentang besaran dengan menghitung maju sampai 100 dan mundur dari 20  </v>
          </cell>
          <cell r="R12">
            <v>77.833333333333329</v>
          </cell>
          <cell r="S12" t="str">
            <v>B</v>
          </cell>
          <cell r="T12" t="str">
            <v xml:space="preserve">Mampu     mengenal karya seni budaya benda dan bahasa daerah setempat perlu pembinaan dalam    mengenal  pola irama lagu bervariasi menggunakan alat musik ritmis    </v>
          </cell>
          <cell r="U12">
            <v>83.833333333333329</v>
          </cell>
          <cell r="V12" t="str">
            <v>B</v>
          </cell>
          <cell r="W12" t="str">
            <v xml:space="preserve">Mampu      mengetahui konsep penggunaan pola gerak dasar lokomotor dan non-lokomotor sesuai dengan irama (ketukan) tanpa/ dengan musik dalam aktivitas gerak rimtik. perlu pembinaan dalam      mengetahui konsep bergerak secara seimbang dan cepat dalam rangka pengembangan kebugaran jasmani melalui permainan sederhana dan atau tradisional.  </v>
          </cell>
          <cell r="X12">
            <v>73.666666666666671</v>
          </cell>
          <cell r="Y12" t="str">
            <v>C</v>
          </cell>
          <cell r="Z12"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12">
            <v>78</v>
          </cell>
          <cell r="AB12" t="str">
            <v>B</v>
          </cell>
          <cell r="AC12" t="str">
            <v xml:space="preserve">Mampu    Mengenal, memahami dan mengidentifikasi shopping activity (how to ask price, show the price, bargain, accept and refuse to bargain, etc)  perlu pembinaan dalam   Mengenal, memahami dan mengidentifikasi macam-macam kalimat (order, request, and prohibition)     </v>
          </cell>
          <cell r="AD12">
            <v>78</v>
          </cell>
          <cell r="AE12" t="str">
            <v>B</v>
          </cell>
          <cell r="AF12" t="str">
            <v xml:space="preserve">Mampu    Memahami wacana dalam bentuk paparan tentang profesi dengan menggunakan pola kalimat isim isyarah/ dhamir + profesi  perlu pembinaan dalam   Memahami wacana dalam bentuk paparan tentang perkenalan diri (1) dengan menggunakan pola kalimat yang meliputi isim isyarah (kata tunjuk) orang atau benda yang dekat (haadza, haadzihi) + alam + isim mufrad     </v>
          </cell>
          <cell r="AG12">
            <v>73.666666666666671</v>
          </cell>
          <cell r="AH12" t="str">
            <v>C</v>
          </cell>
          <cell r="AI12" t="str">
            <v xml:space="preserve">Mampu   memahami kepribadian NU   perlu pembinaan dalam   Mengenal sejarah munculnya Ahlus Sunnah wal Jama'ah     </v>
          </cell>
          <cell r="AJ12">
            <v>77.5</v>
          </cell>
          <cell r="AK12" t="str">
            <v>B</v>
          </cell>
          <cell r="AL12" t="str">
            <v xml:space="preserve">Mampu  Mengenal fungsi ikon-ikon pendukung pengolah kata (word processing)    perlu pembinaan dalam   Mengenal software pengolah kata dengan ikon-ikon pendukung     </v>
          </cell>
          <cell r="AM12">
            <v>79.5</v>
          </cell>
          <cell r="AN12" t="str">
            <v>B</v>
          </cell>
          <cell r="AO12" t="str">
            <v xml:space="preserve">Mampu     Menceritakan kisah keteladanan Nabi Muhammad saw. perlu pembinaan dalam    Menulis Q.S. al-Kaafiruun dengan jelas dan benar    </v>
          </cell>
          <cell r="AP12">
            <v>82.5</v>
          </cell>
          <cell r="AQ12" t="str">
            <v>B</v>
          </cell>
          <cell r="AR12" t="str">
            <v xml:space="preserve">Mampu    Mengamati dan menceriterakan keberagaman karateristik individu di rumah dan sekolah  perlu pembinaan dalam      Mengamati dan menceriterakan kebersamaan dalam keberagaman di rumah dan sekolah   </v>
          </cell>
          <cell r="AS12">
            <v>80.2</v>
          </cell>
          <cell r="AT12" t="str">
            <v>B</v>
          </cell>
          <cell r="AU12" t="str">
            <v xml:space="preserve">Mampu     membuat teks diagram/label  tentang anggota keluarga dan kerabat secara mandiri dalam bahasa Indonesia lisan dan tulis yang dapat diisi dengan kosa kat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12">
            <v>79.5</v>
          </cell>
          <cell r="AW12" t="str">
            <v>B</v>
          </cell>
          <cell r="AX12" t="str">
            <v xml:space="preserve">Mampu    membentuk berbagai bangun datar dengan menggunakan papan berpaku atau media lainnya perlu pembinaan dalam  menggunakan benda konkrit untuk menelusuri pecahan dan jumlah uang     </v>
          </cell>
          <cell r="AY12">
            <v>79.5</v>
          </cell>
          <cell r="AZ12" t="str">
            <v>B</v>
          </cell>
          <cell r="BA12" t="str">
            <v xml:space="preserve">Mampu      memainkan pola irama lagu bertanda birama dua dengan tepuk dan gerakperlu pembinaan dalam     menggambar dengan memanfaatkan beragam media kering   </v>
          </cell>
          <cell r="BB12">
            <v>79.5</v>
          </cell>
          <cell r="BC12" t="str">
            <v>B</v>
          </cell>
          <cell r="BD12" t="str">
            <v xml:space="preserve">Mampu      mempraktikkan penggunaan pola gerak dasar lokomotor dan non-lokomotor sesuai dengan irama (ketukan) tanpa/dengan musik dalam aktivitas gerak rimtik.perlu pembinaan dalam    mempraktikkan pola gerak dasar non-lokomotor sesuai dengan dimensi anggota tubuh yang digunakan, arah, ruang gerak, hubungan, dan usaha,dalam berbagai bentuk permainan sederhana dan atau tradisional.    </v>
          </cell>
          <cell r="BE12">
            <v>73.666666666666671</v>
          </cell>
          <cell r="BF12" t="str">
            <v>C</v>
          </cell>
          <cell r="BG12"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12">
            <v>77.5</v>
          </cell>
          <cell r="BI12" t="str">
            <v>B</v>
          </cell>
          <cell r="BJ12" t="str">
            <v xml:space="preserve">Mampu  Membuat percakapan tentang aktifitas berbelanja dan mempraktikkan di depan kelas berpasang-pasangan    perlu pembinaan dalam   Menulis kalimat order, request dan prohibition dengan baik sesuai dengan rumus      </v>
          </cell>
          <cell r="BK12">
            <v>77.5</v>
          </cell>
          <cell r="BL12" t="str">
            <v>B</v>
          </cell>
          <cell r="BM12" t="str">
            <v xml:space="preserve">Mampu  Menuliskan kata atau ungkapan pendek  sederhana tentang kegiatan sehari-hari disertai waktu    perlu pembinaan dalam   Memahami wacana tertulis dalam bentuk paparan atau bacaan tentang kegiatan sehari-hari disertai waktu     </v>
          </cell>
          <cell r="BN12">
            <v>79.5</v>
          </cell>
          <cell r="BO12" t="str">
            <v>B</v>
          </cell>
          <cell r="BP12" t="str">
            <v xml:space="preserve">Mampu      kdperlu pembinaan dalam     kd   </v>
          </cell>
          <cell r="BQ12">
            <v>77.5</v>
          </cell>
          <cell r="BR12" t="str">
            <v>B</v>
          </cell>
          <cell r="BS12" t="str">
            <v xml:space="preserve">Mampu  Terampil mengoperasikan ikon-ikon text box, shapes, clip art, picture dan insert tabel    perlu pembinaan dalam   Menunjukkan ikon untuk membuat gambar dan teks     </v>
          </cell>
          <cell r="BT12" t="str">
            <v xml:space="preserve">Mampu  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12" t="str">
            <v>Drumband</v>
          </cell>
          <cell r="BV12" t="str">
            <v>baik sekali</v>
          </cell>
          <cell r="BW12">
            <v>0</v>
          </cell>
          <cell r="BX12">
            <v>0</v>
          </cell>
          <cell r="BY12" t="str">
            <v>2 hari</v>
          </cell>
          <cell r="BZ12" t="str">
            <v>1 hari</v>
          </cell>
          <cell r="CA12" t="str">
            <v>1 hari</v>
          </cell>
          <cell r="CB12" t="str">
            <v xml:space="preserve">Alhamdulillah, ananda selama satu semester ini sudah banyak peningkatan dalam prestasi belajarnya, mohon ditingkatkan lagi prestasinya. Jangan lupa sholat lima waktu dan selalu berdo'a. </v>
          </cell>
          <cell r="CC12" t="str">
            <v>134 cm</v>
          </cell>
          <cell r="CD12" t="str">
            <v>25 kg</v>
          </cell>
          <cell r="CE12" t="str">
            <v>Baik, normal</v>
          </cell>
          <cell r="CF12" t="str">
            <v>Baik, normal</v>
          </cell>
          <cell r="CG12" t="str">
            <v>Taring atas dan bawah karies. Geraham bawah karies</v>
          </cell>
          <cell r="CH12" t="str">
            <v xml:space="preserve">Lomba Hifdzul Qur'an Jus'amma </v>
          </cell>
          <cell r="CI12" t="str">
            <v>Juara III pada kegiatan Pondok Romadhon SD Islam Tompokersan 1435 H</v>
          </cell>
          <cell r="CJ12" t="str">
            <v>Lomba mengarang dengan tema Ibuku Tersayang</v>
          </cell>
          <cell r="CK12" t="str">
            <v>Juara harapan 2 pada peringatan Hari Ibu SD Islam Tompokersan, jenjang kelas 4</v>
          </cell>
        </row>
        <row r="13">
          <cell r="B13">
            <v>4847</v>
          </cell>
          <cell r="C13" t="str">
            <v>Fino Rizhata Alfaraby</v>
          </cell>
          <cell r="D13" t="str">
            <v xml:space="preserve">Menunjukkan sikap     yang sangat menonjol. perlu pembinaan dalam     </v>
          </cell>
          <cell r="E13" t="str">
            <v xml:space="preserve">Menunjukkan sikap   suka bekerjasama, membantu teman yang kesulitan,    Perlu bimbingan dalam sikapberani dan percaya diri ketika mengunkapkan pendapat.      </v>
          </cell>
          <cell r="F13">
            <v>80</v>
          </cell>
          <cell r="G13" t="str">
            <v>B</v>
          </cell>
          <cell r="H13" t="str">
            <v xml:space="preserve">Mampu Mengetahui makna Q.S. Al-Kaafiruun dengan benar,      perlu pembinaan dalam       Mengetahui kisah Nabi Muhammad saw. </v>
          </cell>
          <cell r="I13">
            <v>77.75</v>
          </cell>
          <cell r="J13" t="str">
            <v>B</v>
          </cell>
          <cell r="K13" t="str">
            <v xml:space="preserve">Mampu mengenal simbol-simbol sila Pancasila dalam lambang negara “Garuda Pancasila”     perlu pembinaan dalam     mengenal keberagaman karateristik individu di rumah dan di sekolah   </v>
          </cell>
          <cell r="L13">
            <v>81.2</v>
          </cell>
          <cell r="M13" t="str">
            <v>B</v>
          </cell>
          <cell r="N13"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terima kasih tentang sikap kasih sayang dengan bantuan guru atau teman dalam bahasa Indonesia lisan dan tulis yang dapat diisi dengan kosakata bahasa daerah untuk membantu pemahaman   </v>
          </cell>
          <cell r="O13">
            <v>77.666666666666671</v>
          </cell>
          <cell r="P13" t="str">
            <v>B</v>
          </cell>
          <cell r="Q13" t="str">
            <v>Mampu mengenal lambang bilangan dan mendeskripsikan kemunculan bilangan dengan bahasa yang sederhana   menunjukkan pemahaman tentang besaran dengan menghitung maju sampai 100 dan mundur dari 20  perlu pembinaan dalam     mengenal dan memprediksi pola-pola bilangan sederhana menggunakan gambar-gambar/benda konkrit  menemukan bangun yang membentuk pola pengubinan sederhana</v>
          </cell>
          <cell r="R13">
            <v>79.666666666666671</v>
          </cell>
          <cell r="S13" t="str">
            <v>B</v>
          </cell>
          <cell r="T13" t="str">
            <v xml:space="preserve">Mampu   mengenal unsur-unsur gerak, bagian-bagian gerak anggota tubuh dan level gerak dalam menari   perlu pembinaan dalam       mengenal karya seni budaya benda dan bahasa daerah setempat </v>
          </cell>
          <cell r="U13">
            <v>79.666666666666671</v>
          </cell>
          <cell r="V13" t="str">
            <v>B</v>
          </cell>
          <cell r="W13" t="str">
            <v xml:space="preserve">Mampu mengetahui konsep gerak dasar lokomotor sesuai dengan dimensi anggota tubuh yang digunakan, arah, ruang  gerak, hubungan, dan usaha, dalam berbagai bentuk permainan sederhana dan atau tradisional.     perlu pembinaan dalam        mengetahui konsep penggunaan pola gerak dasar lokomotor dan non-lokomotor sesuai dengan irama (ketukan) tanpa/ dengan musik dalam aktivitas gerak rimtik. </v>
          </cell>
          <cell r="X13">
            <v>81.666666666666671</v>
          </cell>
          <cell r="Y13" t="str">
            <v>B</v>
          </cell>
          <cell r="Z13"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13">
            <v>77.5</v>
          </cell>
          <cell r="AB13" t="str">
            <v>B</v>
          </cell>
          <cell r="AC13"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13">
            <v>77.5</v>
          </cell>
          <cell r="AE13" t="str">
            <v>B</v>
          </cell>
          <cell r="AF13"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13">
            <v>81.666666666666671</v>
          </cell>
          <cell r="AH13" t="str">
            <v>B</v>
          </cell>
          <cell r="AI13" t="str">
            <v xml:space="preserve">Mampu  Memahami amaliah NU    perlu pembinaan dalam     memahami kepribadian NU   </v>
          </cell>
          <cell r="AJ13">
            <v>83.5</v>
          </cell>
          <cell r="AK13" t="str">
            <v>B</v>
          </cell>
          <cell r="AL13" t="str">
            <v xml:space="preserve">Mampu Mengenal software pengolah kata dengan ikon-ikon pendukung     perlu pembinaan dalam    Mengenal fungsi ikon-ikon pendukung pengolah kata (word processing)    </v>
          </cell>
          <cell r="AM13">
            <v>79.833333333333329</v>
          </cell>
          <cell r="AN13" t="str">
            <v>B</v>
          </cell>
          <cell r="AO13" t="str">
            <v xml:space="preserve">Mampu Membaca Q.S. al-Kaafiruun dengan jelas dan benar Menyebutkan arti Q.S. al-Kaafiruun dengan jelas dan benar   perlu pembinaan dalam       Menceritakan kisah keteladanan Nabi Muhammad saw. </v>
          </cell>
          <cell r="AP13">
            <v>77.75</v>
          </cell>
          <cell r="AQ13" t="str">
            <v>B</v>
          </cell>
          <cell r="AR13" t="str">
            <v xml:space="preserve">Mampu Mengamati dan menceritakan perilaku di sekitar rumah dan sekolah dan mengaitkannya dengan pengenalannya terhadap salah satu simbol sila Pancasila     perlu pembinaan dalam      Mengamati dan menceriterakan keberagaman karateristik individu di rumah dan sekolah  </v>
          </cell>
          <cell r="AS13">
            <v>80.2</v>
          </cell>
          <cell r="AT13" t="str">
            <v>B</v>
          </cell>
          <cell r="AU13"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menyampaikan teks terima kasih mengenai sikap kasih sayang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13">
            <v>79.833333333333329</v>
          </cell>
          <cell r="AW13" t="str">
            <v>B</v>
          </cell>
          <cell r="AX13" t="str">
            <v xml:space="preserve">Mampu0 mengemukakan kembali dengan kalimat sendiri dan memecahkan masalah yang berkaitan dengan penjumlahan dan pengurangan terkait dengan aktivitas sehari-hari serta memeriksa kebenarannya   perlu pembinaan dalam     membentuk berbagai bangun datar dengan menggunakan papan berpaku atau media lainnya </v>
          </cell>
          <cell r="AY13">
            <v>79.833333333333329</v>
          </cell>
          <cell r="AZ13" t="str">
            <v>B</v>
          </cell>
          <cell r="BA13" t="str">
            <v>Mampu menggambar ekspresi dengan mengolah garis, warna dan bentuk berdasarkan hasil pengamatan di lingkungan sekitar  Membentuk karya seni ekspresi dari bahan lunak  perlu pembinaan dalam        memainkan pola irama lagu bertanda birama dua dengan tepuk dan gerak</v>
          </cell>
          <cell r="BB13">
            <v>79.833333333333329</v>
          </cell>
          <cell r="BC13" t="str">
            <v>B</v>
          </cell>
          <cell r="BD13" t="str">
            <v>Mampu mempraktikkan pola gerak dasar lokomotor sesuai dengan dimensi anggota tubuh yang digunakan, arah, ruang gerak, hubungan dan usaha, dalam berbagai bentuk permainan sederhana dan atau tradisional.  mempraktikkan aktivitas pengembangan kebugaran jasmani untuk melatih keseimbangan dan kecepatan tubuh melalui permainan sederhanadan dan atau tradisional.  perlu pembinaan dalam        mempraktikkan penggunaan pola gerak dasar lokomotor dan non-lokomotor sesuai dengan irama (ketukan) tanpa/dengan musik dalam aktivitas gerak rimtik.</v>
          </cell>
          <cell r="BE13">
            <v>81.666666666666671</v>
          </cell>
          <cell r="BF13" t="str">
            <v>B</v>
          </cell>
          <cell r="BG13" t="str">
            <v xml:space="preserve">Mampu  menceritakan isi tembang macapat.     perlu pembinaan dalam     menanggapi teks lisan maupun tulis yang memuat ungkapan tradisional Jawa/ Madura (paribasan, bebasan, saloka)   </v>
          </cell>
          <cell r="BH13">
            <v>83.5</v>
          </cell>
          <cell r="BI13" t="str">
            <v>B</v>
          </cell>
          <cell r="BJ13" t="str">
            <v xml:space="preserve">Mampu Menulis kalimat order, request dan prohibition dengan baik sesuai dengan rumus      perlu pembinaan dalam    Membuat percakapan tentang aktifitas berbelanja dan mempraktikkan di depan kelas berpasang-pasangan    </v>
          </cell>
          <cell r="BK13">
            <v>83.5</v>
          </cell>
          <cell r="BL13" t="str">
            <v>B</v>
          </cell>
          <cell r="BM13" t="str">
            <v xml:space="preserve">Mampu Memahami wacana tertulis dalam bentuk paparan atau bacaan tentang kegiatan sehari-hari disertai waktu     perlu pembinaan dalam    Menuliskan kata atau ungkapan pendek  sederhana tentang kegiatan sehari-hari disertai waktu    </v>
          </cell>
          <cell r="BN13">
            <v>79.833333333333329</v>
          </cell>
          <cell r="BO13" t="str">
            <v>B</v>
          </cell>
          <cell r="BP13" t="str">
            <v>Mampu kd  kd  perlu pembinaan dalam        kd</v>
          </cell>
          <cell r="BQ13">
            <v>83.5</v>
          </cell>
          <cell r="BR13" t="str">
            <v>B</v>
          </cell>
          <cell r="BS13" t="str">
            <v xml:space="preserve">Mampu Menunjukkan ikon untuk membuat gambar dan teks     perlu pembinaan dalam    Terampil mengoperasikan ikon-ikon text box, shapes, clip art, picture dan insert tabel    </v>
          </cell>
          <cell r="BT13" t="str">
            <v xml:space="preserve">Perlu pembinaan dalam  Mengetahui simpul mati, simpul hidup, simpul anyam, simpul pangkal dan simpul jangkarMengetahui tetang Semaphore, Morse, Sandi dan tekspram serta dapat menyebutkan tanda pengenal pada seragam pramuka dan melaksanakan penempuhan SKU golongan Siaga </v>
          </cell>
          <cell r="BU13" t="str">
            <v>Catur</v>
          </cell>
          <cell r="BV13" t="str">
            <v>Baik</v>
          </cell>
          <cell r="BW13">
            <v>0</v>
          </cell>
          <cell r="BX13">
            <v>0</v>
          </cell>
          <cell r="BY13">
            <v>0</v>
          </cell>
          <cell r="BZ13">
            <v>0</v>
          </cell>
          <cell r="CA13">
            <v>0</v>
          </cell>
          <cell r="CB13" t="str">
            <v xml:space="preserve">Ananda selama satu semester masih kurang dalam konsentrasi belajarnya, ulangi terus pelajaran yang sudah ananda peroleh di sekolah ketika di rumah. Tingkatkan terus prestasi abelajar nanda. Jangan lupa sholat lima waktu dan selalu berdo'a. </v>
          </cell>
          <cell r="CC13" t="str">
            <v>139 cm</v>
          </cell>
          <cell r="CD13" t="str">
            <v>32 kg</v>
          </cell>
          <cell r="CE13" t="str">
            <v>Baik, normal</v>
          </cell>
          <cell r="CF13" t="str">
            <v>Baik, normal</v>
          </cell>
          <cell r="CG13" t="str">
            <v>Geraham atas karies</v>
          </cell>
          <cell r="CH13">
            <v>0</v>
          </cell>
          <cell r="CI13">
            <v>0</v>
          </cell>
          <cell r="CJ13">
            <v>0</v>
          </cell>
          <cell r="CK13">
            <v>0</v>
          </cell>
        </row>
        <row r="14">
          <cell r="B14">
            <v>4848</v>
          </cell>
          <cell r="C14" t="str">
            <v>Gieva Afra Az - Zahra</v>
          </cell>
          <cell r="D14" t="str">
            <v xml:space="preserve">Menunjukkan sikap     yang sangat menonjol. perlu pembinaan dalam     </v>
          </cell>
          <cell r="E14" t="str">
            <v xml:space="preserve">Menunjukkan sikap   suka bekerjasama, membantu teman yang kesulitan,    Perlu bimbingan dalam sikapberani dan percaya diri ketika mengunkapkan pendapat.      </v>
          </cell>
          <cell r="F14">
            <v>79.833333333333329</v>
          </cell>
          <cell r="G14" t="str">
            <v>B</v>
          </cell>
          <cell r="H14" t="str">
            <v xml:space="preserve">Mampu   Memahami hikmah beriman kepada Hari Akhir yang dapat membentuk perilaku akhlak mulia   perlu pembinaan dalam      Memahami hikmah berzakat sebagai implementasi rukun Islam  </v>
          </cell>
          <cell r="I14">
            <v>80</v>
          </cell>
          <cell r="J14" t="str">
            <v>B</v>
          </cell>
          <cell r="K14" t="str">
            <v xml:space="preserve">Mampu mengenal simbol-simbol sila Pancasila dalam lambang negara “Garuda Pancasila”     perlu pembinaan dalam    mengenal tata tertib dan aturan yang berlaku dalam kehidupan sehari-hari di rumah dan sekolah mengenal arti bersatu dalam keberagaman di rumah dan sekolah  </v>
          </cell>
          <cell r="L14">
            <v>82</v>
          </cell>
          <cell r="M14" t="str">
            <v>B</v>
          </cell>
          <cell r="N14"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petunjuk/arahan tentang perawatan tubuh serta pemeliharaan kesehatan dan kebugaran tubuh dengan bantuan guru atau teman dalam bahasa Indonesia lisan dan tulis yang dapat diisi dengan kosakata bahasa daerah untuk membantu pemahaman  Mengenal teks diagram/label tentang anggota keluarga dan kerabat dengan bantuan guru atau teman dalam bahasa Indonesia lisan dan tulis yang dapat diisi dengan kosakata bahasa daerah untuk membantu pemahaman </v>
          </cell>
          <cell r="O14">
            <v>81.333333333333329</v>
          </cell>
          <cell r="P14" t="str">
            <v>B</v>
          </cell>
          <cell r="Q14" t="str">
            <v xml:space="preserve">Mampu mengenal lambang bilangan dan mendeskripsikan kemunculan bilangan dengan bahasa yang sederhana   menunjukkan pemahaman tentang besaran dengan menghitung maju sampai 100 dan mundur dari 20  perlu pembinaan dalam    mengenal bilangan asli sampai 99 dengan menggunakan benda-benda yang ada di sekitar rumah, sekolah, atau tempat bermain  mengenal bangun datar dan bangun ruang menggunakan benda-benda yang ada di sekitar rumah, sekolah, atau tempat bermain. </v>
          </cell>
          <cell r="R14">
            <v>80.666666666666671</v>
          </cell>
          <cell r="S14" t="str">
            <v>B</v>
          </cell>
          <cell r="T14" t="str">
            <v xml:space="preserve">Mampu      menggambar ekspresi dengan mengolah garis, warna dan bentuk berdasarkan hasil pengamatan di lingkungan sekitarperlu pembinaan dalam      mengamati berbagai bahan, alat serta fungsinya dalam membuat prakarya  </v>
          </cell>
          <cell r="U14">
            <v>79.166666666666671</v>
          </cell>
          <cell r="V14" t="str">
            <v>B</v>
          </cell>
          <cell r="W14" t="str">
            <v xml:space="preserve">Mampu    mengetahui konsep bergerak secara seimbang dan cepat dalam rangka pengembangan kebugaran jasmani melalui permainan sederhana dan atau tradisional.  perlu pembinaan dalam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14">
            <v>80</v>
          </cell>
          <cell r="Y14" t="str">
            <v>B</v>
          </cell>
          <cell r="Z14"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14">
            <v>82</v>
          </cell>
          <cell r="AB14" t="str">
            <v>B</v>
          </cell>
          <cell r="AC14" t="str">
            <v xml:space="preserve">Mampu Mengenal, memahami dan mengidentifikasi macam-macam kalimat (order, request, and prohibition)     perlu pembinaan dalam     Mengenal, memahami dan mengidentifikasi macam-macam compass at the map and traffic sign   </v>
          </cell>
          <cell r="AD14">
            <v>82</v>
          </cell>
          <cell r="AE14" t="str">
            <v>B</v>
          </cell>
          <cell r="AF14"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14">
            <v>80</v>
          </cell>
          <cell r="AH14" t="str">
            <v>B</v>
          </cell>
          <cell r="AI14" t="str">
            <v xml:space="preserve">Mampu Mengenal sejarah munculnya Ahlus Sunnah wal Jama'ah     perlu pembinaan dalam     memahami kepribadian NU   </v>
          </cell>
          <cell r="AJ14">
            <v>75.5</v>
          </cell>
          <cell r="AK14" t="str">
            <v>C</v>
          </cell>
          <cell r="AL14" t="str">
            <v xml:space="preserve">Mampu Mengenal software pengolah kata dengan ikon-ikon pendukung     perlu pembinaan dalam    Mengenal fungsi ikon-ikon pendukung pengolah kata (word processing)    </v>
          </cell>
          <cell r="AM14">
            <v>84</v>
          </cell>
          <cell r="AN14" t="str">
            <v>B</v>
          </cell>
          <cell r="AO14" t="str">
            <v xml:space="preserve">Mampu      Menceritakan kisah keteladanan sahabat-sahabat Nabi Muhammad saw.perlu pembinaan dalam      Mencontohkan perilaku toleran dan simpati sebagai implementasi dari pemahaman Q.S. al-Kaafiruun  </v>
          </cell>
          <cell r="AP14">
            <v>76</v>
          </cell>
          <cell r="AQ14" t="str">
            <v>B</v>
          </cell>
          <cell r="AR14" t="str">
            <v xml:space="preserve">Mampu Mengamati dan menceritakan perilaku di sekitar rumah dan sekolah dan mengaitkannya dengan pengenalannya terhadap salah satu simbol sila Pancasila     perlu pembinaan dalam      Melaksanakan tata tertib di rumah dan sekolah    </v>
          </cell>
          <cell r="AS14">
            <v>81</v>
          </cell>
          <cell r="AT14" t="str">
            <v>B</v>
          </cell>
          <cell r="AU14" t="str">
            <v xml:space="preserve">Mampu   mempraktikkan teks arahan/petunjuk tentang merawat tubuh serta kesehatan dan kebugaran tubuh secara mandiri dalam bahasa Indonesia lisan dan tulis yang dapat diisi dengan kosakata bahasa daerah untuk membantu penyajian    perlu pembinaan dalam      menyampaikan teks cerita diri/personal tentang keluarga secara mandiri dalam bahasa Indonesia lisan dan tulis  yang dapat diisi dengan kosakata bahasa daerah untuk membantu penyajian  </v>
          </cell>
          <cell r="AV14">
            <v>80.166666666666671</v>
          </cell>
          <cell r="AW14" t="str">
            <v>B</v>
          </cell>
          <cell r="AX14" t="str">
            <v xml:space="preserve">Mampu menggunakan benda konkrit untuk menelusuri pecahan dan jumlah uang     perlu pembinaan dalam    mendeskripsikan, mengembangkan, dan membuat pola yang berulang  </v>
          </cell>
          <cell r="AY14">
            <v>80.166666666666671</v>
          </cell>
          <cell r="AZ14" t="str">
            <v>B</v>
          </cell>
          <cell r="BA14" t="str">
            <v xml:space="preserve">Mampu   menggambar dengan memanfaatkan beragam media kering   perlu pembinaan dalam       menyanyikan lagu anak-anak dan memperagakan tepuk birama dengan gerak </v>
          </cell>
          <cell r="BB14">
            <v>80.166666666666671</v>
          </cell>
          <cell r="BC14" t="str">
            <v>B</v>
          </cell>
          <cell r="BD14" t="str">
            <v xml:space="preserve">Mampu  mempraktikkan pola gerak dasar non-lokomotor sesuai dengan dimensi anggota tubuh yang digunakan, arah, ruang gerak, hubungan, dan usaha,dalam berbagai bentuk permainan sederhana dan atau tradisional.    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14">
            <v>80</v>
          </cell>
          <cell r="BF14" t="str">
            <v>B</v>
          </cell>
          <cell r="BG14"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14">
            <v>75.5</v>
          </cell>
          <cell r="BI14" t="str">
            <v>C</v>
          </cell>
          <cell r="BJ14" t="str">
            <v xml:space="preserve">Mampu Menulis kalimat order, request dan prohibition dengan baik sesuai dengan rumus      perlu pembinaan dalam    Membuat percakapan tentang aktifitas berbelanja dan mempraktikkan di depan kelas berpasang-pasangan    </v>
          </cell>
          <cell r="BK14">
            <v>75.5</v>
          </cell>
          <cell r="BL14" t="str">
            <v>C</v>
          </cell>
          <cell r="BM14" t="str">
            <v xml:space="preserve">Mampu Memahami wacana tertulis dalam bentuk paparan atau bacaan tentang kegiatan sehari-hari disertai waktu     perlu pembinaan dalam    Menuliskan kata atau ungkapan pendek  sederhana tentang kegiatan sehari-hari disertai waktu    </v>
          </cell>
          <cell r="BN14">
            <v>80.166666666666671</v>
          </cell>
          <cell r="BO14" t="str">
            <v>B</v>
          </cell>
          <cell r="BP14" t="str">
            <v xml:space="preserve">Mampu   kd   perlu pembinaan dalam       kd </v>
          </cell>
          <cell r="BQ14">
            <v>75.5</v>
          </cell>
          <cell r="BR14" t="str">
            <v>C</v>
          </cell>
          <cell r="BS14" t="str">
            <v xml:space="preserve">Mampu Menunjukkan ikon untuk membuat gambar dan teks     perlu pembinaan dalam    Terampil mengoperasikan ikon-ikon text box, shapes, clip art, picture dan insert tabel    </v>
          </cell>
          <cell r="BT14" t="str">
            <v xml:space="preserve">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14" t="str">
            <v>Drumband</v>
          </cell>
          <cell r="BV14" t="str">
            <v>baik sekali</v>
          </cell>
          <cell r="BW14">
            <v>0</v>
          </cell>
          <cell r="BX14">
            <v>0</v>
          </cell>
          <cell r="BY14" t="str">
            <v>1 hari</v>
          </cell>
          <cell r="BZ14" t="str">
            <v>1 hari</v>
          </cell>
          <cell r="CA14" t="str">
            <v>1 hari</v>
          </cell>
          <cell r="CB14" t="str">
            <v xml:space="preserve">Alhamdulillah, ananda selama satu semester ini sudah banyak peningkatan dalam prestasi belajarnya, mohon ditingkatkan lagi prestasinya. Jangan lupa sholat lima waktu dan selalu berdo'a. </v>
          </cell>
          <cell r="CC14" t="str">
            <v>136 cm</v>
          </cell>
          <cell r="CD14" t="str">
            <v>31 kg</v>
          </cell>
          <cell r="CE14" t="str">
            <v>Baik, normal</v>
          </cell>
          <cell r="CF14" t="str">
            <v>gangguan pada tonsil</v>
          </cell>
          <cell r="CG14" t="str">
            <v>Geraham atas kanan karies, dan taring atas persistensi</v>
          </cell>
          <cell r="CH14">
            <v>0</v>
          </cell>
          <cell r="CI14">
            <v>0</v>
          </cell>
          <cell r="CJ14">
            <v>0</v>
          </cell>
          <cell r="CK14">
            <v>0</v>
          </cell>
        </row>
        <row r="15">
          <cell r="B15">
            <v>4851</v>
          </cell>
          <cell r="C15" t="str">
            <v>Hana Aulia Prayitno</v>
          </cell>
          <cell r="D15" t="str">
            <v xml:space="preserve">Menunjukkan sikap     yang sangat menonjol. perlu pembinaan dalam     </v>
          </cell>
          <cell r="E15" t="str">
            <v xml:space="preserve">Menunjukkan sikap   suka bekerjasama, membantu teman yang kesulitan,    Perlu bimbingan dalam sikapberani dan percaya diri ketika mengunkapkan pendapat.      </v>
          </cell>
          <cell r="F15">
            <v>78.5</v>
          </cell>
          <cell r="G15" t="str">
            <v>B</v>
          </cell>
          <cell r="H15" t="str">
            <v xml:space="preserve">Mampu   Memahami hikmah beriman kepada Hari Akhir yang dapat membentuk perilaku akhlak mulia   perlu pembinaan dalam   Mengetahui makna Q.S. Al-Kaafiruun dengan benar,      </v>
          </cell>
          <cell r="I15">
            <v>79</v>
          </cell>
          <cell r="J15" t="str">
            <v>B</v>
          </cell>
          <cell r="K15" t="str">
            <v xml:space="preserve">Mampu mengenal simbol-simbol sila Pancasila dalam lambang negara “Garuda Pancasila”     perlu pembinaan dalam      mengenal arti bersatu dalam keberagaman di rumah dan sekolah  </v>
          </cell>
          <cell r="L15">
            <v>78.599999999999994</v>
          </cell>
          <cell r="M15" t="str">
            <v>B</v>
          </cell>
          <cell r="N15" t="str">
            <v xml:space="preserve">Mampu   mengenal teks terima kasih tentang sikap kasih sayang dengan bantuan guru atau teman dalam bahasa Indonesia lisan dan tulis yang dapat diisi dengan kosakata bahasa daerah untuk membantu pemahaman   perlu pembinaan dalam       Mengenal teks diagram/label tentang anggota keluarga dan kerabat dengan bantuan guru atau teman dalam bahasa Indonesia lisan dan tulis yang dapat diisi dengan kosakata bahasa daerah untuk membantu pemahaman </v>
          </cell>
          <cell r="O15">
            <v>80.833333333333329</v>
          </cell>
          <cell r="P15" t="str">
            <v>B</v>
          </cell>
          <cell r="Q15" t="str">
            <v xml:space="preserve">Mampu mengenal lambang bilangan dan mendeskripsikan kemunculan bilangan dengan bahasa yang sederhana   menunjukkan pemahaman tentang besaran dengan menghitung maju sampai 100 dan mundur dari 20  perlu pembinaan dalam       mengenal bangun datar dan bangun ruang menggunakan benda-benda yang ada di sekitar rumah, sekolah, atau tempat bermain. </v>
          </cell>
          <cell r="R15">
            <v>82.666666666666671</v>
          </cell>
          <cell r="S15" t="str">
            <v>B</v>
          </cell>
          <cell r="T15" t="str">
            <v xml:space="preserve">Mampu  mengenal  pola irama lagu bervariasi menggunakan alat musik ritmis   menggambar ekspresi dengan mengolah garis, warna dan bentuk berdasarkan hasil pengamatan di lingkungan sekitarperlu pembinaan dalam    mengenal cara dan hasil karya seni ekspresi     </v>
          </cell>
          <cell r="U15">
            <v>77</v>
          </cell>
          <cell r="V15" t="str">
            <v>B</v>
          </cell>
          <cell r="W15" t="str">
            <v xml:space="preserve">Mampu    mengetahui konsep bergerak secara seimbang dan cepat dalam rangka pengembangan kebugaran jasmani melalui permainan sederhana dan atau tradisional.  perlu pembinaan dalam   mengetahui konsep gerak dasar lokomotor sesuai dengan dimensi anggota tubuh yang digunakan, arah, ruang  gerak, hubungan, dan usaha, dalam berbagai bentuk permainan sederhana dan atau tradisional.     </v>
          </cell>
          <cell r="X15">
            <v>85.333333333333329</v>
          </cell>
          <cell r="Y15" t="str">
            <v>B</v>
          </cell>
          <cell r="Z15" t="str">
            <v xml:space="preserve">Mampu mengenal, memahami, dan mengidentifikasiteks informasi yang diperoleh dari berbagai media berbahasa daerah secara lisan/ tulis     perlu pembinaan dalam    mengenal, memahami, dan mengidentifikasi teks  tembang macapat sesuai dengan kaidah    </v>
          </cell>
          <cell r="AA15">
            <v>83.5</v>
          </cell>
          <cell r="AB15" t="str">
            <v>B</v>
          </cell>
          <cell r="AC15" t="str">
            <v xml:space="preserve">Mampu Mengenal, memahami dan mengidentifikasi macam-macam kalimat (order, request, and prohibition)     perlu pembinaan dalam    Mengenal, memahami dan mengidentifikasi macam-macam weather and season based on the country    </v>
          </cell>
          <cell r="AD15">
            <v>83.5</v>
          </cell>
          <cell r="AE15" t="str">
            <v>B</v>
          </cell>
          <cell r="AF15"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peralatan sekolah dengan menggunakan pola kalimat yang meliputi kata tanya + isim isyarah (kata tunjuk) orang atau benda yang dekat (haadza, haadzihi) + alam + isim mufrad    </v>
          </cell>
          <cell r="AG15">
            <v>85.333333333333329</v>
          </cell>
          <cell r="AH15" t="str">
            <v>B</v>
          </cell>
          <cell r="AI15" t="str">
            <v xml:space="preserve">Mampu Mengenal sejarah munculnya Ahlus Sunnah wal Jama'ah     perlu pembinaan dalam    Memahami amaliah NU    </v>
          </cell>
          <cell r="AJ15">
            <v>82.5</v>
          </cell>
          <cell r="AK15" t="str">
            <v>B</v>
          </cell>
          <cell r="AL15" t="str">
            <v xml:space="preserve">Mampu  Mengenal fungsi ikon-ikon pendukung pengolah kata (word processing)    perlu pembinaan dalam   Mengenal software pengolah kata dengan ikon-ikon pendukung     </v>
          </cell>
          <cell r="AM15">
            <v>78</v>
          </cell>
          <cell r="AN15" t="str">
            <v>B</v>
          </cell>
          <cell r="AO15" t="str">
            <v>Mampu  Menulis Q.S. al-Kaafiruun dengan jelas dan benar    perlu pembinaan dalam        Menceritakan kisah keteladanan sahabat-sahabat Nabi Muhammad saw.</v>
          </cell>
          <cell r="AP15">
            <v>78.5</v>
          </cell>
          <cell r="AQ15" t="str">
            <v>B</v>
          </cell>
          <cell r="AR15" t="str">
            <v xml:space="preserve">Mampu    Melaksanakan tata tertib di rumah dan sekolah    perlu pembinaan dalam      Mengamati dan menceriterakan kebersamaan dalam keberagaman di rumah dan sekolah   </v>
          </cell>
          <cell r="AS15">
            <v>80.400000000000006</v>
          </cell>
          <cell r="AT15" t="str">
            <v>B</v>
          </cell>
          <cell r="AU15" t="str">
            <v xml:space="preserve">Mampu   mempraktikkan teks arahan/petunjuk tentang merawat tubuh serta kesehatan dan kebugaran tubuh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15">
            <v>78.833333333333329</v>
          </cell>
          <cell r="AW15" t="str">
            <v>B</v>
          </cell>
          <cell r="AX15" t="str">
            <v xml:space="preserve">Mampu menggunakan benda konkrit untuk menelusuri pecahan dan jumlah uang     perlu pembinaan dalam 0     </v>
          </cell>
          <cell r="AY15">
            <v>78.833333333333329</v>
          </cell>
          <cell r="AZ15" t="str">
            <v>B</v>
          </cell>
          <cell r="BA15" t="str">
            <v xml:space="preserve">Mampu   menggambar dengan memanfaatkan beragam media kering   perlu pembinaan dalam   menggambar ekspresi dengan mengolah garis, warna dan bentuk berdasarkan hasil pengamatan di lingkungan sekitar     </v>
          </cell>
          <cell r="BB15">
            <v>78.833333333333329</v>
          </cell>
          <cell r="BC15" t="str">
            <v>B</v>
          </cell>
          <cell r="BD15" t="str">
            <v xml:space="preserve">Mampu  mempraktikkan pola gerak dasar non-lokomotor sesuai dengan dimensi anggota tubuh yang digunakan, arah, ruang gerak, hubungan, dan usaha,dalam berbagai bentuk permainan sederhana dan atau tradisional.    perlu pembinaan dalam   mempraktikkan pola gerak dasar lokomotor sesuai dengan dimensi anggota tubuh yang digunakan, arah, ruang gerak, hubungan dan usaha, dalam berbagai bentuk permainan sederhana dan atau tradisional.     </v>
          </cell>
          <cell r="BE15">
            <v>85.333333333333329</v>
          </cell>
          <cell r="BF15" t="str">
            <v>B</v>
          </cell>
          <cell r="BG15" t="str">
            <v xml:space="preserve">Mampu menyampaikan dan menagggapi informasi yang diperoleh dari berbagai media berbahasa daerah secara lisan dan tulisan.      perlu pembinaan dalam    menceritakan isi tembang macapat.     </v>
          </cell>
          <cell r="BH15">
            <v>82.5</v>
          </cell>
          <cell r="BI15" t="str">
            <v>B</v>
          </cell>
          <cell r="BJ15" t="str">
            <v xml:space="preserve">Mampu  Membuat percakapan tentang aktifitas berbelanja dan mempraktikkan di depan kelas berpasang-pasangan    perlu pembinaan dalam   Menulis kalimat order, request dan prohibition dengan baik sesuai dengan rumus      </v>
          </cell>
          <cell r="BK15">
            <v>82.5</v>
          </cell>
          <cell r="BL15" t="str">
            <v>B</v>
          </cell>
          <cell r="BM15" t="str">
            <v xml:space="preserve">Mampu  Menuliskan kata atau ungkapan pendek  sederhana tentang kegiatan sehari-hari disertai waktu    perlu pembinaan dalam   Memahami wacana tertulis dalam bentuk paparan atau bacaan tentang kegiatan sehari-hari disertai waktu     </v>
          </cell>
          <cell r="BN15">
            <v>78.833333333333329</v>
          </cell>
          <cell r="BO15" t="str">
            <v>B</v>
          </cell>
          <cell r="BP15" t="str">
            <v xml:space="preserve">Mampu   kd   perlu pembinaan dalam   kd     </v>
          </cell>
          <cell r="BQ15">
            <v>82.5</v>
          </cell>
          <cell r="BR15" t="str">
            <v>B</v>
          </cell>
          <cell r="BS15" t="str">
            <v xml:space="preserve">Mampu  Terampil mengoperasikan ikon-ikon text box, shapes, clip art, picture dan insert tabel    perlu pembinaan dalam   Menunjukkan ikon untuk membuat gambar dan teks     </v>
          </cell>
          <cell r="BT15" t="str">
            <v xml:space="preserve">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15" t="str">
            <v>Drumband</v>
          </cell>
          <cell r="BV15" t="str">
            <v>baik sekali</v>
          </cell>
          <cell r="BW15">
            <v>0</v>
          </cell>
          <cell r="BX15">
            <v>0</v>
          </cell>
          <cell r="BY15" t="str">
            <v>2 hari</v>
          </cell>
          <cell r="BZ15" t="str">
            <v>2 hari</v>
          </cell>
          <cell r="CA15" t="str">
            <v>2 hari</v>
          </cell>
          <cell r="CB15" t="str">
            <v xml:space="preserve">Alhamdulillah, ananda selama satu semester ini sudah banyak peningkatan dalam prestasi belajarnya, mohon ditingkatkan lagi prestasinya. Jangan lupa sholat lima waktu dan selalu berdo'a. </v>
          </cell>
          <cell r="CC15" t="str">
            <v>138 cm</v>
          </cell>
          <cell r="CD15" t="str">
            <v>37 kg</v>
          </cell>
          <cell r="CE15" t="str">
            <v>Baik, normal</v>
          </cell>
          <cell r="CF15" t="str">
            <v>Baik, normal</v>
          </cell>
          <cell r="CG15" t="str">
            <v>Bagus</v>
          </cell>
          <cell r="CH15">
            <v>0</v>
          </cell>
          <cell r="CI15">
            <v>0</v>
          </cell>
          <cell r="CJ15">
            <v>0</v>
          </cell>
          <cell r="CK15">
            <v>0</v>
          </cell>
        </row>
        <row r="16">
          <cell r="B16">
            <v>4854</v>
          </cell>
          <cell r="C16" t="str">
            <v>Isma Nur Hayati</v>
          </cell>
          <cell r="D16" t="str">
            <v xml:space="preserve">Menunjukkan sikap     yang sangat menonjol. perlu pembinaan dalam     </v>
          </cell>
          <cell r="E16" t="str">
            <v xml:space="preserve">Menunjukkan sikap   suka bekerjasama, membantu teman yang kesulitan,    Perlu bimbingan dalam sikapberani dan percaya diri ketika mengunkapkan pendapat.      </v>
          </cell>
          <cell r="F16">
            <v>81.166666666666671</v>
          </cell>
          <cell r="G16" t="str">
            <v>B</v>
          </cell>
          <cell r="H16" t="str">
            <v xml:space="preserve">Mampu  Mengerti makna Asma'ul Husna : as-Samad, al- Muqtadir, al-Muqaddim, al-Baqi  Mengetahui kisah Nabi Muhammad saw. perlu pembinaan dalam      Memahami hikmah berzakat sebagai implementasi rukun Islam  </v>
          </cell>
          <cell r="I16">
            <v>82.25</v>
          </cell>
          <cell r="J16" t="str">
            <v>B</v>
          </cell>
          <cell r="K16" t="str">
            <v xml:space="preserve">Mampu   mengenal keberagaman karateristik individu di rumah dan di sekolahmengenal arti bersatu dalam keberagaman di rumah dan sekolah  perlu pembinaan dalam    mengenal tata tertib dan aturan yang berlaku dalam kehidupan sehari-hari di rumah dan sekolah    </v>
          </cell>
          <cell r="L16">
            <v>80.400000000000006</v>
          </cell>
          <cell r="M16" t="str">
            <v>B</v>
          </cell>
          <cell r="N16" t="str">
            <v xml:space="preserve">Mampu   mengenal teks terima kasih tentang sikap kasih sayang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16">
            <v>83</v>
          </cell>
          <cell r="P16" t="str">
            <v>B</v>
          </cell>
          <cell r="Q16" t="str">
            <v xml:space="preserve">Mampu   mengenal dan memprediksi pola-pola bilangan sederhana menggunakan gambar-gambar/benda konkrit mengenal bangun datar dan bangun ruang menggunakan benda-benda yang ada di sekitar rumah, sekolah, atau tempat bermain.menemukan bangun yang membentuk pola pengubinan sederhanaperlu pembinaan dalam    mengenal bilangan asli sampai 99 dengan menggunakan benda-benda yang ada di sekitar rumah, sekolah, atau tempat bermain    </v>
          </cell>
          <cell r="R16">
            <v>84</v>
          </cell>
          <cell r="S16" t="str">
            <v>B</v>
          </cell>
          <cell r="T16" t="str">
            <v xml:space="preserve">Mampu    mengamati berbagai bahan, alat serta fungsinya dalam membuat prakarya  perlu pembinaan dalam    mengenal  pola irama lagu bervariasi menggunakan alat musik ritmis    </v>
          </cell>
          <cell r="U16">
            <v>82.666666666666671</v>
          </cell>
          <cell r="V16" t="str">
            <v>B</v>
          </cell>
          <cell r="W16" t="str">
            <v xml:space="preserve">Mampu  mengetahui konsep gerak dasar non-lokomotor sesuai dengan dimensi  anggota tubuh yang digunakan, arah, ruang  gerak, hubungan, dan usaha, dalam berbagai bentuk permainan sederhana dan atau permainan tradisional.mengetahui konsep gerak dasar manipulatif sesuai dengan dimensi anggota tubuh yang  digunakan, arah, ruang  gerak, hubungan, dan usaha, dalam berbagai bentuk permainan sederhana dan atau permainan tradisional.  mengetahui konsep penggunaan pola gerak dasar lokomotor dan non-lokomotor sesuai dengan irama (ketukan) tanpa/ dengan musik dalam aktivitas gerak rimtik.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16">
            <v>82</v>
          </cell>
          <cell r="Y16" t="str">
            <v>B</v>
          </cell>
          <cell r="Z16"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16">
            <v>80.5</v>
          </cell>
          <cell r="AB16" t="str">
            <v>B</v>
          </cell>
          <cell r="AC16" t="str">
            <v xml:space="preserve">Mampu   Mengenal, memahami dan mengidentifikasi macam-macam compass at the map and traffic sign   perlu pembinaan dalam      Mengenal, memahami dan mengidentifikasi shopping activity (how to ask price, show the price, bargain, accept and refuse to bargain, etc)  </v>
          </cell>
          <cell r="AD16">
            <v>80.5</v>
          </cell>
          <cell r="AE16" t="str">
            <v>B</v>
          </cell>
          <cell r="AF16" t="str">
            <v xml:space="preserve">Mampu   Memahami wacana dalam bentuk paparan tentang perkenalan diri(2) dengan menggunakan pola kalimat yang meliputi dhamir (kata ganti) ana, anta, anti, huwa, hiya + isim mufrad mu’annats/mudzakkar    perlu pembinaan dalam      Memahami wacana dalam bentuk paparan tentang profesi dengan menggunakan pola kalimat isim isyarah/ dhamir + profesi  </v>
          </cell>
          <cell r="AG16">
            <v>82</v>
          </cell>
          <cell r="AH16" t="str">
            <v>B</v>
          </cell>
          <cell r="AI16" t="str">
            <v xml:space="preserve">Mampu   memahami kepribadian NU   perlu pembinaan dalam   Mengenal sejarah munculnya Ahlus Sunnah wal Jama'ah     </v>
          </cell>
          <cell r="AJ16">
            <v>84.5</v>
          </cell>
          <cell r="AK16" t="str">
            <v>B</v>
          </cell>
          <cell r="AL16" t="str">
            <v xml:space="preserve">Mampu  Mengenal fungsi ikon-ikon pendukung pengolah kata (word processing)    perlu pembinaan dalam   Mengenal software pengolah kata dengan ikon-ikon pendukung     </v>
          </cell>
          <cell r="AM16">
            <v>79.5</v>
          </cell>
          <cell r="AN16" t="str">
            <v>B</v>
          </cell>
          <cell r="AO16" t="str">
            <v xml:space="preserve">Mampu    Mencontohkan perilaku toleran dan simpati sebagai implementasi dari pemahaman Q.S. al-Kaafiruun  perlu pembinaan dalam       Menceritakan kisah keteladanan Nabi Muhammad saw. </v>
          </cell>
          <cell r="AP16">
            <v>86.75</v>
          </cell>
          <cell r="AQ16" t="str">
            <v>B</v>
          </cell>
          <cell r="AR16" t="str">
            <v xml:space="preserve">Mampu    Melaksanakan tata tertib di rumah dan sekolah    perlu pembinaan dalam   Mengamati dan menceritakan perilaku di sekitar rumah dan sekolah dan mengaitkannya dengan pengenalannya terhadap salah satu simbol sila Pancasila     </v>
          </cell>
          <cell r="AS16">
            <v>80</v>
          </cell>
          <cell r="AT16" t="str">
            <v>B</v>
          </cell>
          <cell r="AU16" t="str">
            <v xml:space="preserve">Mampu    menyampaikan teks cerita diri/personal tentang keluarga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16">
            <v>81.5</v>
          </cell>
          <cell r="AW16" t="str">
            <v>B</v>
          </cell>
          <cell r="AX16" t="str">
            <v xml:space="preserve">Mampu   mendeskripsikan, mengembangkan, dan membuat pola yang berulang  perlu pembinaan dalam     membentuk berbagai bangun datar dengan menggunakan papan berpaku atau media lainnya </v>
          </cell>
          <cell r="AY16">
            <v>81.5</v>
          </cell>
          <cell r="AZ16" t="str">
            <v>B</v>
          </cell>
          <cell r="BA16" t="str">
            <v>Mampu     menyanyikan lagu anak-anak dan memperagakan tepuk birama dengan gerak perlu pembinaan dalam        memainkan pola irama lagu bertanda birama dua dengan tepuk dan gerak</v>
          </cell>
          <cell r="BB16">
            <v>81.5</v>
          </cell>
          <cell r="BC16" t="str">
            <v>B</v>
          </cell>
          <cell r="BD16" t="str">
            <v>Mampu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perlu pembinaan dalam        mempraktikkan penggunaan pola gerak dasar lokomotor dan non-lokomotor sesuai dengan irama (ketukan) tanpa/dengan musik dalam aktivitas gerak rimtik.</v>
          </cell>
          <cell r="BE16">
            <v>82</v>
          </cell>
          <cell r="BF16" t="str">
            <v>B</v>
          </cell>
          <cell r="BG16"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16">
            <v>84.5</v>
          </cell>
          <cell r="BI16" t="str">
            <v>B</v>
          </cell>
          <cell r="BJ16" t="str">
            <v xml:space="preserve">Mampu  Membuat percakapan tentang aktifitas berbelanja dan mempraktikkan di depan kelas berpasang-pasangan    perlu pembinaan dalam   Menulis kalimat order, request dan prohibition dengan baik sesuai dengan rumus      </v>
          </cell>
          <cell r="BK16">
            <v>84.5</v>
          </cell>
          <cell r="BL16" t="str">
            <v>B</v>
          </cell>
          <cell r="BM16" t="str">
            <v xml:space="preserve">Mampu  Menuliskan kata atau ungkapan pendek  sederhana tentang kegiatan sehari-hari disertai waktu    perlu pembinaan dalam   Memahami wacana tertulis dalam bentuk paparan atau bacaan tentang kegiatan sehari-hari disertai waktu     </v>
          </cell>
          <cell r="BN16">
            <v>81.5</v>
          </cell>
          <cell r="BO16" t="str">
            <v>B</v>
          </cell>
          <cell r="BP16" t="str">
            <v>Mampu     kd perlu pembinaan dalam        kd</v>
          </cell>
          <cell r="BQ16">
            <v>84.5</v>
          </cell>
          <cell r="BR16" t="str">
            <v>B</v>
          </cell>
          <cell r="BS16" t="str">
            <v xml:space="preserve">Mampu  Terampil mengoperasikan ikon-ikon text box, shapes, clip art, picture dan insert tabel    perlu pembinaan dalam   Menunjukkan ikon untuk membuat gambar dan teks     </v>
          </cell>
          <cell r="BT16" t="str">
            <v xml:space="preserve">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16" t="str">
            <v>Drumband</v>
          </cell>
          <cell r="BV16" t="str">
            <v>baik sekali</v>
          </cell>
          <cell r="BW16">
            <v>0</v>
          </cell>
          <cell r="BX16">
            <v>0</v>
          </cell>
          <cell r="BY16">
            <v>0</v>
          </cell>
          <cell r="BZ16">
            <v>0</v>
          </cell>
          <cell r="CA16">
            <v>0</v>
          </cell>
          <cell r="CB16" t="str">
            <v xml:space="preserve">Alhamdulillah, ananda selama satu semester ini sudah banyak peningkatan dalam prestasi belajarnya, mohon ditingkatkan lagi prestasinya. Jangan lupa sholat lima waktu dan selalu berdo'a. </v>
          </cell>
          <cell r="CC16" t="str">
            <v>128 cm</v>
          </cell>
          <cell r="CD16" t="str">
            <v>30 kg</v>
          </cell>
          <cell r="CE16" t="str">
            <v>Baik, normal</v>
          </cell>
          <cell r="CF16" t="str">
            <v>Baik, normal</v>
          </cell>
          <cell r="CG16" t="str">
            <v>Geraham kiri bawah karies</v>
          </cell>
          <cell r="CH16" t="str">
            <v>Lomba Bercerita Bebas</v>
          </cell>
          <cell r="CI16" t="str">
            <v>Juara 2 (class meeting semester 1)</v>
          </cell>
          <cell r="CJ16">
            <v>0</v>
          </cell>
          <cell r="CK16">
            <v>0</v>
          </cell>
        </row>
        <row r="17">
          <cell r="B17">
            <v>4856</v>
          </cell>
          <cell r="C17" t="str">
            <v>Kamila Aptasari Poerwanto</v>
          </cell>
          <cell r="D17" t="str">
            <v xml:space="preserve">Menunjukkan sikap     yang sangat menonjol. perlu pembinaan dalam     </v>
          </cell>
          <cell r="E17" t="str">
            <v xml:space="preserve">Menunjukkan sikap   suka bekerjasama, membantu teman yang kesulitan,    Perlu bimbingan dalam sikapberani dan percaya diri ketika mengunkapkan pendapat.      </v>
          </cell>
          <cell r="F17">
            <v>86.833333333333329</v>
          </cell>
          <cell r="G17" t="str">
            <v>B</v>
          </cell>
          <cell r="H17" t="str">
            <v>Mampu Mengetahui makna Q.S. Al-Kaafiruun dengan benar,      perlu pembinaan dalam     Memahami hikmah beriman kepada Hari Akhir yang dapat membentuk perilaku akhlak mulia</v>
          </cell>
          <cell r="I17">
            <v>85.75</v>
          </cell>
          <cell r="J17" t="str">
            <v>B</v>
          </cell>
          <cell r="K17" t="str">
            <v xml:space="preserve">Mampu    mengenal arti bersatu dalam keberagaman di rumah dan sekolah  perlu pembinaan dalam   mengenal simbol-simbol sila Pancasila dalam lambang negara “Garuda Pancasila”     </v>
          </cell>
          <cell r="L17">
            <v>81.8</v>
          </cell>
          <cell r="M17" t="str">
            <v>B</v>
          </cell>
          <cell r="N17" t="str">
            <v xml:space="preserve">Mampu     Mengenal teks diagram/label tentang anggota keluarga dan kerabat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17">
            <v>84.333333333333329</v>
          </cell>
          <cell r="P17" t="str">
            <v>B</v>
          </cell>
          <cell r="Q17" t="str">
            <v xml:space="preserve">Mampu     mengenal bangun datar dan bangun ruang menggunakan benda-benda yang ada di sekitar rumah, sekolah, atau tempat bermain. perlu pembinaan dalam   mengenal lambang bilangan dan mendeskripsikan kemunculan bilangan dengan bahasa yang sederhana   menunjukkan pemahaman tentang besaran dengan menghitung maju sampai 100 dan mundur dari 20  </v>
          </cell>
          <cell r="R17">
            <v>81.833333333333329</v>
          </cell>
          <cell r="S17" t="str">
            <v>B</v>
          </cell>
          <cell r="T17" t="str">
            <v xml:space="preserve">Mampu  mengenal cara dan hasil karya seni ekspresi  mengamati berbagai bahan, alat serta fungsinya dalam membuat prakarya  perlu pembinaan dalam    mengenal  pola irama lagu bervariasi menggunakan alat musik ritmis    </v>
          </cell>
          <cell r="U17">
            <v>88.666666666666671</v>
          </cell>
          <cell r="V17" t="str">
            <v>B</v>
          </cell>
          <cell r="W17" t="str">
            <v xml:space="preserve">Mampu mengetahui konsep gerak dasar lokomotor sesuai dengan dimensi anggota tubuh yang digunakan, arah, ruang  gerak, hubungan, dan usaha, dalam berbagai bentuk permainan sederhana dan atau tradisional.     perlu pembinaan dalam      mengetahui konsep bergerak secara seimbang dan cepat dalam rangka pengembangan kebugaran jasmani melalui permainan sederhana dan atau tradisional.  </v>
          </cell>
          <cell r="X17">
            <v>79</v>
          </cell>
          <cell r="Y17" t="str">
            <v>B</v>
          </cell>
          <cell r="Z17"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17">
            <v>78.25</v>
          </cell>
          <cell r="AB17" t="str">
            <v>B</v>
          </cell>
          <cell r="AC17" t="str">
            <v xml:space="preserve">Mampu   Mengenal, memahami dan mengidentifikasi macam-macam compass at the map and traffic sign   perlu pembinaan dalam   Mengenal, memahami dan mengidentifikasi macam-macam kalimat (order, request, and prohibition)     </v>
          </cell>
          <cell r="AD17">
            <v>78.25</v>
          </cell>
          <cell r="AE17" t="str">
            <v>B</v>
          </cell>
          <cell r="AF17" t="str">
            <v xml:space="preserve">Mampu   Memahami wacana dalam bentuk paparan tentang perkenalan diri(2) dengan menggunakan pola kalimat yang meliputi dhamir (kata ganti) ana, anta, anti, huwa, hiya + isim mufrad mu’annats/mudzakkar    perlu pembinaan dalam   Memahami wacana dalam bentuk paparan tentang perkenalan diri (1) dengan menggunakan pola kalimat yang meliputi isim isyarah (kata tunjuk) orang atau benda yang dekat (haadza, haadzihi) + alam + isim mufrad     </v>
          </cell>
          <cell r="AG17">
            <v>79</v>
          </cell>
          <cell r="AH17" t="str">
            <v>B</v>
          </cell>
          <cell r="AI17" t="str">
            <v xml:space="preserve">Mampu   memahami kepribadian NU   perlu pembinaan dalam   Mengenal sejarah munculnya Ahlus Sunnah wal Jama'ah     </v>
          </cell>
          <cell r="AJ17">
            <v>84.5</v>
          </cell>
          <cell r="AK17" t="str">
            <v>B</v>
          </cell>
          <cell r="AL17" t="str">
            <v xml:space="preserve">Mampu  Mengenal fungsi ikon-ikon pendukung pengolah kata (word processing)    perlu pembinaan dalam   Mengenal software pengolah kata dengan ikon-ikon pendukung     </v>
          </cell>
          <cell r="AM17">
            <v>81.5</v>
          </cell>
          <cell r="AN17" t="str">
            <v>B</v>
          </cell>
          <cell r="AO17" t="str">
            <v xml:space="preserve">Mampu Membaca Q.S. al-Kaafiruun dengan jelas dan benar     perlu pembinaan dalam    Menulis Q.S. al-Kaafiruun dengan jelas dan benar    </v>
          </cell>
          <cell r="AP17">
            <v>86.75</v>
          </cell>
          <cell r="AQ17" t="str">
            <v>B</v>
          </cell>
          <cell r="AR17" t="str">
            <v xml:space="preserve">Mampu    Melaksanakan tata tertib di rumah dan sekolah Mengamati dan menceriterakan kebersamaan dalam keberagaman di rumah dan sekolah   perlu pembinaan dalam   Mengamati dan menceritakan perilaku di sekitar rumah dan sekolah dan mengaitkannya dengan pengenalannya terhadap salah satu simbol sila Pancasila     </v>
          </cell>
          <cell r="AS17">
            <v>82.2</v>
          </cell>
          <cell r="AT17" t="str">
            <v>B</v>
          </cell>
          <cell r="AU17"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17">
            <v>83.666666666666671</v>
          </cell>
          <cell r="AW17" t="str">
            <v>B</v>
          </cell>
          <cell r="AX17" t="str">
            <v xml:space="preserve">Mampu0     perlu pembinaan dalam  menggunakan benda konkrit untuk menelusuri pecahan dan jumlah uang     </v>
          </cell>
          <cell r="AY17">
            <v>83.666666666666671</v>
          </cell>
          <cell r="AZ17" t="str">
            <v>B</v>
          </cell>
          <cell r="BA17" t="str">
            <v xml:space="preserve">Mampu menggambar ekspresi dengan mengolah garis, warna dan bentuk berdasarkan hasil pengamatan di lingkungan sekitar     perlu pembinaan dalam     menggambar dengan memanfaatkan beragam media kering   </v>
          </cell>
          <cell r="BB17">
            <v>83.666666666666671</v>
          </cell>
          <cell r="BC17" t="str">
            <v>B</v>
          </cell>
          <cell r="BD17" t="str">
            <v xml:space="preserve">Mampu mempraktikkan pola gerak dasar lokomotor sesuai dengan dimensi anggota tubuh yang digunakan, arah, ruang gerak, hubungan dan usaha, dalam berbagai bentuk permainan sederhana dan atau tradisional.     perlu pembinaan dalam    mempraktikkan pola gerak dasar non-lokomotor sesuai dengan dimensi anggota tubuh yang digunakan, arah, ruang gerak, hubungan, dan usaha,dalam berbagai bentuk permainan sederhana dan atau tradisional.    </v>
          </cell>
          <cell r="BE17">
            <v>79</v>
          </cell>
          <cell r="BF17" t="str">
            <v>B</v>
          </cell>
          <cell r="BG17"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17">
            <v>84.5</v>
          </cell>
          <cell r="BI17" t="str">
            <v>B</v>
          </cell>
          <cell r="BJ17" t="str">
            <v xml:space="preserve">Mampu  Membuat percakapan tentang aktifitas berbelanja dan mempraktikkan di depan kelas berpasang-pasangan    perlu pembinaan dalam   Menulis kalimat order, request dan prohibition dengan baik sesuai dengan rumus      </v>
          </cell>
          <cell r="BK17">
            <v>84.5</v>
          </cell>
          <cell r="BL17" t="str">
            <v>B</v>
          </cell>
          <cell r="BM17" t="str">
            <v xml:space="preserve">Mampu  Menuliskan kata atau ungkapan pendek  sederhana tentang kegiatan sehari-hari disertai waktu    perlu pembinaan dalam   Memahami wacana tertulis dalam bentuk paparan atau bacaan tentang kegiatan sehari-hari disertai waktu     </v>
          </cell>
          <cell r="BN17">
            <v>83.666666666666671</v>
          </cell>
          <cell r="BO17" t="str">
            <v>B</v>
          </cell>
          <cell r="BP17" t="str">
            <v xml:space="preserve">Mampu kd     perlu pembinaan dalam     kd   </v>
          </cell>
          <cell r="BQ17">
            <v>84.5</v>
          </cell>
          <cell r="BR17" t="str">
            <v>B</v>
          </cell>
          <cell r="BS17" t="str">
            <v xml:space="preserve">Mampu  Terampil mengoperasikan ikon-ikon text box, shapes, clip art, picture dan insert tabel    perlu pembinaan dalam   Menunjukkan ikon untuk membuat gambar dan teks     </v>
          </cell>
          <cell r="BT17" t="str">
            <v xml:space="preserve"> 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17" t="str">
            <v>Drumband</v>
          </cell>
          <cell r="BV17" t="str">
            <v>baik sekali</v>
          </cell>
          <cell r="BW17">
            <v>0</v>
          </cell>
          <cell r="BX17">
            <v>0</v>
          </cell>
          <cell r="BY17" t="str">
            <v>9 hari</v>
          </cell>
          <cell r="BZ17">
            <v>0</v>
          </cell>
          <cell r="CA17">
            <v>0</v>
          </cell>
          <cell r="CB17" t="str">
            <v xml:space="preserve">Alhamdulillah, ananda selama satu semester ini sudah banyak peningkatan dalam prestasi belajarnya, mohon ditingkatkan lagi prestasinya. Jangan lupa sholat lima waktu dan selalu berdo'a. </v>
          </cell>
          <cell r="CC17" t="str">
            <v>148 cm</v>
          </cell>
          <cell r="CD17" t="str">
            <v>30 kg</v>
          </cell>
          <cell r="CE17" t="str">
            <v>Baik, normal</v>
          </cell>
          <cell r="CF17" t="str">
            <v>Baik, normal</v>
          </cell>
          <cell r="CG17" t="str">
            <v xml:space="preserve">Geraham kanan bawah karies. </v>
          </cell>
          <cell r="CH17">
            <v>0</v>
          </cell>
          <cell r="CI17">
            <v>0</v>
          </cell>
          <cell r="CJ17">
            <v>0</v>
          </cell>
          <cell r="CK17">
            <v>0</v>
          </cell>
        </row>
        <row r="18">
          <cell r="B18">
            <v>4857</v>
          </cell>
          <cell r="C18" t="str">
            <v>Kartika Maulidia</v>
          </cell>
          <cell r="D18" t="str">
            <v xml:space="preserve">Menunjukkan sikap     yang sangat menonjol. perlu pembinaan dalam     </v>
          </cell>
          <cell r="E18" t="str">
            <v xml:space="preserve">Menunjukkan sikap   suka bekerjasama, membantu teman yang kesulitan,    Perlu bimbingan dalam sikapberani dan percaya diri ketika mengunkapkan pendapat.      </v>
          </cell>
          <cell r="F18">
            <v>78</v>
          </cell>
          <cell r="G18" t="str">
            <v>B</v>
          </cell>
          <cell r="H18" t="str">
            <v xml:space="preserve">Mampu    Memahami hikmah berzakat sebagai implementasi rukun Islam  perlu pembinaan dalam   Mengetahui makna Q.S. Al-Kaafiruun dengan benar,      </v>
          </cell>
          <cell r="I18">
            <v>84</v>
          </cell>
          <cell r="J18" t="str">
            <v>B</v>
          </cell>
          <cell r="K18" t="str">
            <v xml:space="preserve">Mampu  mengenal tata tertib dan aturan yang berlaku dalam kehidupan sehari-hari di rumah dan sekolah mengenal arti bersatu dalam keberagaman di rumah dan sekolah  perlu pembinaan dalam     mengenal keberagaman karateristik individu di rumah dan di sekolah   </v>
          </cell>
          <cell r="L18">
            <v>89</v>
          </cell>
          <cell r="M18" t="str">
            <v>B</v>
          </cell>
          <cell r="N18"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terima kasih tentang sikap kasih sayang dengan bantuan guru atau teman dalam bahasa Indonesia lisan dan tulis yang dapat diisi dengan kosakata bahasa daerah untuk membantu pemahaman   </v>
          </cell>
          <cell r="O18">
            <v>81.666666666666671</v>
          </cell>
          <cell r="P18" t="str">
            <v>B</v>
          </cell>
          <cell r="Q18" t="str">
            <v>Mampu  mengenal bilangan asli sampai 99 dengan menggunakan benda-benda yang ada di sekitar rumah, sekolah, atau tempat bermain  mengenal bangun datar dan bangun ruang menggunakan benda-benda yang ada di sekitar rumah, sekolah, atau tempat bermain. perlu pembinaan dalam     mengenal dan memprediksi pola-pola bilangan sederhana menggunakan gambar-gambar/benda konkrit  menemukan bangun yang membentuk pola pengubinan sederhana</v>
          </cell>
          <cell r="R18">
            <v>82</v>
          </cell>
          <cell r="S18" t="str">
            <v>B</v>
          </cell>
          <cell r="T18" t="str">
            <v xml:space="preserve">Mampu  mengenal cara dan hasil karya seni ekspresi     perlu pembinaan dalam       mengenal karya seni budaya benda dan bahasa daerah setempat </v>
          </cell>
          <cell r="U18">
            <v>79.833333333333329</v>
          </cell>
          <cell r="V18" t="str">
            <v>B</v>
          </cell>
          <cell r="W18" t="str">
            <v xml:space="preserve">Mampu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perlu pembinaan dalam   mengetahui konsep gerak dasar lokomotor sesuai dengan dimensi anggota tubuh yang digunakan, arah, ruang  gerak, hubungan, dan usaha, dalam berbagai bentuk permainan sederhana dan atau tradisional.     </v>
          </cell>
          <cell r="X18">
            <v>82.333333333333329</v>
          </cell>
          <cell r="Y18" t="str">
            <v>B</v>
          </cell>
          <cell r="Z18" t="str">
            <v xml:space="preserve">Mampu  mengenal, memahami, dan mengidentifikasi teks  tembang macapat sesuai dengan kaidah    perlu pembinaan dalam   mengenal, memahami, dan mengidentifikasiteks informasi yang diperoleh dari berbagai media berbahasa daerah secara lisan/ tulis     </v>
          </cell>
          <cell r="AA18">
            <v>79.5</v>
          </cell>
          <cell r="AB18" t="str">
            <v>B</v>
          </cell>
          <cell r="AC18"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18">
            <v>79.5</v>
          </cell>
          <cell r="AE18" t="str">
            <v>B</v>
          </cell>
          <cell r="AF18"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18">
            <v>82.333333333333329</v>
          </cell>
          <cell r="AH18" t="str">
            <v>B</v>
          </cell>
          <cell r="AI18" t="str">
            <v xml:space="preserve">Mampu  Memahami amaliah NU    perlu pembinaan dalam   Mengenal sejarah munculnya Ahlus Sunnah wal Jama'ah     </v>
          </cell>
          <cell r="AJ18">
            <v>84.5</v>
          </cell>
          <cell r="AK18" t="str">
            <v>B</v>
          </cell>
          <cell r="AL18" t="str">
            <v xml:space="preserve">Mampu Mengenal software pengolah kata dengan ikon-ikon pendukung     perlu pembinaan dalam    Mengenal fungsi ikon-ikon pendukung pengolah kata (word processing)    </v>
          </cell>
          <cell r="AM18">
            <v>78.833333333333329</v>
          </cell>
          <cell r="AN18" t="str">
            <v>B</v>
          </cell>
          <cell r="AO18" t="str">
            <v xml:space="preserve">Mampu   Menyebutkan arti Q.S. al-Kaafiruun dengan jelas dan benar  Menceritakan kisah keteladanan sahabat-sahabat Nabi Muhammad saw.perlu pembinaan dalam   Membaca Q.S. al-Kaafiruun dengan jelas dan benar     </v>
          </cell>
          <cell r="AP18">
            <v>84</v>
          </cell>
          <cell r="AQ18" t="str">
            <v>B</v>
          </cell>
          <cell r="AR18" t="str">
            <v xml:space="preserve">Mampu    Mengamati dan menceriterakan kebersamaan dalam keberagaman di rumah dan sekolah   perlu pembinaan dalam      Mengamati dan menceriterakan keberagaman karateristik individu di rumah dan sekolah  </v>
          </cell>
          <cell r="AS18">
            <v>76.8</v>
          </cell>
          <cell r="AT18" t="str">
            <v>B</v>
          </cell>
          <cell r="AU18" t="str">
            <v xml:space="preserve">Mampu   menyampaikan teks terima kasih mengenai sikap kasih sayang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18">
            <v>79.166666666666671</v>
          </cell>
          <cell r="AW18" t="str">
            <v>B</v>
          </cell>
          <cell r="AX18" t="str">
            <v xml:space="preserve">Mampu  mengemukakan kembali dengan kalimat sendiri dan memecahkan masalah yang berkaitan dengan penjumlahan dan pengurangan terkait dengan aktivitas sehari-hari serta memeriksa kebenarannya   perlu pembinaan dalam 0     </v>
          </cell>
          <cell r="AY18">
            <v>79.166666666666671</v>
          </cell>
          <cell r="AZ18" t="str">
            <v>B</v>
          </cell>
          <cell r="BA18" t="str">
            <v xml:space="preserve">Mampu  membuat karya seni ekspresi dengan memanfaatkan berbagai teknik cetak sederhana menggunakan bahan alam    perlu pembinaan dalam   menggambar ekspresi dengan mengolah garis, warna dan bentuk berdasarkan hasil pengamatan di lingkungan sekitar     </v>
          </cell>
          <cell r="BB18">
            <v>79.166666666666671</v>
          </cell>
          <cell r="BC18" t="str">
            <v>B</v>
          </cell>
          <cell r="BD18" t="str">
            <v xml:space="preserve">Mampu   mempraktikkan pola gerak dasar manipulatif sesuai dengan dimensi anggota tubuh yang digunakan, arah, ruang gerak, hubungan, dan usaha, dalam berbagai bentuk permainan sederhana dan atau permainan tradisional.   perlu pembinaan dalam   mempraktikkan pola gerak dasar lokomotor sesuai dengan dimensi anggota tubuh yang digunakan, arah, ruang gerak, hubungan dan usaha, dalam berbagai bentuk permainan sederhana dan atau tradisional.     </v>
          </cell>
          <cell r="BE18">
            <v>82.333333333333329</v>
          </cell>
          <cell r="BF18" t="str">
            <v>B</v>
          </cell>
          <cell r="BG18" t="str">
            <v xml:space="preserve">Mampu  menceritakan isi tembang macapat.     perlu pembinaan dalam   menyampaikan dan menagggapi informasi yang diperoleh dari berbagai media berbahasa daerah secara lisan dan tulisan.      </v>
          </cell>
          <cell r="BH18">
            <v>84.5</v>
          </cell>
          <cell r="BI18" t="str">
            <v>B</v>
          </cell>
          <cell r="BJ18" t="str">
            <v xml:space="preserve">Mampu Menulis kalimat order, request dan prohibition dengan baik sesuai dengan rumus      perlu pembinaan dalam    Membuat percakapan tentang aktifitas berbelanja dan mempraktikkan di depan kelas berpasang-pasangan    </v>
          </cell>
          <cell r="BK18">
            <v>84.5</v>
          </cell>
          <cell r="BL18" t="str">
            <v>B</v>
          </cell>
          <cell r="BM18" t="str">
            <v xml:space="preserve">Mampu Memahami wacana tertulis dalam bentuk paparan atau bacaan tentang kegiatan sehari-hari disertai waktu     perlu pembinaan dalam    Menuliskan kata atau ungkapan pendek  sederhana tentang kegiatan sehari-hari disertai waktu    </v>
          </cell>
          <cell r="BN18">
            <v>79.166666666666671</v>
          </cell>
          <cell r="BO18" t="str">
            <v>B</v>
          </cell>
          <cell r="BP18" t="str">
            <v xml:space="preserve">Mampu  kd    perlu pembinaan dalam   kd     </v>
          </cell>
          <cell r="BQ18">
            <v>84.5</v>
          </cell>
          <cell r="BR18" t="str">
            <v>B</v>
          </cell>
          <cell r="BS18" t="str">
            <v xml:space="preserve">Mampu Menunjukkan ikon untuk membuat gambar dan teks     perlu pembinaan dalam    Terampil mengoperasikan ikon-ikon text box, shapes, clip art, picture dan insert tabel    </v>
          </cell>
          <cell r="BT18" t="str">
            <v xml:space="preserve">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18" t="str">
            <v>Drumband</v>
          </cell>
          <cell r="BV18" t="str">
            <v>baik sekali</v>
          </cell>
          <cell r="BW18">
            <v>0</v>
          </cell>
          <cell r="BX18">
            <v>0</v>
          </cell>
          <cell r="BY18" t="str">
            <v>3 hari</v>
          </cell>
          <cell r="BZ18" t="str">
            <v>1 hari</v>
          </cell>
          <cell r="CA18">
            <v>0</v>
          </cell>
          <cell r="CB18" t="str">
            <v xml:space="preserve">Alhamdulillah, ananda selama satu semester ini sudah banyak peningkatan dalam prestasi belajarnya, mohon ditingkatkan lagi konsentrasi dalam mengikuti pembelajaran. Jangan lupa sholat lima waktu dan selalu berdo'a. </v>
          </cell>
          <cell r="CC18" t="str">
            <v>133 cm</v>
          </cell>
          <cell r="CD18" t="str">
            <v>30 kg</v>
          </cell>
          <cell r="CE18" t="str">
            <v>Baik, normal</v>
          </cell>
          <cell r="CF18" t="str">
            <v>Baik, normal</v>
          </cell>
          <cell r="CG18" t="str">
            <v xml:space="preserve">Geraham kanan bawah karies. </v>
          </cell>
          <cell r="CH18">
            <v>0</v>
          </cell>
          <cell r="CI18">
            <v>0</v>
          </cell>
          <cell r="CJ18">
            <v>0</v>
          </cell>
          <cell r="CK18">
            <v>0</v>
          </cell>
        </row>
        <row r="19">
          <cell r="B19">
            <v>4863</v>
          </cell>
          <cell r="C19" t="str">
            <v>Mohamad Izaky Prianggawan</v>
          </cell>
          <cell r="D19" t="str">
            <v xml:space="preserve">Menunjukkan sikap     yang sangat menonjol. perlu pembinaan dalam     </v>
          </cell>
          <cell r="E19" t="str">
            <v xml:space="preserve">Menunjukkan sikap   suka bekerjasama, membantu teman yang kesulitan,    Perlu bimbingan dalam sikapberani dan percaya diri ketika mengunkapkan pendapat.      </v>
          </cell>
          <cell r="F19">
            <v>82.5</v>
          </cell>
          <cell r="G19" t="str">
            <v>B</v>
          </cell>
          <cell r="H19" t="str">
            <v xml:space="preserve">Mampu     Mengetahui kisah Nabi Muhammad saw. perlu pembinaan dalam      Memahami hikmah berzakat sebagai implementasi rukun Islam  </v>
          </cell>
          <cell r="I19">
            <v>79</v>
          </cell>
          <cell r="J19" t="str">
            <v>B</v>
          </cell>
          <cell r="K19" t="str">
            <v xml:space="preserve">Mampu   mengenal keberagaman karateristik individu di rumah dan di sekolah   perlu pembinaan dalam    mengenal tata tertib dan aturan yang berlaku dalam kehidupan sehari-hari di rumah dan sekolah    </v>
          </cell>
          <cell r="L19">
            <v>78.400000000000006</v>
          </cell>
          <cell r="M19" t="str">
            <v>B</v>
          </cell>
          <cell r="N19" t="str">
            <v xml:space="preserve">Mampu    Mengenal teks cerita diri/personal tentang keberadaan keluarga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19">
            <v>81.166666666666671</v>
          </cell>
          <cell r="P19" t="str">
            <v>B</v>
          </cell>
          <cell r="Q19" t="str">
            <v xml:space="preserve">Mampu   mengenal dan memprediksi pola-pola bilangan sederhana menggunakan gambar-gambar/benda konkrit  menemukan bangun yang membentuk pola pengubinan sederhanaperlu pembinaan dalam    mengenal bilangan asli sampai 99 dengan menggunakan benda-benda yang ada di sekitar rumah, sekolah, atau tempat bermain    </v>
          </cell>
          <cell r="R19">
            <v>86</v>
          </cell>
          <cell r="S19" t="str">
            <v>B</v>
          </cell>
          <cell r="T19" t="str">
            <v xml:space="preserve">Mampu  mengenal  pola irama lagu bervariasi menggunakan alat musik ritmis    perlu pembinaan dalam      mengamati berbagai bahan, alat serta fungsinya dalam membuat prakarya  </v>
          </cell>
          <cell r="U19">
            <v>82.5</v>
          </cell>
          <cell r="V19" t="str">
            <v>B</v>
          </cell>
          <cell r="W19" t="str">
            <v xml:space="preserve">Mampu      mengetahui konsep penggunaan pola gerak dasar lokomotor dan non-lokomotor sesuai dengan irama (ketukan) tanpa/ dengan musik dalam aktivitas gerak rimtik.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19">
            <v>88.333333333333329</v>
          </cell>
          <cell r="Y19" t="str">
            <v>B</v>
          </cell>
          <cell r="Z19"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19">
            <v>88.5</v>
          </cell>
          <cell r="AB19" t="str">
            <v>B</v>
          </cell>
          <cell r="AC19" t="str">
            <v xml:space="preserve">Mampu Mengenal, memahami dan mengidentifikasi macam-macam kalimat (order, request, and prohibition)     perlu pembinaan dalam     Mengenal, memahami dan mengidentifikasi macam-macam compass at the map and traffic sign   </v>
          </cell>
          <cell r="AD19">
            <v>88.5</v>
          </cell>
          <cell r="AE19" t="str">
            <v>B</v>
          </cell>
          <cell r="AF19"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19">
            <v>88.333333333333329</v>
          </cell>
          <cell r="AH19" t="str">
            <v>B</v>
          </cell>
          <cell r="AI19" t="str">
            <v xml:space="preserve">Mampu Mengenal sejarah munculnya Ahlus Sunnah wal Jama'ah     perlu pembinaan dalam     memahami kepribadian NU   </v>
          </cell>
          <cell r="AJ19">
            <v>83.5</v>
          </cell>
          <cell r="AK19" t="str">
            <v>B</v>
          </cell>
          <cell r="AL19" t="str">
            <v xml:space="preserve">Mampu Mengenal software pengolah kata dengan ikon-ikon pendukung     perlu pembinaan dalam    Mengenal fungsi ikon-ikon pendukung pengolah kata (word processing)    </v>
          </cell>
          <cell r="AM19">
            <v>88.333333333333329</v>
          </cell>
          <cell r="AN19" t="str">
            <v>B</v>
          </cell>
          <cell r="AO19" t="str">
            <v xml:space="preserve">Mampu  Menulis Q.S. al-Kaafiruun dengan jelas dan benar    perlu pembinaan dalam      Mencontohkan perilaku toleran dan simpati sebagai implementasi dari pemahaman Q.S. al-Kaafiruun  </v>
          </cell>
          <cell r="AP19">
            <v>85</v>
          </cell>
          <cell r="AQ19" t="str">
            <v>B</v>
          </cell>
          <cell r="AR19" t="str">
            <v xml:space="preserve">Mampu    Mengamati dan menceriterakan keberagaman karateristik individu di rumah dan sekolah  perlu pembinaan dalam      Melaksanakan tata tertib di rumah dan sekolah    </v>
          </cell>
          <cell r="AS19">
            <v>88.6</v>
          </cell>
          <cell r="AT19" t="str">
            <v>B</v>
          </cell>
          <cell r="AU19" t="str">
            <v xml:space="preserve">Mampu   mempraktikkan teks arahan/petunjuk tentang merawat tubuh serta kesehatan dan kebugaran tubuh secara mandiri dalam bahasa Indonesia lisan dan tulis yang dapat diisi dengan kosakata bahasa daerah untuk membantu penyajian    perlu pembinaan dalam      menyampaikan teks cerita diri/personal tentang keluarga secara mandiri dalam bahasa Indonesia lisan dan tulis  yang dapat diisi dengan kosakata bahasa daerah untuk membantu penyajian  </v>
          </cell>
          <cell r="AV19">
            <v>87.166666666666671</v>
          </cell>
          <cell r="AW19" t="str">
            <v>B</v>
          </cell>
          <cell r="AX19" t="str">
            <v xml:space="preserve">Mampu menggunakan benda konkrit untuk menelusuri pecahan dan jumlah uang     perlu pembinaan dalam    mendeskripsikan, mengembangkan, dan membuat pola yang berulang  </v>
          </cell>
          <cell r="AY19">
            <v>87.166666666666671</v>
          </cell>
          <cell r="AZ19" t="str">
            <v>B</v>
          </cell>
          <cell r="BA19" t="str">
            <v xml:space="preserve">Mampu   menggambar dengan memanfaatkan beragam media kering   perlu pembinaan dalam       menyanyikan lagu anak-anak dan memperagakan tepuk birama dengan gerak </v>
          </cell>
          <cell r="BB19">
            <v>87.166666666666671</v>
          </cell>
          <cell r="BC19" t="str">
            <v>B</v>
          </cell>
          <cell r="BD19" t="str">
            <v xml:space="preserve">Mampu  mempraktikkan pola gerak dasar non-lokomotor sesuai dengan dimensi anggota tubuh yang digunakan, arah, ruang gerak, hubungan, dan usaha,dalam berbagai bentuk permainan sederhana dan atau tradisional.    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19">
            <v>88.333333333333329</v>
          </cell>
          <cell r="BF19" t="str">
            <v>B</v>
          </cell>
          <cell r="BG19"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19">
            <v>83.5</v>
          </cell>
          <cell r="BI19" t="str">
            <v>B</v>
          </cell>
          <cell r="BJ19" t="str">
            <v xml:space="preserve">Mampu Menulis kalimat order, request dan prohibition dengan baik sesuai dengan rumus      perlu pembinaan dalam    Membuat percakapan tentang aktifitas berbelanja dan mempraktikkan di depan kelas berpasang-pasangan    </v>
          </cell>
          <cell r="BK19">
            <v>83.5</v>
          </cell>
          <cell r="BL19" t="str">
            <v>B</v>
          </cell>
          <cell r="BM19" t="str">
            <v xml:space="preserve">Mampu Memahami wacana tertulis dalam bentuk paparan atau bacaan tentang kegiatan sehari-hari disertai waktu     perlu pembinaan dalam    Menuliskan kata atau ungkapan pendek  sederhana tentang kegiatan sehari-hari disertai waktu    </v>
          </cell>
          <cell r="BN19">
            <v>87.166666666666671</v>
          </cell>
          <cell r="BO19" t="str">
            <v>B</v>
          </cell>
          <cell r="BP19" t="str">
            <v xml:space="preserve">Mampu   kd   perlu pembinaan dalam       kd </v>
          </cell>
          <cell r="BQ19">
            <v>83.5</v>
          </cell>
          <cell r="BR19" t="str">
            <v>B</v>
          </cell>
          <cell r="BS19" t="str">
            <v xml:space="preserve">Mampu Menunjukkan ikon untuk membuat gambar dan teks     perlu pembinaan dalam    Terampil mengoperasikan ikon-ikon text box, shapes, clip art, picture dan insert tabel    </v>
          </cell>
          <cell r="BT19" t="str">
            <v xml:space="preserve">Rajin dan giat mengikuti Perindukan Siaga sekurang-kurangnya 10 kali latihan berturut-turut, dapat menunjukkan sikap disiplin dan dapt melakukan PBB dengan benar     namun, perlu pembinaan dalam  Mengetahui simpul mati, simpul hidup, simpul anyam, simpul pangkal dan simpul jangkarMengetahui tetang Semaphore, Morse, Sandi dan tekspram serta dapat menyebutkan tanda pengenal pada seragam pramuka dan melaksanakan penempuhan SKU golongan Siaga </v>
          </cell>
          <cell r="BU19" t="str">
            <v>Drumband</v>
          </cell>
          <cell r="BV19" t="str">
            <v>baik sekali</v>
          </cell>
          <cell r="BW19">
            <v>0</v>
          </cell>
          <cell r="BX19">
            <v>0</v>
          </cell>
          <cell r="BY19">
            <v>0</v>
          </cell>
          <cell r="BZ19" t="str">
            <v>2 hari</v>
          </cell>
          <cell r="CA19">
            <v>0</v>
          </cell>
          <cell r="CB19" t="str">
            <v xml:space="preserve">Alhamdulillah, ananda selama satu semester ini sudah banyak peningkatan dalam prestasi belajarnya, mohon ditingkatkan konsentrasi ketika pembelajaran  agar prestasi ananda lebih baik lagi.  Jangan lupa sholat lima waktu dan selalu berdo'a. </v>
          </cell>
          <cell r="CC19" t="str">
            <v>135 cm</v>
          </cell>
          <cell r="CD19" t="str">
            <v>39 kg</v>
          </cell>
          <cell r="CE19" t="str">
            <v>Baik, normal</v>
          </cell>
          <cell r="CF19" t="str">
            <v>Baik, normal</v>
          </cell>
          <cell r="CG19" t="str">
            <v xml:space="preserve">Geraham  karies. </v>
          </cell>
          <cell r="CH19">
            <v>0</v>
          </cell>
          <cell r="CI19">
            <v>0</v>
          </cell>
          <cell r="CJ19">
            <v>0</v>
          </cell>
          <cell r="CK19">
            <v>0</v>
          </cell>
        </row>
        <row r="20">
          <cell r="B20">
            <v>4866</v>
          </cell>
          <cell r="C20" t="str">
            <v>Muhammad Syarifuddin Allaam Sugiharto</v>
          </cell>
          <cell r="D20" t="str">
            <v xml:space="preserve">Menunjukkan sikap     yang sangat menonjol. perlu pembinaan dalam     </v>
          </cell>
          <cell r="E20" t="str">
            <v xml:space="preserve">Menunjukkan sikap   suka bekerjasama, membantu teman yang kesulitan,    Perlu bimbingan dalam sikapberani dan percaya diri ketika mengunkapkan pendapat.      </v>
          </cell>
          <cell r="F20">
            <v>79.5</v>
          </cell>
          <cell r="G20" t="str">
            <v>B</v>
          </cell>
          <cell r="H20" t="str">
            <v xml:space="preserve">Mampu   Memahami hikmah beriman kepada Hari Akhir yang dapat membentuk perilaku akhlak mulia   perlu pembinaan dalam   Mengetahui makna Q.S. Al-Kaafiruun dengan benar,      </v>
          </cell>
          <cell r="I20">
            <v>82.5</v>
          </cell>
          <cell r="J20" t="str">
            <v>B</v>
          </cell>
          <cell r="K20" t="str">
            <v xml:space="preserve">Mampu mengenal simbol-simbol sila Pancasila dalam lambang negara “Garuda Pancasila”     perlu pembinaan dalam    mengenal tata tertib dan aturan yang berlaku dalam kehidupan sehari-hari di rumah dan sekolah mengenal arti bersatu dalam keberagaman di rumah dan sekolah  </v>
          </cell>
          <cell r="L20">
            <v>79.599999999999994</v>
          </cell>
          <cell r="M20" t="str">
            <v>B</v>
          </cell>
          <cell r="N20" t="str">
            <v xml:space="preserve">Mampu   mengenal teks petunjuk/arahan tentang perawatan tubuh serta pemeliharaan kesehatan dan kebugaran tubuh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20">
            <v>84.666666666666671</v>
          </cell>
          <cell r="P20" t="str">
            <v>B</v>
          </cell>
          <cell r="Q20" t="str">
            <v xml:space="preserve">Mampu mengenal lambang bilangan dan mendeskripsikan kemunculan bilangan dengan bahasa yang sederhana   menunjukkan pemahaman tentang besaran dengan menghitung maju sampai 100 dan mundur dari 20  perlu pembinaan dalam    mengenal bilangan asli sampai 99 dengan menggunakan benda-benda yang ada di sekitar rumah, sekolah, atau tempat bermain  mengenal bangun datar dan bangun ruang menggunakan benda-benda yang ada di sekitar rumah, sekolah, atau tempat bermain. </v>
          </cell>
          <cell r="R20">
            <v>79.166666666666671</v>
          </cell>
          <cell r="S20" t="str">
            <v>B</v>
          </cell>
          <cell r="T20" t="str">
            <v xml:space="preserve">Mampu      menggambar ekspresi dengan mengolah garis, warna dan bentuk berdasarkan hasil pengamatan di lingkungan sekitarperlu pembinaan dalam    mengenal  pola irama lagu bervariasi menggunakan alat musik ritmis    </v>
          </cell>
          <cell r="U20">
            <v>78.833333333333329</v>
          </cell>
          <cell r="V20" t="str">
            <v>B</v>
          </cell>
          <cell r="W20" t="str">
            <v xml:space="preserve">Mampu    mengetahui konsep bergerak secara seimbang dan cepat dalam rangka pengembangan kebugaran jasmani melalui permainan sederhana dan atau tradisional.  perlu pembinaan dalam   mengetahui konsep gerak dasar lokomotor sesuai dengan dimensi anggota tubuh yang digunakan, arah, ruang  gerak, hubungan, dan usaha, dalam berbagai bentuk permainan sederhana dan atau tradisional.     </v>
          </cell>
          <cell r="X20">
            <v>73.666666666666671</v>
          </cell>
          <cell r="Y20" t="str">
            <v>C</v>
          </cell>
          <cell r="Z20"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20">
            <v>78</v>
          </cell>
          <cell r="AB20" t="str">
            <v>B</v>
          </cell>
          <cell r="AC20" t="str">
            <v xml:space="preserve">Mampu    Mengenal, memahami dan mengidentifikasi shopping activity (how to ask price, show the price, bargain, accept and refuse to bargain, etc)  perlu pembinaan dalam   Mengenal, memahami dan mengidentifikasi macam-macam kalimat (order, request, and prohibition)     </v>
          </cell>
          <cell r="AD20">
            <v>78</v>
          </cell>
          <cell r="AE20" t="str">
            <v>B</v>
          </cell>
          <cell r="AF20" t="str">
            <v xml:space="preserve">Mampu    Memahami wacana dalam bentuk paparan tentang profesi dengan menggunakan pola kalimat isim isyarah/ dhamir + profesi  perlu pembinaan dalam   Memahami wacana dalam bentuk paparan tentang perkenalan diri (1) dengan menggunakan pola kalimat yang meliputi isim isyarah (kata tunjuk) orang atau benda yang dekat (haadza, haadzihi) + alam + isim mufrad     </v>
          </cell>
          <cell r="AG20">
            <v>73.666666666666671</v>
          </cell>
          <cell r="AH20" t="str">
            <v>C</v>
          </cell>
          <cell r="AI20" t="str">
            <v xml:space="preserve">Mampu   memahami kepribadian NU   perlu pembinaan dalam   Mengenal sejarah munculnya Ahlus Sunnah wal Jama'ah     </v>
          </cell>
          <cell r="AJ20">
            <v>77.5</v>
          </cell>
          <cell r="AK20" t="str">
            <v>B</v>
          </cell>
          <cell r="AL20" t="str">
            <v xml:space="preserve">Mampu  Mengenal fungsi ikon-ikon pendukung pengolah kata (word processing)    perlu pembinaan dalam   Mengenal software pengolah kata dengan ikon-ikon pendukung     </v>
          </cell>
          <cell r="AM20">
            <v>75.5</v>
          </cell>
          <cell r="AN20" t="str">
            <v>C</v>
          </cell>
          <cell r="AO20" t="str">
            <v xml:space="preserve">Mampu     Menceritakan kisah keteladanan Nabi Muhammad saw. perlu pembinaan dalam   Membaca Q.S. al-Kaafiruun dengan jelas dan benar     </v>
          </cell>
          <cell r="AP20">
            <v>79.5</v>
          </cell>
          <cell r="AQ20" t="str">
            <v>B</v>
          </cell>
          <cell r="AR20" t="str">
            <v xml:space="preserve">Mampu    Mengamati dan menceriterakan keberagaman karateristik individu di rumah dan sekolah  perlu pembinaan dalam      Mengamati dan menceriterakan kebersamaan dalam keberagaman di rumah dan sekolah   </v>
          </cell>
          <cell r="AS20">
            <v>75.400000000000006</v>
          </cell>
          <cell r="AT20" t="str">
            <v>C</v>
          </cell>
          <cell r="AU20" t="str">
            <v xml:space="preserve">Mampu     membuat teks diagram/label  tentang anggota keluarga dan kerabat secara mandiri dalam bahasa Indonesia lisan dan tulis yang dapat diisi dengan kosa kat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20">
            <v>75.5</v>
          </cell>
          <cell r="AW20" t="str">
            <v>C</v>
          </cell>
          <cell r="AX20" t="str">
            <v xml:space="preserve">Mampu    membentuk berbagai bangun datar dengan menggunakan papan berpaku atau media lainnya perlu pembinaan dalam 0     </v>
          </cell>
          <cell r="AY20">
            <v>75.5</v>
          </cell>
          <cell r="AZ20" t="str">
            <v>C</v>
          </cell>
          <cell r="BA20" t="str">
            <v xml:space="preserve">Mampu      memainkan pola irama lagu bertanda birama dua dengan tepuk dan gerakperlu pembinaan dalam   menggambar ekspresi dengan mengolah garis, warna dan bentuk berdasarkan hasil pengamatan di lingkungan sekitar     </v>
          </cell>
          <cell r="BB20">
            <v>75.5</v>
          </cell>
          <cell r="BC20" t="str">
            <v>C</v>
          </cell>
          <cell r="BD20" t="str">
            <v xml:space="preserve">Mampu      mempraktikkan penggunaan pola gerak dasar lokomotor dan non-lokomotor sesuai dengan irama (ketukan) tanpa/dengan musik dalam aktivitas gerak rimtik.perlu pembinaan dalam   mempraktikkan pola gerak dasar lokomotor sesuai dengan dimensi anggota tubuh yang digunakan, arah, ruang gerak, hubungan dan usaha, dalam berbagai bentuk permainan sederhana dan atau tradisional.     </v>
          </cell>
          <cell r="BE20">
            <v>73.666666666666671</v>
          </cell>
          <cell r="BF20" t="str">
            <v>C</v>
          </cell>
          <cell r="BG20"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20">
            <v>77.5</v>
          </cell>
          <cell r="BI20" t="str">
            <v>B</v>
          </cell>
          <cell r="BJ20" t="str">
            <v xml:space="preserve">Mampu  Membuat percakapan tentang aktifitas berbelanja dan mempraktikkan di depan kelas berpasang-pasangan    perlu pembinaan dalam   Menulis kalimat order, request dan prohibition dengan baik sesuai dengan rumus      </v>
          </cell>
          <cell r="BK20">
            <v>77.5</v>
          </cell>
          <cell r="BL20" t="str">
            <v>B</v>
          </cell>
          <cell r="BM20" t="str">
            <v xml:space="preserve">Mampu  Menuliskan kata atau ungkapan pendek  sederhana tentang kegiatan sehari-hari disertai waktu    perlu pembinaan dalam   Memahami wacana tertulis dalam bentuk paparan atau bacaan tentang kegiatan sehari-hari disertai waktu     </v>
          </cell>
          <cell r="BN20">
            <v>75.5</v>
          </cell>
          <cell r="BO20" t="str">
            <v>C</v>
          </cell>
          <cell r="BP20" t="str">
            <v xml:space="preserve">Mampu      kdperlu pembinaan dalam   kd     </v>
          </cell>
          <cell r="BQ20">
            <v>77.5</v>
          </cell>
          <cell r="BR20" t="str">
            <v>B</v>
          </cell>
          <cell r="BS20" t="str">
            <v xml:space="preserve">Mampu  Terampil mengoperasikan ikon-ikon text box, shapes, clip art, picture dan insert tabel    perlu pembinaan dalam   Menunjukkan ikon untuk membuat gambar dan teks     </v>
          </cell>
          <cell r="BT20" t="str">
            <v xml:space="preserve"> 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20" t="str">
            <v>Catur</v>
          </cell>
          <cell r="BV20" t="str">
            <v>baik sekali</v>
          </cell>
          <cell r="BW20">
            <v>0</v>
          </cell>
          <cell r="BX20">
            <v>0</v>
          </cell>
          <cell r="BY20" t="str">
            <v>8 hari</v>
          </cell>
          <cell r="BZ20">
            <v>0</v>
          </cell>
          <cell r="CA20">
            <v>0</v>
          </cell>
          <cell r="CB20" t="str">
            <v xml:space="preserve">Alhamdulillah, ananda selama satu semester ini sudah banyak peningkatan dalam prestasi belajarnya, mohon ditingkatkan lagi prestasinya. Jangan lupa sholat lima waktu dan selalu berdo'a. </v>
          </cell>
          <cell r="CC20" t="str">
            <v>130 cm</v>
          </cell>
          <cell r="CD20" t="str">
            <v>30 kg</v>
          </cell>
          <cell r="CE20" t="str">
            <v>Baik, normal</v>
          </cell>
          <cell r="CF20" t="str">
            <v>Baik, normal</v>
          </cell>
          <cell r="CG20" t="str">
            <v xml:space="preserve">Geraham  karies. </v>
          </cell>
          <cell r="CH20" t="str">
            <v xml:space="preserve">Lomba Hifdzul Qur'an Jus'amma </v>
          </cell>
          <cell r="CI20" t="str">
            <v>Juara Harapan I pada kegiatan Pondok Romadhon SD Islam Tompokersan 1435 H</v>
          </cell>
          <cell r="CJ20">
            <v>0</v>
          </cell>
          <cell r="CK20">
            <v>0</v>
          </cell>
        </row>
        <row r="21">
          <cell r="B21">
            <v>4868</v>
          </cell>
          <cell r="C21" t="str">
            <v xml:space="preserve">Muhammad Bintang Ramadhan </v>
          </cell>
          <cell r="D21" t="str">
            <v xml:space="preserve">Menunjukkan sikap     yang sangat menonjol. perlu pembinaan dalam     </v>
          </cell>
          <cell r="E21" t="str">
            <v xml:space="preserve">Menunjukkan sikap   suka bekerjasama, membantu teman yang kesulitan,    Perlu bimbingan dalam sikapberani dan percaya diri ketika mengunkapkan pendapat.      </v>
          </cell>
          <cell r="F21">
            <v>80</v>
          </cell>
          <cell r="G21" t="str">
            <v>B</v>
          </cell>
          <cell r="H21" t="str">
            <v xml:space="preserve">Mampu Mengetahui makna Q.S. Al-Kaafiruun dengan benar,      perlu pembinaan dalam       Mengetahui kisah Nabi Muhammad saw. </v>
          </cell>
          <cell r="I21">
            <v>72.75</v>
          </cell>
          <cell r="J21" t="str">
            <v>C</v>
          </cell>
          <cell r="K21" t="str">
            <v xml:space="preserve">Mampu mengenal simbol-simbol sila Pancasila dalam lambang negara “Garuda Pancasila”     perlu pembinaan dalam     mengenal keberagaman karateristik individu di rumah dan di sekolah   </v>
          </cell>
          <cell r="L21">
            <v>77.599999999999994</v>
          </cell>
          <cell r="M21" t="str">
            <v>B</v>
          </cell>
          <cell r="N21" t="str">
            <v xml:space="preserve">Mampu   mengenal teks terima kasih tentang sikap kasih sayang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21">
            <v>72.166666666666671</v>
          </cell>
          <cell r="P21" t="str">
            <v>C</v>
          </cell>
          <cell r="Q21" t="str">
            <v>Mampu mengenal lambang bilangan dan mendeskripsikan kemunculan bilangan dengan bahasa yang sederhana   menunjukkan pemahaman tentang besaran dengan menghitung maju sampai 100 dan mundur dari 20  perlu pembinaan dalam     mengenal dan memprediksi pola-pola bilangan sederhana menggunakan gambar-gambar/benda konkrit  menemukan bangun yang membentuk pola pengubinan sederhana</v>
          </cell>
          <cell r="R21">
            <v>79.5</v>
          </cell>
          <cell r="S21" t="str">
            <v>B</v>
          </cell>
          <cell r="T21" t="str">
            <v xml:space="preserve">Mampu   mengenal unsur-unsur gerak, bagian-bagian gerak anggota tubuh dan level gerak dalam menari   perlu pembinaan dalam       mengenal karya seni budaya benda dan bahasa daerah setempat </v>
          </cell>
          <cell r="U21">
            <v>79.666666666666671</v>
          </cell>
          <cell r="V21" t="str">
            <v>B</v>
          </cell>
          <cell r="W21" t="str">
            <v xml:space="preserve">Mampu mengetahui konsep gerak dasar lokomotor sesuai dengan dimensi anggota tubuh yang digunakan, arah, ruang  gerak, hubungan, dan usaha, dalam berbagai bentuk permainan sederhana dan atau tradisional.     perlu pembinaan dalam        mengetahui konsep penggunaan pola gerak dasar lokomotor dan non-lokomotor sesuai dengan irama (ketukan) tanpa/ dengan musik dalam aktivitas gerak rimtik. </v>
          </cell>
          <cell r="X21">
            <v>85.666666666666671</v>
          </cell>
          <cell r="Y21" t="str">
            <v>B</v>
          </cell>
          <cell r="Z21"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21">
            <v>80.5</v>
          </cell>
          <cell r="AB21" t="str">
            <v>B</v>
          </cell>
          <cell r="AC21"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21">
            <v>80.5</v>
          </cell>
          <cell r="AE21" t="str">
            <v>B</v>
          </cell>
          <cell r="AF21"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21">
            <v>85.666666666666671</v>
          </cell>
          <cell r="AH21" t="str">
            <v>B</v>
          </cell>
          <cell r="AI21" t="str">
            <v xml:space="preserve">Mampu  Memahami amaliah NU    perlu pembinaan dalam     memahami kepribadian NU   </v>
          </cell>
          <cell r="AJ21">
            <v>84</v>
          </cell>
          <cell r="AK21" t="str">
            <v>B</v>
          </cell>
          <cell r="AL21" t="str">
            <v xml:space="preserve">Mampu Mengenal software pengolah kata dengan ikon-ikon pendukung     perlu pembinaan dalam    Mengenal fungsi ikon-ikon pendukung pengolah kata (word processing)    </v>
          </cell>
          <cell r="AM21">
            <v>85.5</v>
          </cell>
          <cell r="AN21" t="str">
            <v>B</v>
          </cell>
          <cell r="AO21" t="str">
            <v xml:space="preserve">Mampu Membaca Q.S. al-Kaafiruun dengan jelas dan benar     perlu pembinaan dalam       Menceritakan kisah keteladanan Nabi Muhammad saw. </v>
          </cell>
          <cell r="AP21">
            <v>77</v>
          </cell>
          <cell r="AQ21" t="str">
            <v>B</v>
          </cell>
          <cell r="AR21" t="str">
            <v xml:space="preserve">Mampu Mengamati dan menceritakan perilaku di sekitar rumah dan sekolah dan mengaitkannya dengan pengenalannya terhadap salah satu simbol sila Pancasila     perlu pembinaan dalam      Mengamati dan menceriterakan keberagaman karateristik individu di rumah dan sekolah  </v>
          </cell>
          <cell r="AS21">
            <v>84</v>
          </cell>
          <cell r="AT21" t="str">
            <v>B</v>
          </cell>
          <cell r="AU21"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21">
            <v>83</v>
          </cell>
          <cell r="AW21" t="str">
            <v>B</v>
          </cell>
          <cell r="AX21" t="str">
            <v xml:space="preserve">Mampu0     perlu pembinaan dalam     membentuk berbagai bangun datar dengan menggunakan papan berpaku atau media lainnya </v>
          </cell>
          <cell r="AY21">
            <v>83</v>
          </cell>
          <cell r="AZ21" t="str">
            <v>B</v>
          </cell>
          <cell r="BA21" t="str">
            <v>Mampu menggambar ekspresi dengan mengolah garis, warna dan bentuk berdasarkan hasil pengamatan di lingkungan sekitar     perlu pembinaan dalam        memainkan pola irama lagu bertanda birama dua dengan tepuk dan gerak</v>
          </cell>
          <cell r="BB21">
            <v>83</v>
          </cell>
          <cell r="BC21" t="str">
            <v>B</v>
          </cell>
          <cell r="BD21" t="str">
            <v>Mampu mempraktikkan pola gerak dasar lokomotor sesuai dengan dimensi anggota tubuh yang digunakan, arah, ruang gerak, hubungan dan usaha, dalam berbagai bentuk permainan sederhana dan atau tradisional.     perlu pembinaan dalam        mempraktikkan penggunaan pola gerak dasar lokomotor dan non-lokomotor sesuai dengan irama (ketukan) tanpa/dengan musik dalam aktivitas gerak rimtik.</v>
          </cell>
          <cell r="BE21">
            <v>85.666666666666671</v>
          </cell>
          <cell r="BF21" t="str">
            <v>B</v>
          </cell>
          <cell r="BG21" t="str">
            <v xml:space="preserve">Mampu  menceritakan isi tembang macapat.     perlu pembinaan dalam     menanggapi teks lisan maupun tulis yang memuat ungkapan tradisional Jawa/ Madura (paribasan, bebasan, saloka)   </v>
          </cell>
          <cell r="BH21">
            <v>84</v>
          </cell>
          <cell r="BI21" t="str">
            <v>B</v>
          </cell>
          <cell r="BJ21" t="str">
            <v xml:space="preserve">Mampu Menulis kalimat order, request dan prohibition dengan baik sesuai dengan rumus      perlu pembinaan dalam    Membuat percakapan tentang aktifitas berbelanja dan mempraktikkan di depan kelas berpasang-pasangan    </v>
          </cell>
          <cell r="BK21">
            <v>84</v>
          </cell>
          <cell r="BL21" t="str">
            <v>B</v>
          </cell>
          <cell r="BM21" t="str">
            <v xml:space="preserve">Mampu Memahami wacana tertulis dalam bentuk paparan atau bacaan tentang kegiatan sehari-hari disertai waktu     perlu pembinaan dalam    Menuliskan kata atau ungkapan pendek  sederhana tentang kegiatan sehari-hari disertai waktu    </v>
          </cell>
          <cell r="BN21">
            <v>83</v>
          </cell>
          <cell r="BO21" t="str">
            <v>B</v>
          </cell>
          <cell r="BP21" t="str">
            <v>Mampu kd     perlu pembinaan dalam        kd</v>
          </cell>
          <cell r="BQ21">
            <v>84</v>
          </cell>
          <cell r="BR21" t="str">
            <v>B</v>
          </cell>
          <cell r="BS21" t="str">
            <v xml:space="preserve">Mampu Menunjukkan ikon untuk membuat gambar dan teks     perlu pembinaan dalam    Terampil mengoperasikan ikon-ikon text box, shapes, clip art, picture dan insert tabel    </v>
          </cell>
          <cell r="BT21" t="str">
            <v xml:space="preserve">Perlu pembinaan dalam   Mengetahui tetang Semaphore, Morse, Sandi dan tekspram serta dapat menyebutkan tanda pengenal pada seragam pramuka dan melaksanakan penempuhan SKU golongan Siaga </v>
          </cell>
          <cell r="BU21" t="str">
            <v>Drumband</v>
          </cell>
          <cell r="BV21" t="str">
            <v>baik sekali</v>
          </cell>
          <cell r="BW21">
            <v>0</v>
          </cell>
          <cell r="BX21">
            <v>0</v>
          </cell>
          <cell r="BY21" t="str">
            <v>1 hari</v>
          </cell>
          <cell r="BZ21">
            <v>0</v>
          </cell>
          <cell r="CA21">
            <v>0</v>
          </cell>
          <cell r="CB21" t="str">
            <v xml:space="preserve">Alhamdulillah, ananda selama satu semester ini sudah banyak peningkatan dalam prestasi belajarnya, mohon ditingkatkan lagi prestasinya. Jangan lupa sholat lima waktu dan selalu berdo'a. </v>
          </cell>
          <cell r="CC21" t="str">
            <v>128 cm</v>
          </cell>
          <cell r="CD21" t="str">
            <v>23 kg</v>
          </cell>
          <cell r="CE21" t="str">
            <v>Baik, normal</v>
          </cell>
          <cell r="CF21" t="str">
            <v>Baik, normal</v>
          </cell>
          <cell r="CG21" t="str">
            <v>Geraham bawah kiri karies</v>
          </cell>
          <cell r="CH21" t="str">
            <v>Futsal</v>
          </cell>
          <cell r="CI21" t="str">
            <v>Juara 1 (class meeting semester 1)</v>
          </cell>
          <cell r="CJ21">
            <v>0</v>
          </cell>
          <cell r="CK21">
            <v>0</v>
          </cell>
        </row>
        <row r="22">
          <cell r="B22">
            <v>4871</v>
          </cell>
          <cell r="C22" t="str">
            <v>Muhammad Galfin Al Farisy</v>
          </cell>
          <cell r="D22" t="str">
            <v xml:space="preserve">Menunjukkan sikap     yang sangat menonjol. perlu pembinaan dalam     </v>
          </cell>
          <cell r="E22" t="str">
            <v xml:space="preserve">Menunjukkan sikap   suka bekerjasama, membantu teman yang kesulitan,    Perlu bimbingan dalam sikapberani dan percaya diri ketika mengunkapkan pendapat.      </v>
          </cell>
          <cell r="F22">
            <v>82.333333333333329</v>
          </cell>
          <cell r="G22" t="str">
            <v>B</v>
          </cell>
          <cell r="H22" t="str">
            <v>Mampu  Mengerti makna Asma'ul Husna : as-Samad, al- Muqtadir, al-Muqaddim, al-Baqi    perlu pembinaan dalam     Memahami hikmah beriman kepada Hari Akhir yang dapat membentuk perilaku akhlak mulia</v>
          </cell>
          <cell r="I22">
            <v>80.75</v>
          </cell>
          <cell r="J22" t="str">
            <v>B</v>
          </cell>
          <cell r="K22" t="str">
            <v xml:space="preserve">Mampu  mengenal tata tertib dan aturan yang berlaku dalam kehidupan sehari-hari di rumah dan sekolah    perlu pembinaan dalam   mengenal simbol-simbol sila Pancasila dalam lambang negara “Garuda Pancasila”     </v>
          </cell>
          <cell r="L22">
            <v>83.2</v>
          </cell>
          <cell r="M22" t="str">
            <v>B</v>
          </cell>
          <cell r="N22"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22">
            <v>79.833333333333329</v>
          </cell>
          <cell r="P22" t="str">
            <v>B</v>
          </cell>
          <cell r="Q22" t="str">
            <v xml:space="preserve">Mampu  mengenal bilangan asli sampai 99 dengan menggunakan benda-benda yang ada di sekitar rumah, sekolah, atau tempat bermain    perlu pembinaan dalam   mengenal lambang bilangan dan mendeskripsikan kemunculan bilangan dengan bahasa yang sederhana   menunjukkan pemahaman tentang besaran dengan menghitung maju sampai 100 dan mundur dari 20  </v>
          </cell>
          <cell r="R22">
            <v>78</v>
          </cell>
          <cell r="S22" t="str">
            <v>B</v>
          </cell>
          <cell r="T22" t="str">
            <v xml:space="preserve">Mampu    mengamati berbagai bahan, alat serta fungsinya dalam membuat prakarya  perlu pembinaan dalam    mengenal  pola irama lagu bervariasi menggunakan alat musik ritmis    </v>
          </cell>
          <cell r="U22">
            <v>82</v>
          </cell>
          <cell r="V22" t="str">
            <v>B</v>
          </cell>
          <cell r="W22" t="str">
            <v xml:space="preserve">Mampu   mengetahui konsep gerak dasar manipulatif sesuai dengan dimensi anggota tubuh yang  digunakan, arah, ruang  gerak, hubungan, dan usaha, dalam berbagai bentuk permainan sederhana dan atau permainan tradisional.   perlu pembinaan dalam      mengetahui konsep bergerak secara seimbang dan cepat dalam rangka pengembangan kebugaran jasmani melalui permainan sederhana dan atau tradisional.  </v>
          </cell>
          <cell r="X22">
            <v>78</v>
          </cell>
          <cell r="Y22" t="str">
            <v>B</v>
          </cell>
          <cell r="Z22"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22">
            <v>77.5</v>
          </cell>
          <cell r="AB22" t="str">
            <v>B</v>
          </cell>
          <cell r="AC22" t="str">
            <v xml:space="preserve">Mampu   Mengenal, memahami dan mengidentifikasi macam-macam compass at the map and traffic sign   perlu pembinaan dalam   Mengenal, memahami dan mengidentifikasi macam-macam kalimat (order, request, and prohibition)     </v>
          </cell>
          <cell r="AD22">
            <v>77.5</v>
          </cell>
          <cell r="AE22" t="str">
            <v>B</v>
          </cell>
          <cell r="AF22" t="str">
            <v xml:space="preserve">Mampu   Memahami wacana dalam bentuk paparan tentang perkenalan diri(2) dengan menggunakan pola kalimat yang meliputi dhamir (kata ganti) ana, anta, anti, huwa, hiya + isim mufrad mu’annats/mudzakkar    perlu pembinaan dalam   Memahami wacana dalam bentuk paparan tentang perkenalan diri (1) dengan menggunakan pola kalimat yang meliputi isim isyarah (kata tunjuk) orang atau benda yang dekat (haadza, haadzihi) + alam + isim mufrad     </v>
          </cell>
          <cell r="AG22">
            <v>78</v>
          </cell>
          <cell r="AH22" t="str">
            <v>B</v>
          </cell>
          <cell r="AI22" t="str">
            <v xml:space="preserve">Mampu   memahami kepribadian NU   perlu pembinaan dalam   Mengenal sejarah munculnya Ahlus Sunnah wal Jama'ah     </v>
          </cell>
          <cell r="AJ22">
            <v>84.5</v>
          </cell>
          <cell r="AK22" t="str">
            <v>B</v>
          </cell>
          <cell r="AL22" t="str">
            <v xml:space="preserve">Mampu  Mengenal fungsi ikon-ikon pendukung pengolah kata (word processing)    perlu pembinaan dalam   Mengenal software pengolah kata dengan ikon-ikon pendukung     </v>
          </cell>
          <cell r="AM22">
            <v>79.166666666666671</v>
          </cell>
          <cell r="AN22" t="str">
            <v>B</v>
          </cell>
          <cell r="AO22" t="str">
            <v xml:space="preserve">Mampu    Mencontohkan perilaku toleran dan simpati sebagai implementasi dari pemahaman Q.S. al-Kaafiruun  perlu pembinaan dalam    Menulis Q.S. al-Kaafiruun dengan jelas dan benar    </v>
          </cell>
          <cell r="AP22">
            <v>81.75</v>
          </cell>
          <cell r="AQ22" t="str">
            <v>B</v>
          </cell>
          <cell r="AR22" t="str">
            <v xml:space="preserve">Mampu    Melaksanakan tata tertib di rumah dan sekolah    perlu pembinaan dalam   Mengamati dan menceritakan perilaku di sekitar rumah dan sekolah dan mengaitkannya dengan pengenalannya terhadap salah satu simbol sila Pancasila  Mengamati dan menceriterakan kebersamaan dalam keberagaman di rumah dan sekolah   </v>
          </cell>
          <cell r="AS22">
            <v>77.599999999999994</v>
          </cell>
          <cell r="AT22" t="str">
            <v>B</v>
          </cell>
          <cell r="AU22" t="str">
            <v xml:space="preserve">Mampu    menyampaikan teks cerita diri/personal tentang keluarga secara mandiri dalam bahasa Indonesia lisan dan tulis  yang dapat diisi dengan kosakata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22">
            <v>77.666666666666671</v>
          </cell>
          <cell r="AW22" t="str">
            <v>B</v>
          </cell>
          <cell r="AX22" t="str">
            <v xml:space="preserve">Mampu   mendeskripsikan, mengembangkan, dan membuat pola yang berulang  perlu pembinaan dalam  menggunakan benda konkrit untuk menelusuri pecahan dan jumlah uang     </v>
          </cell>
          <cell r="AY22">
            <v>77.666666666666671</v>
          </cell>
          <cell r="AZ22" t="str">
            <v>B</v>
          </cell>
          <cell r="BA22" t="str">
            <v xml:space="preserve">Mampu     menyanyikan lagu anak-anak dan memperagakan tepuk birama dengan gerak perlu pembinaan dalam     menggambar dengan memanfaatkan beragam media kering   </v>
          </cell>
          <cell r="BB22">
            <v>77.666666666666671</v>
          </cell>
          <cell r="BC22" t="str">
            <v>B</v>
          </cell>
          <cell r="BD22" t="str">
            <v xml:space="preserve">Mampu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perlu pembinaan dalam    mempraktikkan pola gerak dasar non-lokomotor sesuai dengan dimensi anggota tubuh yang digunakan, arah, ruang gerak, hubungan, dan usaha,dalam berbagai bentuk permainan sederhana dan atau tradisional.    </v>
          </cell>
          <cell r="BE22">
            <v>78</v>
          </cell>
          <cell r="BF22" t="str">
            <v>B</v>
          </cell>
          <cell r="BG22"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22">
            <v>84.5</v>
          </cell>
          <cell r="BI22" t="str">
            <v>B</v>
          </cell>
          <cell r="BJ22" t="str">
            <v xml:space="preserve">Mampu  Membuat percakapan tentang aktifitas berbelanja dan mempraktikkan di depan kelas berpasang-pasangan    perlu pembinaan dalam   Menulis kalimat order, request dan prohibition dengan baik sesuai dengan rumus      </v>
          </cell>
          <cell r="BK22">
            <v>84.5</v>
          </cell>
          <cell r="BL22" t="str">
            <v>B</v>
          </cell>
          <cell r="BM22" t="str">
            <v xml:space="preserve">Mampu  Menuliskan kata atau ungkapan pendek  sederhana tentang kegiatan sehari-hari disertai waktu    perlu pembinaan dalam   Memahami wacana tertulis dalam bentuk paparan atau bacaan tentang kegiatan sehari-hari disertai waktu     </v>
          </cell>
          <cell r="BN22">
            <v>77.666666666666671</v>
          </cell>
          <cell r="BO22" t="str">
            <v>B</v>
          </cell>
          <cell r="BP22" t="str">
            <v xml:space="preserve">Mampu     kd perlu pembinaan dalam     kd   </v>
          </cell>
          <cell r="BQ22">
            <v>84.5</v>
          </cell>
          <cell r="BR22" t="str">
            <v>B</v>
          </cell>
          <cell r="BS22" t="str">
            <v xml:space="preserve">Mampu  Terampil mengoperasikan ikon-ikon text box, shapes, clip art, picture dan insert tabel    perlu pembinaan dalam   Menunjukkan ikon untuk membuat gambar dan teks     </v>
          </cell>
          <cell r="BT22" t="str">
            <v xml:space="preserve">Perlu pembinaan dalam  Mengetahui simpul mati, simpul hidup, simpul anyam, simpul pangkal dan simpul jangkarMengetahui tetang Semaphore, Morse, Sandi dan tekspram serta dapat menyebutkan tanda pengenal pada seragam pramuka dan melaksanakan penempuhan SKU golongan Siaga </v>
          </cell>
          <cell r="BU22" t="str">
            <v>Futsal</v>
          </cell>
          <cell r="BV22" t="str">
            <v>baik sekali</v>
          </cell>
          <cell r="BW22">
            <v>0</v>
          </cell>
          <cell r="BX22">
            <v>0</v>
          </cell>
          <cell r="BY22" t="str">
            <v>4 hari</v>
          </cell>
          <cell r="BZ22">
            <v>0</v>
          </cell>
          <cell r="CA22">
            <v>0</v>
          </cell>
          <cell r="CB22" t="str">
            <v xml:space="preserve">Alhamdulillah, ananda selama satu semester ini sudah banyak peningkatan dalam prestasi belajarnya, mohon ditingkatkan lagi prestasinya. Jangan lupa sholat lima waktu dan selalu berdo'a. </v>
          </cell>
          <cell r="CC22" t="str">
            <v>152 cm</v>
          </cell>
          <cell r="CD22" t="str">
            <v>60 kg</v>
          </cell>
          <cell r="CE22" t="str">
            <v>Baik, normal</v>
          </cell>
          <cell r="CF22" t="str">
            <v>Baik, normal</v>
          </cell>
          <cell r="CG22" t="str">
            <v>Bagus</v>
          </cell>
          <cell r="CH22" t="str">
            <v>Futsal</v>
          </cell>
          <cell r="CI22" t="str">
            <v>Juara 1 (class meeting semester 1)</v>
          </cell>
          <cell r="CJ22">
            <v>0</v>
          </cell>
          <cell r="CK22">
            <v>0</v>
          </cell>
        </row>
        <row r="23">
          <cell r="B23">
            <v>4873</v>
          </cell>
          <cell r="C23" t="str">
            <v>Muhammad Nazil Raihan Hadi</v>
          </cell>
          <cell r="D23" t="str">
            <v xml:space="preserve">Menunjukkan sikap     yang sangat menonjol. perlu pembinaan dalam     </v>
          </cell>
          <cell r="E23" t="str">
            <v xml:space="preserve">Menunjukkan sikap   suka bekerjasama, membantu teman yang kesulitan,    Perlu bimbingan dalam sikapberani dan percaya diri ketika mengunkapkan pendapat.      </v>
          </cell>
          <cell r="F23">
            <v>78</v>
          </cell>
          <cell r="G23" t="str">
            <v>B</v>
          </cell>
          <cell r="H23" t="str">
            <v xml:space="preserve">Mampu    Memahami hikmah berzakat sebagai implementasi rukun Islam  perlu pembinaan dalam   Mengetahui makna Q.S. Al-Kaafiruun dengan benar,      </v>
          </cell>
          <cell r="I23">
            <v>84</v>
          </cell>
          <cell r="J23" t="str">
            <v>B</v>
          </cell>
          <cell r="K23" t="str">
            <v xml:space="preserve">Mampu  mengenal tata tertib dan aturan yang berlaku dalam kehidupan sehari-hari di rumah dan sekolah mengenal arti bersatu dalam keberagaman di rumah dan sekolah  perlu pembinaan dalam     mengenal keberagaman karateristik individu di rumah dan di sekolah   </v>
          </cell>
          <cell r="L23">
            <v>85</v>
          </cell>
          <cell r="M23" t="str">
            <v>B</v>
          </cell>
          <cell r="N23" t="str">
            <v xml:space="preserve">Mampu   mengenal teks petunjuk/arahan tentang perawatan tubuh serta pemeliharaan kesehatan dan kebugaran tubuh dengan bantuan guru atau teman dalam bahasa Indonesia lisan dan tulis yang dapat diisi dengan kosakata bahasa daerah untuk membantu pemahaman  Mengenal teks diagram/label tentang anggota keluarga dan kerabat dengan bantuan guru atau teman dalam bahasa Indonesia lisan dan tulis yang dapat diisi dengan kosakata bahasa daerah untuk membantu pemahaman perlu pembinaan dalam     mengenal teks terima kasih tentang sikap kasih sayang dengan bantuan guru atau teman dalam bahasa Indonesia lisan dan tulis yang dapat diisi dengan kosakata bahasa daerah untuk membantu pemahaman   </v>
          </cell>
          <cell r="O23">
            <v>81.666666666666671</v>
          </cell>
          <cell r="P23" t="str">
            <v>B</v>
          </cell>
          <cell r="Q23" t="str">
            <v>Mampu  mengenal bilangan asli sampai 99 dengan menggunakan benda-benda yang ada di sekitar rumah, sekolah, atau tempat bermain  mengenal bangun datar dan bangun ruang menggunakan benda-benda yang ada di sekitar rumah, sekolah, atau tempat bermain. perlu pembinaan dalam     mengenal dan memprediksi pola-pola bilangan sederhana menggunakan gambar-gambar/benda konkrit  menemukan bangun yang membentuk pola pengubinan sederhana</v>
          </cell>
          <cell r="R23">
            <v>85.333333333333329</v>
          </cell>
          <cell r="S23" t="str">
            <v>B</v>
          </cell>
          <cell r="T23" t="str">
            <v xml:space="preserve">Mampu  mengenal  pola irama lagu bervariasi menggunakan alat musik ritmis    perlu pembinaan dalam       mengenal karya seni budaya benda dan bahasa daerah setempat </v>
          </cell>
          <cell r="U23">
            <v>79.833333333333329</v>
          </cell>
          <cell r="V23" t="str">
            <v>B</v>
          </cell>
          <cell r="W23" t="str">
            <v xml:space="preserve">Mampu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perlu pembinaan dalam   mengetahui konsep gerak dasar lokomotor sesuai dengan dimensi anggota tubuh yang digunakan, arah, ruang  gerak, hubungan, dan usaha, dalam berbagai bentuk permainan sederhana dan atau tradisional.     </v>
          </cell>
          <cell r="X23">
            <v>89</v>
          </cell>
          <cell r="Y23" t="str">
            <v>B</v>
          </cell>
          <cell r="Z23"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23">
            <v>84.5</v>
          </cell>
          <cell r="AB23" t="str">
            <v>B</v>
          </cell>
          <cell r="AC23" t="str">
            <v xml:space="preserve">Mampu Mengenal, memahami dan mengidentifikasi macam-macam kalimat (order, request, and prohibition)     perlu pembinaan dalam      Mengenal, memahami dan mengidentifikasi shopping activity (how to ask price, show the price, bargain, accept and refuse to bargain, etc)  </v>
          </cell>
          <cell r="AD23">
            <v>84.5</v>
          </cell>
          <cell r="AE23" t="str">
            <v>B</v>
          </cell>
          <cell r="AF23"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profesi dengan menggunakan pola kalimat isim isyarah/ dhamir + profesi  </v>
          </cell>
          <cell r="AG23">
            <v>89</v>
          </cell>
          <cell r="AH23" t="str">
            <v>B</v>
          </cell>
          <cell r="AI23" t="str">
            <v xml:space="preserve">Mampu Mengenal sejarah munculnya Ahlus Sunnah wal Jama'ah     perlu pembinaan dalam     memahami kepribadian NU   </v>
          </cell>
          <cell r="AJ23">
            <v>84.5</v>
          </cell>
          <cell r="AK23" t="str">
            <v>B</v>
          </cell>
          <cell r="AL23" t="str">
            <v xml:space="preserve">Mampu Mengenal software pengolah kata dengan ikon-ikon pendukung     perlu pembinaan dalam    Mengenal fungsi ikon-ikon pendukung pengolah kata (word processing)    </v>
          </cell>
          <cell r="AM23">
            <v>77.666666666666671</v>
          </cell>
          <cell r="AN23" t="str">
            <v>B</v>
          </cell>
          <cell r="AO23" t="str">
            <v>Mampu  Menulis Q.S. al-Kaafiruun dengan jelas dan benar    perlu pembinaan dalam        Menceritakan kisah keteladanan sahabat-sahabat Nabi Muhammad saw.</v>
          </cell>
          <cell r="AP23">
            <v>84</v>
          </cell>
          <cell r="AQ23" t="str">
            <v>B</v>
          </cell>
          <cell r="AR23" t="str">
            <v xml:space="preserve">Mampu    Mengamati dan menceriterakan kebersamaan dalam keberagaman di rumah dan sekolah   perlu pembinaan dalam      Mengamati dan menceriterakan keberagaman karateristik individu di rumah dan sekolah  </v>
          </cell>
          <cell r="AS23">
            <v>80.8</v>
          </cell>
          <cell r="AT23" t="str">
            <v>B</v>
          </cell>
          <cell r="AU23" t="str">
            <v xml:space="preserve">Mampu   mempraktikkan teks arahan/petunjuk tentang merawat tubuh serta kesehatan dan kebugaran tubuh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23">
            <v>82.5</v>
          </cell>
          <cell r="AW23" t="str">
            <v>B</v>
          </cell>
          <cell r="AX23" t="str">
            <v xml:space="preserve">Mampu menggunakan benda konkrit untuk menelusuri pecahan dan jumlah uang     perlu pembinaan dalam 0     </v>
          </cell>
          <cell r="AY23">
            <v>82.5</v>
          </cell>
          <cell r="AZ23" t="str">
            <v>B</v>
          </cell>
          <cell r="BA23" t="str">
            <v xml:space="preserve">Mampu   menggambar dengan memanfaatkan beragam media kering   perlu pembinaan dalam   menggambar ekspresi dengan mengolah garis, warna dan bentuk berdasarkan hasil pengamatan di lingkungan sekitar     </v>
          </cell>
          <cell r="BB23">
            <v>82.5</v>
          </cell>
          <cell r="BC23" t="str">
            <v>B</v>
          </cell>
          <cell r="BD23" t="str">
            <v xml:space="preserve">Mampu  mempraktikkan pola gerak dasar non-lokomotor sesuai dengan dimensi anggota tubuh yang digunakan, arah, ruang gerak, hubungan, dan usaha,dalam berbagai bentuk permainan sederhana dan atau tradisional.    perlu pembinaan dalam   mempraktikkan pola gerak dasar lokomotor sesuai dengan dimensi anggota tubuh yang digunakan, arah, ruang gerak, hubungan dan usaha, dalam berbagai bentuk permainan sederhana dan atau tradisional.     </v>
          </cell>
          <cell r="BE23">
            <v>89</v>
          </cell>
          <cell r="BF23" t="str">
            <v>B</v>
          </cell>
          <cell r="BG23"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23">
            <v>84.5</v>
          </cell>
          <cell r="BI23" t="str">
            <v>B</v>
          </cell>
          <cell r="BJ23" t="str">
            <v xml:space="preserve">Mampu Menulis kalimat order, request dan prohibition dengan baik sesuai dengan rumus      perlu pembinaan dalam    Membuat percakapan tentang aktifitas berbelanja dan mempraktikkan di depan kelas berpasang-pasangan    </v>
          </cell>
          <cell r="BK23">
            <v>84.5</v>
          </cell>
          <cell r="BL23" t="str">
            <v>B</v>
          </cell>
          <cell r="BM23" t="str">
            <v xml:space="preserve">Mampu Memahami wacana tertulis dalam bentuk paparan atau bacaan tentang kegiatan sehari-hari disertai waktu     perlu pembinaan dalam    Menuliskan kata atau ungkapan pendek  sederhana tentang kegiatan sehari-hari disertai waktu    </v>
          </cell>
          <cell r="BN23">
            <v>82.5</v>
          </cell>
          <cell r="BO23" t="str">
            <v>B</v>
          </cell>
          <cell r="BP23" t="str">
            <v xml:space="preserve">Mampu   kd   perlu pembinaan dalam   kd     </v>
          </cell>
          <cell r="BQ23">
            <v>84.5</v>
          </cell>
          <cell r="BR23" t="str">
            <v>B</v>
          </cell>
          <cell r="BS23" t="str">
            <v xml:space="preserve">Mampu Menunjukkan ikon untuk membuat gambar dan teks     perlu pembinaan dalam    Terampil mengoperasikan ikon-ikon text box, shapes, clip art, picture dan insert tabel    </v>
          </cell>
          <cell r="BT23" t="str">
            <v xml:space="preserve">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23" t="str">
            <v>Drumband</v>
          </cell>
          <cell r="BV23" t="str">
            <v>baik sekali</v>
          </cell>
          <cell r="BW23">
            <v>0</v>
          </cell>
          <cell r="BX23">
            <v>0</v>
          </cell>
          <cell r="BY23" t="str">
            <v>3 hari</v>
          </cell>
          <cell r="BZ23">
            <v>0</v>
          </cell>
          <cell r="CA23">
            <v>0</v>
          </cell>
          <cell r="CB23" t="str">
            <v xml:space="preserve">Alhamdulillah, ananda selama satu semester ini sudah banyak peningkatan dalam prestasi belajarnya, mohon ditingkatkan konsentrasi ketika pembelajaran  agar prestasi ananda lebih baik lagi.  Jangan lupa sholat lima waktu dan selalu berdo'a. </v>
          </cell>
          <cell r="CC23" t="str">
            <v>126 cm</v>
          </cell>
          <cell r="CD23" t="str">
            <v>21 kg</v>
          </cell>
          <cell r="CE23" t="str">
            <v>Baik, normal</v>
          </cell>
          <cell r="CF23" t="str">
            <v>Baik, normal</v>
          </cell>
          <cell r="CG23" t="str">
            <v xml:space="preserve">Geraham atas kanan-kiri karies, Geraham bawah kanan-kiri karies dan sisa akar. </v>
          </cell>
          <cell r="CH23">
            <v>0</v>
          </cell>
          <cell r="CI23">
            <v>0</v>
          </cell>
          <cell r="CJ23">
            <v>0</v>
          </cell>
          <cell r="CK23">
            <v>0</v>
          </cell>
        </row>
        <row r="24">
          <cell r="B24">
            <v>4878</v>
          </cell>
          <cell r="C24" t="str">
            <v>Nur Dian Alamanda</v>
          </cell>
          <cell r="D24" t="str">
            <v xml:space="preserve">Menunjukkan sikap     yang sangat menonjol. perlu pembinaan dalam     </v>
          </cell>
          <cell r="E24" t="str">
            <v xml:space="preserve">Menunjukkan sikap   suka bekerjasama, membantu teman yang kesulitan,    Perlu bimbingan dalam sikapberani dan percaya diri ketika mengunkapkan pendapat.      </v>
          </cell>
          <cell r="F24">
            <v>78</v>
          </cell>
          <cell r="G24" t="str">
            <v>B</v>
          </cell>
          <cell r="H24" t="str">
            <v xml:space="preserve">Mampu  Mengerti makna Asma'ul Husna : as-Samad, al- Muqtadir, al-Muqaddim, al-Baqi    perlu pembinaan dalam      Memahami hikmah berzakat sebagai implementasi rukun Islam  </v>
          </cell>
          <cell r="I24">
            <v>74.75</v>
          </cell>
          <cell r="J24" t="str">
            <v>C</v>
          </cell>
          <cell r="K24" t="str">
            <v xml:space="preserve">Mampu    mengenal arti bersatu dalam keberagaman di rumah dan sekolah  perlu pembinaan dalam    mengenal tata tertib dan aturan yang berlaku dalam kehidupan sehari-hari di rumah dan sekolah    </v>
          </cell>
          <cell r="L24">
            <v>78.400000000000006</v>
          </cell>
          <cell r="M24" t="str">
            <v>B</v>
          </cell>
          <cell r="N24" t="str">
            <v xml:space="preserve">Mampu    Mengenal teks cerita diri/personal tentang keberadaan keluarga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24">
            <v>75.5</v>
          </cell>
          <cell r="P24" t="str">
            <v>C</v>
          </cell>
          <cell r="Q24" t="str">
            <v xml:space="preserve">Mampu     mengenal bangun datar dan bangun ruang menggunakan benda-benda yang ada di sekitar rumah, sekolah, atau tempat bermain. perlu pembinaan dalam    mengenal bilangan asli sampai 99 dengan menggunakan benda-benda yang ada di sekitar rumah, sekolah, atau tempat bermain    </v>
          </cell>
          <cell r="R24">
            <v>79.833333333333329</v>
          </cell>
          <cell r="S24" t="str">
            <v>B</v>
          </cell>
          <cell r="T24" t="str">
            <v>Mampu   mengenal unsur-unsur gerak, bagian-bagian gerak anggota tubuh dan level gerak dalam menari   perlu pembinaan dalam      mengamati berbagai bahan, alat serta fungsinya dalam membuat prakarya menggambar ekspresi dengan mengolah garis, warna dan bentuk berdasarkan hasil pengamatan di lingkungan sekitar</v>
          </cell>
          <cell r="U24">
            <v>78</v>
          </cell>
          <cell r="V24" t="str">
            <v>B</v>
          </cell>
          <cell r="W24" t="str">
            <v xml:space="preserve">Mampu   mengetahui konsep gerak dasar manipulatif sesuai dengan dimensi anggota tubuh yang  digunakan, arah, ruang  gerak, hubungan, dan usaha, dalam berbagai bentuk permainan sederhana dan atau permainan tradisional.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24">
            <v>81.666666666666671</v>
          </cell>
          <cell r="Y24" t="str">
            <v>B</v>
          </cell>
          <cell r="Z24"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24">
            <v>83.5</v>
          </cell>
          <cell r="AB24" t="str">
            <v>B</v>
          </cell>
          <cell r="AC24" t="str">
            <v xml:space="preserve">Mampu  Mengenal, memahami dan mengidentifikasi macam-macam weather and season based on the country    perlu pembinaan dalam     Mengenal, memahami dan mengidentifikasi macam-macam compass at the map and traffic sign   </v>
          </cell>
          <cell r="AD24">
            <v>83.5</v>
          </cell>
          <cell r="AE24" t="str">
            <v>B</v>
          </cell>
          <cell r="AF24"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24">
            <v>81.666666666666671</v>
          </cell>
          <cell r="AH24" t="str">
            <v>B</v>
          </cell>
          <cell r="AI24" t="str">
            <v xml:space="preserve">Mampu  Memahami amaliah NU    perlu pembinaan dalam     memahami kepribadian NU   </v>
          </cell>
          <cell r="AJ24">
            <v>83.5</v>
          </cell>
          <cell r="AK24" t="str">
            <v>B</v>
          </cell>
          <cell r="AL24" t="str">
            <v xml:space="preserve">Mampu Mengenal software pengolah kata dengan ikon-ikon pendukung     perlu pembinaan dalam    Mengenal fungsi ikon-ikon pendukung pengolah kata (word processing)    </v>
          </cell>
          <cell r="AM24">
            <v>82</v>
          </cell>
          <cell r="AN24" t="str">
            <v>B</v>
          </cell>
          <cell r="AO24" t="str">
            <v xml:space="preserve">Mampu   Menyebutkan arti Q.S. al-Kaafiruun dengan jelas dan benar   perlu pembinaan dalam      Mencontohkan perilaku toleran dan simpati sebagai implementasi dari pemahaman Q.S. al-Kaafiruun  </v>
          </cell>
          <cell r="AP24">
            <v>81.25</v>
          </cell>
          <cell r="AQ24" t="str">
            <v>B</v>
          </cell>
          <cell r="AR24" t="str">
            <v xml:space="preserve">Mampu Mengamati dan menceritakan perilaku di sekitar rumah dan sekolah dan mengaitkannya dengan pengenalannya terhadap salah satu simbol sila Pancasila     perlu pembinaan dalam      Melaksanakan tata tertib di rumah dan sekolah    </v>
          </cell>
          <cell r="AS24">
            <v>82.4</v>
          </cell>
          <cell r="AT24" t="str">
            <v>B</v>
          </cell>
          <cell r="AU24" t="str">
            <v xml:space="preserve">Mampu   menyampaikan teks terima kasih mengenai sikap kasih sayang secara mandiri dalam bahasa Indonesia lisan dan tulis yang dapat diisi dengan kosakata bahasa daerah untuk membantu penyajian   perlu pembinaan dalam      menyampaikan teks cerita diri/personal tentang keluarga secara mandiri dalam bahasa Indonesia lisan dan tulis  yang dapat diisi dengan kosakata bahasa daerah untuk membantu penyajian  </v>
          </cell>
          <cell r="AV24">
            <v>82</v>
          </cell>
          <cell r="AW24" t="str">
            <v>B</v>
          </cell>
          <cell r="AX24" t="str">
            <v xml:space="preserve">Mampu  mengemukakan kembali dengan kalimat sendiri dan memecahkan masalah yang berkaitan dengan penjumlahan dan pengurangan terkait dengan aktivitas sehari-hari serta memeriksa kebenarannya   perlu pembinaan dalam    mendeskripsikan, mengembangkan, dan membuat pola yang berulang  </v>
          </cell>
          <cell r="AY24">
            <v>82</v>
          </cell>
          <cell r="AZ24" t="str">
            <v>B</v>
          </cell>
          <cell r="BA24" t="str">
            <v xml:space="preserve">Mampu    Membentuk karya seni ekspresi dari bahan lunak  perlu pembinaan dalam       menyanyikan lagu anak-anak dan memperagakan tepuk birama dengan gerak </v>
          </cell>
          <cell r="BB24">
            <v>82</v>
          </cell>
          <cell r="BC24" t="str">
            <v>B</v>
          </cell>
          <cell r="BD24" t="str">
            <v xml:space="preserve">Mampu    mempraktikkan aktivitas pengembangan kebugaran jasmani untuk melatih keseimbangan dan kecepatan tubuh melalui permainan sederhanadan dan atau tradisional.  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24">
            <v>81.666666666666671</v>
          </cell>
          <cell r="BF24" t="str">
            <v>B</v>
          </cell>
          <cell r="BG24" t="str">
            <v xml:space="preserve">Mampu  menceritakan isi tembang macapat.     perlu pembinaan dalam     menanggapi teks lisan maupun tulis yang memuat ungkapan tradisional Jawa/ Madura (paribasan, bebasan, saloka)   </v>
          </cell>
          <cell r="BH24">
            <v>83.5</v>
          </cell>
          <cell r="BI24" t="str">
            <v>B</v>
          </cell>
          <cell r="BJ24" t="str">
            <v xml:space="preserve">Mampu Menulis kalimat order, request dan prohibition dengan baik sesuai dengan rumus      perlu pembinaan dalam    Membuat percakapan tentang aktifitas berbelanja dan mempraktikkan di depan kelas berpasang-pasangan    </v>
          </cell>
          <cell r="BK24">
            <v>83.5</v>
          </cell>
          <cell r="BL24" t="str">
            <v>B</v>
          </cell>
          <cell r="BM24" t="str">
            <v xml:space="preserve">Mampu Memahami wacana tertulis dalam bentuk paparan atau bacaan tentang kegiatan sehari-hari disertai waktu     perlu pembinaan dalam    Menuliskan kata atau ungkapan pendek  sederhana tentang kegiatan sehari-hari disertai waktu    </v>
          </cell>
          <cell r="BN24">
            <v>82</v>
          </cell>
          <cell r="BO24" t="str">
            <v>B</v>
          </cell>
          <cell r="BP24" t="str">
            <v xml:space="preserve">Mampu    kd  perlu pembinaan dalam       kd </v>
          </cell>
          <cell r="BQ24">
            <v>83.5</v>
          </cell>
          <cell r="BR24" t="str">
            <v>B</v>
          </cell>
          <cell r="BS24" t="str">
            <v xml:space="preserve">Mampu Menunjukkan ikon untuk membuat gambar dan teks     perlu pembinaan dalam    Terampil mengoperasikan ikon-ikon text box, shapes, clip art, picture dan insert tabel    </v>
          </cell>
          <cell r="BT24" t="str">
            <v xml:space="preserve"> 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24" t="str">
            <v>Drumband</v>
          </cell>
          <cell r="BV24" t="str">
            <v>baik sekali</v>
          </cell>
          <cell r="BW24">
            <v>0</v>
          </cell>
          <cell r="BX24">
            <v>0</v>
          </cell>
          <cell r="BY24">
            <v>0</v>
          </cell>
          <cell r="BZ24">
            <v>0</v>
          </cell>
          <cell r="CA24">
            <v>0</v>
          </cell>
          <cell r="CB24" t="str">
            <v xml:space="preserve">Alhamdulillah, ananda selama satu semester ini sudah banyak peningkatan dalam prestasi belajarnya, mohon ditingkatkan lagi prestasinya. Jangan lupa sholat lima waktu dan selalu berdo'a. </v>
          </cell>
          <cell r="CC24" t="str">
            <v>140 cm</v>
          </cell>
          <cell r="CD24" t="str">
            <v>30 kg</v>
          </cell>
          <cell r="CE24" t="str">
            <v>Baik, normal</v>
          </cell>
          <cell r="CF24" t="str">
            <v>Baik, normal</v>
          </cell>
          <cell r="CG24" t="str">
            <v>Geraham kanan atas karies, geraham bawah kanan-kiri karies</v>
          </cell>
          <cell r="CH24">
            <v>0</v>
          </cell>
          <cell r="CI24">
            <v>0</v>
          </cell>
          <cell r="CJ24">
            <v>0</v>
          </cell>
          <cell r="CK24">
            <v>0</v>
          </cell>
        </row>
        <row r="25">
          <cell r="B25">
            <v>4882</v>
          </cell>
          <cell r="C25" t="str">
            <v>Qoriatul Ardisyah Nur Faidah</v>
          </cell>
          <cell r="D25" t="str">
            <v xml:space="preserve">Menunjukkan sikap     yang sangat menonjol. perlu pembinaan dalam     </v>
          </cell>
          <cell r="E25" t="str">
            <v xml:space="preserve">Menunjukkan sikap   suka bekerjasama, membantu teman yang kesulitan,    Perlu bimbingan dalam sikapberani dan percaya diri ketika mengunkapkan pendapat.      </v>
          </cell>
          <cell r="F25">
            <v>84.5</v>
          </cell>
          <cell r="G25" t="str">
            <v>B</v>
          </cell>
          <cell r="H25" t="str">
            <v>Mampu     Mengetahui kisah Nabi Muhammad saw. perlu pembinaan dalam     Memahami hikmah beriman kepada Hari Akhir yang dapat membentuk perilaku akhlak mulia</v>
          </cell>
          <cell r="I25">
            <v>83.5</v>
          </cell>
          <cell r="J25" t="str">
            <v>B</v>
          </cell>
          <cell r="K25" t="str">
            <v xml:space="preserve">Mampu   mengenal keberagaman karateristik individu di rumah dan di sekolah   perlu pembinaan dalam   mengenal simbol-simbol sila Pancasila dalam lambang negara “Garuda Pancasila”     </v>
          </cell>
          <cell r="L25">
            <v>77.2</v>
          </cell>
          <cell r="M25" t="str">
            <v>B</v>
          </cell>
          <cell r="N25" t="str">
            <v xml:space="preserve">Mampu   mengenal teks petunjuk/arahan tentang perawatan tubuh serta pemeliharaan kesehatan dan kebugaran tubuh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25">
            <v>84</v>
          </cell>
          <cell r="P25" t="str">
            <v>B</v>
          </cell>
          <cell r="Q25" t="str">
            <v xml:space="preserve">Mampu   mengenal dan memprediksi pola-pola bilangan sederhana menggunakan gambar-gambar/benda konkrit  menemukan bangun yang membentuk pola pengubinan sederhanaperlu pembinaan dalam   mengenal lambang bilangan dan mendeskripsikan kemunculan bilangan dengan bahasa yang sederhana   menunjukkan pemahaman tentang besaran dengan menghitung maju sampai 100 dan mundur dari 20  </v>
          </cell>
          <cell r="R25">
            <v>77.833333333333329</v>
          </cell>
          <cell r="S25" t="str">
            <v>B</v>
          </cell>
          <cell r="T25" t="str">
            <v xml:space="preserve">Mampu     mengenal karya seni budaya benda dan bahasa daerah setempat perlu pembinaan dalam    mengenal  pola irama lagu bervariasi menggunakan alat musik ritmis    </v>
          </cell>
          <cell r="U25">
            <v>83.833333333333329</v>
          </cell>
          <cell r="V25" t="str">
            <v>B</v>
          </cell>
          <cell r="W25" t="str">
            <v xml:space="preserve">Mampu      mengetahui konsep penggunaan pola gerak dasar lokomotor dan non-lokomotor sesuai dengan irama (ketukan) tanpa/ dengan musik dalam aktivitas gerak rimtik. perlu pembinaan dalam      mengetahui konsep bergerak secara seimbang dan cepat dalam rangka pengembangan kebugaran jasmani melalui permainan sederhana dan atau tradisional.  </v>
          </cell>
          <cell r="X25">
            <v>73.666666666666671</v>
          </cell>
          <cell r="Y25" t="str">
            <v>C</v>
          </cell>
          <cell r="Z25"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25">
            <v>78</v>
          </cell>
          <cell r="AB25" t="str">
            <v>B</v>
          </cell>
          <cell r="AC25" t="str">
            <v xml:space="preserve">Mampu    Mengenal, memahami dan mengidentifikasi shopping activity (how to ask price, show the price, bargain, accept and refuse to bargain, etc)  perlu pembinaan dalam   Mengenal, memahami dan mengidentifikasi macam-macam kalimat (order, request, and prohibition)     </v>
          </cell>
          <cell r="AD25">
            <v>78</v>
          </cell>
          <cell r="AE25" t="str">
            <v>B</v>
          </cell>
          <cell r="AF25" t="str">
            <v xml:space="preserve">Mampu    Memahami wacana dalam bentuk paparan tentang profesi dengan menggunakan pola kalimat isim isyarah/ dhamir + profesi  perlu pembinaan dalam   Memahami wacana dalam bentuk paparan tentang perkenalan diri (1) dengan menggunakan pola kalimat yang meliputi isim isyarah (kata tunjuk) orang atau benda yang dekat (haadza, haadzihi) + alam + isim mufrad     </v>
          </cell>
          <cell r="AG25">
            <v>73.666666666666671</v>
          </cell>
          <cell r="AH25" t="str">
            <v>C</v>
          </cell>
          <cell r="AI25" t="str">
            <v xml:space="preserve">Mampu   memahami kepribadian NU   perlu pembinaan dalam   Mengenal sejarah munculnya Ahlus Sunnah wal Jama'ah     </v>
          </cell>
          <cell r="AJ25">
            <v>77.5</v>
          </cell>
          <cell r="AK25" t="str">
            <v>B</v>
          </cell>
          <cell r="AL25" t="str">
            <v xml:space="preserve">Mampu  Mengenal fungsi ikon-ikon pendukung pengolah kata (word processing)    perlu pembinaan dalam   Mengenal software pengolah kata dengan ikon-ikon pendukung     </v>
          </cell>
          <cell r="AM25">
            <v>79.5</v>
          </cell>
          <cell r="AN25" t="str">
            <v>B</v>
          </cell>
          <cell r="AO25" t="str">
            <v xml:space="preserve">Mampu     Menceritakan kisah keteladanan Nabi Muhammad saw. perlu pembinaan dalam    Menulis Q.S. al-Kaafiruun dengan jelas dan benar    </v>
          </cell>
          <cell r="AP25">
            <v>82.5</v>
          </cell>
          <cell r="AQ25" t="str">
            <v>B</v>
          </cell>
          <cell r="AR25" t="str">
            <v xml:space="preserve">Mampu    Mengamati dan menceriterakan keberagaman karateristik individu di rumah dan sekolah  perlu pembinaan dalam      Mengamati dan menceriterakan kebersamaan dalam keberagaman di rumah dan sekolah   </v>
          </cell>
          <cell r="AS25">
            <v>80.2</v>
          </cell>
          <cell r="AT25" t="str">
            <v>B</v>
          </cell>
          <cell r="AU25" t="str">
            <v xml:space="preserve">Mampu     membuat teks diagram/label  tentang anggota keluarga dan kerabat secara mandiri dalam bahasa Indonesia lisan dan tulis yang dapat diisi dengan kosa kat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25">
            <v>79.5</v>
          </cell>
          <cell r="AW25" t="str">
            <v>B</v>
          </cell>
          <cell r="AX25" t="str">
            <v xml:space="preserve">Mampu    membentuk berbagai bangun datar dengan menggunakan papan berpaku atau media lainnya perlu pembinaan dalam  menggunakan benda konkrit untuk menelusuri pecahan dan jumlah uang     </v>
          </cell>
          <cell r="AY25">
            <v>79.5</v>
          </cell>
          <cell r="AZ25" t="str">
            <v>B</v>
          </cell>
          <cell r="BA25" t="str">
            <v xml:space="preserve">Mampu      memainkan pola irama lagu bertanda birama dua dengan tepuk dan gerakperlu pembinaan dalam     menggambar dengan memanfaatkan beragam media kering   </v>
          </cell>
          <cell r="BB25">
            <v>79.5</v>
          </cell>
          <cell r="BC25" t="str">
            <v>B</v>
          </cell>
          <cell r="BD25" t="str">
            <v xml:space="preserve">Mampu      mempraktikkan penggunaan pola gerak dasar lokomotor dan non-lokomotor sesuai dengan irama (ketukan) tanpa/dengan musik dalam aktivitas gerak rimtik.perlu pembinaan dalam    mempraktikkan pola gerak dasar non-lokomotor sesuai dengan dimensi anggota tubuh yang digunakan, arah, ruang gerak, hubungan, dan usaha,dalam berbagai bentuk permainan sederhana dan atau tradisional.    </v>
          </cell>
          <cell r="BE25">
            <v>73.666666666666671</v>
          </cell>
          <cell r="BF25" t="str">
            <v>C</v>
          </cell>
          <cell r="BG25"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25">
            <v>77.5</v>
          </cell>
          <cell r="BI25" t="str">
            <v>B</v>
          </cell>
          <cell r="BJ25" t="str">
            <v xml:space="preserve">Mampu  Membuat percakapan tentang aktifitas berbelanja dan mempraktikkan di depan kelas berpasang-pasangan    perlu pembinaan dalam   Menulis kalimat order, request dan prohibition dengan baik sesuai dengan rumus      </v>
          </cell>
          <cell r="BK25">
            <v>77.5</v>
          </cell>
          <cell r="BL25" t="str">
            <v>B</v>
          </cell>
          <cell r="BM25" t="str">
            <v xml:space="preserve">Mampu  Menuliskan kata atau ungkapan pendek  sederhana tentang kegiatan sehari-hari disertai waktu    perlu pembinaan dalam   Memahami wacana tertulis dalam bentuk paparan atau bacaan tentang kegiatan sehari-hari disertai waktu     </v>
          </cell>
          <cell r="BN25">
            <v>79.5</v>
          </cell>
          <cell r="BO25" t="str">
            <v>B</v>
          </cell>
          <cell r="BP25" t="str">
            <v xml:space="preserve">Mampu      kdperlu pembinaan dalam     kd   </v>
          </cell>
          <cell r="BQ25">
            <v>77.5</v>
          </cell>
          <cell r="BR25" t="str">
            <v>B</v>
          </cell>
          <cell r="BS25" t="str">
            <v xml:space="preserve">Mampu  Terampil mengoperasikan ikon-ikon text box, shapes, clip art, picture dan insert tabel    perlu pembinaan dalam   Menunjukkan ikon untuk membuat gambar dan teks     </v>
          </cell>
          <cell r="BT25" t="str">
            <v xml:space="preserve"> 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25" t="str">
            <v>Lukis</v>
          </cell>
          <cell r="BV25" t="str">
            <v>baik sekali</v>
          </cell>
          <cell r="BW25">
            <v>0</v>
          </cell>
          <cell r="BX25">
            <v>0</v>
          </cell>
          <cell r="BY25" t="str">
            <v>4 hari</v>
          </cell>
          <cell r="BZ25">
            <v>0</v>
          </cell>
          <cell r="CA25">
            <v>0</v>
          </cell>
          <cell r="CB25" t="str">
            <v xml:space="preserve">Alhamdulillah, ananda selama satu semester ini sudah banyak peningkatan dalam prestasi belajarnya, mohon ditingkatkan lagi prestasinya. Jangan lupa sholat lima waktu dan selalu berdo'a. </v>
          </cell>
          <cell r="CC25" t="str">
            <v>136 cm</v>
          </cell>
          <cell r="CD25" t="str">
            <v>29 kg</v>
          </cell>
          <cell r="CE25" t="str">
            <v>Baik, normal</v>
          </cell>
          <cell r="CF25" t="str">
            <v>Baik, normal</v>
          </cell>
          <cell r="CG25" t="str">
            <v>Geraham bawah kiri karies</v>
          </cell>
          <cell r="CH25">
            <v>0</v>
          </cell>
          <cell r="CI25">
            <v>0</v>
          </cell>
          <cell r="CJ25">
            <v>0</v>
          </cell>
          <cell r="CK25">
            <v>0</v>
          </cell>
        </row>
        <row r="26">
          <cell r="B26">
            <v>4884</v>
          </cell>
          <cell r="C26" t="str">
            <v xml:space="preserve">Queenta Nindya Maharani </v>
          </cell>
          <cell r="D26" t="str">
            <v xml:space="preserve">Menunjukkan sikap     yang sangat menonjol. perlu pembinaan dalam     </v>
          </cell>
          <cell r="E26" t="str">
            <v xml:space="preserve">Menunjukkan sikap   suka bekerjasama, membantu teman yang kesulitan,    Perlu bimbingan dalam sikapberani dan percaya diri ketika mengunkapkan pendapat.      </v>
          </cell>
          <cell r="F26">
            <v>80</v>
          </cell>
          <cell r="G26" t="str">
            <v>B</v>
          </cell>
          <cell r="H26" t="str">
            <v xml:space="preserve">Mampu Mengetahui makna Q.S. Al-Kaafiruun dengan benar,      perlu pembinaan dalam       Mengetahui kisah Nabi Muhammad saw. </v>
          </cell>
          <cell r="I26">
            <v>77.75</v>
          </cell>
          <cell r="J26" t="str">
            <v>B</v>
          </cell>
          <cell r="K26" t="str">
            <v xml:space="preserve">Mampu mengenal simbol-simbol sila Pancasila dalam lambang negara “Garuda Pancasila”     perlu pembinaan dalam     mengenal keberagaman karateristik individu di rumah dan di sekolah   </v>
          </cell>
          <cell r="L26">
            <v>81.2</v>
          </cell>
          <cell r="M26" t="str">
            <v>B</v>
          </cell>
          <cell r="N26"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terima kasih tentang sikap kasih sayang dengan bantuan guru atau teman dalam bahasa Indonesia lisan dan tulis yang dapat diisi dengan kosakata bahasa daerah untuk membantu pemahaman   </v>
          </cell>
          <cell r="O26">
            <v>77.666666666666671</v>
          </cell>
          <cell r="P26" t="str">
            <v>B</v>
          </cell>
          <cell r="Q26" t="str">
            <v>Mampu mengenal lambang bilangan dan mendeskripsikan kemunculan bilangan dengan bahasa yang sederhana   menunjukkan pemahaman tentang besaran dengan menghitung maju sampai 100 dan mundur dari 20  perlu pembinaan dalam     mengenal dan memprediksi pola-pola bilangan sederhana menggunakan gambar-gambar/benda konkrit  menemukan bangun yang membentuk pola pengubinan sederhana</v>
          </cell>
          <cell r="R26">
            <v>79.666666666666671</v>
          </cell>
          <cell r="S26" t="str">
            <v>B</v>
          </cell>
          <cell r="T26" t="str">
            <v xml:space="preserve">Mampu   mengenal unsur-unsur gerak, bagian-bagian gerak anggota tubuh dan level gerak dalam menari   perlu pembinaan dalam       mengenal karya seni budaya benda dan bahasa daerah setempat </v>
          </cell>
          <cell r="U26">
            <v>79.666666666666671</v>
          </cell>
          <cell r="V26" t="str">
            <v>B</v>
          </cell>
          <cell r="W26" t="str">
            <v xml:space="preserve">Mampu mengetahui konsep gerak dasar lokomotor sesuai dengan dimensi anggota tubuh yang digunakan, arah, ruang  gerak, hubungan, dan usaha, dalam berbagai bentuk permainan sederhana dan atau tradisional.     perlu pembinaan dalam        mengetahui konsep penggunaan pola gerak dasar lokomotor dan non-lokomotor sesuai dengan irama (ketukan) tanpa/ dengan musik dalam aktivitas gerak rimtik. </v>
          </cell>
          <cell r="X26">
            <v>81.666666666666671</v>
          </cell>
          <cell r="Y26" t="str">
            <v>B</v>
          </cell>
          <cell r="Z26"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26">
            <v>77.5</v>
          </cell>
          <cell r="AB26" t="str">
            <v>B</v>
          </cell>
          <cell r="AC26"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26">
            <v>77.5</v>
          </cell>
          <cell r="AE26" t="str">
            <v>B</v>
          </cell>
          <cell r="AF26"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26">
            <v>81.666666666666671</v>
          </cell>
          <cell r="AH26" t="str">
            <v>B</v>
          </cell>
          <cell r="AI26" t="str">
            <v xml:space="preserve">Mampu  Memahami amaliah NU    perlu pembinaan dalam     memahami kepribadian NU   </v>
          </cell>
          <cell r="AJ26">
            <v>83.5</v>
          </cell>
          <cell r="AK26" t="str">
            <v>B</v>
          </cell>
          <cell r="AL26" t="str">
            <v xml:space="preserve">Mampu Mengenal software pengolah kata dengan ikon-ikon pendukung     perlu pembinaan dalam    Mengenal fungsi ikon-ikon pendukung pengolah kata (word processing)    </v>
          </cell>
          <cell r="AM26">
            <v>79.833333333333329</v>
          </cell>
          <cell r="AN26" t="str">
            <v>B</v>
          </cell>
          <cell r="AO26" t="str">
            <v xml:space="preserve">Mampu Membaca Q.S. al-Kaafiruun dengan jelas dan benar Menyebutkan arti Q.S. al-Kaafiruun dengan jelas dan benar   perlu pembinaan dalam       Menceritakan kisah keteladanan Nabi Muhammad saw. </v>
          </cell>
          <cell r="AP26">
            <v>77.75</v>
          </cell>
          <cell r="AQ26" t="str">
            <v>B</v>
          </cell>
          <cell r="AR26" t="str">
            <v xml:space="preserve">Mampu Mengamati dan menceritakan perilaku di sekitar rumah dan sekolah dan mengaitkannya dengan pengenalannya terhadap salah satu simbol sila Pancasila     perlu pembinaan dalam      Mengamati dan menceriterakan keberagaman karateristik individu di rumah dan sekolah  </v>
          </cell>
          <cell r="AS26">
            <v>80.2</v>
          </cell>
          <cell r="AT26" t="str">
            <v>B</v>
          </cell>
          <cell r="AU26"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menyampaikan teks terima kasih mengenai sikap kasih sayang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26">
            <v>79.833333333333329</v>
          </cell>
          <cell r="AW26" t="str">
            <v>B</v>
          </cell>
          <cell r="AX26" t="str">
            <v xml:space="preserve">Mampu0 mengemukakan kembali dengan kalimat sendiri dan memecahkan masalah yang berkaitan dengan penjumlahan dan pengurangan terkait dengan aktivitas sehari-hari serta memeriksa kebenarannya   perlu pembinaan dalam     membentuk berbagai bangun datar dengan menggunakan papan berpaku atau media lainnya </v>
          </cell>
          <cell r="AY26">
            <v>79.833333333333329</v>
          </cell>
          <cell r="AZ26" t="str">
            <v>B</v>
          </cell>
          <cell r="BA26" t="str">
            <v>Mampu menggambar ekspresi dengan mengolah garis, warna dan bentuk berdasarkan hasil pengamatan di lingkungan sekitar  Membentuk karya seni ekspresi dari bahan lunak  perlu pembinaan dalam        memainkan pola irama lagu bertanda birama dua dengan tepuk dan gerak</v>
          </cell>
          <cell r="BB26">
            <v>79.833333333333329</v>
          </cell>
          <cell r="BC26" t="str">
            <v>B</v>
          </cell>
          <cell r="BD26" t="str">
            <v>Mampu mempraktikkan pola gerak dasar lokomotor sesuai dengan dimensi anggota tubuh yang digunakan, arah, ruang gerak, hubungan dan usaha, dalam berbagai bentuk permainan sederhana dan atau tradisional.  mempraktikkan aktivitas pengembangan kebugaran jasmani untuk melatih keseimbangan dan kecepatan tubuh melalui permainan sederhanadan dan atau tradisional.  perlu pembinaan dalam        mempraktikkan penggunaan pola gerak dasar lokomotor dan non-lokomotor sesuai dengan irama (ketukan) tanpa/dengan musik dalam aktivitas gerak rimtik.</v>
          </cell>
          <cell r="BE26">
            <v>81.666666666666671</v>
          </cell>
          <cell r="BF26" t="str">
            <v>B</v>
          </cell>
          <cell r="BG26" t="str">
            <v xml:space="preserve">Mampu  menceritakan isi tembang macapat.     perlu pembinaan dalam     menanggapi teks lisan maupun tulis yang memuat ungkapan tradisional Jawa/ Madura (paribasan, bebasan, saloka)   </v>
          </cell>
          <cell r="BH26">
            <v>83.5</v>
          </cell>
          <cell r="BI26" t="str">
            <v>B</v>
          </cell>
          <cell r="BJ26" t="str">
            <v xml:space="preserve">Mampu Menulis kalimat order, request dan prohibition dengan baik sesuai dengan rumus      perlu pembinaan dalam    Membuat percakapan tentang aktifitas berbelanja dan mempraktikkan di depan kelas berpasang-pasangan    </v>
          </cell>
          <cell r="BK26">
            <v>83.5</v>
          </cell>
          <cell r="BL26" t="str">
            <v>B</v>
          </cell>
          <cell r="BM26" t="str">
            <v xml:space="preserve">Mampu Memahami wacana tertulis dalam bentuk paparan atau bacaan tentang kegiatan sehari-hari disertai waktu     perlu pembinaan dalam    Menuliskan kata atau ungkapan pendek  sederhana tentang kegiatan sehari-hari disertai waktu    </v>
          </cell>
          <cell r="BN26">
            <v>79.833333333333329</v>
          </cell>
          <cell r="BO26" t="str">
            <v>B</v>
          </cell>
          <cell r="BP26" t="str">
            <v>Mampu kd  kd  perlu pembinaan dalam        kd</v>
          </cell>
          <cell r="BQ26">
            <v>83.5</v>
          </cell>
          <cell r="BR26" t="str">
            <v>B</v>
          </cell>
          <cell r="BS26" t="str">
            <v xml:space="preserve">Mampu Menunjukkan ikon untuk membuat gambar dan teks     perlu pembinaan dalam    Terampil mengoperasikan ikon-ikon text box, shapes, clip art, picture dan insert tabel    </v>
          </cell>
          <cell r="BT26" t="str">
            <v xml:space="preserve">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26" t="str">
            <v>Lukis</v>
          </cell>
          <cell r="BV26" t="str">
            <v>baik sekali</v>
          </cell>
          <cell r="BW26">
            <v>0</v>
          </cell>
          <cell r="BX26">
            <v>0</v>
          </cell>
          <cell r="BY26">
            <v>0</v>
          </cell>
          <cell r="BZ26">
            <v>0</v>
          </cell>
          <cell r="CA26" t="str">
            <v>1 hari</v>
          </cell>
          <cell r="CB26" t="str">
            <v xml:space="preserve">Alhamdulillah, ananda selama satu semester ini sudah banyak peningkatan dalam prestasi belajarnya, mohon ditingkatkan lagi prestasinya. Jangan lupa sholat lima waktu dan selalu berdo'a. </v>
          </cell>
          <cell r="CC26" t="str">
            <v>128 cm</v>
          </cell>
          <cell r="CD26" t="str">
            <v>26 kg</v>
          </cell>
          <cell r="CE26" t="str">
            <v>Baik, normal</v>
          </cell>
          <cell r="CF26" t="str">
            <v>Baik, normal</v>
          </cell>
          <cell r="CG26" t="str">
            <v>Geraham atas kanan karies</v>
          </cell>
          <cell r="CH26" t="str">
            <v>Lomba mengarang dengan tema Ibuku Tersayang</v>
          </cell>
          <cell r="CI26" t="str">
            <v>Juara harapan 1 pada sekolah jenjang kelas 4</v>
          </cell>
          <cell r="CJ26">
            <v>0</v>
          </cell>
          <cell r="CK26">
            <v>0</v>
          </cell>
        </row>
        <row r="27">
          <cell r="B27">
            <v>4885</v>
          </cell>
          <cell r="C27" t="str">
            <v xml:space="preserve">Raden Galen Bratasena </v>
          </cell>
          <cell r="D27" t="str">
            <v xml:space="preserve">Menunjukkan sikap     yang sangat menonjol. perlu pembinaan dalam     </v>
          </cell>
          <cell r="E27" t="str">
            <v xml:space="preserve">Menunjukkan sikap   suka bekerjasama, membantu teman yang kesulitan,    Perlu bimbingan dalam sikapberani dan percaya diri ketika mengunkapkan pendapat.      </v>
          </cell>
          <cell r="F27">
            <v>79.833333333333329</v>
          </cell>
          <cell r="G27" t="str">
            <v>B</v>
          </cell>
          <cell r="H27" t="str">
            <v xml:space="preserve">Mampu   Memahami hikmah beriman kepada Hari Akhir yang dapat membentuk perilaku akhlak mulia   perlu pembinaan dalam      Memahami hikmah berzakat sebagai implementasi rukun Islam  </v>
          </cell>
          <cell r="I27">
            <v>80</v>
          </cell>
          <cell r="J27" t="str">
            <v>B</v>
          </cell>
          <cell r="K27" t="str">
            <v xml:space="preserve">Mampu mengenal simbol-simbol sila Pancasila dalam lambang negara “Garuda Pancasila”     perlu pembinaan dalam    mengenal tata tertib dan aturan yang berlaku dalam kehidupan sehari-hari di rumah dan sekolah mengenal arti bersatu dalam keberagaman di rumah dan sekolah  </v>
          </cell>
          <cell r="L27">
            <v>82</v>
          </cell>
          <cell r="M27" t="str">
            <v>B</v>
          </cell>
          <cell r="N27"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petunjuk/arahan tentang perawatan tubuh serta pemeliharaan kesehatan dan kebugaran tubuh dengan bantuan guru atau teman dalam bahasa Indonesia lisan dan tulis yang dapat diisi dengan kosakata bahasa daerah untuk membantu pemahaman  Mengenal teks diagram/label tentang anggota keluarga dan kerabat dengan bantuan guru atau teman dalam bahasa Indonesia lisan dan tulis yang dapat diisi dengan kosakata bahasa daerah untuk membantu pemahaman </v>
          </cell>
          <cell r="O27">
            <v>81.333333333333329</v>
          </cell>
          <cell r="P27" t="str">
            <v>B</v>
          </cell>
          <cell r="Q27" t="str">
            <v xml:space="preserve">Mampu mengenal lambang bilangan dan mendeskripsikan kemunculan bilangan dengan bahasa yang sederhana   menunjukkan pemahaman tentang besaran dengan menghitung maju sampai 100 dan mundur dari 20  perlu pembinaan dalam    mengenal bilangan asli sampai 99 dengan menggunakan benda-benda yang ada di sekitar rumah, sekolah, atau tempat bermain  mengenal bangun datar dan bangun ruang menggunakan benda-benda yang ada di sekitar rumah, sekolah, atau tempat bermain. </v>
          </cell>
          <cell r="R27">
            <v>80.666666666666671</v>
          </cell>
          <cell r="S27" t="str">
            <v>B</v>
          </cell>
          <cell r="T27" t="str">
            <v xml:space="preserve">Mampu      menggambar ekspresi dengan mengolah garis, warna dan bentuk berdasarkan hasil pengamatan di lingkungan sekitarperlu pembinaan dalam      mengamati berbagai bahan, alat serta fungsinya dalam membuat prakarya  </v>
          </cell>
          <cell r="U27">
            <v>79.166666666666671</v>
          </cell>
          <cell r="V27" t="str">
            <v>B</v>
          </cell>
          <cell r="W27" t="str">
            <v xml:space="preserve">Mampu    mengetahui konsep bergerak secara seimbang dan cepat dalam rangka pengembangan kebugaran jasmani melalui permainan sederhana dan atau tradisional.  perlu pembinaan dalam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27">
            <v>80</v>
          </cell>
          <cell r="Y27" t="str">
            <v>B</v>
          </cell>
          <cell r="Z27"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27">
            <v>82</v>
          </cell>
          <cell r="AB27" t="str">
            <v>B</v>
          </cell>
          <cell r="AC27" t="str">
            <v xml:space="preserve">Mampu Mengenal, memahami dan mengidentifikasi macam-macam kalimat (order, request, and prohibition)     perlu pembinaan dalam     Mengenal, memahami dan mengidentifikasi macam-macam compass at the map and traffic sign   </v>
          </cell>
          <cell r="AD27">
            <v>82</v>
          </cell>
          <cell r="AE27" t="str">
            <v>B</v>
          </cell>
          <cell r="AF27"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27">
            <v>80</v>
          </cell>
          <cell r="AH27" t="str">
            <v>B</v>
          </cell>
          <cell r="AI27" t="str">
            <v xml:space="preserve">Mampu Mengenal sejarah munculnya Ahlus Sunnah wal Jama'ah     perlu pembinaan dalam     memahami kepribadian NU   </v>
          </cell>
          <cell r="AJ27">
            <v>75.5</v>
          </cell>
          <cell r="AK27" t="str">
            <v>C</v>
          </cell>
          <cell r="AL27" t="str">
            <v xml:space="preserve">Mampu Mengenal software pengolah kata dengan ikon-ikon pendukung     perlu pembinaan dalam    Mengenal fungsi ikon-ikon pendukung pengolah kata (word processing)    </v>
          </cell>
          <cell r="AM27">
            <v>84</v>
          </cell>
          <cell r="AN27" t="str">
            <v>B</v>
          </cell>
          <cell r="AO27" t="str">
            <v xml:space="preserve">Mampu      Menceritakan kisah keteladanan sahabat-sahabat Nabi Muhammad saw.perlu pembinaan dalam      Mencontohkan perilaku toleran dan simpati sebagai implementasi dari pemahaman Q.S. al-Kaafiruun  </v>
          </cell>
          <cell r="AP27">
            <v>76</v>
          </cell>
          <cell r="AQ27" t="str">
            <v>B</v>
          </cell>
          <cell r="AR27" t="str">
            <v xml:space="preserve">Mampu Mengamati dan menceritakan perilaku di sekitar rumah dan sekolah dan mengaitkannya dengan pengenalannya terhadap salah satu simbol sila Pancasila     perlu pembinaan dalam      Melaksanakan tata tertib di rumah dan sekolah    </v>
          </cell>
          <cell r="AS27">
            <v>81</v>
          </cell>
          <cell r="AT27" t="str">
            <v>B</v>
          </cell>
          <cell r="AU27" t="str">
            <v xml:space="preserve">Mampu   mempraktikkan teks arahan/petunjuk tentang merawat tubuh serta kesehatan dan kebugaran tubuh secara mandiri dalam bahasa Indonesia lisan dan tulis yang dapat diisi dengan kosakata bahasa daerah untuk membantu penyajian    perlu pembinaan dalam      menyampaikan teks cerita diri/personal tentang keluarga secara mandiri dalam bahasa Indonesia lisan dan tulis  yang dapat diisi dengan kosakata bahasa daerah untuk membantu penyajian  </v>
          </cell>
          <cell r="AV27">
            <v>80.166666666666671</v>
          </cell>
          <cell r="AW27" t="str">
            <v>B</v>
          </cell>
          <cell r="AX27" t="str">
            <v xml:space="preserve">Mampu menggunakan benda konkrit untuk menelusuri pecahan dan jumlah uang     perlu pembinaan dalam    mendeskripsikan, mengembangkan, dan membuat pola yang berulang  </v>
          </cell>
          <cell r="AY27">
            <v>80.166666666666671</v>
          </cell>
          <cell r="AZ27" t="str">
            <v>B</v>
          </cell>
          <cell r="BA27" t="str">
            <v xml:space="preserve">Mampu   menggambar dengan memanfaatkan beragam media kering   perlu pembinaan dalam       menyanyikan lagu anak-anak dan memperagakan tepuk birama dengan gerak </v>
          </cell>
          <cell r="BB27">
            <v>80.166666666666671</v>
          </cell>
          <cell r="BC27" t="str">
            <v>B</v>
          </cell>
          <cell r="BD27" t="str">
            <v xml:space="preserve">Mampu  mempraktikkan pola gerak dasar non-lokomotor sesuai dengan dimensi anggota tubuh yang digunakan, arah, ruang gerak, hubungan, dan usaha,dalam berbagai bentuk permainan sederhana dan atau tradisional.    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27">
            <v>80</v>
          </cell>
          <cell r="BF27" t="str">
            <v>B</v>
          </cell>
          <cell r="BG27"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27">
            <v>75.5</v>
          </cell>
          <cell r="BI27" t="str">
            <v>C</v>
          </cell>
          <cell r="BJ27" t="str">
            <v xml:space="preserve">Mampu Menulis kalimat order, request dan prohibition dengan baik sesuai dengan rumus      perlu pembinaan dalam    Membuat percakapan tentang aktifitas berbelanja dan mempraktikkan di depan kelas berpasang-pasangan    </v>
          </cell>
          <cell r="BK27">
            <v>75.5</v>
          </cell>
          <cell r="BL27" t="str">
            <v>C</v>
          </cell>
          <cell r="BM27" t="str">
            <v xml:space="preserve">Mampu Memahami wacana tertulis dalam bentuk paparan atau bacaan tentang kegiatan sehari-hari disertai waktu     perlu pembinaan dalam    Menuliskan kata atau ungkapan pendek  sederhana tentang kegiatan sehari-hari disertai waktu    </v>
          </cell>
          <cell r="BN27">
            <v>80.166666666666671</v>
          </cell>
          <cell r="BO27" t="str">
            <v>B</v>
          </cell>
          <cell r="BP27" t="str">
            <v xml:space="preserve">Mampu   kd   perlu pembinaan dalam       kd </v>
          </cell>
          <cell r="BQ27">
            <v>75.5</v>
          </cell>
          <cell r="BR27" t="str">
            <v>C</v>
          </cell>
          <cell r="BS27" t="str">
            <v xml:space="preserve">Mampu Menunjukkan ikon untuk membuat gambar dan teks     perlu pembinaan dalam    Terampil mengoperasikan ikon-ikon text box, shapes, clip art, picture dan insert tabel    </v>
          </cell>
          <cell r="BT27" t="str">
            <v xml:space="preserve">Mampu  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27" t="str">
            <v>Drumband</v>
          </cell>
          <cell r="BV27" t="str">
            <v>baik sekali</v>
          </cell>
          <cell r="BW27">
            <v>0</v>
          </cell>
          <cell r="BX27">
            <v>0</v>
          </cell>
          <cell r="BY27" t="str">
            <v>2 hari</v>
          </cell>
          <cell r="BZ27" t="str">
            <v>3 hari</v>
          </cell>
          <cell r="CA27">
            <v>0</v>
          </cell>
          <cell r="CB27" t="str">
            <v xml:space="preserve">Alhamdulillah, ananda selama satu semester ini sudah banyak peningkatan dalam prestasi belajarnya, mohon ditingkatkan lagi prestasinya. Jangan lupa sholat lima waktu dan selalu berdo'a. </v>
          </cell>
          <cell r="CC27" t="str">
            <v>128 cm</v>
          </cell>
          <cell r="CD27" t="str">
            <v>21 kg</v>
          </cell>
          <cell r="CE27" t="str">
            <v>Baik, normal</v>
          </cell>
          <cell r="CF27" t="str">
            <v>Baik, normal</v>
          </cell>
          <cell r="CG27" t="str">
            <v>Taring bawah kanan persistensi</v>
          </cell>
          <cell r="CH27">
            <v>0</v>
          </cell>
          <cell r="CI27">
            <v>0</v>
          </cell>
          <cell r="CJ27">
            <v>0</v>
          </cell>
          <cell r="CK27">
            <v>0</v>
          </cell>
        </row>
        <row r="28">
          <cell r="B28">
            <v>4888</v>
          </cell>
          <cell r="C28" t="str">
            <v>Rifki Ardiansyah Abdul Qodir</v>
          </cell>
          <cell r="D28" t="str">
            <v xml:space="preserve">Menunjukkan sikap     yang sangat menonjol. perlu pembinaan dalam     </v>
          </cell>
          <cell r="E28" t="str">
            <v xml:space="preserve">Menunjukkan sikap   suka bekerjasama, membantu teman yang kesulitan,    Perlu bimbingan dalam sikapberani dan percaya diri ketika mengunkapkan pendapat.      </v>
          </cell>
          <cell r="F28">
            <v>78.5</v>
          </cell>
          <cell r="G28" t="str">
            <v>B</v>
          </cell>
          <cell r="H28" t="str">
            <v xml:space="preserve">Mampu   Memahami hikmah beriman kepada Hari Akhir yang dapat membentuk perilaku akhlak mulia   perlu pembinaan dalam   Mengetahui makna Q.S. Al-Kaafiruun dengan benar,      </v>
          </cell>
          <cell r="I28">
            <v>79</v>
          </cell>
          <cell r="J28" t="str">
            <v>B</v>
          </cell>
          <cell r="K28" t="str">
            <v xml:space="preserve">Mampu mengenal simbol-simbol sila Pancasila dalam lambang negara “Garuda Pancasila”     perlu pembinaan dalam      mengenal arti bersatu dalam keberagaman di rumah dan sekolah  </v>
          </cell>
          <cell r="L28">
            <v>78.599999999999994</v>
          </cell>
          <cell r="M28" t="str">
            <v>B</v>
          </cell>
          <cell r="N28" t="str">
            <v xml:space="preserve">Mampu   mengenal teks terima kasih tentang sikap kasih sayang dengan bantuan guru atau teman dalam bahasa Indonesia lisan dan tulis yang dapat diisi dengan kosakata bahasa daerah untuk membantu pemahaman   perlu pembinaan dalam       Mengenal teks diagram/label tentang anggota keluarga dan kerabat dengan bantuan guru atau teman dalam bahasa Indonesia lisan dan tulis yang dapat diisi dengan kosakata bahasa daerah untuk membantu pemahaman </v>
          </cell>
          <cell r="O28">
            <v>80.833333333333329</v>
          </cell>
          <cell r="P28" t="str">
            <v>B</v>
          </cell>
          <cell r="Q28" t="str">
            <v xml:space="preserve">Mampu mengenal lambang bilangan dan mendeskripsikan kemunculan bilangan dengan bahasa yang sederhana   menunjukkan pemahaman tentang besaran dengan menghitung maju sampai 100 dan mundur dari 20  perlu pembinaan dalam       mengenal bangun datar dan bangun ruang menggunakan benda-benda yang ada di sekitar rumah, sekolah, atau tempat bermain. </v>
          </cell>
          <cell r="R28">
            <v>82.666666666666671</v>
          </cell>
          <cell r="S28" t="str">
            <v>B</v>
          </cell>
          <cell r="T28" t="str">
            <v xml:space="preserve">Mampu  mengenal  pola irama lagu bervariasi menggunakan alat musik ritmis   menggambar ekspresi dengan mengolah garis, warna dan bentuk berdasarkan hasil pengamatan di lingkungan sekitarperlu pembinaan dalam    mengenal cara dan hasil karya seni ekspresi     </v>
          </cell>
          <cell r="U28">
            <v>77</v>
          </cell>
          <cell r="V28" t="str">
            <v>B</v>
          </cell>
          <cell r="W28" t="str">
            <v xml:space="preserve">Mampu    mengetahui konsep bergerak secara seimbang dan cepat dalam rangka pengembangan kebugaran jasmani melalui permainan sederhana dan atau tradisional.  perlu pembinaan dalam   mengetahui konsep gerak dasar lokomotor sesuai dengan dimensi anggota tubuh yang digunakan, arah, ruang  gerak, hubungan, dan usaha, dalam berbagai bentuk permainan sederhana dan atau tradisional.     </v>
          </cell>
          <cell r="X28">
            <v>85.333333333333329</v>
          </cell>
          <cell r="Y28" t="str">
            <v>B</v>
          </cell>
          <cell r="Z28" t="str">
            <v xml:space="preserve">Mampu mengenal, memahami, dan mengidentifikasiteks informasi yang diperoleh dari berbagai media berbahasa daerah secara lisan/ tulis     perlu pembinaan dalam    mengenal, memahami, dan mengidentifikasi teks  tembang macapat sesuai dengan kaidah    </v>
          </cell>
          <cell r="AA28">
            <v>83.5</v>
          </cell>
          <cell r="AB28" t="str">
            <v>B</v>
          </cell>
          <cell r="AC28" t="str">
            <v xml:space="preserve">Mampu Mengenal, memahami dan mengidentifikasi macam-macam kalimat (order, request, and prohibition)     perlu pembinaan dalam    Mengenal, memahami dan mengidentifikasi macam-macam weather and season based on the country    </v>
          </cell>
          <cell r="AD28">
            <v>83.5</v>
          </cell>
          <cell r="AE28" t="str">
            <v>B</v>
          </cell>
          <cell r="AF28"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peralatan sekolah dengan menggunakan pola kalimat yang meliputi kata tanya + isim isyarah (kata tunjuk) orang atau benda yang dekat (haadza, haadzihi) + alam + isim mufrad    </v>
          </cell>
          <cell r="AG28">
            <v>85.333333333333329</v>
          </cell>
          <cell r="AH28" t="str">
            <v>B</v>
          </cell>
          <cell r="AI28" t="str">
            <v xml:space="preserve">Mampu Mengenal sejarah munculnya Ahlus Sunnah wal Jama'ah     perlu pembinaan dalam    Memahami amaliah NU    </v>
          </cell>
          <cell r="AJ28">
            <v>82.5</v>
          </cell>
          <cell r="AK28" t="str">
            <v>B</v>
          </cell>
          <cell r="AL28" t="str">
            <v xml:space="preserve">Mampu  Mengenal fungsi ikon-ikon pendukung pengolah kata (word processing)    perlu pembinaan dalam   Mengenal software pengolah kata dengan ikon-ikon pendukung     </v>
          </cell>
          <cell r="AM28">
            <v>78</v>
          </cell>
          <cell r="AN28" t="str">
            <v>B</v>
          </cell>
          <cell r="AO28" t="str">
            <v>Mampu  Menulis Q.S. al-Kaafiruun dengan jelas dan benar    perlu pembinaan dalam        Menceritakan kisah keteladanan sahabat-sahabat Nabi Muhammad saw.</v>
          </cell>
          <cell r="AP28">
            <v>78.5</v>
          </cell>
          <cell r="AQ28" t="str">
            <v>B</v>
          </cell>
          <cell r="AR28" t="str">
            <v xml:space="preserve">Mampu    Melaksanakan tata tertib di rumah dan sekolah    perlu pembinaan dalam      Mengamati dan menceriterakan kebersamaan dalam keberagaman di rumah dan sekolah   </v>
          </cell>
          <cell r="AS28">
            <v>80.400000000000006</v>
          </cell>
          <cell r="AT28" t="str">
            <v>B</v>
          </cell>
          <cell r="AU28" t="str">
            <v xml:space="preserve">Mampu   mempraktikkan teks arahan/petunjuk tentang merawat tubuh serta kesehatan dan kebugaran tubuh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28">
            <v>78.833333333333329</v>
          </cell>
          <cell r="AW28" t="str">
            <v>B</v>
          </cell>
          <cell r="AX28" t="str">
            <v xml:space="preserve">Mampu menggunakan benda konkrit untuk menelusuri pecahan dan jumlah uang     perlu pembinaan dalam 0     </v>
          </cell>
          <cell r="AY28">
            <v>78.833333333333329</v>
          </cell>
          <cell r="AZ28" t="str">
            <v>B</v>
          </cell>
          <cell r="BA28" t="str">
            <v xml:space="preserve">Mampu   menggambar dengan memanfaatkan beragam media kering   perlu pembinaan dalam   menggambar ekspresi dengan mengolah garis, warna dan bentuk berdasarkan hasil pengamatan di lingkungan sekitar     </v>
          </cell>
          <cell r="BB28">
            <v>78.833333333333329</v>
          </cell>
          <cell r="BC28" t="str">
            <v>B</v>
          </cell>
          <cell r="BD28" t="str">
            <v xml:space="preserve">Mampu  mempraktikkan pola gerak dasar non-lokomotor sesuai dengan dimensi anggota tubuh yang digunakan, arah, ruang gerak, hubungan, dan usaha,dalam berbagai bentuk permainan sederhana dan atau tradisional.    perlu pembinaan dalam   mempraktikkan pola gerak dasar lokomotor sesuai dengan dimensi anggota tubuh yang digunakan, arah, ruang gerak, hubungan dan usaha, dalam berbagai bentuk permainan sederhana dan atau tradisional.     </v>
          </cell>
          <cell r="BE28">
            <v>85.333333333333329</v>
          </cell>
          <cell r="BF28" t="str">
            <v>B</v>
          </cell>
          <cell r="BG28" t="str">
            <v xml:space="preserve">Mampu menyampaikan dan menagggapi informasi yang diperoleh dari berbagai media berbahasa daerah secara lisan dan tulisan.      perlu pembinaan dalam    menceritakan isi tembang macapat.     </v>
          </cell>
          <cell r="BH28">
            <v>82.5</v>
          </cell>
          <cell r="BI28" t="str">
            <v>B</v>
          </cell>
          <cell r="BJ28" t="str">
            <v xml:space="preserve">Mampu  Membuat percakapan tentang aktifitas berbelanja dan mempraktikkan di depan kelas berpasang-pasangan    perlu pembinaan dalam   Menulis kalimat order, request dan prohibition dengan baik sesuai dengan rumus      </v>
          </cell>
          <cell r="BK28">
            <v>82.5</v>
          </cell>
          <cell r="BL28" t="str">
            <v>B</v>
          </cell>
          <cell r="BM28" t="str">
            <v xml:space="preserve">Mampu  Menuliskan kata atau ungkapan pendek  sederhana tentang kegiatan sehari-hari disertai waktu    perlu pembinaan dalam   Memahami wacana tertulis dalam bentuk paparan atau bacaan tentang kegiatan sehari-hari disertai waktu     </v>
          </cell>
          <cell r="BN28">
            <v>78.833333333333329</v>
          </cell>
          <cell r="BO28" t="str">
            <v>B</v>
          </cell>
          <cell r="BP28" t="str">
            <v xml:space="preserve">Mampu   kd   perlu pembinaan dalam   kd     </v>
          </cell>
          <cell r="BQ28">
            <v>82.5</v>
          </cell>
          <cell r="BR28" t="str">
            <v>B</v>
          </cell>
          <cell r="BS28" t="str">
            <v xml:space="preserve">Mampu  Terampil mengoperasikan ikon-ikon text box, shapes, clip art, picture dan insert tabel    perlu pembinaan dalam   Menunjukkan ikon untuk membuat gambar dan teks     </v>
          </cell>
          <cell r="BT28" t="str">
            <v xml:space="preserve">Perlu pembinaan dalam Rajin dan giat mengikuti Perindukan Siaga sekurang-kurangnya 10 kali latihan berturut-turut, dapat menunjukkan sikap disiplin dan dapt melakukan PBB dengan benarMengetahui simpul mati, simpul hidup, simpul anyam, simpul pangkal dan simpul jangkarMengetahui tetang Semaphore, Morse, Sandi dan tekspram serta dapat menyebutkan tanda pengenal pada seragam pramuka dan melaksanakan penempuhan SKU golongan Siaga </v>
          </cell>
          <cell r="BU28" t="str">
            <v>Lukis</v>
          </cell>
          <cell r="BV28" t="str">
            <v>baik</v>
          </cell>
          <cell r="BW28">
            <v>0</v>
          </cell>
          <cell r="BX28">
            <v>0</v>
          </cell>
          <cell r="BY28" t="str">
            <v>1 hari</v>
          </cell>
          <cell r="BZ28" t="str">
            <v>2 hari</v>
          </cell>
          <cell r="CA28" t="str">
            <v>1 hari</v>
          </cell>
          <cell r="CB28" t="str">
            <v xml:space="preserve">Alhamdulillah, ananda selama satu semester ini sudah banyak peningkatan dalam prestasi belajarnya, mohon ditingkatkan lagi konsentrasi dalam mengikuti pembelajaran. Jangan lupa sholat lima waktu dan selalu berdo'a. </v>
          </cell>
          <cell r="CC28" t="str">
            <v>130 cm</v>
          </cell>
          <cell r="CD28" t="str">
            <v>24 kg</v>
          </cell>
          <cell r="CE28" t="str">
            <v>Baik, normal</v>
          </cell>
          <cell r="CF28" t="str">
            <v>Baik, normal</v>
          </cell>
          <cell r="CG28" t="str">
            <v>Geraham atas kiri karies</v>
          </cell>
          <cell r="CH28">
            <v>0</v>
          </cell>
          <cell r="CI28">
            <v>0</v>
          </cell>
          <cell r="CJ28">
            <v>0</v>
          </cell>
          <cell r="CK28">
            <v>0</v>
          </cell>
        </row>
        <row r="29">
          <cell r="B29">
            <v>4889</v>
          </cell>
          <cell r="C29" t="str">
            <v>Rivaldy Ali Arta</v>
          </cell>
          <cell r="D29" t="str">
            <v xml:space="preserve">Menunjukkan sikap     yang sangat menonjol. perlu pembinaan dalam     </v>
          </cell>
          <cell r="E29" t="str">
            <v xml:space="preserve">Menunjukkan sikap   suka bekerjasama, membantu teman yang kesulitan,    Perlu bimbingan dalam sikapberani dan percaya diri ketika mengunkapkan pendapat.      </v>
          </cell>
          <cell r="F29">
            <v>82.5</v>
          </cell>
          <cell r="G29" t="str">
            <v>B</v>
          </cell>
          <cell r="H29" t="str">
            <v xml:space="preserve">Mampu     Mengetahui kisah Nabi Muhammad saw. perlu pembinaan dalam      Memahami hikmah berzakat sebagai implementasi rukun Islam  </v>
          </cell>
          <cell r="I29">
            <v>81.25</v>
          </cell>
          <cell r="J29" t="str">
            <v>B</v>
          </cell>
          <cell r="K29" t="str">
            <v xml:space="preserve">Mampu   mengenal keberagaman karateristik individu di rumah dan di sekolah   perlu pembinaan dalam    mengenal tata tertib dan aturan yang berlaku dalam kehidupan sehari-hari di rumah dan sekolah    </v>
          </cell>
          <cell r="L29">
            <v>80.400000000000006</v>
          </cell>
          <cell r="M29" t="str">
            <v>B</v>
          </cell>
          <cell r="N29" t="str">
            <v xml:space="preserve">Mampu   mengenal teks terima kasih tentang sikap kasih sayang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29">
            <v>82.666666666666671</v>
          </cell>
          <cell r="P29" t="str">
            <v>B</v>
          </cell>
          <cell r="Q29" t="str">
            <v xml:space="preserve">Mampu   mengenal dan memprediksi pola-pola bilangan sederhana menggunakan gambar-gambar/benda konkrit  menemukan bangun yang membentuk pola pengubinan sederhanaperlu pembinaan dalam    mengenal bilangan asli sampai 99 dengan menggunakan benda-benda yang ada di sekitar rumah, sekolah, atau tempat bermain    </v>
          </cell>
          <cell r="R29">
            <v>84.333333333333329</v>
          </cell>
          <cell r="S29" t="str">
            <v>B</v>
          </cell>
          <cell r="T29" t="str">
            <v xml:space="preserve">Mampu     mengenal karya seni budaya benda dan bahasa daerah setempat perlu pembinaan dalam    mengenal  pola irama lagu bervariasi menggunakan alat musik ritmis    </v>
          </cell>
          <cell r="U29">
            <v>84</v>
          </cell>
          <cell r="V29" t="str">
            <v>B</v>
          </cell>
          <cell r="W29" t="str">
            <v xml:space="preserve">Mampu      mengetahui konsep penggunaan pola gerak dasar lokomotor dan non-lokomotor sesuai dengan irama (ketukan) tanpa/ dengan musik dalam aktivitas gerak rimtik.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29">
            <v>82</v>
          </cell>
          <cell r="Y29" t="str">
            <v>B</v>
          </cell>
          <cell r="Z29"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29">
            <v>80.5</v>
          </cell>
          <cell r="AB29" t="str">
            <v>B</v>
          </cell>
          <cell r="AC29" t="str">
            <v xml:space="preserve">Mampu   Mengenal, memahami dan mengidentifikasi macam-macam compass at the map and traffic sign   perlu pembinaan dalam      Mengenal, memahami dan mengidentifikasi shopping activity (how to ask price, show the price, bargain, accept and refuse to bargain, etc)  </v>
          </cell>
          <cell r="AD29">
            <v>80.5</v>
          </cell>
          <cell r="AE29" t="str">
            <v>B</v>
          </cell>
          <cell r="AF29" t="str">
            <v xml:space="preserve">Mampu   Memahami wacana dalam bentuk paparan tentang perkenalan diri(2) dengan menggunakan pola kalimat yang meliputi dhamir (kata ganti) ana, anta, anti, huwa, hiya + isim mufrad mu’annats/mudzakkar    perlu pembinaan dalam      Memahami wacana dalam bentuk paparan tentang profesi dengan menggunakan pola kalimat isim isyarah/ dhamir + profesi  </v>
          </cell>
          <cell r="AG29">
            <v>82</v>
          </cell>
          <cell r="AH29" t="str">
            <v>B</v>
          </cell>
          <cell r="AI29" t="str">
            <v xml:space="preserve">Mampu   memahami kepribadian NU   perlu pembinaan dalam   Mengenal sejarah munculnya Ahlus Sunnah wal Jama'ah     </v>
          </cell>
          <cell r="AJ29">
            <v>84.5</v>
          </cell>
          <cell r="AK29" t="str">
            <v>B</v>
          </cell>
          <cell r="AL29" t="str">
            <v xml:space="preserve">Mampu  Mengenal fungsi ikon-ikon pendukung pengolah kata (word processing)    perlu pembinaan dalam   Mengenal software pengolah kata dengan ikon-ikon pendukung     </v>
          </cell>
          <cell r="AM29">
            <v>81.333333333333329</v>
          </cell>
          <cell r="AN29" t="str">
            <v>B</v>
          </cell>
          <cell r="AO29" t="str">
            <v xml:space="preserve">Mampu    Mencontohkan perilaku toleran dan simpati sebagai implementasi dari pemahaman Q.S. al-Kaafiruun  perlu pembinaan dalam       Menceritakan kisah keteladanan Nabi Muhammad saw. </v>
          </cell>
          <cell r="AP29">
            <v>87.75</v>
          </cell>
          <cell r="AQ29" t="str">
            <v>B</v>
          </cell>
          <cell r="AR29" t="str">
            <v xml:space="preserve">Mampu    Mengamati dan menceriterakan keberagaman karateristik individu di rumah dan sekolah  perlu pembinaan dalam   Mengamati dan menceritakan perilaku di sekitar rumah dan sekolah dan mengaitkannya dengan pengenalannya terhadap salah satu simbol sila Pancasila     </v>
          </cell>
          <cell r="AS29">
            <v>82.2</v>
          </cell>
          <cell r="AT29" t="str">
            <v>B</v>
          </cell>
          <cell r="AU29" t="str">
            <v xml:space="preserve">Mampu    menyampaikan teks cerita diri/personal tentang keluarga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29">
            <v>83.333333333333329</v>
          </cell>
          <cell r="AW29" t="str">
            <v>B</v>
          </cell>
          <cell r="AX29" t="str">
            <v xml:space="preserve">Mampu   mendeskripsikan, mengembangkan, dan membuat pola yang berulang  perlu pembinaan dalam     membentuk berbagai bangun datar dengan menggunakan papan berpaku atau media lainnya </v>
          </cell>
          <cell r="AY29">
            <v>83.333333333333329</v>
          </cell>
          <cell r="AZ29" t="str">
            <v>B</v>
          </cell>
          <cell r="BA29" t="str">
            <v>Mampu     menyanyikan lagu anak-anak dan memperagakan tepuk birama dengan gerak perlu pembinaan dalam        memainkan pola irama lagu bertanda birama dua dengan tepuk dan gerak</v>
          </cell>
          <cell r="BB29">
            <v>83.333333333333329</v>
          </cell>
          <cell r="BC29" t="str">
            <v>B</v>
          </cell>
          <cell r="BD29" t="str">
            <v>Mampu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perlu pembinaan dalam        mempraktikkan penggunaan pola gerak dasar lokomotor dan non-lokomotor sesuai dengan irama (ketukan) tanpa/dengan musik dalam aktivitas gerak rimtik.</v>
          </cell>
          <cell r="BE29">
            <v>82</v>
          </cell>
          <cell r="BF29" t="str">
            <v>B</v>
          </cell>
          <cell r="BG29"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29">
            <v>84.5</v>
          </cell>
          <cell r="BI29" t="str">
            <v>B</v>
          </cell>
          <cell r="BJ29" t="str">
            <v xml:space="preserve">Mampu  Membuat percakapan tentang aktifitas berbelanja dan mempraktikkan di depan kelas berpasang-pasangan    perlu pembinaan dalam   Menulis kalimat order, request dan prohibition dengan baik sesuai dengan rumus      </v>
          </cell>
          <cell r="BK29">
            <v>84.5</v>
          </cell>
          <cell r="BL29" t="str">
            <v>B</v>
          </cell>
          <cell r="BM29" t="str">
            <v xml:space="preserve">Mampu  Menuliskan kata atau ungkapan pendek  sederhana tentang kegiatan sehari-hari disertai waktu    perlu pembinaan dalam   Memahami wacana tertulis dalam bentuk paparan atau bacaan tentang kegiatan sehari-hari disertai waktu     </v>
          </cell>
          <cell r="BN29">
            <v>83.333333333333329</v>
          </cell>
          <cell r="BO29" t="str">
            <v>B</v>
          </cell>
          <cell r="BP29" t="str">
            <v>Mampu     kd perlu pembinaan dalam        kd</v>
          </cell>
          <cell r="BQ29">
            <v>84.5</v>
          </cell>
          <cell r="BR29" t="str">
            <v>B</v>
          </cell>
          <cell r="BS29" t="str">
            <v xml:space="preserve">Mampu  Terampil mengoperasikan ikon-ikon text box, shapes, clip art, picture dan insert tabel    perlu pembinaan dalam   Menunjukkan ikon untuk membuat gambar dan teks     </v>
          </cell>
          <cell r="BT29" t="str">
            <v xml:space="preserve">Perlu pembinaan dalam   Mengetahui tetang Semaphore, Morse, Sandi dan tekspram serta dapat menyebutkan tanda pengenal pada seragam pramuka dan melaksanakan penempuhan SKU golongan Siaga </v>
          </cell>
          <cell r="BU29" t="str">
            <v>Lukis</v>
          </cell>
          <cell r="BV29" t="str">
            <v>baik</v>
          </cell>
          <cell r="BW29">
            <v>0</v>
          </cell>
          <cell r="BX29">
            <v>0</v>
          </cell>
          <cell r="BY29" t="str">
            <v>2 hari</v>
          </cell>
          <cell r="BZ29" t="str">
            <v>7 hari</v>
          </cell>
          <cell r="CA29" t="str">
            <v>2 hari</v>
          </cell>
          <cell r="CB29" t="str">
            <v xml:space="preserve">Alhamdulillah, ananda selama satu semester ini sudah banyak peningkatan dalam prestasi belajarnya, mohon ditingkatkan lagi prestasinya. Jangan lupa sholat lima waktu dan selalu berdo'a. </v>
          </cell>
          <cell r="CC29" t="str">
            <v>138 cm</v>
          </cell>
          <cell r="CD29" t="str">
            <v>33 kg</v>
          </cell>
          <cell r="CE29" t="str">
            <v>Baik, normal</v>
          </cell>
          <cell r="CF29" t="str">
            <v>Baik, normal</v>
          </cell>
          <cell r="CG29" t="str">
            <v>Geraham atas kiri karies</v>
          </cell>
          <cell r="CH29">
            <v>0</v>
          </cell>
          <cell r="CI29">
            <v>0</v>
          </cell>
          <cell r="CJ29">
            <v>0</v>
          </cell>
          <cell r="CK29">
            <v>0</v>
          </cell>
        </row>
        <row r="30">
          <cell r="B30">
            <v>4890</v>
          </cell>
          <cell r="C30" t="str">
            <v>Riyan Saidi</v>
          </cell>
          <cell r="D30" t="str">
            <v xml:space="preserve">Menunjukkan sikap     yang sangat menonjol. perlu pembinaan dalam     </v>
          </cell>
          <cell r="E30" t="str">
            <v xml:space="preserve">Menunjukkan sikap   suka bekerjasama, membantu teman yang kesulitan,    Perlu bimbingan dalam sikapberani dan percaya diri ketika mengunkapkan pendapat.      </v>
          </cell>
          <cell r="F30">
            <v>79.5</v>
          </cell>
          <cell r="G30" t="str">
            <v>B</v>
          </cell>
          <cell r="H30" t="str">
            <v xml:space="preserve">Mampu   Memahami hikmah beriman kepada Hari Akhir yang dapat membentuk perilaku akhlak mulia   perlu pembinaan dalam   Mengetahui makna Q.S. Al-Kaafiruun dengan benar,      </v>
          </cell>
          <cell r="I30">
            <v>86.25</v>
          </cell>
          <cell r="J30" t="str">
            <v>B</v>
          </cell>
          <cell r="K30" t="str">
            <v xml:space="preserve">Mampu mengenal simbol-simbol sila Pancasila dalam lambang negara “Garuda Pancasila”  mengenal arti bersatu dalam keberagaman di rumah dan sekolah  perlu pembinaan dalam    mengenal tata tertib dan aturan yang berlaku dalam kehidupan sehari-hari di rumah dan sekolah    </v>
          </cell>
          <cell r="L30">
            <v>82.6</v>
          </cell>
          <cell r="M30" t="str">
            <v>B</v>
          </cell>
          <cell r="N30" t="str">
            <v xml:space="preserve">Mampu     Mengenal teks diagram/label tentang anggota keluarga dan kerabat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30">
            <v>87.166666666666671</v>
          </cell>
          <cell r="P30" t="str">
            <v>B</v>
          </cell>
          <cell r="Q30" t="str">
            <v xml:space="preserve">Mampu mengenal lambang bilangan dan mendeskripsikan kemunculan bilangan dengan bahasa yang sederhana   menunjukkan pemahaman tentang besaran dengan menghitung maju sampai 100 dan mundur dari 20mengenal bangun datar dan bangun ruang menggunakan benda-benda yang ada di sekitar rumah, sekolah, atau tempat bermain. perlu pembinaan dalam    mengenal bilangan asli sampai 99 dengan menggunakan benda-benda yang ada di sekitar rumah, sekolah, atau tempat bermain    </v>
          </cell>
          <cell r="R30">
            <v>84.333333333333329</v>
          </cell>
          <cell r="S30" t="str">
            <v>B</v>
          </cell>
          <cell r="T30" t="str">
            <v xml:space="preserve">Mampu  mengenal cara dan hasil karya seni ekspresi  mengamati berbagai bahan, alat serta fungsinya dalam membuat prakarya menggambar ekspresi dengan mengolah garis, warna dan bentuk berdasarkan hasil pengamatan di lingkungan sekitarperlu pembinaan dalam    mengenal  pola irama lagu bervariasi menggunakan alat musik ritmis    </v>
          </cell>
          <cell r="U30">
            <v>81.333333333333329</v>
          </cell>
          <cell r="V30" t="str">
            <v>B</v>
          </cell>
          <cell r="W30" t="str">
            <v xml:space="preserve">Mampu  mengetahui konsep gerak dasar non-lokomotor sesuai dengan dimensi  anggota tubuh yang digunakan, arah, ruang  gerak, hubungan, dan usaha, dalam berbagai bentuk permainan sederhana dan atau permainan tradisional. mengetahui konsep bergerak secara seimbang dan cepat dalam rangka pengembangan kebugaran jasmani melalui permainan sederhana dan atau tradisional.  perlu pembinaan dalam   mengetahui konsep gerak dasar lokomotor sesuai dengan dimensi anggota tubuh yang digunakan, arah, ruang  gerak, hubungan, dan usaha, dalam berbagai bentuk permainan sederhana dan atau tradisional.     </v>
          </cell>
          <cell r="X30">
            <v>79</v>
          </cell>
          <cell r="Y30" t="str">
            <v>B</v>
          </cell>
          <cell r="Z30"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30">
            <v>78.25</v>
          </cell>
          <cell r="AB30" t="str">
            <v>B</v>
          </cell>
          <cell r="AC30" t="str">
            <v xml:space="preserve">Mampu   Mengenal, memahami dan mengidentifikasi macam-macam compass at the map and traffic sign   perlu pembinaan dalam   Mengenal, memahami dan mengidentifikasi macam-macam kalimat (order, request, and prohibition)     </v>
          </cell>
          <cell r="AD30">
            <v>78.25</v>
          </cell>
          <cell r="AE30" t="str">
            <v>B</v>
          </cell>
          <cell r="AF30" t="str">
            <v xml:space="preserve">Mampu   Memahami wacana dalam bentuk paparan tentang perkenalan diri(2) dengan menggunakan pola kalimat yang meliputi dhamir (kata ganti) ana, anta, anti, huwa, hiya + isim mufrad mu’annats/mudzakkar    perlu pembinaan dalam   Memahami wacana dalam bentuk paparan tentang perkenalan diri (1) dengan menggunakan pola kalimat yang meliputi isim isyarah (kata tunjuk) orang atau benda yang dekat (haadza, haadzihi) + alam + isim mufrad     </v>
          </cell>
          <cell r="AG30">
            <v>79</v>
          </cell>
          <cell r="AH30" t="str">
            <v>B</v>
          </cell>
          <cell r="AI30" t="str">
            <v xml:space="preserve">Mampu   memahami kepribadian NU   perlu pembinaan dalam   Mengenal sejarah munculnya Ahlus Sunnah wal Jama'ah     </v>
          </cell>
          <cell r="AJ30">
            <v>84.5</v>
          </cell>
          <cell r="AK30" t="str">
            <v>B</v>
          </cell>
          <cell r="AL30" t="str">
            <v xml:space="preserve">Mampu  Mengenal fungsi ikon-ikon pendukung pengolah kata (word processing)    perlu pembinaan dalam   Mengenal software pengolah kata dengan ikon-ikon pendukung     </v>
          </cell>
          <cell r="AM30">
            <v>76</v>
          </cell>
          <cell r="AN30" t="str">
            <v>B</v>
          </cell>
          <cell r="AO30" t="str">
            <v xml:space="preserve">Mampu    Mencontohkan perilaku toleran dan simpati sebagai implementasi dari pemahaman Q.S. al-Kaafiruun  perlu pembinaan dalam   Membaca Q.S. al-Kaafiruun dengan jelas dan benar     </v>
          </cell>
          <cell r="AP30">
            <v>86.75</v>
          </cell>
          <cell r="AQ30" t="str">
            <v>B</v>
          </cell>
          <cell r="AR30" t="str">
            <v xml:space="preserve">Mampu    Melaksanakan tata tertib di rumah dan sekolah Mengamati dan menceriterakan kebersamaan dalam keberagaman di rumah dan sekolah   perlu pembinaan dalam   Mengamati dan menceritakan perilaku di sekitar rumah dan sekolah dan mengaitkannya dengan pengenalannya terhadap salah satu simbol sila Pancasila     </v>
          </cell>
          <cell r="AS30">
            <v>75.599999999999994</v>
          </cell>
          <cell r="AT30" t="str">
            <v>C</v>
          </cell>
          <cell r="AU30" t="str">
            <v xml:space="preserve">Mampu    menyampaikan teks cerita diri/personal tentang keluarga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30">
            <v>78.166666666666671</v>
          </cell>
          <cell r="AW30" t="str">
            <v>B</v>
          </cell>
          <cell r="AX30" t="str">
            <v xml:space="preserve">Mampu   mendeskripsikan, mengembangkan, dan membuat pola yang berulang  perlu pembinaan dalam 0     </v>
          </cell>
          <cell r="AY30">
            <v>78.166666666666671</v>
          </cell>
          <cell r="AZ30" t="str">
            <v>B</v>
          </cell>
          <cell r="BA30" t="str">
            <v xml:space="preserve">Mampu  membuat karya seni ekspresi dengan memanfaatkan berbagai teknik cetak sederhana menggunakan bahan alam  menyanyikan lagu anak-anak dan memperagakan tepuk birama dengan gerak perlu pembinaan dalam   menggambar ekspresi dengan mengolah garis, warna dan bentuk berdasarkan hasil pengamatan di lingkungan sekitar     </v>
          </cell>
          <cell r="BB30">
            <v>78.166666666666671</v>
          </cell>
          <cell r="BC30" t="str">
            <v>B</v>
          </cell>
          <cell r="BD30" t="str">
            <v xml:space="preserve">Mampu   mempraktikkan pola gerak dasar manipulatif sesuai dengan dimensi anggota tubuh yang digunakan, arah, ruang gerak, hubungan, dan usaha, dalam berbagai bentuk permainan sederhana dan atau permainan tradisional.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perlu pembinaan dalam   mempraktikkan pola gerak dasar lokomotor sesuai dengan dimensi anggota tubuh yang digunakan, arah, ruang gerak, hubungan dan usaha, dalam berbagai bentuk permainan sederhana dan atau tradisional.     </v>
          </cell>
          <cell r="BE30">
            <v>79</v>
          </cell>
          <cell r="BF30" t="str">
            <v>B</v>
          </cell>
          <cell r="BG30"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30">
            <v>84.5</v>
          </cell>
          <cell r="BI30" t="str">
            <v>B</v>
          </cell>
          <cell r="BJ30" t="str">
            <v xml:space="preserve">Mampu  Membuat percakapan tentang aktifitas berbelanja dan mempraktikkan di depan kelas berpasang-pasangan    perlu pembinaan dalam   Menulis kalimat order, request dan prohibition dengan baik sesuai dengan rumus      </v>
          </cell>
          <cell r="BK30">
            <v>84.5</v>
          </cell>
          <cell r="BL30" t="str">
            <v>B</v>
          </cell>
          <cell r="BM30" t="str">
            <v xml:space="preserve">Mampu  Menuliskan kata atau ungkapan pendek  sederhana tentang kegiatan sehari-hari disertai waktu    perlu pembinaan dalam   Memahami wacana tertulis dalam bentuk paparan atau bacaan tentang kegiatan sehari-hari disertai waktu     </v>
          </cell>
          <cell r="BN30">
            <v>78.166666666666671</v>
          </cell>
          <cell r="BO30" t="str">
            <v>B</v>
          </cell>
          <cell r="BP30" t="str">
            <v xml:space="preserve">Mampu  kd  kd perlu pembinaan dalam   kd     </v>
          </cell>
          <cell r="BQ30">
            <v>84.5</v>
          </cell>
          <cell r="BR30" t="str">
            <v>B</v>
          </cell>
          <cell r="BS30" t="str">
            <v xml:space="preserve">Mampu  Terampil mengoperasikan ikon-ikon text box, shapes, clip art, picture dan insert tabel    perlu pembinaan dalam   Menunjukkan ikon untuk membuat gambar dan teks     </v>
          </cell>
          <cell r="BT30" t="str">
            <v xml:space="preserve">Perlu pembinaan dalam  Mengetahui simpul mati, simpul hidup, simpul anyam, simpul pangkal dan simpul jangkarMengetahui tetang Semaphore, Morse, Sandi dan tekspram serta dapat menyebutkan tanda pengenal pada seragam pramuka dan melaksanakan penempuhan SKU golongan Siaga </v>
          </cell>
          <cell r="BU30" t="str">
            <v>Drumband</v>
          </cell>
          <cell r="BV30" t="str">
            <v>baik sekali</v>
          </cell>
          <cell r="BW30">
            <v>0</v>
          </cell>
          <cell r="BX30">
            <v>0</v>
          </cell>
          <cell r="BY30" t="str">
            <v>5 hari</v>
          </cell>
          <cell r="BZ30">
            <v>0</v>
          </cell>
          <cell r="CA30">
            <v>0</v>
          </cell>
          <cell r="CB30" t="str">
            <v xml:space="preserve">Alhamdulillah, ananda selama satu semester ini sudah banyak peningkatan dalam prestasi belajarnya, mohon ditingkatkan lagi prestasinya. Jangan lupa sholat lima waktu dan selalu berdo'a. </v>
          </cell>
          <cell r="CC30" t="str">
            <v>147 cm</v>
          </cell>
          <cell r="CD30" t="str">
            <v>38 kg</v>
          </cell>
          <cell r="CE30" t="str">
            <v>Baik, normal</v>
          </cell>
          <cell r="CF30" t="str">
            <v>Baik, normal</v>
          </cell>
          <cell r="CG30" t="str">
            <v>Bagus</v>
          </cell>
          <cell r="CH30">
            <v>0</v>
          </cell>
          <cell r="CI30">
            <v>0</v>
          </cell>
          <cell r="CJ30">
            <v>0</v>
          </cell>
          <cell r="CK30">
            <v>0</v>
          </cell>
        </row>
        <row r="31">
          <cell r="B31">
            <v>4894</v>
          </cell>
          <cell r="C31" t="str">
            <v>Siti Mudmainah</v>
          </cell>
          <cell r="D31" t="str">
            <v xml:space="preserve">Menunjukkan sikap     yang sangat menonjol. perlu pembinaan dalam     </v>
          </cell>
          <cell r="E31" t="str">
            <v xml:space="preserve">Menunjukkan sikap   suka bekerjasama, membantu teman yang kesulitan,    Perlu bimbingan dalam sikapberani dan percaya diri ketika mengunkapkan pendapat.      </v>
          </cell>
          <cell r="F31">
            <v>80</v>
          </cell>
          <cell r="G31" t="str">
            <v>B</v>
          </cell>
          <cell r="H31" t="str">
            <v xml:space="preserve">Mampu Mengetahui makna Q.S. Al-Kaafiruun dengan benar,      perlu pembinaan dalam       Mengetahui kisah Nabi Muhammad saw. </v>
          </cell>
          <cell r="I31">
            <v>76</v>
          </cell>
          <cell r="J31" t="str">
            <v>B</v>
          </cell>
          <cell r="K31" t="str">
            <v xml:space="preserve">Mampu    mengenal arti bersatu dalam keberagaman di rumah dan sekolah  perlu pembinaan dalam     mengenal keberagaman karateristik individu di rumah dan di sekolah   </v>
          </cell>
          <cell r="L31">
            <v>80.2</v>
          </cell>
          <cell r="M31" t="str">
            <v>B</v>
          </cell>
          <cell r="N31" t="str">
            <v xml:space="preserve">Mampu   mengenal teks terima kasih tentang sikap kasih sayang dengan bantuan guru atau teman dalam bahasa Indonesia lisan dan tulis yang dapat diisi dengan kosakata bahasa daerah untuk membantu pemahaman Mengenal teks diagram/label tentang anggota keluarga dan kerabat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31">
            <v>74.333333333333329</v>
          </cell>
          <cell r="P31" t="str">
            <v>C</v>
          </cell>
          <cell r="Q31" t="str">
            <v>Mampu     mengenal bangun datar dan bangun ruang menggunakan benda-benda yang ada di sekitar rumah, sekolah, atau tempat bermain. perlu pembinaan dalam     mengenal dan memprediksi pola-pola bilangan sederhana menggunakan gambar-gambar/benda konkrit  menemukan bangun yang membentuk pola pengubinan sederhana</v>
          </cell>
          <cell r="R31">
            <v>81.666666666666671</v>
          </cell>
          <cell r="S31" t="str">
            <v>B</v>
          </cell>
          <cell r="T31" t="str">
            <v xml:space="preserve">Mampu  mengenal cara dan hasil karya seni ekspresi     perlu pembinaan dalam       mengenal karya seni budaya benda dan bahasa daerah setempat </v>
          </cell>
          <cell r="U31">
            <v>81.833333333333329</v>
          </cell>
          <cell r="V31" t="str">
            <v>B</v>
          </cell>
          <cell r="W31" t="str">
            <v xml:space="preserve">Mampu mengetahui konsep gerak dasar lokomotor sesuai dengan dimensi anggota tubuh yang digunakan, arah, ruang  gerak, hubungan, dan usaha, dalam berbagai bentuk permainan sederhana dan atau tradisional.     perlu pembinaan dalam        mengetahui konsep penggunaan pola gerak dasar lokomotor dan non-lokomotor sesuai dengan irama (ketukan) tanpa/ dengan musik dalam aktivitas gerak rimtik. </v>
          </cell>
          <cell r="X31">
            <v>85.666666666666671</v>
          </cell>
          <cell r="Y31" t="str">
            <v>B</v>
          </cell>
          <cell r="Z31"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31">
            <v>80.5</v>
          </cell>
          <cell r="AB31" t="str">
            <v>B</v>
          </cell>
          <cell r="AC31"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31">
            <v>80.5</v>
          </cell>
          <cell r="AE31" t="str">
            <v>B</v>
          </cell>
          <cell r="AF31"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31">
            <v>85.666666666666671</v>
          </cell>
          <cell r="AH31" t="str">
            <v>B</v>
          </cell>
          <cell r="AI31" t="str">
            <v xml:space="preserve">Mampu  Memahami amaliah NU    perlu pembinaan dalam     memahami kepribadian NU   </v>
          </cell>
          <cell r="AJ31">
            <v>84</v>
          </cell>
          <cell r="AK31" t="str">
            <v>B</v>
          </cell>
          <cell r="AL31" t="str">
            <v xml:space="preserve">Mampu Mengenal software pengolah kata dengan ikon-ikon pendukung     perlu pembinaan dalam    Mengenal fungsi ikon-ikon pendukung pengolah kata (word processing)    </v>
          </cell>
          <cell r="AM31">
            <v>85.5</v>
          </cell>
          <cell r="AN31" t="str">
            <v>B</v>
          </cell>
          <cell r="AO31" t="str">
            <v xml:space="preserve">Mampu Membaca Q.S. al-Kaafiruun dengan jelas dan benar     perlu pembinaan dalam       Menceritakan kisah keteladanan Nabi Muhammad saw. </v>
          </cell>
          <cell r="AP31">
            <v>80.25</v>
          </cell>
          <cell r="AQ31" t="str">
            <v>B</v>
          </cell>
          <cell r="AR31" t="str">
            <v xml:space="preserve">Mampu    Mengamati dan menceriterakan kebersamaan dalam keberagaman di rumah dan sekolah   perlu pembinaan dalam      Mengamati dan menceriterakan keberagaman karateristik individu di rumah dan sekolah  </v>
          </cell>
          <cell r="AS31">
            <v>84</v>
          </cell>
          <cell r="AT31" t="str">
            <v>B</v>
          </cell>
          <cell r="AU31"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31">
            <v>85.166666666666671</v>
          </cell>
          <cell r="AW31" t="str">
            <v>B</v>
          </cell>
          <cell r="AX31" t="str">
            <v xml:space="preserve">Mampu0     perlu pembinaan dalam     membentuk berbagai bangun datar dengan menggunakan papan berpaku atau media lainnya </v>
          </cell>
          <cell r="AY31">
            <v>85.166666666666671</v>
          </cell>
          <cell r="AZ31" t="str">
            <v>B</v>
          </cell>
          <cell r="BA31" t="str">
            <v>Mampu menggambar ekspresi dengan mengolah garis, warna dan bentuk berdasarkan hasil pengamatan di lingkungan sekitar     perlu pembinaan dalam        memainkan pola irama lagu bertanda birama dua dengan tepuk dan gerak</v>
          </cell>
          <cell r="BB31">
            <v>85.166666666666671</v>
          </cell>
          <cell r="BC31" t="str">
            <v>B</v>
          </cell>
          <cell r="BD31" t="str">
            <v>Mampu mempraktikkan pola gerak dasar lokomotor sesuai dengan dimensi anggota tubuh yang digunakan, arah, ruang gerak, hubungan dan usaha, dalam berbagai bentuk permainan sederhana dan atau tradisional.     perlu pembinaan dalam        mempraktikkan penggunaan pola gerak dasar lokomotor dan non-lokomotor sesuai dengan irama (ketukan) tanpa/dengan musik dalam aktivitas gerak rimtik.</v>
          </cell>
          <cell r="BE31">
            <v>85.666666666666671</v>
          </cell>
          <cell r="BF31" t="str">
            <v>B</v>
          </cell>
          <cell r="BG31" t="str">
            <v xml:space="preserve">Mampu  menceritakan isi tembang macapat.     perlu pembinaan dalam     menanggapi teks lisan maupun tulis yang memuat ungkapan tradisional Jawa/ Madura (paribasan, bebasan, saloka)   </v>
          </cell>
          <cell r="BH31">
            <v>84</v>
          </cell>
          <cell r="BI31" t="str">
            <v>B</v>
          </cell>
          <cell r="BJ31" t="str">
            <v xml:space="preserve">Mampu Menulis kalimat order, request dan prohibition dengan baik sesuai dengan rumus      perlu pembinaan dalam    Membuat percakapan tentang aktifitas berbelanja dan mempraktikkan di depan kelas berpasang-pasangan    </v>
          </cell>
          <cell r="BK31">
            <v>84</v>
          </cell>
          <cell r="BL31" t="str">
            <v>B</v>
          </cell>
          <cell r="BM31" t="str">
            <v xml:space="preserve">Mampu Memahami wacana tertulis dalam bentuk paparan atau bacaan tentang kegiatan sehari-hari disertai waktu     perlu pembinaan dalam    Menuliskan kata atau ungkapan pendek  sederhana tentang kegiatan sehari-hari disertai waktu    </v>
          </cell>
          <cell r="BN31">
            <v>85.166666666666671</v>
          </cell>
          <cell r="BO31" t="str">
            <v>B</v>
          </cell>
          <cell r="BP31" t="str">
            <v>Mampu kd     perlu pembinaan dalam        kd</v>
          </cell>
          <cell r="BQ31">
            <v>84</v>
          </cell>
          <cell r="BR31" t="str">
            <v>B</v>
          </cell>
          <cell r="BS31" t="str">
            <v xml:space="preserve">Mampu Menunjukkan ikon untuk membuat gambar dan teks     perlu pembinaan dalam    Terampil mengoperasikan ikon-ikon text box, shapes, clip art, picture dan insert tabel    </v>
          </cell>
          <cell r="BT31" t="str">
            <v xml:space="preserve">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31" t="str">
            <v>Membatik</v>
          </cell>
          <cell r="BV31" t="str">
            <v>baik</v>
          </cell>
          <cell r="BW31">
            <v>0</v>
          </cell>
          <cell r="BX31">
            <v>0</v>
          </cell>
          <cell r="BY31" t="str">
            <v>1 hari</v>
          </cell>
          <cell r="BZ31">
            <v>0</v>
          </cell>
          <cell r="CA31">
            <v>0</v>
          </cell>
          <cell r="CB31" t="str">
            <v xml:space="preserve">Alhamdulillah, ananda selama satu semester ini sudah banyak peningkatan dalam prestasi belajarnya, mohon ditingkatkan lagi prestasinya. Jangan lupa sholat lima waktu dan selalu berdo'a. </v>
          </cell>
          <cell r="CC31" t="str">
            <v>146 cm</v>
          </cell>
          <cell r="CD31" t="str">
            <v>48 kg</v>
          </cell>
          <cell r="CE31" t="str">
            <v>Serumen (+)</v>
          </cell>
          <cell r="CF31" t="str">
            <v>Baik, normal</v>
          </cell>
          <cell r="CG31" t="str">
            <v>Gigi geraham sisa akar</v>
          </cell>
          <cell r="CH31" t="str">
            <v>Lomba mengarang dengan tema Ibuku Tersayang</v>
          </cell>
          <cell r="CI31" t="str">
            <v>Juara 2 pada sekolah jenjang kelas 4</v>
          </cell>
          <cell r="CJ31">
            <v>0</v>
          </cell>
          <cell r="CK31">
            <v>0</v>
          </cell>
        </row>
        <row r="32">
          <cell r="B32">
            <v>4896</v>
          </cell>
          <cell r="C32" t="str">
            <v>Siti Zamira Rafidah</v>
          </cell>
          <cell r="D32" t="str">
            <v xml:space="preserve">Menunjukkan sikap     yang sangat menonjol. perlu pembinaan dalam     </v>
          </cell>
          <cell r="E32" t="str">
            <v xml:space="preserve">Menunjukkan sikap   suka bekerjasama, membantu teman yang kesulitan,    Perlu bimbingan dalam sikapberani dan percaya diri ketika mengunkapkan pendapat.      </v>
          </cell>
          <cell r="F32">
            <v>82.333333333333329</v>
          </cell>
          <cell r="G32" t="str">
            <v>B</v>
          </cell>
          <cell r="H32" t="str">
            <v>Mampu  Mengerti makna Asma'ul Husna : as-Samad, al- Muqtadir, al-Muqaddim, al-Baqi    perlu pembinaan dalam     Memahami hikmah beriman kepada Hari Akhir yang dapat membentuk perilaku akhlak mulia</v>
          </cell>
          <cell r="I32">
            <v>80.75</v>
          </cell>
          <cell r="J32" t="str">
            <v>B</v>
          </cell>
          <cell r="K32" t="str">
            <v xml:space="preserve">Mampu  mengenal tata tertib dan aturan yang berlaku dalam kehidupan sehari-hari di rumah dan sekolah    perlu pembinaan dalam   mengenal simbol-simbol sila Pancasila dalam lambang negara “Garuda Pancasila”     </v>
          </cell>
          <cell r="L32">
            <v>77.599999999999994</v>
          </cell>
          <cell r="M32" t="str">
            <v>B</v>
          </cell>
          <cell r="N32" t="str">
            <v xml:space="preserve">Mampu   mengenal teks terima kasih tentang sikap kasih sayang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32">
            <v>79.833333333333329</v>
          </cell>
          <cell r="P32" t="str">
            <v>B</v>
          </cell>
          <cell r="Q32" t="str">
            <v xml:space="preserve">Mampu  mengenal bilangan asli sampai 99 dengan menggunakan benda-benda yang ada di sekitar rumah, sekolah, atau tempat bermain    perlu pembinaan dalam   mengenal lambang bilangan dan mendeskripsikan kemunculan bilangan dengan bahasa yang sederhana   menunjukkan pemahaman tentang besaran dengan menghitung maju sampai 100 dan mundur dari 20  </v>
          </cell>
          <cell r="R32">
            <v>78</v>
          </cell>
          <cell r="S32" t="str">
            <v>B</v>
          </cell>
          <cell r="T32" t="str">
            <v xml:space="preserve">Mampu    mengamati berbagai bahan, alat serta fungsinya dalam membuat prakarya  perlu pembinaan dalam    mengenal  pola irama lagu bervariasi menggunakan alat musik ritmis    </v>
          </cell>
          <cell r="U32">
            <v>82</v>
          </cell>
          <cell r="V32" t="str">
            <v>B</v>
          </cell>
          <cell r="W32" t="str">
            <v xml:space="preserve">Mampu   mengetahui konsep gerak dasar manipulatif sesuai dengan dimensi anggota tubuh yang  digunakan, arah, ruang  gerak, hubungan, dan usaha, dalam berbagai bentuk permainan sederhana dan atau permainan tradisional.   perlu pembinaan dalam      mengetahui konsep bergerak secara seimbang dan cepat dalam rangka pengembangan kebugaran jasmani melalui permainan sederhana dan atau tradisional.  </v>
          </cell>
          <cell r="X32">
            <v>78</v>
          </cell>
          <cell r="Y32" t="str">
            <v>B</v>
          </cell>
          <cell r="Z32"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32">
            <v>77.5</v>
          </cell>
          <cell r="AB32" t="str">
            <v>B</v>
          </cell>
          <cell r="AC32" t="str">
            <v xml:space="preserve">Mampu   Mengenal, memahami dan mengidentifikasi macam-macam compass at the map and traffic sign   perlu pembinaan dalam   Mengenal, memahami dan mengidentifikasi macam-macam kalimat (order, request, and prohibition)     </v>
          </cell>
          <cell r="AD32">
            <v>77.5</v>
          </cell>
          <cell r="AE32" t="str">
            <v>B</v>
          </cell>
          <cell r="AF32" t="str">
            <v xml:space="preserve">Mampu   Memahami wacana dalam bentuk paparan tentang perkenalan diri(2) dengan menggunakan pola kalimat yang meliputi dhamir (kata ganti) ana, anta, anti, huwa, hiya + isim mufrad mu’annats/mudzakkar    perlu pembinaan dalam   Memahami wacana dalam bentuk paparan tentang perkenalan diri (1) dengan menggunakan pola kalimat yang meliputi isim isyarah (kata tunjuk) orang atau benda yang dekat (haadza, haadzihi) + alam + isim mufrad     </v>
          </cell>
          <cell r="AG32">
            <v>78</v>
          </cell>
          <cell r="AH32" t="str">
            <v>B</v>
          </cell>
          <cell r="AI32" t="str">
            <v xml:space="preserve">Mampu   memahami kepribadian NU   perlu pembinaan dalam   Mengenal sejarah munculnya Ahlus Sunnah wal Jama'ah     </v>
          </cell>
          <cell r="AJ32">
            <v>84.5</v>
          </cell>
          <cell r="AK32" t="str">
            <v>B</v>
          </cell>
          <cell r="AL32" t="str">
            <v xml:space="preserve">Mampu  Mengenal fungsi ikon-ikon pendukung pengolah kata (word processing)    perlu pembinaan dalam   Mengenal software pengolah kata dengan ikon-ikon pendukung     </v>
          </cell>
          <cell r="AM32">
            <v>79.166666666666671</v>
          </cell>
          <cell r="AN32" t="str">
            <v>B</v>
          </cell>
          <cell r="AO32" t="str">
            <v xml:space="preserve">Mampu    Mencontohkan perilaku toleran dan simpati sebagai implementasi dari pemahaman Q.S. al-Kaafiruun  perlu pembinaan dalam    Menulis Q.S. al-Kaafiruun dengan jelas dan benar    </v>
          </cell>
          <cell r="AP32">
            <v>81.75</v>
          </cell>
          <cell r="AQ32" t="str">
            <v>B</v>
          </cell>
          <cell r="AR32" t="str">
            <v xml:space="preserve">Mampu    Melaksanakan tata tertib di rumah dan sekolah    perlu pembinaan dalam   Mengamati dan menceritakan perilaku di sekitar rumah dan sekolah dan mengaitkannya dengan pengenalannya terhadap salah satu simbol sila Pancasila  Mengamati dan menceriterakan kebersamaan dalam keberagaman di rumah dan sekolah   </v>
          </cell>
          <cell r="AS32">
            <v>77.599999999999994</v>
          </cell>
          <cell r="AT32" t="str">
            <v>B</v>
          </cell>
          <cell r="AU32" t="str">
            <v xml:space="preserve">Mampu    menyampaikan teks cerita diri/personal tentang keluarga secara mandiri dalam bahasa Indonesia lisan dan tulis  yang dapat diisi dengan kosakata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32">
            <v>77.666666666666671</v>
          </cell>
          <cell r="AW32" t="str">
            <v>B</v>
          </cell>
          <cell r="AX32" t="str">
            <v xml:space="preserve">Mampu   mendeskripsikan, mengembangkan, dan membuat pola yang berulang  perlu pembinaan dalam  menggunakan benda konkrit untuk menelusuri pecahan dan jumlah uang     </v>
          </cell>
          <cell r="AY32">
            <v>77.666666666666671</v>
          </cell>
          <cell r="AZ32" t="str">
            <v>B</v>
          </cell>
          <cell r="BA32" t="str">
            <v xml:space="preserve">Mampu     menyanyikan lagu anak-anak dan memperagakan tepuk birama dengan gerak perlu pembinaan dalam     menggambar dengan memanfaatkan beragam media kering   </v>
          </cell>
          <cell r="BB32">
            <v>77.666666666666671</v>
          </cell>
          <cell r="BC32" t="str">
            <v>B</v>
          </cell>
          <cell r="BD32" t="str">
            <v xml:space="preserve">Mampu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perlu pembinaan dalam    mempraktikkan pola gerak dasar non-lokomotor sesuai dengan dimensi anggota tubuh yang digunakan, arah, ruang gerak, hubungan, dan usaha,dalam berbagai bentuk permainan sederhana dan atau tradisional.    </v>
          </cell>
          <cell r="BE32">
            <v>78</v>
          </cell>
          <cell r="BF32" t="str">
            <v>B</v>
          </cell>
          <cell r="BG32"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32">
            <v>84.5</v>
          </cell>
          <cell r="BI32" t="str">
            <v>B</v>
          </cell>
          <cell r="BJ32" t="str">
            <v xml:space="preserve">Mampu  Membuat percakapan tentang aktifitas berbelanja dan mempraktikkan di depan kelas berpasang-pasangan    perlu pembinaan dalam   Menulis kalimat order, request dan prohibition dengan baik sesuai dengan rumus      </v>
          </cell>
          <cell r="BK32">
            <v>84.5</v>
          </cell>
          <cell r="BL32" t="str">
            <v>B</v>
          </cell>
          <cell r="BM32" t="str">
            <v xml:space="preserve">Mampu  Menuliskan kata atau ungkapan pendek  sederhana tentang kegiatan sehari-hari disertai waktu    perlu pembinaan dalam   Memahami wacana tertulis dalam bentuk paparan atau bacaan tentang kegiatan sehari-hari disertai waktu     </v>
          </cell>
          <cell r="BN32">
            <v>77.666666666666671</v>
          </cell>
          <cell r="BO32" t="str">
            <v>B</v>
          </cell>
          <cell r="BP32" t="str">
            <v xml:space="preserve">Mampu     kd perlu pembinaan dalam     kd   </v>
          </cell>
          <cell r="BQ32">
            <v>84.5</v>
          </cell>
          <cell r="BR32" t="str">
            <v>B</v>
          </cell>
          <cell r="BS32" t="str">
            <v xml:space="preserve">Mampu  Terampil mengoperasikan ikon-ikon text box, shapes, clip art, picture dan insert tabel    perlu pembinaan dalam   Menunjukkan ikon untuk membuat gambar dan teks     </v>
          </cell>
          <cell r="BT32" t="str">
            <v xml:space="preserve">Rajin dan giat mengikuti Perindukan Siaga sekurang-kurangnya 10 kali latihan berturut-turut, dapat menunjukkan sikap disiplin dan dapt melakukan PBB dengan benar     namun, perlu pembinaan dalam   Mengetahui tetang Semaphore, Morse, Sandi dan tekspram serta dapat menyebutkan tanda pengenal pada seragam pramuka dan melaksanakan penempuhan SKU golongan Siaga </v>
          </cell>
          <cell r="BU32" t="str">
            <v>Drumband</v>
          </cell>
          <cell r="BV32" t="str">
            <v>baik sekali</v>
          </cell>
          <cell r="BW32">
            <v>0</v>
          </cell>
          <cell r="BX32">
            <v>0</v>
          </cell>
          <cell r="BY32" t="str">
            <v>3 hari</v>
          </cell>
          <cell r="BZ32">
            <v>0</v>
          </cell>
          <cell r="CA32" t="str">
            <v>2 hari</v>
          </cell>
          <cell r="CB32" t="str">
            <v xml:space="preserve">Alhamdulillah, ananda selama satu semester ini sudah banyak peningkatan dalam prestasi belajarnya, mohon ditingkatkan lagi prestasinya. Jangan lupa sholat lima waktu dan selalu berdo'a. </v>
          </cell>
          <cell r="CC32" t="str">
            <v>139 cm</v>
          </cell>
          <cell r="CD32" t="str">
            <v>38 kg</v>
          </cell>
          <cell r="CE32" t="str">
            <v>Baik, normal</v>
          </cell>
          <cell r="CF32" t="str">
            <v>Baik, normal</v>
          </cell>
          <cell r="CG32" t="str">
            <v>Bagus</v>
          </cell>
          <cell r="CH32">
            <v>0</v>
          </cell>
          <cell r="CI32">
            <v>0</v>
          </cell>
          <cell r="CJ32">
            <v>0</v>
          </cell>
          <cell r="CK32">
            <v>0</v>
          </cell>
        </row>
        <row r="33">
          <cell r="B33">
            <v>4898</v>
          </cell>
          <cell r="C33" t="str">
            <v>Talitha Azaria Maulida</v>
          </cell>
          <cell r="D33" t="str">
            <v xml:space="preserve">Menunjukkan sikap     yang sangat menonjol. perlu pembinaan dalam     </v>
          </cell>
          <cell r="E33" t="str">
            <v xml:space="preserve">Menunjukkan sikap   suka bekerjasama, membantu teman yang kesulitan,    Perlu bimbingan dalam sikapberani dan percaya diri ketika mengunkapkan pendapat.      </v>
          </cell>
          <cell r="F33">
            <v>78</v>
          </cell>
          <cell r="G33" t="str">
            <v>B</v>
          </cell>
          <cell r="H33" t="str">
            <v xml:space="preserve">Mampu    Memahami hikmah berzakat sebagai implementasi rukun Islam  perlu pembinaan dalam   Mengetahui makna Q.S. Al-Kaafiruun dengan benar,      </v>
          </cell>
          <cell r="I33">
            <v>84</v>
          </cell>
          <cell r="J33" t="str">
            <v>B</v>
          </cell>
          <cell r="K33" t="str">
            <v xml:space="preserve">Mampu  mengenal tata tertib dan aturan yang berlaku dalam kehidupan sehari-hari di rumah dan sekolah mengenal arti bersatu dalam keberagaman di rumah dan sekolah  perlu pembinaan dalam     mengenal keberagaman karateristik individu di rumah dan di sekolah   </v>
          </cell>
          <cell r="L33">
            <v>85.8</v>
          </cell>
          <cell r="M33" t="str">
            <v>B</v>
          </cell>
          <cell r="N33"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33">
            <v>81.666666666666671</v>
          </cell>
          <cell r="P33" t="str">
            <v>B</v>
          </cell>
          <cell r="Q33" t="str">
            <v>Mampu  mengenal bilangan asli sampai 99 dengan menggunakan benda-benda yang ada di sekitar rumah, sekolah, atau tempat bermain  mengenal bangun datar dan bangun ruang menggunakan benda-benda yang ada di sekitar rumah, sekolah, atau tempat bermain. perlu pembinaan dalam     mengenal dan memprediksi pola-pola bilangan sederhana menggunakan gambar-gambar/benda konkrit  menemukan bangun yang membentuk pola pengubinan sederhana</v>
          </cell>
          <cell r="R33">
            <v>85.333333333333329</v>
          </cell>
          <cell r="S33" t="str">
            <v>B</v>
          </cell>
          <cell r="T33" t="str">
            <v xml:space="preserve">Mampu  mengenal  pola irama lagu bervariasi menggunakan alat musik ritmis    perlu pembinaan dalam       mengenal karya seni budaya benda dan bahasa daerah setempat </v>
          </cell>
          <cell r="U33">
            <v>79.833333333333329</v>
          </cell>
          <cell r="V33" t="str">
            <v>B</v>
          </cell>
          <cell r="W33" t="str">
            <v xml:space="preserve">Mampu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perlu pembinaan dalam   mengetahui konsep gerak dasar lokomotor sesuai dengan dimensi anggota tubuh yang digunakan, arah, ruang  gerak, hubungan, dan usaha, dalam berbagai bentuk permainan sederhana dan atau tradisional.     </v>
          </cell>
          <cell r="X33">
            <v>89</v>
          </cell>
          <cell r="Y33" t="str">
            <v>B</v>
          </cell>
          <cell r="Z33"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33">
            <v>84.5</v>
          </cell>
          <cell r="AB33" t="str">
            <v>B</v>
          </cell>
          <cell r="AC33" t="str">
            <v xml:space="preserve">Mampu Mengenal, memahami dan mengidentifikasi macam-macam kalimat (order, request, and prohibition)     perlu pembinaan dalam      Mengenal, memahami dan mengidentifikasi shopping activity (how to ask price, show the price, bargain, accept and refuse to bargain, etc)  </v>
          </cell>
          <cell r="AD33">
            <v>84.5</v>
          </cell>
          <cell r="AE33" t="str">
            <v>B</v>
          </cell>
          <cell r="AF33"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profesi dengan menggunakan pola kalimat isim isyarah/ dhamir + profesi  </v>
          </cell>
          <cell r="AG33">
            <v>89</v>
          </cell>
          <cell r="AH33" t="str">
            <v>B</v>
          </cell>
          <cell r="AI33" t="str">
            <v xml:space="preserve">Mampu Mengenal sejarah munculnya Ahlus Sunnah wal Jama'ah     perlu pembinaan dalam     memahami kepribadian NU   </v>
          </cell>
          <cell r="AJ33">
            <v>84.5</v>
          </cell>
          <cell r="AK33" t="str">
            <v>B</v>
          </cell>
          <cell r="AL33" t="str">
            <v xml:space="preserve">Mampu Mengenal software pengolah kata dengan ikon-ikon pendukung     perlu pembinaan dalam    Mengenal fungsi ikon-ikon pendukung pengolah kata (word processing)    </v>
          </cell>
          <cell r="AM33">
            <v>77.666666666666671</v>
          </cell>
          <cell r="AN33" t="str">
            <v>B</v>
          </cell>
          <cell r="AO33" t="str">
            <v>Mampu  Menulis Q.S. al-Kaafiruun dengan jelas dan benar    perlu pembinaan dalam        Menceritakan kisah keteladanan sahabat-sahabat Nabi Muhammad saw.</v>
          </cell>
          <cell r="AP33">
            <v>84</v>
          </cell>
          <cell r="AQ33" t="str">
            <v>B</v>
          </cell>
          <cell r="AR33" t="str">
            <v xml:space="preserve">Mampu    Mengamati dan menceriterakan kebersamaan dalam keberagaman di rumah dan sekolah   perlu pembinaan dalam      Mengamati dan menceriterakan keberagaman karateristik individu di rumah dan sekolah  </v>
          </cell>
          <cell r="AS33">
            <v>80.8</v>
          </cell>
          <cell r="AT33" t="str">
            <v>B</v>
          </cell>
          <cell r="AU33" t="str">
            <v xml:space="preserve">Mampu   mempraktikkan teks arahan/petunjuk tentang merawat tubuh serta kesehatan dan kebugaran tubuh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33">
            <v>82.5</v>
          </cell>
          <cell r="AW33" t="str">
            <v>B</v>
          </cell>
          <cell r="AX33" t="str">
            <v xml:space="preserve">Mampu menggunakan benda konkrit untuk menelusuri pecahan dan jumlah uang     perlu pembinaan dalam 0     </v>
          </cell>
          <cell r="AY33">
            <v>82.5</v>
          </cell>
          <cell r="AZ33" t="str">
            <v>B</v>
          </cell>
          <cell r="BA33" t="str">
            <v xml:space="preserve">Mampu   menggambar dengan memanfaatkan beragam media kering   perlu pembinaan dalam   menggambar ekspresi dengan mengolah garis, warna dan bentuk berdasarkan hasil pengamatan di lingkungan sekitar     </v>
          </cell>
          <cell r="BB33">
            <v>82.5</v>
          </cell>
          <cell r="BC33" t="str">
            <v>B</v>
          </cell>
          <cell r="BD33" t="str">
            <v xml:space="preserve">Mampu  mempraktikkan pola gerak dasar non-lokomotor sesuai dengan dimensi anggota tubuh yang digunakan, arah, ruang gerak, hubungan, dan usaha,dalam berbagai bentuk permainan sederhana dan atau tradisional.    perlu pembinaan dalam   mempraktikkan pola gerak dasar lokomotor sesuai dengan dimensi anggota tubuh yang digunakan, arah, ruang gerak, hubungan dan usaha, dalam berbagai bentuk permainan sederhana dan atau tradisional.     </v>
          </cell>
          <cell r="BE33">
            <v>89</v>
          </cell>
          <cell r="BF33" t="str">
            <v>B</v>
          </cell>
          <cell r="BG33"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33">
            <v>84.5</v>
          </cell>
          <cell r="BI33" t="str">
            <v>B</v>
          </cell>
          <cell r="BJ33" t="str">
            <v xml:space="preserve">Mampu Menulis kalimat order, request dan prohibition dengan baik sesuai dengan rumus      perlu pembinaan dalam    Membuat percakapan tentang aktifitas berbelanja dan mempraktikkan di depan kelas berpasang-pasangan    </v>
          </cell>
          <cell r="BK33">
            <v>84.5</v>
          </cell>
          <cell r="BL33" t="str">
            <v>B</v>
          </cell>
          <cell r="BM33" t="str">
            <v xml:space="preserve">Mampu Memahami wacana tertulis dalam bentuk paparan atau bacaan tentang kegiatan sehari-hari disertai waktu     perlu pembinaan dalam    Menuliskan kata atau ungkapan pendek  sederhana tentang kegiatan sehari-hari disertai waktu    </v>
          </cell>
          <cell r="BN33">
            <v>82.5</v>
          </cell>
          <cell r="BO33" t="str">
            <v>B</v>
          </cell>
          <cell r="BP33" t="str">
            <v xml:space="preserve">Mampu   kd   perlu pembinaan dalam   kd     </v>
          </cell>
          <cell r="BQ33">
            <v>84.5</v>
          </cell>
          <cell r="BR33" t="str">
            <v>B</v>
          </cell>
          <cell r="BS33" t="str">
            <v xml:space="preserve">Mampu Menunjukkan ikon untuk membuat gambar dan teks     perlu pembinaan dalam    Terampil mengoperasikan ikon-ikon text box, shapes, clip art, picture dan insert tabel    </v>
          </cell>
          <cell r="BT33" t="str">
            <v xml:space="preserve">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33" t="str">
            <v>Membatik</v>
          </cell>
          <cell r="BV33" t="str">
            <v xml:space="preserve">baik </v>
          </cell>
          <cell r="BW33">
            <v>0</v>
          </cell>
          <cell r="BX33">
            <v>0</v>
          </cell>
          <cell r="BY33" t="str">
            <v>1 hari</v>
          </cell>
          <cell r="BZ33">
            <v>0</v>
          </cell>
          <cell r="CA33">
            <v>0</v>
          </cell>
          <cell r="CB33" t="str">
            <v xml:space="preserve">Alhamdulillah, ananda selama satu semester ini sudah banyak peningkatan dalam prestasi belajarnya, mohon ditingkatkan lagi prestasinya. Jangan lupa sholat lima waktu dan selalu berdo'a. </v>
          </cell>
          <cell r="CC33" t="str">
            <v>139 cm</v>
          </cell>
          <cell r="CD33" t="str">
            <v>35 kg</v>
          </cell>
          <cell r="CE33" t="str">
            <v>Baik, normal</v>
          </cell>
          <cell r="CF33" t="str">
            <v>Baik, normal</v>
          </cell>
          <cell r="CG33" t="str">
            <v>Geraham persistensi</v>
          </cell>
          <cell r="CH33">
            <v>0</v>
          </cell>
          <cell r="CI33">
            <v>0</v>
          </cell>
          <cell r="CJ33">
            <v>0</v>
          </cell>
          <cell r="CK33">
            <v>0</v>
          </cell>
        </row>
        <row r="34">
          <cell r="B34">
            <v>4904</v>
          </cell>
          <cell r="C34" t="str">
            <v xml:space="preserve">Yusril Arzaqi Ardi Surya </v>
          </cell>
          <cell r="D34" t="str">
            <v xml:space="preserve">Menunjukkan sikap     yang sangat menonjol. perlu pembinaan dalam     </v>
          </cell>
          <cell r="E34" t="str">
            <v xml:space="preserve">Menunjukkan sikap   suka bekerjasama, membantu teman yang kesulitan,    Perlu bimbingan dalam sikapberani dan percaya diri ketika mengunkapkan pendapat.      </v>
          </cell>
          <cell r="F34">
            <v>78</v>
          </cell>
          <cell r="G34" t="str">
            <v>B</v>
          </cell>
          <cell r="H34" t="str">
            <v xml:space="preserve">Mampu  Mengerti makna Asma'ul Husna : as-Samad, al- Muqtadir, al-Muqaddim, al-Baqi    perlu pembinaan dalam      Memahami hikmah berzakat sebagai implementasi rukun Islam  </v>
          </cell>
          <cell r="I34">
            <v>74.75</v>
          </cell>
          <cell r="J34" t="str">
            <v>C</v>
          </cell>
          <cell r="K34" t="str">
            <v xml:space="preserve">Mampu    mengenal arti bersatu dalam keberagaman di rumah dan sekolah  perlu pembinaan dalam    mengenal tata tertib dan aturan yang berlaku dalam kehidupan sehari-hari di rumah dan sekolah    </v>
          </cell>
          <cell r="L34">
            <v>82.8</v>
          </cell>
          <cell r="M34" t="str">
            <v>B</v>
          </cell>
          <cell r="N34" t="str">
            <v xml:space="preserve">Mampu   mengenal teks petunjuk/arahan tentang perawatan tubuh serta pemeliharaan kesehatan dan kebugaran tubuh dengan bantuan guru atau teman dalam bahasa Indonesia lisan dan tulis yang dapat diisi dengan kosakata bahasa daerah untuk membantu pemahaman    perlu pembinaan dalam     mengenal teks terima kasih tentang sikap kasih sayang dengan bantuan guru atau teman dalam bahasa Indonesia lisan dan tulis yang dapat diisi dengan kosakata bahasa daerah untuk membantu pemahaman   </v>
          </cell>
          <cell r="O34">
            <v>75.5</v>
          </cell>
          <cell r="P34" t="str">
            <v>C</v>
          </cell>
          <cell r="Q34" t="str">
            <v xml:space="preserve">Mampu     mengenal bangun datar dan bangun ruang menggunakan benda-benda yang ada di sekitar rumah, sekolah, atau tempat bermain. perlu pembinaan dalam    mengenal bilangan asli sampai 99 dengan menggunakan benda-benda yang ada di sekitar rumah, sekolah, atau tempat bermain    </v>
          </cell>
          <cell r="R34">
            <v>79.833333333333329</v>
          </cell>
          <cell r="S34" t="str">
            <v>B</v>
          </cell>
          <cell r="T34" t="str">
            <v>Mampu   mengenal unsur-unsur gerak, bagian-bagian gerak anggota tubuh dan level gerak dalam menari   perlu pembinaan dalam      mengamati berbagai bahan, alat serta fungsinya dalam membuat prakarya menggambar ekspresi dengan mengolah garis, warna dan bentuk berdasarkan hasil pengamatan di lingkungan sekitar</v>
          </cell>
          <cell r="U34">
            <v>78</v>
          </cell>
          <cell r="V34" t="str">
            <v>B</v>
          </cell>
          <cell r="W34" t="str">
            <v xml:space="preserve">Mampu   mengetahui konsep gerak dasar manipulatif sesuai dengan dimensi anggota tubuh yang  digunakan, arah, ruang  gerak, hubungan, dan usaha, dalam berbagai bentuk permainan sederhana dan atau permainan tradisional.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34">
            <v>81.666666666666671</v>
          </cell>
          <cell r="Y34" t="str">
            <v>B</v>
          </cell>
          <cell r="Z34"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34">
            <v>83.5</v>
          </cell>
          <cell r="AB34" t="str">
            <v>B</v>
          </cell>
          <cell r="AC34" t="str">
            <v xml:space="preserve">Mampu  Mengenal, memahami dan mengidentifikasi macam-macam weather and season based on the country    perlu pembinaan dalam     Mengenal, memahami dan mengidentifikasi macam-macam compass at the map and traffic sign   </v>
          </cell>
          <cell r="AD34">
            <v>83.5</v>
          </cell>
          <cell r="AE34" t="str">
            <v>B</v>
          </cell>
          <cell r="AF34"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34">
            <v>81.666666666666671</v>
          </cell>
          <cell r="AH34" t="str">
            <v>B</v>
          </cell>
          <cell r="AI34" t="str">
            <v xml:space="preserve">Mampu  Memahami amaliah NU    perlu pembinaan dalam     memahami kepribadian NU   </v>
          </cell>
          <cell r="AJ34">
            <v>83.5</v>
          </cell>
          <cell r="AK34" t="str">
            <v>B</v>
          </cell>
          <cell r="AL34" t="str">
            <v xml:space="preserve">Mampu Mengenal software pengolah kata dengan ikon-ikon pendukung     perlu pembinaan dalam    Mengenal fungsi ikon-ikon pendukung pengolah kata (word processing)    </v>
          </cell>
          <cell r="AM34">
            <v>82</v>
          </cell>
          <cell r="AN34" t="str">
            <v>B</v>
          </cell>
          <cell r="AO34" t="str">
            <v xml:space="preserve">Mampu   Menyebutkan arti Q.S. al-Kaafiruun dengan jelas dan benar   perlu pembinaan dalam      Mencontohkan perilaku toleran dan simpati sebagai implementasi dari pemahaman Q.S. al-Kaafiruun  </v>
          </cell>
          <cell r="AP34">
            <v>81.25</v>
          </cell>
          <cell r="AQ34" t="str">
            <v>B</v>
          </cell>
          <cell r="AR34" t="str">
            <v xml:space="preserve">Mampu Mengamati dan menceritakan perilaku di sekitar rumah dan sekolah dan mengaitkannya dengan pengenalannya terhadap salah satu simbol sila Pancasila     perlu pembinaan dalam      Melaksanakan tata tertib di rumah dan sekolah    </v>
          </cell>
          <cell r="AS34">
            <v>82.4</v>
          </cell>
          <cell r="AT34" t="str">
            <v>B</v>
          </cell>
          <cell r="AU34" t="str">
            <v xml:space="preserve">Mampu   menyampaikan teks terima kasih mengenai sikap kasih sayang secara mandiri dalam bahasa Indonesia lisan dan tulis yang dapat diisi dengan kosakata bahasa daerah untuk membantu penyajian   perlu pembinaan dalam      menyampaikan teks cerita diri/personal tentang keluarga secara mandiri dalam bahasa Indonesia lisan dan tulis  yang dapat diisi dengan kosakata bahasa daerah untuk membantu penyajian  </v>
          </cell>
          <cell r="AV34">
            <v>82</v>
          </cell>
          <cell r="AW34" t="str">
            <v>B</v>
          </cell>
          <cell r="AX34" t="str">
            <v xml:space="preserve">Mampu  mengemukakan kembali dengan kalimat sendiri dan memecahkan masalah yang berkaitan dengan penjumlahan dan pengurangan terkait dengan aktivitas sehari-hari serta memeriksa kebenarannya   perlu pembinaan dalam    mendeskripsikan, mengembangkan, dan membuat pola yang berulang  </v>
          </cell>
          <cell r="AY34">
            <v>82</v>
          </cell>
          <cell r="AZ34" t="str">
            <v>B</v>
          </cell>
          <cell r="BA34" t="str">
            <v xml:space="preserve">Mampu    Membentuk karya seni ekspresi dari bahan lunak  perlu pembinaan dalam       menyanyikan lagu anak-anak dan memperagakan tepuk birama dengan gerak </v>
          </cell>
          <cell r="BB34">
            <v>82</v>
          </cell>
          <cell r="BC34" t="str">
            <v>B</v>
          </cell>
          <cell r="BD34" t="str">
            <v xml:space="preserve">Mampu    mempraktikkan aktivitas pengembangan kebugaran jasmani untuk melatih keseimbangan dan kecepatan tubuh melalui permainan sederhanadan dan atau tradisional.  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34">
            <v>81.666666666666671</v>
          </cell>
          <cell r="BF34" t="str">
            <v>B</v>
          </cell>
          <cell r="BG34" t="str">
            <v xml:space="preserve">Mampu  menceritakan isi tembang macapat.     perlu pembinaan dalam     menanggapi teks lisan maupun tulis yang memuat ungkapan tradisional Jawa/ Madura (paribasan, bebasan, saloka)   </v>
          </cell>
          <cell r="BH34">
            <v>83.5</v>
          </cell>
          <cell r="BI34" t="str">
            <v>B</v>
          </cell>
          <cell r="BJ34" t="str">
            <v xml:space="preserve">Mampu Menulis kalimat order, request dan prohibition dengan baik sesuai dengan rumus      perlu pembinaan dalam    Membuat percakapan tentang aktifitas berbelanja dan mempraktikkan di depan kelas berpasang-pasangan    </v>
          </cell>
          <cell r="BK34">
            <v>83.5</v>
          </cell>
          <cell r="BL34" t="str">
            <v>B</v>
          </cell>
          <cell r="BM34" t="str">
            <v xml:space="preserve">Mampu Memahami wacana tertulis dalam bentuk paparan atau bacaan tentang kegiatan sehari-hari disertai waktu     perlu pembinaan dalam    Menuliskan kata atau ungkapan pendek  sederhana tentang kegiatan sehari-hari disertai waktu    </v>
          </cell>
          <cell r="BN34">
            <v>82</v>
          </cell>
          <cell r="BO34" t="str">
            <v>B</v>
          </cell>
          <cell r="BP34" t="str">
            <v xml:space="preserve">Mampu    kd  perlu pembinaan dalam       kd </v>
          </cell>
          <cell r="BQ34">
            <v>83.5</v>
          </cell>
          <cell r="BR34" t="str">
            <v>B</v>
          </cell>
          <cell r="BS34" t="str">
            <v xml:space="preserve">Mampu Menunjukkan ikon untuk membuat gambar dan teks     perlu pembinaan dalam    Terampil mengoperasikan ikon-ikon text box, shapes, clip art, picture dan insert tabel    </v>
          </cell>
          <cell r="BT34" t="str">
            <v xml:space="preserve">Rajin dan giat mengikuti Perindukan Siaga sekurang-kurangnya 10 kali latihan berturut-turut, dapat menunjukkan sikap disiplin dan dapt melakukan PBB dengan benarMengetahui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34" t="str">
            <v>Futsal</v>
          </cell>
          <cell r="BV34" t="str">
            <v>baik sekali</v>
          </cell>
          <cell r="BW34">
            <v>0</v>
          </cell>
          <cell r="BX34">
            <v>0</v>
          </cell>
          <cell r="BY34" t="str">
            <v>1 hari</v>
          </cell>
          <cell r="BZ34" t="str">
            <v>2 hari</v>
          </cell>
          <cell r="CA34" t="str">
            <v>1 hari</v>
          </cell>
          <cell r="CB34" t="str">
            <v xml:space="preserve">Alhamdulillah, ananda selama satu semester ini sudah banyak peningkatan dalam prestasi belajarnya, mohon ditingkatkan lagi prestasinya. Jangan lupa sholat lima waktu dan selalu berdo'a. </v>
          </cell>
          <cell r="CC34" t="str">
            <v>136 cm</v>
          </cell>
          <cell r="CD34" t="str">
            <v>33 kg</v>
          </cell>
          <cell r="CE34" t="str">
            <v>Baik, normal</v>
          </cell>
          <cell r="CF34" t="str">
            <v>Baik, normal</v>
          </cell>
          <cell r="CG34" t="str">
            <v>Bagus</v>
          </cell>
          <cell r="CH34" t="str">
            <v>Futsal</v>
          </cell>
          <cell r="CI34" t="str">
            <v>Juara 1 (class meeting semester 1)</v>
          </cell>
          <cell r="CJ34">
            <v>0</v>
          </cell>
          <cell r="CK34">
            <v>0</v>
          </cell>
        </row>
        <row r="35">
          <cell r="B35">
            <v>4905</v>
          </cell>
          <cell r="C35" t="str">
            <v>Zainur Rohman</v>
          </cell>
          <cell r="D35" t="str">
            <v xml:space="preserve">Menunjukkan sikap     yang sangat menonjol. perlu pembinaan dalam     </v>
          </cell>
          <cell r="E35" t="str">
            <v xml:space="preserve">Menunjukkan sikap   suka bekerjasama, membantu teman yang kesulitan,    Perlu bimbingan dalam sikapberani dan percaya diri ketika mengunkapkan pendapat.      </v>
          </cell>
          <cell r="F35">
            <v>83.833333333333329</v>
          </cell>
          <cell r="G35" t="str">
            <v>B</v>
          </cell>
          <cell r="H35" t="str">
            <v>Mampu     Mengetahui kisah Nabi Muhammad saw. perlu pembinaan dalam     Memahami hikmah beriman kepada Hari Akhir yang dapat membentuk perilaku akhlak mulia</v>
          </cell>
          <cell r="I35">
            <v>83.5</v>
          </cell>
          <cell r="J35" t="str">
            <v>B</v>
          </cell>
          <cell r="K35" t="str">
            <v xml:space="preserve">Mampu   mengenal keberagaman karateristik individu di rumah dan di sekolah   perlu pembinaan dalam   mengenal simbol-simbol sila Pancasila dalam lambang negara “Garuda Pancasila”     </v>
          </cell>
          <cell r="L35">
            <v>77.599999999999994</v>
          </cell>
          <cell r="M35" t="str">
            <v>B</v>
          </cell>
          <cell r="N35" t="str">
            <v xml:space="preserve">Mampu    Mengenal teks cerita diri/personal tentang keberadaan keluarga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35">
            <v>84</v>
          </cell>
          <cell r="P35" t="str">
            <v>B</v>
          </cell>
          <cell r="Q35" t="str">
            <v xml:space="preserve">Mampu   mengenal dan memprediksi pola-pola bilangan sederhana menggunakan gambar-gambar/benda konkrit  menemukan bangun yang membentuk pola pengubinan sederhanaperlu pembinaan dalam   mengenal lambang bilangan dan mendeskripsikan kemunculan bilangan dengan bahasa yang sederhana   menunjukkan pemahaman tentang besaran dengan menghitung maju sampai 100 dan mundur dari 20  </v>
          </cell>
          <cell r="R35">
            <v>77.833333333333329</v>
          </cell>
          <cell r="S35" t="str">
            <v>B</v>
          </cell>
          <cell r="T35" t="str">
            <v xml:space="preserve">Mampu     mengenal karya seni budaya benda dan bahasa daerah setempat perlu pembinaan dalam    mengenal  pola irama lagu bervariasi menggunakan alat musik ritmis    </v>
          </cell>
          <cell r="U35">
            <v>83.833333333333329</v>
          </cell>
          <cell r="V35" t="str">
            <v>B</v>
          </cell>
          <cell r="W35" t="str">
            <v xml:space="preserve">Mampu      mengetahui konsep penggunaan pola gerak dasar lokomotor dan non-lokomotor sesuai dengan irama (ketukan) tanpa/ dengan musik dalam aktivitas gerak rimtik. perlu pembinaan dalam      mengetahui konsep bergerak secara seimbang dan cepat dalam rangka pengembangan kebugaran jasmani melalui permainan sederhana dan atau tradisional.  </v>
          </cell>
          <cell r="X35">
            <v>73.666666666666671</v>
          </cell>
          <cell r="Y35" t="str">
            <v>C</v>
          </cell>
          <cell r="Z35"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35">
            <v>78</v>
          </cell>
          <cell r="AB35" t="str">
            <v>B</v>
          </cell>
          <cell r="AC35" t="str">
            <v xml:space="preserve">Mampu    Mengenal, memahami dan mengidentifikasi shopping activity (how to ask price, show the price, bargain, accept and refuse to bargain, etc)  perlu pembinaan dalam   Mengenal, memahami dan mengidentifikasi macam-macam kalimat (order, request, and prohibition)     </v>
          </cell>
          <cell r="AD35">
            <v>78</v>
          </cell>
          <cell r="AE35" t="str">
            <v>B</v>
          </cell>
          <cell r="AF35" t="str">
            <v xml:space="preserve">Mampu    Memahami wacana dalam bentuk paparan tentang profesi dengan menggunakan pola kalimat isim isyarah/ dhamir + profesi  perlu pembinaan dalam   Memahami wacana dalam bentuk paparan tentang perkenalan diri (1) dengan menggunakan pola kalimat yang meliputi isim isyarah (kata tunjuk) orang atau benda yang dekat (haadza, haadzihi) + alam + isim mufrad     </v>
          </cell>
          <cell r="AG35">
            <v>73.666666666666671</v>
          </cell>
          <cell r="AH35" t="str">
            <v>C</v>
          </cell>
          <cell r="AI35" t="str">
            <v xml:space="preserve">Mampu   memahami kepribadian NU   perlu pembinaan dalam   Mengenal sejarah munculnya Ahlus Sunnah wal Jama'ah     </v>
          </cell>
          <cell r="AJ35">
            <v>77.5</v>
          </cell>
          <cell r="AK35" t="str">
            <v>B</v>
          </cell>
          <cell r="AL35" t="str">
            <v xml:space="preserve">Mampu  Mengenal fungsi ikon-ikon pendukung pengolah kata (word processing)    perlu pembinaan dalam   Mengenal software pengolah kata dengan ikon-ikon pendukung     </v>
          </cell>
          <cell r="AM35">
            <v>79.5</v>
          </cell>
          <cell r="AN35" t="str">
            <v>B</v>
          </cell>
          <cell r="AO35" t="str">
            <v xml:space="preserve">Mampu     Menceritakan kisah keteladanan Nabi Muhammad saw. perlu pembinaan dalam    Menulis Q.S. al-Kaafiruun dengan jelas dan benar    </v>
          </cell>
          <cell r="AP35">
            <v>82.5</v>
          </cell>
          <cell r="AQ35" t="str">
            <v>B</v>
          </cell>
          <cell r="AR35" t="str">
            <v xml:space="preserve">Mampu    Mengamati dan menceriterakan keberagaman karateristik individu di rumah dan sekolah  perlu pembinaan dalam      Mengamati dan menceriterakan kebersamaan dalam keberagaman di rumah dan sekolah   </v>
          </cell>
          <cell r="AS35">
            <v>80.2</v>
          </cell>
          <cell r="AT35" t="str">
            <v>B</v>
          </cell>
          <cell r="AU35" t="str">
            <v xml:space="preserve">Mampu     membuat teks diagram/label  tentang anggota keluarga dan kerabat secara mandiri dalam bahasa Indonesia lisan dan tulis yang dapat diisi dengan kosa kat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35">
            <v>79.5</v>
          </cell>
          <cell r="AW35" t="str">
            <v>B</v>
          </cell>
          <cell r="AX35" t="str">
            <v xml:space="preserve">Mampu    membentuk berbagai bangun datar dengan menggunakan papan berpaku atau media lainnya perlu pembinaan dalam  menggunakan benda konkrit untuk menelusuri pecahan dan jumlah uang     </v>
          </cell>
          <cell r="AY35">
            <v>79.5</v>
          </cell>
          <cell r="AZ35" t="str">
            <v>B</v>
          </cell>
          <cell r="BA35" t="str">
            <v xml:space="preserve">Mampu      memainkan pola irama lagu bertanda birama dua dengan tepuk dan gerakperlu pembinaan dalam     menggambar dengan memanfaatkan beragam media kering   </v>
          </cell>
          <cell r="BB35">
            <v>79.5</v>
          </cell>
          <cell r="BC35" t="str">
            <v>B</v>
          </cell>
          <cell r="BD35" t="str">
            <v xml:space="preserve">Mampu      mempraktikkan penggunaan pola gerak dasar lokomotor dan non-lokomotor sesuai dengan irama (ketukan) tanpa/dengan musik dalam aktivitas gerak rimtik.perlu pembinaan dalam    mempraktikkan pola gerak dasar non-lokomotor sesuai dengan dimensi anggota tubuh yang digunakan, arah, ruang gerak, hubungan, dan usaha,dalam berbagai bentuk permainan sederhana dan atau tradisional.    </v>
          </cell>
          <cell r="BE35">
            <v>73.666666666666671</v>
          </cell>
          <cell r="BF35" t="str">
            <v>C</v>
          </cell>
          <cell r="BG35"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35">
            <v>77.5</v>
          </cell>
          <cell r="BI35" t="str">
            <v>B</v>
          </cell>
          <cell r="BJ35" t="str">
            <v xml:space="preserve">Mampu  Membuat percakapan tentang aktifitas berbelanja dan mempraktikkan di depan kelas berpasang-pasangan    perlu pembinaan dalam   Menulis kalimat order, request dan prohibition dengan baik sesuai dengan rumus      </v>
          </cell>
          <cell r="BK35">
            <v>77.5</v>
          </cell>
          <cell r="BL35" t="str">
            <v>B</v>
          </cell>
          <cell r="BM35" t="str">
            <v xml:space="preserve">Mampu  Menuliskan kata atau ungkapan pendek  sederhana tentang kegiatan sehari-hari disertai waktu    perlu pembinaan dalam   Memahami wacana tertulis dalam bentuk paparan atau bacaan tentang kegiatan sehari-hari disertai waktu     </v>
          </cell>
          <cell r="BN35">
            <v>79.5</v>
          </cell>
          <cell r="BO35" t="str">
            <v>B</v>
          </cell>
          <cell r="BP35" t="str">
            <v xml:space="preserve">Mampu      kdperlu pembinaan dalam     kd   </v>
          </cell>
          <cell r="BQ35">
            <v>77.5</v>
          </cell>
          <cell r="BR35" t="str">
            <v>B</v>
          </cell>
          <cell r="BS35" t="str">
            <v xml:space="preserve">Mampu  Terampil mengoperasikan ikon-ikon text box, shapes, clip art, picture dan insert tabel    perlu pembinaan dalam   Menunjukkan ikon untuk membuat gambar dan teks     </v>
          </cell>
          <cell r="BT35" t="str">
            <v xml:space="preserve">Mampu  Mengetahui simpul mati, simpul hidup, simpul anyam, simpul pangkal dan simpul jangkar    namun, perlu pembinaan dalam   Mengetahui tetang Semaphore, Morse, Sandi dan tekspram serta dapat menyebutkan tanda pengenal pada seragam pramuka dan melaksanakan penempuhan SKU golongan Siaga </v>
          </cell>
          <cell r="BU35" t="str">
            <v>Futsal</v>
          </cell>
          <cell r="BV35" t="str">
            <v>baik sekali</v>
          </cell>
          <cell r="BW35">
            <v>0</v>
          </cell>
          <cell r="BX35">
            <v>0</v>
          </cell>
          <cell r="BY35" t="str">
            <v>6 hari</v>
          </cell>
          <cell r="BZ35" t="str">
            <v>3 hari</v>
          </cell>
          <cell r="CA35">
            <v>0</v>
          </cell>
          <cell r="CB35" t="str">
            <v xml:space="preserve">Alhamdulillah, ananda selama satu semester ini sudah banyak peningkatan dalam prestasi belajarnya, mohon ditingkatkan lagi konsentrasi dalam mengikuti pembelajaran. Jangan lupa sholat lima waktu dan selalu berdo'a. </v>
          </cell>
          <cell r="CC35" t="str">
            <v>135 cm</v>
          </cell>
          <cell r="CD35" t="str">
            <v>29 kg</v>
          </cell>
          <cell r="CE35" t="str">
            <v>Baik, normal</v>
          </cell>
          <cell r="CF35" t="str">
            <v>Baik, normal</v>
          </cell>
          <cell r="CG35" t="str">
            <v xml:space="preserve">geraham atas kanan karies, dan geraham bawah kanan dan kiri karies. </v>
          </cell>
          <cell r="CH35" t="str">
            <v>Futsal</v>
          </cell>
          <cell r="CI35" t="str">
            <v>Juara 1 (class meeting semester 1)</v>
          </cell>
          <cell r="CJ35">
            <v>0</v>
          </cell>
          <cell r="CK35">
            <v>0</v>
          </cell>
        </row>
        <row r="36">
          <cell r="B36">
            <v>0</v>
          </cell>
          <cell r="C36">
            <v>0</v>
          </cell>
          <cell r="D36" t="str">
            <v xml:space="preserve">Menunjukkan sikap     yang sangat menonjol. perlu pembinaan dalam     </v>
          </cell>
          <cell r="E36" t="str">
            <v xml:space="preserve">Menunjukkan sikap       Perlu bimbingan dalam sikap      </v>
          </cell>
          <cell r="F36">
            <v>78.5</v>
          </cell>
          <cell r="G36" t="str">
            <v>B</v>
          </cell>
          <cell r="H36" t="str">
            <v xml:space="preserve">Mampu Mengetahui makna Q.S. Al-Kaafiruun dengan benar,      perlu pembinaan dalam       Mengetahui kisah Nabi Muhammad saw. </v>
          </cell>
          <cell r="I36">
            <v>77.75</v>
          </cell>
          <cell r="J36" t="str">
            <v>B</v>
          </cell>
          <cell r="K36" t="str">
            <v xml:space="preserve">Mampu mengenal simbol-simbol sila Pancasila dalam lambang negara “Garuda Pancasila”     perlu pembinaan dalam     mengenal keberagaman karateristik individu di rumah dan di sekolah   </v>
          </cell>
          <cell r="L36">
            <v>77.599999999999994</v>
          </cell>
          <cell r="M36" t="str">
            <v>B</v>
          </cell>
          <cell r="N36" t="str">
            <v xml:space="preserve">Mampu   mengenal teks petunjuk/arahan tentang perawatan tubuh serta pemeliharaan kesehatan dan kebugaran tubuh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36">
            <v>77.666666666666671</v>
          </cell>
          <cell r="P36" t="str">
            <v>B</v>
          </cell>
          <cell r="Q36" t="str">
            <v>Mampu mengenal lambang bilangan dan mendeskripsikan kemunculan bilangan dengan bahasa yang sederhana   menunjukkan pemahaman tentang besaran dengan menghitung maju sampai 100 dan mundur dari 20  perlu pembinaan dalam     mengenal dan memprediksi pola-pola bilangan sederhana menggunakan gambar-gambar/benda konkrit  menemukan bangun yang membentuk pola pengubinan sederhana</v>
          </cell>
          <cell r="R36">
            <v>79.666666666666671</v>
          </cell>
          <cell r="S36" t="str">
            <v>B</v>
          </cell>
          <cell r="T36" t="str">
            <v xml:space="preserve">Mampu   mengenal unsur-unsur gerak, bagian-bagian gerak anggota tubuh dan level gerak dalam menari   perlu pembinaan dalam       mengenal karya seni budaya benda dan bahasa daerah setempat </v>
          </cell>
          <cell r="U36">
            <v>79.666666666666671</v>
          </cell>
          <cell r="V36" t="str">
            <v>B</v>
          </cell>
          <cell r="W36" t="str">
            <v xml:space="preserve">Mampu mengetahui konsep gerak dasar lokomotor sesuai dengan dimensi anggota tubuh yang digunakan, arah, ruang  gerak, hubungan, dan usaha, dalam berbagai bentuk permainan sederhana dan atau tradisional.     perlu pembinaan dalam        mengetahui konsep penggunaan pola gerak dasar lokomotor dan non-lokomotor sesuai dengan irama (ketukan) tanpa/ dengan musik dalam aktivitas gerak rimtik. </v>
          </cell>
          <cell r="X36">
            <v>81.666666666666671</v>
          </cell>
          <cell r="Y36" t="str">
            <v>B</v>
          </cell>
          <cell r="Z36" t="str">
            <v xml:space="preserve">Mampu  mengenal, memahami, dan mengidentifikasi teks  tembang macapat sesuai dengan kaidah    perlu pembinaan dalam     mengenal, memahami, dan mengidentifikasi teks  lisan dan tulis berbahasa daerah yang membuat ungkapan tradisional (paribasan/ bebasan, saloka)   </v>
          </cell>
          <cell r="AA36">
            <v>77.5</v>
          </cell>
          <cell r="AB36" t="str">
            <v>B</v>
          </cell>
          <cell r="AC36"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36">
            <v>77.5</v>
          </cell>
          <cell r="AE36" t="str">
            <v>B</v>
          </cell>
          <cell r="AF36"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36">
            <v>81.666666666666671</v>
          </cell>
          <cell r="AH36" t="str">
            <v>B</v>
          </cell>
          <cell r="AI36" t="str">
            <v xml:space="preserve">Mampu  Memahami amaliah NU    perlu pembinaan dalam     memahami kepribadian NU   </v>
          </cell>
          <cell r="AJ36">
            <v>83.5</v>
          </cell>
          <cell r="AK36" t="str">
            <v>B</v>
          </cell>
          <cell r="AL36" t="str">
            <v xml:space="preserve">Mampu Mengenal software pengolah kata dengan ikon-ikon pendukung     perlu pembinaan dalam    Mengenal fungsi ikon-ikon pendukung pengolah kata (word processing)    </v>
          </cell>
          <cell r="AM36">
            <v>79.833333333333329</v>
          </cell>
          <cell r="AN36" t="str">
            <v>B</v>
          </cell>
          <cell r="AO36" t="str">
            <v xml:space="preserve">Mampu Membaca Q.S. al-Kaafiruun dengan jelas dan benar Menyebutkan arti Q.S. al-Kaafiruun dengan jelas dan benar   perlu pembinaan dalam       Menceritakan kisah keteladanan Nabi Muhammad saw. </v>
          </cell>
          <cell r="AP36">
            <v>77.75</v>
          </cell>
          <cell r="AQ36" t="str">
            <v>B</v>
          </cell>
          <cell r="AR36" t="str">
            <v xml:space="preserve">Mampu Mengamati dan menceritakan perilaku di sekitar rumah dan sekolah dan mengaitkannya dengan pengenalannya terhadap salah satu simbol sila Pancasila     perlu pembinaan dalam      Mengamati dan menceriterakan keberagaman karateristik individu di rumah dan sekolah  </v>
          </cell>
          <cell r="AS36">
            <v>80.2</v>
          </cell>
          <cell r="AT36" t="str">
            <v>B</v>
          </cell>
          <cell r="AU36"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menyampaikan teks terima kasih mengenai sikap kasih sayang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36">
            <v>79.833333333333329</v>
          </cell>
          <cell r="AW36" t="str">
            <v>B</v>
          </cell>
          <cell r="AX36" t="str">
            <v xml:space="preserve">Mampu0 mengemukakan kembali dengan kalimat sendiri dan memecahkan masalah yang berkaitan dengan penjumlahan dan pengurangan terkait dengan aktivitas sehari-hari serta memeriksa kebenarannya   perlu pembinaan dalam     membentuk berbagai bangun datar dengan menggunakan papan berpaku atau media lainnya </v>
          </cell>
          <cell r="AY36">
            <v>79.833333333333329</v>
          </cell>
          <cell r="AZ36" t="str">
            <v>B</v>
          </cell>
          <cell r="BA36" t="str">
            <v>Mampu menggambar ekspresi dengan mengolah garis, warna dan bentuk berdasarkan hasil pengamatan di lingkungan sekitar  Membentuk karya seni ekspresi dari bahan lunak  perlu pembinaan dalam        memainkan pola irama lagu bertanda birama dua dengan tepuk dan gerak</v>
          </cell>
          <cell r="BB36">
            <v>79.833333333333329</v>
          </cell>
          <cell r="BC36" t="str">
            <v>B</v>
          </cell>
          <cell r="BD36" t="str">
            <v>Mampu mempraktikkan pola gerak dasar lokomotor sesuai dengan dimensi anggota tubuh yang digunakan, arah, ruang gerak, hubungan dan usaha, dalam berbagai bentuk permainan sederhana dan atau tradisional.  mempraktikkan aktivitas pengembangan kebugaran jasmani untuk melatih keseimbangan dan kecepatan tubuh melalui permainan sederhanadan dan atau tradisional.  perlu pembinaan dalam        mempraktikkan penggunaan pola gerak dasar lokomotor dan non-lokomotor sesuai dengan irama (ketukan) tanpa/dengan musik dalam aktivitas gerak rimtik.</v>
          </cell>
          <cell r="BE36">
            <v>81.666666666666671</v>
          </cell>
          <cell r="BF36" t="str">
            <v>B</v>
          </cell>
          <cell r="BG36" t="str">
            <v xml:space="preserve">Mampu  menceritakan isi tembang macapat.     perlu pembinaan dalam     menanggapi teks lisan maupun tulis yang memuat ungkapan tradisional Jawa/ Madura (paribasan, bebasan, saloka)   </v>
          </cell>
          <cell r="BH36">
            <v>83.5</v>
          </cell>
          <cell r="BI36" t="str">
            <v>B</v>
          </cell>
          <cell r="BJ36" t="str">
            <v xml:space="preserve">Mampu Menulis kalimat order, request dan prohibition dengan baik sesuai dengan rumus      perlu pembinaan dalam    Membuat percakapan tentang aktifitas berbelanja dan mempraktikkan di depan kelas berpasang-pasangan    </v>
          </cell>
          <cell r="BK36">
            <v>83.5</v>
          </cell>
          <cell r="BL36" t="str">
            <v>B</v>
          </cell>
          <cell r="BM36" t="str">
            <v xml:space="preserve">Mampu Memahami wacana tertulis dalam bentuk paparan atau bacaan tentang kegiatan sehari-hari disertai waktu     perlu pembinaan dalam    Menuliskan kata atau ungkapan pendek  sederhana tentang kegiatan sehari-hari disertai waktu    </v>
          </cell>
          <cell r="BN36">
            <v>79.833333333333329</v>
          </cell>
          <cell r="BO36" t="str">
            <v>B</v>
          </cell>
          <cell r="BP36" t="str">
            <v>Mampu kd  kd  perlu pembinaan dalam        kd</v>
          </cell>
          <cell r="BQ36">
            <v>83.5</v>
          </cell>
          <cell r="BR36" t="str">
            <v>B</v>
          </cell>
          <cell r="BS36" t="str">
            <v xml:space="preserve">Mampu Menunjukkan ikon untuk membuat gambar dan teks     perlu pembinaan dalam    Terampil mengoperasikan ikon-ikon text box, shapes, clip art, picture dan insert tabel    </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row>
        <row r="37">
          <cell r="B37">
            <v>0</v>
          </cell>
          <cell r="C37">
            <v>0</v>
          </cell>
          <cell r="D37" t="str">
            <v xml:space="preserve">Menunjukkan sikap     yang sangat menonjol. perlu pembinaan dalam     </v>
          </cell>
          <cell r="E37" t="str">
            <v xml:space="preserve">Menunjukkan sikap       Perlu bimbingan dalam sikap      </v>
          </cell>
          <cell r="F37">
            <v>81.333333333333329</v>
          </cell>
          <cell r="G37" t="str">
            <v>B</v>
          </cell>
          <cell r="H37" t="str">
            <v xml:space="preserve">Mampu   Memahami hikmah beriman kepada Hari Akhir yang dapat membentuk perilaku akhlak mulia   perlu pembinaan dalam      Memahami hikmah berzakat sebagai implementasi rukun Islam  </v>
          </cell>
          <cell r="I37">
            <v>80</v>
          </cell>
          <cell r="J37" t="str">
            <v>B</v>
          </cell>
          <cell r="K37" t="str">
            <v xml:space="preserve">Mampu mengenal simbol-simbol sila Pancasila dalam lambang negara “Garuda Pancasila”     perlu pembinaan dalam    mengenal tata tertib dan aturan yang berlaku dalam kehidupan sehari-hari di rumah dan sekolah mengenal arti bersatu dalam keberagaman di rumah dan sekolah  </v>
          </cell>
          <cell r="L37">
            <v>80.8</v>
          </cell>
          <cell r="M37" t="str">
            <v>B</v>
          </cell>
          <cell r="N37"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terima kasih tentang sikap kasih sayang dengan bantuan guru atau teman dalam bahasa Indonesia lisan dan tulis yang dapat diisi dengan kosakata bahasa daerah untuk membantu pemahaman   </v>
          </cell>
          <cell r="O37">
            <v>81.333333333333329</v>
          </cell>
          <cell r="P37" t="str">
            <v>B</v>
          </cell>
          <cell r="Q37" t="str">
            <v xml:space="preserve">Mampu mengenal lambang bilangan dan mendeskripsikan kemunculan bilangan dengan bahasa yang sederhana   menunjukkan pemahaman tentang besaran dengan menghitung maju sampai 100 dan mundur dari 20  perlu pembinaan dalam    mengenal bilangan asli sampai 99 dengan menggunakan benda-benda yang ada di sekitar rumah, sekolah, atau tempat bermain  mengenal bangun datar dan bangun ruang menggunakan benda-benda yang ada di sekitar rumah, sekolah, atau tempat bermain. </v>
          </cell>
          <cell r="R37">
            <v>80.666666666666671</v>
          </cell>
          <cell r="S37" t="str">
            <v>B</v>
          </cell>
          <cell r="T37" t="str">
            <v xml:space="preserve">Mampu      menggambar ekspresi dengan mengolah garis, warna dan bentuk berdasarkan hasil pengamatan di lingkungan sekitarperlu pembinaan dalam      mengamati berbagai bahan, alat serta fungsinya dalam membuat prakarya  </v>
          </cell>
          <cell r="U37">
            <v>79.166666666666671</v>
          </cell>
          <cell r="V37" t="str">
            <v>B</v>
          </cell>
          <cell r="W37" t="str">
            <v xml:space="preserve">Mampu    mengetahui konsep bergerak secara seimbang dan cepat dalam rangka pengembangan kebugaran jasmani melalui permainan sederhana dan atau tradisional.  perlu pembinaan dalam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37">
            <v>80</v>
          </cell>
          <cell r="Y37" t="str">
            <v>B</v>
          </cell>
          <cell r="Z37" t="str">
            <v xml:space="preserve">Mampu mengenal, memahami, dan mengidentifikasiteks informasi yang diperoleh dari berbagai media berbahasa daerah secara lisan/ tulis     perlu pembinaan dalam     mengenal, memahami, dan mengidentifikasi teks  lisan dan tulis berbahasa daerah yang membuat ungkapan tradisional (paribasan/ bebasan, saloka)   </v>
          </cell>
          <cell r="AA37">
            <v>82</v>
          </cell>
          <cell r="AB37" t="str">
            <v>B</v>
          </cell>
          <cell r="AC37" t="str">
            <v xml:space="preserve">Mampu Mengenal, memahami dan mengidentifikasi macam-macam kalimat (order, request, and prohibition)     perlu pembinaan dalam     Mengenal, memahami dan mengidentifikasi macam-macam compass at the map and traffic sign   </v>
          </cell>
          <cell r="AD37">
            <v>82</v>
          </cell>
          <cell r="AE37" t="str">
            <v>B</v>
          </cell>
          <cell r="AF37"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perkenalan diri(2) dengan menggunakan pola kalimat yang meliputi dhamir (kata ganti) ana, anta, anti, huwa, hiya + isim mufrad mu’annats/mudzakkar    </v>
          </cell>
          <cell r="AG37">
            <v>80</v>
          </cell>
          <cell r="AH37" t="str">
            <v>B</v>
          </cell>
          <cell r="AI37" t="str">
            <v xml:space="preserve">Mampu Mengenal sejarah munculnya Ahlus Sunnah wal Jama'ah     perlu pembinaan dalam     memahami kepribadian NU   </v>
          </cell>
          <cell r="AJ37">
            <v>75.5</v>
          </cell>
          <cell r="AK37" t="str">
            <v>C</v>
          </cell>
          <cell r="AL37" t="str">
            <v xml:space="preserve">Mampu Mengenal software pengolah kata dengan ikon-ikon pendukung     perlu pembinaan dalam    Mengenal fungsi ikon-ikon pendukung pengolah kata (word processing)    </v>
          </cell>
          <cell r="AM37">
            <v>84</v>
          </cell>
          <cell r="AN37" t="str">
            <v>B</v>
          </cell>
          <cell r="AO37" t="str">
            <v xml:space="preserve">Mampu      Menceritakan kisah keteladanan sahabat-sahabat Nabi Muhammad saw.perlu pembinaan dalam      Mencontohkan perilaku toleran dan simpati sebagai implementasi dari pemahaman Q.S. al-Kaafiruun  </v>
          </cell>
          <cell r="AP37">
            <v>76</v>
          </cell>
          <cell r="AQ37" t="str">
            <v>B</v>
          </cell>
          <cell r="AR37" t="str">
            <v xml:space="preserve">Mampu Mengamati dan menceritakan perilaku di sekitar rumah dan sekolah dan mengaitkannya dengan pengenalannya terhadap salah satu simbol sila Pancasila     perlu pembinaan dalam      Melaksanakan tata tertib di rumah dan sekolah    </v>
          </cell>
          <cell r="AS37">
            <v>81</v>
          </cell>
          <cell r="AT37" t="str">
            <v>B</v>
          </cell>
          <cell r="AU37" t="str">
            <v xml:space="preserve">Mampu   mempraktikkan teks arahan/petunjuk tentang merawat tubuh serta kesehatan dan kebugaran tubuh secara mandiri dalam bahasa Indonesia lisan dan tulis yang dapat diisi dengan kosakata bahasa daerah untuk membantu penyajian    perlu pembinaan dalam      menyampaikan teks cerita diri/personal tentang keluarga secara mandiri dalam bahasa Indonesia lisan dan tulis  yang dapat diisi dengan kosakata bahasa daerah untuk membantu penyajian  </v>
          </cell>
          <cell r="AV37">
            <v>80.166666666666671</v>
          </cell>
          <cell r="AW37" t="str">
            <v>B</v>
          </cell>
          <cell r="AX37" t="str">
            <v xml:space="preserve">Mampu menggunakan benda konkrit untuk menelusuri pecahan dan jumlah uang     perlu pembinaan dalam    mendeskripsikan, mengembangkan, dan membuat pola yang berulang  </v>
          </cell>
          <cell r="AY37">
            <v>80.166666666666671</v>
          </cell>
          <cell r="AZ37" t="str">
            <v>B</v>
          </cell>
          <cell r="BA37" t="str">
            <v xml:space="preserve">Mampu   menggambar dengan memanfaatkan beragam media kering   perlu pembinaan dalam       menyanyikan lagu anak-anak dan memperagakan tepuk birama dengan gerak </v>
          </cell>
          <cell r="BB37">
            <v>80.166666666666671</v>
          </cell>
          <cell r="BC37" t="str">
            <v>B</v>
          </cell>
          <cell r="BD37" t="str">
            <v xml:space="preserve">Mampu  mempraktikkan pola gerak dasar non-lokomotor sesuai dengan dimensi anggota tubuh yang digunakan, arah, ruang gerak, hubungan, dan usaha,dalam berbagai bentuk permainan sederhana dan atau tradisional.    perlu pembinaan dalam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v>
          </cell>
          <cell r="BE37">
            <v>80</v>
          </cell>
          <cell r="BF37" t="str">
            <v>B</v>
          </cell>
          <cell r="BG37" t="str">
            <v xml:space="preserve">Mampu menyampaikan dan menagggapi informasi yang diperoleh dari berbagai media berbahasa daerah secara lisan dan tulisan.      perlu pembinaan dalam     menanggapi teks lisan maupun tulis yang memuat ungkapan tradisional Jawa/ Madura (paribasan, bebasan, saloka)   </v>
          </cell>
          <cell r="BH37">
            <v>75.5</v>
          </cell>
          <cell r="BI37" t="str">
            <v>C</v>
          </cell>
          <cell r="BJ37" t="str">
            <v xml:space="preserve">Mampu Menulis kalimat order, request dan prohibition dengan baik sesuai dengan rumus      perlu pembinaan dalam    Membuat percakapan tentang aktifitas berbelanja dan mempraktikkan di depan kelas berpasang-pasangan    </v>
          </cell>
          <cell r="BK37">
            <v>75.5</v>
          </cell>
          <cell r="BL37" t="str">
            <v>C</v>
          </cell>
          <cell r="BM37" t="str">
            <v xml:space="preserve">Mampu Memahami wacana tertulis dalam bentuk paparan atau bacaan tentang kegiatan sehari-hari disertai waktu     perlu pembinaan dalam    Menuliskan kata atau ungkapan pendek  sederhana tentang kegiatan sehari-hari disertai waktu    </v>
          </cell>
          <cell r="BN37">
            <v>80.166666666666671</v>
          </cell>
          <cell r="BO37" t="str">
            <v>B</v>
          </cell>
          <cell r="BP37" t="str">
            <v xml:space="preserve">Mampu   kd   perlu pembinaan dalam       kd </v>
          </cell>
          <cell r="BQ37">
            <v>75.5</v>
          </cell>
          <cell r="BR37" t="str">
            <v>C</v>
          </cell>
          <cell r="BS37" t="str">
            <v xml:space="preserve">Mampu Menunjukkan ikon untuk membuat gambar dan teks     perlu pembinaan dalam    Terampil mengoperasikan ikon-ikon text box, shapes, clip art, picture dan insert tabel    </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row>
        <row r="38">
          <cell r="B38">
            <v>0</v>
          </cell>
          <cell r="C38">
            <v>0</v>
          </cell>
          <cell r="D38" t="str">
            <v xml:space="preserve">Menunjukkan sikap     yang sangat menonjol. perlu pembinaan dalam     </v>
          </cell>
          <cell r="E38" t="str">
            <v xml:space="preserve">Menunjukkan sikap       Perlu bimbingan dalam sikap      </v>
          </cell>
          <cell r="F38">
            <v>80.333333333333329</v>
          </cell>
          <cell r="G38" t="str">
            <v>B</v>
          </cell>
          <cell r="H38" t="str">
            <v xml:space="preserve">Mampu   Memahami hikmah beriman kepada Hari Akhir yang dapat membentuk perilaku akhlak mulia  Mengetahui kisah keteladanan sahabat-sahabat Nabi Muhammad saw.perlu pembinaan dalam   Mengetahui makna Q.S. Al-Kaafiruun dengan benar,      </v>
          </cell>
          <cell r="I38">
            <v>79</v>
          </cell>
          <cell r="J38" t="str">
            <v>B</v>
          </cell>
          <cell r="K38" t="str">
            <v xml:space="preserve">Mampu mengenal simbol-simbol sila Pancasila dalam lambang negara “Garuda Pancasila”     perlu pembinaan dalam      mengenal arti bersatu dalam keberagaman di rumah dan sekolah  </v>
          </cell>
          <cell r="L38">
            <v>81</v>
          </cell>
          <cell r="M38" t="str">
            <v>B</v>
          </cell>
          <cell r="N38" t="str">
            <v xml:space="preserve">Mampu engenal teks deskriptif tentang anggota tubuh dan pancaindra, wujud dan sifat benda, serta peristiwa siang dan malam dengan bantuan guru atau teman dalam bahasa Indonesia lisan dan tulis yang dapat diisi dengan kosakata bahasa daerah untuk membantu pemahaman     perlu pembinaan dalam       Mengenal teks diagram/label tentang anggota keluarga dan kerabat dengan bantuan guru atau teman dalam bahasa Indonesia lisan dan tulis yang dapat diisi dengan kosakata bahasa daerah untuk membantu pemahaman </v>
          </cell>
          <cell r="O38">
            <v>80.833333333333329</v>
          </cell>
          <cell r="P38" t="str">
            <v>B</v>
          </cell>
          <cell r="Q38" t="str">
            <v xml:space="preserve">Mampu mengenal lambang bilangan dan mendeskripsikan kemunculan bilangan dengan bahasa yang sederhana   menunjukkan pemahaman tentang besaran dengan menghitung maju sampai 100 dan mundur dari 20  perlu pembinaan dalam       mengenal bangun datar dan bangun ruang menggunakan benda-benda yang ada di sekitar rumah, sekolah, atau tempat bermain. </v>
          </cell>
          <cell r="R38">
            <v>82.666666666666671</v>
          </cell>
          <cell r="S38" t="str">
            <v>B</v>
          </cell>
          <cell r="T38" t="str">
            <v xml:space="preserve">Mampu  mengenal  pola irama lagu bervariasi menggunakan alat musik ritmis   menggambar ekspresi dengan mengolah garis, warna dan bentuk berdasarkan hasil pengamatan di lingkungan sekitarperlu pembinaan dalam    mengenal cara dan hasil karya seni ekspresi     </v>
          </cell>
          <cell r="U38">
            <v>77</v>
          </cell>
          <cell r="V38" t="str">
            <v>B</v>
          </cell>
          <cell r="W38" t="str">
            <v xml:space="preserve">Mampu    mengetahui konsep bergerak secara seimbang dan cepat dalam rangka pengembangan kebugaran jasmani melalui permainan sederhana dan atau tradisional.  perlu pembinaan dalam   mengetahui konsep gerak dasar lokomotor sesuai dengan dimensi anggota tubuh yang digunakan, arah, ruang  gerak, hubungan, dan usaha, dalam berbagai bentuk permainan sederhana dan atau tradisional.     </v>
          </cell>
          <cell r="X38">
            <v>85.333333333333329</v>
          </cell>
          <cell r="Y38" t="str">
            <v>B</v>
          </cell>
          <cell r="Z38" t="str">
            <v xml:space="preserve">Mampu mengenal, memahami, dan mengidentifikasiteks informasi yang diperoleh dari berbagai media berbahasa daerah secara lisan/ tulis     perlu pembinaan dalam    mengenal, memahami, dan mengidentifikasi teks  tembang macapat sesuai dengan kaidah    </v>
          </cell>
          <cell r="AA38">
            <v>83.5</v>
          </cell>
          <cell r="AB38" t="str">
            <v>B</v>
          </cell>
          <cell r="AC38" t="str">
            <v xml:space="preserve">Mampu Mengenal, memahami dan mengidentifikasi macam-macam kalimat (order, request, and prohibition)     perlu pembinaan dalam    Mengenal, memahami dan mengidentifikasi macam-macam weather and season based on the country    </v>
          </cell>
          <cell r="AD38">
            <v>83.5</v>
          </cell>
          <cell r="AE38" t="str">
            <v>B</v>
          </cell>
          <cell r="AF38" t="str">
            <v xml:space="preserve">Mampu Memahami wacana dalam bentuk paparan tentang perkenalan diri (1) dengan menggunakan pola kalimat yang meliputi isim isyarah (kata tunjuk) orang atau benda yang dekat (haadza, haadzihi) + alam + isim mufrad     perlu pembinaan dalam    Memahami wacana dalam bentuk paparan tentang peralatan sekolah dengan menggunakan pola kalimat yang meliputi kata tanya + isim isyarah (kata tunjuk) orang atau benda yang dekat (haadza, haadzihi) + alam + isim mufrad    </v>
          </cell>
          <cell r="AG38">
            <v>85.333333333333329</v>
          </cell>
          <cell r="AH38" t="str">
            <v>B</v>
          </cell>
          <cell r="AI38" t="str">
            <v xml:space="preserve">Mampu Mengenal sejarah munculnya Ahlus Sunnah wal Jama'ah     perlu pembinaan dalam    Memahami amaliah NU    </v>
          </cell>
          <cell r="AJ38">
            <v>82.5</v>
          </cell>
          <cell r="AK38" t="str">
            <v>B</v>
          </cell>
          <cell r="AL38" t="str">
            <v xml:space="preserve">Mampu  Mengenal fungsi ikon-ikon pendukung pengolah kata (word processing)    perlu pembinaan dalam   Mengenal software pengolah kata dengan ikon-ikon pendukung     </v>
          </cell>
          <cell r="AM38">
            <v>78</v>
          </cell>
          <cell r="AN38" t="str">
            <v>B</v>
          </cell>
          <cell r="AO38" t="str">
            <v>Mampu  Menulis Q.S. al-Kaafiruun dengan jelas dan benar    perlu pembinaan dalam        Menceritakan kisah keteladanan sahabat-sahabat Nabi Muhammad saw.</v>
          </cell>
          <cell r="AP38">
            <v>78.5</v>
          </cell>
          <cell r="AQ38" t="str">
            <v>B</v>
          </cell>
          <cell r="AR38" t="str">
            <v xml:space="preserve">Mampu    Melaksanakan tata tertib di rumah dan sekolah    perlu pembinaan dalam      Mengamati dan menceriterakan kebersamaan dalam keberagaman di rumah dan sekolah   </v>
          </cell>
          <cell r="AS38">
            <v>80.400000000000006</v>
          </cell>
          <cell r="AT38" t="str">
            <v>B</v>
          </cell>
          <cell r="AU38" t="str">
            <v xml:space="preserve">Mampu   mempraktikkan teks arahan/petunjuk tentang merawat tubuh serta kesehatan dan kebugaran tubuh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38">
            <v>78.833333333333329</v>
          </cell>
          <cell r="AW38" t="str">
            <v>B</v>
          </cell>
          <cell r="AX38" t="str">
            <v xml:space="preserve">Mampu menggunakan benda konkrit untuk menelusuri pecahan dan jumlah uang     perlu pembinaan dalam 0     </v>
          </cell>
          <cell r="AY38">
            <v>78.833333333333329</v>
          </cell>
          <cell r="AZ38" t="str">
            <v>B</v>
          </cell>
          <cell r="BA38" t="str">
            <v xml:space="preserve">Mampu   menggambar dengan memanfaatkan beragam media kering   perlu pembinaan dalam   menggambar ekspresi dengan mengolah garis, warna dan bentuk berdasarkan hasil pengamatan di lingkungan sekitar     </v>
          </cell>
          <cell r="BB38">
            <v>78.833333333333329</v>
          </cell>
          <cell r="BC38" t="str">
            <v>B</v>
          </cell>
          <cell r="BD38" t="str">
            <v xml:space="preserve">Mampu  mempraktikkan pola gerak dasar non-lokomotor sesuai dengan dimensi anggota tubuh yang digunakan, arah, ruang gerak, hubungan, dan usaha,dalam berbagai bentuk permainan sederhana dan atau tradisional.    perlu pembinaan dalam   mempraktikkan pola gerak dasar lokomotor sesuai dengan dimensi anggota tubuh yang digunakan, arah, ruang gerak, hubungan dan usaha, dalam berbagai bentuk permainan sederhana dan atau tradisional.     </v>
          </cell>
          <cell r="BE38">
            <v>85.333333333333329</v>
          </cell>
          <cell r="BF38" t="str">
            <v>B</v>
          </cell>
          <cell r="BG38" t="str">
            <v xml:space="preserve">Mampu menyampaikan dan menagggapi informasi yang diperoleh dari berbagai media berbahasa daerah secara lisan dan tulisan.      perlu pembinaan dalam    menceritakan isi tembang macapat.     </v>
          </cell>
          <cell r="BH38">
            <v>82.5</v>
          </cell>
          <cell r="BI38" t="str">
            <v>B</v>
          </cell>
          <cell r="BJ38" t="str">
            <v xml:space="preserve">Mampu  Membuat percakapan tentang aktifitas berbelanja dan mempraktikkan di depan kelas berpasang-pasangan    perlu pembinaan dalam   Menulis kalimat order, request dan prohibition dengan baik sesuai dengan rumus      </v>
          </cell>
          <cell r="BK38">
            <v>82.5</v>
          </cell>
          <cell r="BL38" t="str">
            <v>B</v>
          </cell>
          <cell r="BM38" t="str">
            <v xml:space="preserve">Mampu  Menuliskan kata atau ungkapan pendek  sederhana tentang kegiatan sehari-hari disertai waktu    perlu pembinaan dalam   Memahami wacana tertulis dalam bentuk paparan atau bacaan tentang kegiatan sehari-hari disertai waktu     </v>
          </cell>
          <cell r="BN38">
            <v>78.833333333333329</v>
          </cell>
          <cell r="BO38" t="str">
            <v>B</v>
          </cell>
          <cell r="BP38" t="str">
            <v xml:space="preserve">Mampu   kd   perlu pembinaan dalam   kd     </v>
          </cell>
          <cell r="BQ38">
            <v>82.5</v>
          </cell>
          <cell r="BR38" t="str">
            <v>B</v>
          </cell>
          <cell r="BS38" t="str">
            <v xml:space="preserve">Mampu  Terampil mengoperasikan ikon-ikon text box, shapes, clip art, picture dan insert tabel    perlu pembinaan dalam   Menunjukkan ikon untuk membuat gambar dan teks     </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row>
        <row r="39">
          <cell r="B39">
            <v>0</v>
          </cell>
          <cell r="C39">
            <v>0</v>
          </cell>
          <cell r="D39" t="str">
            <v xml:space="preserve">Menunjukkan sikap     yang sangat menonjol. perlu pembinaan dalam     </v>
          </cell>
          <cell r="E39" t="str">
            <v xml:space="preserve">Menunjukkan sikap       Perlu bimbingan dalam sikap      </v>
          </cell>
          <cell r="F39">
            <v>78.666666666666671</v>
          </cell>
          <cell r="G39" t="str">
            <v>B</v>
          </cell>
          <cell r="H39" t="str">
            <v>Mampu  Mengerti makna Asma'ul Husna : as-Samad, al- Muqtadir, al-Muqaddim, al-Baqi  Mengetahui kisah Nabi Muhammad saw. perlu pembinaan dalam        Mengetahui kisah keteladanan sahabat-sahabat Nabi Muhammad saw.</v>
          </cell>
          <cell r="I39">
            <v>82.25</v>
          </cell>
          <cell r="J39" t="str">
            <v>B</v>
          </cell>
          <cell r="K39" t="str">
            <v xml:space="preserve">Mampu   mengenal keberagaman karateristik individu di rumah dan di sekolahmengenal arti bersatu dalam keberagaman di rumah dan sekolah  perlu pembinaan dalam    mengenal tata tertib dan aturan yang berlaku dalam kehidupan sehari-hari di rumah dan sekolah    </v>
          </cell>
          <cell r="L39">
            <v>82.2</v>
          </cell>
          <cell r="M39" t="str">
            <v>B</v>
          </cell>
          <cell r="N39" t="str">
            <v xml:space="preserve">Mampu   mengenal teks terima kasih tentang sikap kasih sayang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39">
            <v>83</v>
          </cell>
          <cell r="P39" t="str">
            <v>B</v>
          </cell>
          <cell r="Q39" t="str">
            <v xml:space="preserve">Mampu   mengenal dan memprediksi pola-pola bilangan sederhana menggunakan gambar-gambar/benda konkrit mengenal bangun datar dan bangun ruang menggunakan benda-benda yang ada di sekitar rumah, sekolah, atau tempat bermain.menemukan bangun yang membentuk pola pengubinan sederhanaperlu pembinaan dalam    mengenal bilangan asli sampai 99 dengan menggunakan benda-benda yang ada di sekitar rumah, sekolah, atau tempat bermain    </v>
          </cell>
          <cell r="R39">
            <v>84</v>
          </cell>
          <cell r="S39" t="str">
            <v>B</v>
          </cell>
          <cell r="T39" t="str">
            <v xml:space="preserve">Mampu    mengamati berbagai bahan, alat serta fungsinya dalam membuat prakarya  perlu pembinaan dalam    mengenal  pola irama lagu bervariasi menggunakan alat musik ritmis    </v>
          </cell>
          <cell r="U39">
            <v>82.666666666666671</v>
          </cell>
          <cell r="V39" t="str">
            <v>B</v>
          </cell>
          <cell r="W39" t="str">
            <v xml:space="preserve">Mampu  mengetahui konsep gerak dasar non-lokomotor sesuai dengan dimensi  anggota tubuh yang digunakan, arah, ruang  gerak, hubungan, dan usaha, dalam berbagai bentuk permainan sederhana dan atau permainan tradisional.mengetahui konsep gerak dasar manipulatif sesuai dengan dimensi anggota tubuh yang  digunakan, arah, ruang  gerak, hubungan, dan usaha, dalam berbagai bentuk permainan sederhana dan atau permainan tradisional.  mengetahui konsep penggunaan pola gerak dasar lokomotor dan non-lokomotor sesuai dengan irama (ketukan) tanpa/ dengan musik dalam aktivitas gerak rimtik. perlu pembinaan dalam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v>
          </cell>
          <cell r="X39">
            <v>82</v>
          </cell>
          <cell r="Y39" t="str">
            <v>B</v>
          </cell>
          <cell r="Z39"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39">
            <v>80.5</v>
          </cell>
          <cell r="AB39" t="str">
            <v>B</v>
          </cell>
          <cell r="AC39" t="str">
            <v xml:space="preserve">Mampu   Mengenal, memahami dan mengidentifikasi macam-macam compass at the map and traffic sign   perlu pembinaan dalam      Mengenal, memahami dan mengidentifikasi shopping activity (how to ask price, show the price, bargain, accept and refuse to bargain, etc)  </v>
          </cell>
          <cell r="AD39">
            <v>80.5</v>
          </cell>
          <cell r="AE39" t="str">
            <v>B</v>
          </cell>
          <cell r="AF39" t="str">
            <v xml:space="preserve">Mampu   Memahami wacana dalam bentuk paparan tentang perkenalan diri(2) dengan menggunakan pola kalimat yang meliputi dhamir (kata ganti) ana, anta, anti, huwa, hiya + isim mufrad mu’annats/mudzakkar    perlu pembinaan dalam      Memahami wacana dalam bentuk paparan tentang profesi dengan menggunakan pola kalimat isim isyarah/ dhamir + profesi  </v>
          </cell>
          <cell r="AG39">
            <v>82</v>
          </cell>
          <cell r="AH39" t="str">
            <v>B</v>
          </cell>
          <cell r="AI39" t="str">
            <v xml:space="preserve">Mampu   memahami kepribadian NU   perlu pembinaan dalam   Mengenal sejarah munculnya Ahlus Sunnah wal Jama'ah     </v>
          </cell>
          <cell r="AJ39">
            <v>84.5</v>
          </cell>
          <cell r="AK39" t="str">
            <v>B</v>
          </cell>
          <cell r="AL39" t="str">
            <v xml:space="preserve">Mampu  Mengenal fungsi ikon-ikon pendukung pengolah kata (word processing)    perlu pembinaan dalam   Mengenal software pengolah kata dengan ikon-ikon pendukung     </v>
          </cell>
          <cell r="AM39">
            <v>79.5</v>
          </cell>
          <cell r="AN39" t="str">
            <v>B</v>
          </cell>
          <cell r="AO39" t="str">
            <v xml:space="preserve">Mampu    Mencontohkan perilaku toleran dan simpati sebagai implementasi dari pemahaman Q.S. al-Kaafiruun  perlu pembinaan dalam       Menceritakan kisah keteladanan Nabi Muhammad saw. </v>
          </cell>
          <cell r="AP39">
            <v>86.75</v>
          </cell>
          <cell r="AQ39" t="str">
            <v>B</v>
          </cell>
          <cell r="AR39" t="str">
            <v xml:space="preserve">Mampu    Melaksanakan tata tertib di rumah dan sekolah    perlu pembinaan dalam   Mengamati dan menceritakan perilaku di sekitar rumah dan sekolah dan mengaitkannya dengan pengenalannya terhadap salah satu simbol sila Pancasila     </v>
          </cell>
          <cell r="AS39">
            <v>80</v>
          </cell>
          <cell r="AT39" t="str">
            <v>B</v>
          </cell>
          <cell r="AU39" t="str">
            <v xml:space="preserve">Mampu    menyampaikan teks cerita diri/personal tentang keluarga secara mandiri dalam bahasa Indonesia lisan dan tulis  yang dapat diisi dengan kosakata bahasa daerah untuk membantu penyajian  perlu pembinaan dalam       membuat teks diagram/label  tentang anggota keluarga dan kerabat secara mandiri dalam bahasa Indonesia lisan dan tulis yang dapat diisi dengan kosa kat bahasa daerah untuk membantu penyajian </v>
          </cell>
          <cell r="AV39">
            <v>81.5</v>
          </cell>
          <cell r="AW39" t="str">
            <v>B</v>
          </cell>
          <cell r="AX39" t="str">
            <v xml:space="preserve">Mampu   mendeskripsikan, mengembangkan, dan membuat pola yang berulang  perlu pembinaan dalam     membentuk berbagai bangun datar dengan menggunakan papan berpaku atau media lainnya </v>
          </cell>
          <cell r="AY39">
            <v>81.5</v>
          </cell>
          <cell r="AZ39" t="str">
            <v>B</v>
          </cell>
          <cell r="BA39" t="str">
            <v>Mampu     menyanyikan lagu anak-anak dan memperagakan tepuk birama dengan gerak perlu pembinaan dalam        memainkan pola irama lagu bertanda birama dua dengan tepuk dan gerak</v>
          </cell>
          <cell r="BB39">
            <v>81.5</v>
          </cell>
          <cell r="BC39" t="str">
            <v>B</v>
          </cell>
          <cell r="BD39" t="str">
            <v>Mampu     mempraktikkan berbagai pola gerak dasar dominan statis (bertumpu dengan tangan dan lengan depan/belakang/ samping, bergantung, sikap kapal terbang, dan berdiri dengan salah satu kaki) dan pola gerak dominan dinamis (menolak, mengayu, melayang di udara, berputar, dan mendarat) dalam aktivitas senam. perlu pembinaan dalam        mempraktikkan penggunaan pola gerak dasar lokomotor dan non-lokomotor sesuai dengan irama (ketukan) tanpa/dengan musik dalam aktivitas gerak rimtik.</v>
          </cell>
          <cell r="BE39">
            <v>82</v>
          </cell>
          <cell r="BF39" t="str">
            <v>B</v>
          </cell>
          <cell r="BG39"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39">
            <v>84.5</v>
          </cell>
          <cell r="BI39" t="str">
            <v>B</v>
          </cell>
          <cell r="BJ39" t="str">
            <v xml:space="preserve">Mampu  Membuat percakapan tentang aktifitas berbelanja dan mempraktikkan di depan kelas berpasang-pasangan    perlu pembinaan dalam   Menulis kalimat order, request dan prohibition dengan baik sesuai dengan rumus      </v>
          </cell>
          <cell r="BK39">
            <v>84.5</v>
          </cell>
          <cell r="BL39" t="str">
            <v>B</v>
          </cell>
          <cell r="BM39" t="str">
            <v xml:space="preserve">Mampu  Menuliskan kata atau ungkapan pendek  sederhana tentang kegiatan sehari-hari disertai waktu    perlu pembinaan dalam   Memahami wacana tertulis dalam bentuk paparan atau bacaan tentang kegiatan sehari-hari disertai waktu     </v>
          </cell>
          <cell r="BN39">
            <v>81.5</v>
          </cell>
          <cell r="BO39" t="str">
            <v>B</v>
          </cell>
          <cell r="BP39" t="str">
            <v>Mampu     kd perlu pembinaan dalam        kd</v>
          </cell>
          <cell r="BQ39">
            <v>84.5</v>
          </cell>
          <cell r="BR39" t="str">
            <v>B</v>
          </cell>
          <cell r="BS39" t="str">
            <v xml:space="preserve">Mampu  Terampil mengoperasikan ikon-ikon text box, shapes, clip art, picture dan insert tabel    perlu pembinaan dalam   Menunjukkan ikon untuk membuat gambar dan teks     </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row>
        <row r="40">
          <cell r="B40">
            <v>0</v>
          </cell>
          <cell r="C40">
            <v>0</v>
          </cell>
          <cell r="D40" t="str">
            <v xml:space="preserve">Menunjukkan sikap     yang sangat menonjol. perlu pembinaan dalam     </v>
          </cell>
          <cell r="E40" t="str">
            <v xml:space="preserve">Menunjukkan sikap       Perlu bimbingan dalam sikap      </v>
          </cell>
          <cell r="F40">
            <v>88.166666666666671</v>
          </cell>
          <cell r="G40" t="str">
            <v>B</v>
          </cell>
          <cell r="H40" t="str">
            <v>Mampu Mengetahui makna Q.S. Al-Kaafiruun dengan benar,      perlu pembinaan dalam     Memahami hikmah beriman kepada Hari Akhir yang dapat membentuk perilaku akhlak mulia</v>
          </cell>
          <cell r="I40">
            <v>85.75</v>
          </cell>
          <cell r="J40" t="str">
            <v>B</v>
          </cell>
          <cell r="K40" t="str">
            <v xml:space="preserve">Mampu    mengenal arti bersatu dalam keberagaman di rumah dan sekolah  perlu pembinaan dalam   mengenal simbol-simbol sila Pancasila dalam lambang negara “Garuda Pancasila”     </v>
          </cell>
          <cell r="L40">
            <v>80.8</v>
          </cell>
          <cell r="M40" t="str">
            <v>B</v>
          </cell>
          <cell r="N40" t="str">
            <v xml:space="preserve">Mampu   mengenal teks terima kasih tentang sikap kasih sayang dengan bantuan guru atau teman dalam bahasa Indonesia lisan dan tulis yang dapat diisi dengan kosakata bahasa daerah untuk membantu pemahaman Mengenal teks diagram/label tentang anggota keluarga dan kerabat dengan bantuan guru atau teman dalam bahasa Indonesia lisan dan tulis yang dapat diisi dengan kosakata bahasa daerah untuk membantu pemahaman perlu pembinaan dalam   engenal teks deskriptif tentang anggota tubuh dan pancaindra, wujud dan sifat benda, serta peristiwa siang dan malam dengan bantuan guru atau teman dalam bahasa Indonesia lisan dan tulis yang dapat diisi dengan kosakata bahasa daerah untuk membantu pemahaman     </v>
          </cell>
          <cell r="O40">
            <v>84.333333333333329</v>
          </cell>
          <cell r="P40" t="str">
            <v>B</v>
          </cell>
          <cell r="Q40" t="str">
            <v xml:space="preserve">Mampu     mengenal bangun datar dan bangun ruang menggunakan benda-benda yang ada di sekitar rumah, sekolah, atau tempat bermain. perlu pembinaan dalam   mengenal lambang bilangan dan mendeskripsikan kemunculan bilangan dengan bahasa yang sederhana   menunjukkan pemahaman tentang besaran dengan menghitung maju sampai 100 dan mundur dari 20  </v>
          </cell>
          <cell r="R40">
            <v>81.833333333333329</v>
          </cell>
          <cell r="S40" t="str">
            <v>B</v>
          </cell>
          <cell r="T40" t="str">
            <v xml:space="preserve">Mampu  mengenal cara dan hasil karya seni ekspresi  mengamati berbagai bahan, alat serta fungsinya dalam membuat prakarya  perlu pembinaan dalam    mengenal  pola irama lagu bervariasi menggunakan alat musik ritmis    </v>
          </cell>
          <cell r="U40">
            <v>88.666666666666671</v>
          </cell>
          <cell r="V40" t="str">
            <v>B</v>
          </cell>
          <cell r="W40" t="str">
            <v xml:space="preserve">Mampu mengetahui konsep gerak dasar lokomotor sesuai dengan dimensi anggota tubuh yang digunakan, arah, ruang  gerak, hubungan, dan usaha, dalam berbagai bentuk permainan sederhana dan atau tradisional.     perlu pembinaan dalam      mengetahui konsep bergerak secara seimbang dan cepat dalam rangka pengembangan kebugaran jasmani melalui permainan sederhana dan atau tradisional.  </v>
          </cell>
          <cell r="X40">
            <v>79</v>
          </cell>
          <cell r="Y40" t="str">
            <v>B</v>
          </cell>
          <cell r="Z40" t="str">
            <v xml:space="preserve">Mampu   mengenal, memahami, dan mengidentifikasi teks  lisan dan tulis berbahasa daerah yang membuat ungkapan tradisional (paribasan/ bebasan, saloka)   perlu pembinaan dalam   mengenal, memahami, dan mengidentifikasiteks informasi yang diperoleh dari berbagai media berbahasa daerah secara lisan/ tulis     </v>
          </cell>
          <cell r="AA40">
            <v>78.25</v>
          </cell>
          <cell r="AB40" t="str">
            <v>B</v>
          </cell>
          <cell r="AC40" t="str">
            <v xml:space="preserve">Mampu   Mengenal, memahami dan mengidentifikasi macam-macam compass at the map and traffic sign   perlu pembinaan dalam   Mengenal, memahami dan mengidentifikasi macam-macam kalimat (order, request, and prohibition)     </v>
          </cell>
          <cell r="AD40">
            <v>78.25</v>
          </cell>
          <cell r="AE40" t="str">
            <v>B</v>
          </cell>
          <cell r="AF40" t="str">
            <v xml:space="preserve">Mampu   Memahami wacana dalam bentuk paparan tentang perkenalan diri(2) dengan menggunakan pola kalimat yang meliputi dhamir (kata ganti) ana, anta, anti, huwa, hiya + isim mufrad mu’annats/mudzakkar    perlu pembinaan dalam   Memahami wacana dalam bentuk paparan tentang perkenalan diri (1) dengan menggunakan pola kalimat yang meliputi isim isyarah (kata tunjuk) orang atau benda yang dekat (haadza, haadzihi) + alam + isim mufrad     </v>
          </cell>
          <cell r="AG40">
            <v>79</v>
          </cell>
          <cell r="AH40" t="str">
            <v>B</v>
          </cell>
          <cell r="AI40" t="str">
            <v xml:space="preserve">Mampu   memahami kepribadian NU   perlu pembinaan dalam   Mengenal sejarah munculnya Ahlus Sunnah wal Jama'ah     </v>
          </cell>
          <cell r="AJ40">
            <v>84.5</v>
          </cell>
          <cell r="AK40" t="str">
            <v>B</v>
          </cell>
          <cell r="AL40" t="str">
            <v xml:space="preserve">Mampu  Mengenal fungsi ikon-ikon pendukung pengolah kata (word processing)    perlu pembinaan dalam   Mengenal software pengolah kata dengan ikon-ikon pendukung     </v>
          </cell>
          <cell r="AM40">
            <v>81.5</v>
          </cell>
          <cell r="AN40" t="str">
            <v>B</v>
          </cell>
          <cell r="AO40" t="str">
            <v xml:space="preserve">Mampu Membaca Q.S. al-Kaafiruun dengan jelas dan benar     perlu pembinaan dalam    Menulis Q.S. al-Kaafiruun dengan jelas dan benar    </v>
          </cell>
          <cell r="AP40">
            <v>86.75</v>
          </cell>
          <cell r="AQ40" t="str">
            <v>B</v>
          </cell>
          <cell r="AR40" t="str">
            <v xml:space="preserve">Mampu    Melaksanakan tata tertib di rumah dan sekolah Mengamati dan menceriterakan kebersamaan dalam keberagaman di rumah dan sekolah   perlu pembinaan dalam   Mengamati dan menceritakan perilaku di sekitar rumah dan sekolah dan mengaitkannya dengan pengenalannya terhadap salah satu simbol sila Pancasila     </v>
          </cell>
          <cell r="AS40">
            <v>82.2</v>
          </cell>
          <cell r="AT40" t="str">
            <v>B</v>
          </cell>
          <cell r="AU40" t="str">
            <v xml:space="preserve">Mampu  mengamati dan menirukan teks deskriptif tentang anggota tubuh dan pancaindra, wujud dan sifat benda, serta peristiwa siang dan malam secara mandiri dalam bahasa Indonesia lisan dan tulis yang dapat diisi dengan kosakata bahasa daerah untuk membantu penyajian     perlu pembinaan dalam     mempraktikkan teks arahan/petunjuk tentang merawat tubuh serta kesehatan dan kebugaran tubuh secara mandiri dalam bahasa Indonesia lisan dan tulis yang dapat diisi dengan kosakata bahasa daerah untuk membantu penyajian    </v>
          </cell>
          <cell r="AV40">
            <v>83.666666666666671</v>
          </cell>
          <cell r="AW40" t="str">
            <v>B</v>
          </cell>
          <cell r="AX40" t="str">
            <v xml:space="preserve">Mampu0     perlu pembinaan dalam  menggunakan benda konkrit untuk menelusuri pecahan dan jumlah uang     </v>
          </cell>
          <cell r="AY40">
            <v>83.666666666666671</v>
          </cell>
          <cell r="AZ40" t="str">
            <v>B</v>
          </cell>
          <cell r="BA40" t="str">
            <v xml:space="preserve">Mampu menggambar ekspresi dengan mengolah garis, warna dan bentuk berdasarkan hasil pengamatan di lingkungan sekitar     perlu pembinaan dalam     menggambar dengan memanfaatkan beragam media kering   </v>
          </cell>
          <cell r="BB40">
            <v>83.666666666666671</v>
          </cell>
          <cell r="BC40" t="str">
            <v>B</v>
          </cell>
          <cell r="BD40" t="str">
            <v xml:space="preserve">Mampu mempraktikkan pola gerak dasar lokomotor sesuai dengan dimensi anggota tubuh yang digunakan, arah, ruang gerak, hubungan dan usaha, dalam berbagai bentuk permainan sederhana dan atau tradisional.     perlu pembinaan dalam    mempraktikkan pola gerak dasar non-lokomotor sesuai dengan dimensi anggota tubuh yang digunakan, arah, ruang gerak, hubungan, dan usaha,dalam berbagai bentuk permainan sederhana dan atau tradisional.    </v>
          </cell>
          <cell r="BE40">
            <v>79</v>
          </cell>
          <cell r="BF40" t="str">
            <v>B</v>
          </cell>
          <cell r="BG40" t="str">
            <v xml:space="preserve">Mampu   menanggapi teks lisan maupun tulis yang memuat ungkapan tradisional Jawa/ Madura (paribasan, bebasan, saloka)   perlu pembinaan dalam   menyampaikan dan menagggapi informasi yang diperoleh dari berbagai media berbahasa daerah secara lisan dan tulisan.      </v>
          </cell>
          <cell r="BH40">
            <v>84.5</v>
          </cell>
          <cell r="BI40" t="str">
            <v>B</v>
          </cell>
          <cell r="BJ40" t="str">
            <v xml:space="preserve">Mampu  Membuat percakapan tentang aktifitas berbelanja dan mempraktikkan di depan kelas berpasang-pasangan    perlu pembinaan dalam   Menulis kalimat order, request dan prohibition dengan baik sesuai dengan rumus      </v>
          </cell>
          <cell r="BK40">
            <v>84.5</v>
          </cell>
          <cell r="BL40" t="str">
            <v>B</v>
          </cell>
          <cell r="BM40" t="str">
            <v xml:space="preserve">Mampu  Menuliskan kata atau ungkapan pendek  sederhana tentang kegiatan sehari-hari disertai waktu    perlu pembinaan dalam   Memahami wacana tertulis dalam bentuk paparan atau bacaan tentang kegiatan sehari-hari disertai waktu     </v>
          </cell>
          <cell r="BN40">
            <v>83.666666666666671</v>
          </cell>
          <cell r="BO40" t="str">
            <v>B</v>
          </cell>
          <cell r="BP40" t="str">
            <v xml:space="preserve">Mampu kd     perlu pembinaan dalam     kd   </v>
          </cell>
          <cell r="BQ40">
            <v>84.5</v>
          </cell>
          <cell r="BR40" t="str">
            <v>B</v>
          </cell>
          <cell r="BS40" t="str">
            <v xml:space="preserve">Mampu  Terampil mengoperasikan ikon-ikon text box, shapes, clip art, picture dan insert tabel    perlu pembinaan dalam   Menunjukkan ikon untuk membuat gambar dan teks     </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row>
        <row r="41">
          <cell r="B41">
            <v>0</v>
          </cell>
          <cell r="C41">
            <v>0</v>
          </cell>
          <cell r="D41" t="str">
            <v xml:space="preserve">Menunjukkan sikap     yang sangat menonjol. perlu pembinaan dalam     </v>
          </cell>
          <cell r="E41" t="str">
            <v xml:space="preserve">Menunjukkan sikap       Perlu bimbingan dalam sikap      </v>
          </cell>
          <cell r="F41">
            <v>77.666666666666671</v>
          </cell>
          <cell r="G41" t="str">
            <v>B</v>
          </cell>
          <cell r="H41" t="str">
            <v xml:space="preserve">Mampu    Memahami hikmah berzakat sebagai implementasi rukun Islam  perlu pembinaan dalam   Mengetahui makna Q.S. Al-Kaafiruun dengan benar,      </v>
          </cell>
          <cell r="I41">
            <v>84</v>
          </cell>
          <cell r="J41" t="str">
            <v>B</v>
          </cell>
          <cell r="K41" t="str">
            <v xml:space="preserve">Mampu  mengenal tata tertib dan aturan yang berlaku dalam kehidupan sehari-hari di rumah dan sekolah mengenal arti bersatu dalam keberagaman di rumah dan sekolah  perlu pembinaan dalam     mengenal keberagaman karateristik individu di rumah dan di sekolah   </v>
          </cell>
          <cell r="L41">
            <v>81.8</v>
          </cell>
          <cell r="M41" t="str">
            <v>B</v>
          </cell>
          <cell r="N41" t="str">
            <v xml:space="preserve">Mampu     Mengenal teks diagram/label tentang anggota keluarga dan kerabat dengan bantuan guru atau teman dalam bahasa Indonesia lisan dan tulis yang dapat diisi dengan kosakata bahasa daerah untuk membantu pemahaman perlu pembinaan dalam      Mengenal teks cerita diri/personal tentang keberadaan keluarga dengan bantuan guru atau teman dalam bahasa Indonesia lisan dan tulis yang dapat diisi dengan kosakata bahasa daerah untuk membantu pemahaman  </v>
          </cell>
          <cell r="O41">
            <v>81.666666666666671</v>
          </cell>
          <cell r="P41" t="str">
            <v>B</v>
          </cell>
          <cell r="Q41" t="str">
            <v>Mampu  mengenal bilangan asli sampai 99 dengan menggunakan benda-benda yang ada di sekitar rumah, sekolah, atau tempat bermain  mengenal bangun datar dan bangun ruang menggunakan benda-benda yang ada di sekitar rumah, sekolah, atau tempat bermain. perlu pembinaan dalam     mengenal dan memprediksi pola-pola bilangan sederhana menggunakan gambar-gambar/benda konkrit  menemukan bangun yang membentuk pola pengubinan sederhana</v>
          </cell>
          <cell r="R41">
            <v>82</v>
          </cell>
          <cell r="S41" t="str">
            <v>B</v>
          </cell>
          <cell r="T41" t="str">
            <v xml:space="preserve">Mampu  mengenal cara dan hasil karya seni ekspresi     perlu pembinaan dalam       mengenal karya seni budaya benda dan bahasa daerah setempat </v>
          </cell>
          <cell r="U41">
            <v>79.833333333333329</v>
          </cell>
          <cell r="V41" t="str">
            <v>B</v>
          </cell>
          <cell r="W41" t="str">
            <v xml:space="preserve">Mampu  mengetahui konsep gerak dasar non-lokomotor sesuai dengan dimensi  anggota tubuh yang digunakan, arah, ruang  gerak, hubungan, dan usaha, dalam berbagai bentuk permainan sederhana dan atau permainan tradisional.  mengetahui konsep berbagai pola gerak dasar dominan statis (bertumpu dengan tangan dan lengan depan/belakang /samping, bergantung, sikap kapal terbang, dan berdiri dengan salah satu kaki), serta pola gerak dominan dinamis (menolak, mengayun, melayang di udara, berputar, dan mendarat) dalam aktivitas senam. perlu pembinaan dalam   mengetahui konsep gerak dasar lokomotor sesuai dengan dimensi anggota tubuh yang digunakan, arah, ruang  gerak, hubungan, dan usaha, dalam berbagai bentuk permainan sederhana dan atau tradisional.     </v>
          </cell>
          <cell r="X41">
            <v>82.333333333333329</v>
          </cell>
          <cell r="Y41" t="str">
            <v>B</v>
          </cell>
          <cell r="Z41" t="str">
            <v xml:space="preserve">Mampu  mengenal, memahami, dan mengidentifikasi teks  tembang macapat sesuai dengan kaidah    perlu pembinaan dalam   mengenal, memahami, dan mengidentifikasiteks informasi yang diperoleh dari berbagai media berbahasa daerah secara lisan/ tulis     </v>
          </cell>
          <cell r="AA41">
            <v>79.5</v>
          </cell>
          <cell r="AB41" t="str">
            <v>B</v>
          </cell>
          <cell r="AC41" t="str">
            <v xml:space="preserve">Mampu  Mengenal, memahami dan mengidentifikasi macam-macam weather and season based on the country    perlu pembinaan dalam      Mengenal, memahami dan mengidentifikasi shopping activity (how to ask price, show the price, bargain, accept and refuse to bargain, etc)  </v>
          </cell>
          <cell r="AD41">
            <v>79.5</v>
          </cell>
          <cell r="AE41" t="str">
            <v>B</v>
          </cell>
          <cell r="AF41" t="str">
            <v xml:space="preserve">Mampu  Memahami wacana dalam bentuk paparan tentang peralatan sekolah dengan menggunakan pola kalimat yang meliputi kata tanya + isim isyarah (kata tunjuk) orang atau benda yang dekat (haadza, haadzihi) + alam + isim mufrad    perlu pembinaan dalam      Memahami wacana dalam bentuk paparan tentang profesi dengan menggunakan pola kalimat isim isyarah/ dhamir + profesi  </v>
          </cell>
          <cell r="AG41">
            <v>82.333333333333329</v>
          </cell>
          <cell r="AH41" t="str">
            <v>B</v>
          </cell>
          <cell r="AI41" t="str">
            <v xml:space="preserve">Mampu  Memahami amaliah NU    perlu pembinaan dalam   Mengenal sejarah munculnya Ahlus Sunnah wal Jama'ah     </v>
          </cell>
          <cell r="AJ41">
            <v>84.5</v>
          </cell>
          <cell r="AK41" t="str">
            <v>B</v>
          </cell>
          <cell r="AL41" t="str">
            <v xml:space="preserve">Mampu Mengenal software pengolah kata dengan ikon-ikon pendukung     perlu pembinaan dalam    Mengenal fungsi ikon-ikon pendukung pengolah kata (word processing)    </v>
          </cell>
          <cell r="AM41">
            <v>78.833333333333329</v>
          </cell>
          <cell r="AN41" t="str">
            <v>B</v>
          </cell>
          <cell r="AO41" t="str">
            <v xml:space="preserve">Mampu   Menyebutkan arti Q.S. al-Kaafiruun dengan jelas dan benar  Menceritakan kisah keteladanan sahabat-sahabat Nabi Muhammad saw.perlu pembinaan dalam   Membaca Q.S. al-Kaafiruun dengan jelas dan benar     </v>
          </cell>
          <cell r="AP41">
            <v>84</v>
          </cell>
          <cell r="AQ41" t="str">
            <v>B</v>
          </cell>
          <cell r="AR41" t="str">
            <v xml:space="preserve">Mampu    Mengamati dan menceriterakan kebersamaan dalam keberagaman di rumah dan sekolah   perlu pembinaan dalam      Mengamati dan menceriterakan keberagaman karateristik individu di rumah dan sekolah  </v>
          </cell>
          <cell r="AS41">
            <v>76.8</v>
          </cell>
          <cell r="AT41" t="str">
            <v>B</v>
          </cell>
          <cell r="AU41" t="str">
            <v xml:space="preserve">Mampu   menyampaikan teks terima kasih mengenai sikap kasih sayang secara mandiri dalam bahasa Indonesia lisan dan tulis yang dapat diisi dengan kosakata bahasa daerah untuk membantu penyajian   perlu pembinaan dalam    mengamati dan menirukan teks deskriptif tentang anggota tubuh dan pancaindra, wujud dan sifat benda, serta peristiwa siang dan malam secara mandiri dalam bahasa Indonesia lisan dan tulis yang dapat diisi dengan kosakata bahasa daerah untuk membantu penyajian     </v>
          </cell>
          <cell r="AV41">
            <v>79.166666666666671</v>
          </cell>
          <cell r="AW41" t="str">
            <v>B</v>
          </cell>
          <cell r="AX41" t="str">
            <v xml:space="preserve">Mampu  mengemukakan kembali dengan kalimat sendiri dan memecahkan masalah yang berkaitan dengan penjumlahan dan pengurangan terkait dengan aktivitas sehari-hari serta memeriksa kebenarannya   perlu pembinaan dalam 0     </v>
          </cell>
          <cell r="AY41">
            <v>79.166666666666671</v>
          </cell>
          <cell r="AZ41" t="str">
            <v>B</v>
          </cell>
          <cell r="BA41" t="str">
            <v xml:space="preserve">Mampu  membuat karya seni ekspresi dengan memanfaatkan berbagai teknik cetak sederhana menggunakan bahan alam    perlu pembinaan dalam   menggambar ekspresi dengan mengolah garis, warna dan bentuk berdasarkan hasil pengamatan di lingkungan sekitar     </v>
          </cell>
          <cell r="BB41">
            <v>79.166666666666671</v>
          </cell>
          <cell r="BC41" t="str">
            <v>B</v>
          </cell>
          <cell r="BD41" t="str">
            <v xml:space="preserve">Mampu   mempraktikkan pola gerak dasar manipulatif sesuai dengan dimensi anggota tubuh yang digunakan, arah, ruang gerak, hubungan, dan usaha, dalam berbagai bentuk permainan sederhana dan atau permainan tradisional.   perlu pembinaan dalam   mempraktikkan pola gerak dasar lokomotor sesuai dengan dimensi anggota tubuh yang digunakan, arah, ruang gerak, hubungan dan usaha, dalam berbagai bentuk permainan sederhana dan atau tradisional.     </v>
          </cell>
          <cell r="BE41">
            <v>82.333333333333329</v>
          </cell>
          <cell r="BF41" t="str">
            <v>B</v>
          </cell>
          <cell r="BG41" t="str">
            <v xml:space="preserve">Mampu  menceritakan isi tembang macapat.     perlu pembinaan dalam   menyampaikan dan menagggapi informasi yang diperoleh dari berbagai media berbahasa daerah secara lisan dan tulisan.      </v>
          </cell>
          <cell r="BH41">
            <v>84.5</v>
          </cell>
          <cell r="BI41" t="str">
            <v>B</v>
          </cell>
          <cell r="BJ41" t="str">
            <v xml:space="preserve">Mampu Menulis kalimat order, request dan prohibition dengan baik sesuai dengan rumus      perlu pembinaan dalam    Membuat percakapan tentang aktifitas berbelanja dan mempraktikkan di depan kelas berpasang-pasangan    </v>
          </cell>
          <cell r="BK41">
            <v>84.5</v>
          </cell>
          <cell r="BL41" t="str">
            <v>B</v>
          </cell>
          <cell r="BM41" t="str">
            <v xml:space="preserve">Mampu Memahami wacana tertulis dalam bentuk paparan atau bacaan tentang kegiatan sehari-hari disertai waktu     perlu pembinaan dalam    Menuliskan kata atau ungkapan pendek  sederhana tentang kegiatan sehari-hari disertai waktu    </v>
          </cell>
          <cell r="BN41">
            <v>79.166666666666671</v>
          </cell>
          <cell r="BO41" t="str">
            <v>B</v>
          </cell>
          <cell r="BP41" t="str">
            <v xml:space="preserve">Mampu  kd    perlu pembinaan dalam   kd     </v>
          </cell>
          <cell r="BQ41">
            <v>84.5</v>
          </cell>
          <cell r="BR41" t="str">
            <v>B</v>
          </cell>
          <cell r="BS41" t="str">
            <v xml:space="preserve">Mampu Menunjukkan ikon untuk membuat gambar dan teks     perlu pembinaan dalam    Terampil mengoperasikan ikon-ikon text box, shapes, clip art, picture dan insert tabel    </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row>
      </sheetData>
      <sheetData sheetId="30" refreshError="1"/>
      <sheetData sheetId="31" refreshError="1"/>
      <sheetData sheetId="32" refreshError="1"/>
      <sheetData sheetId="33" refreshError="1"/>
      <sheetData sheetId="3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kangmartho.com/" TargetMode="External"/><Relationship Id="rId1" Type="http://schemas.openxmlformats.org/officeDocument/2006/relationships/hyperlink" Target="http://www.aplikasidigital.com/"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hyperlink" Target="https://www.youtube.com/watch?v=QnKMz6afshM&amp;t=86s" TargetMode="External"/><Relationship Id="rId1" Type="http://schemas.openxmlformats.org/officeDocument/2006/relationships/hyperlink" Target="http://www.kangmartho.com/" TargetMode="External"/><Relationship Id="rId4"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4.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5.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G1:XFC27"/>
  <sheetViews>
    <sheetView showRowColHeaders="0" workbookViewId="0">
      <selection activeCell="J14" sqref="J14"/>
    </sheetView>
  </sheetViews>
  <sheetFormatPr defaultColWidth="0" defaultRowHeight="15" customHeight="1" zeroHeight="1"/>
  <cols>
    <col min="1" max="1" width="16.140625" style="57" customWidth="1"/>
    <col min="2" max="5" width="9.140625" style="57" customWidth="1"/>
    <col min="6" max="6" width="10.5703125" style="57" customWidth="1"/>
    <col min="7" max="7" width="3.28515625" style="57" customWidth="1"/>
    <col min="8" max="8" width="3" style="57" customWidth="1"/>
    <col min="9" max="9" width="20.7109375" style="57" customWidth="1"/>
    <col min="10" max="10" width="33.7109375" style="57" customWidth="1"/>
    <col min="11" max="11" width="2.7109375" style="57" customWidth="1"/>
    <col min="12" max="12" width="3.140625" style="57" customWidth="1"/>
    <col min="13" max="14" width="9.140625" style="57" customWidth="1"/>
    <col min="15" max="15" width="16.85546875" style="57" customWidth="1"/>
    <col min="16" max="17" width="9.140625" style="57" customWidth="1"/>
    <col min="18" max="18" width="10.5703125" style="57" customWidth="1"/>
    <col min="19" max="16383" width="9.140625" style="57" hidden="1"/>
    <col min="16384" max="16384" width="7.85546875" style="57" customWidth="1"/>
  </cols>
  <sheetData>
    <row r="1" spans="7:12"/>
    <row r="2" spans="7:12"/>
    <row r="3" spans="7:12"/>
    <row r="4" spans="7:12"/>
    <row r="5" spans="7:12">
      <c r="H5" s="441"/>
      <c r="I5" s="441"/>
      <c r="J5" s="441"/>
      <c r="K5" s="441"/>
    </row>
    <row r="6" spans="7:12">
      <c r="H6" s="441"/>
      <c r="I6" s="441"/>
      <c r="J6" s="441"/>
      <c r="K6" s="441"/>
    </row>
    <row r="7" spans="7:12">
      <c r="H7" s="441"/>
      <c r="I7" s="441"/>
      <c r="J7" s="441"/>
      <c r="K7" s="441"/>
    </row>
    <row r="8" spans="7:12" ht="21">
      <c r="H8" s="441"/>
      <c r="I8" s="596" t="s">
        <v>320</v>
      </c>
      <c r="J8" s="596"/>
      <c r="K8" s="441"/>
    </row>
    <row r="9" spans="7:12">
      <c r="H9" s="441"/>
      <c r="I9" s="597" t="s">
        <v>321</v>
      </c>
      <c r="J9" s="597"/>
      <c r="K9" s="441"/>
    </row>
    <row r="10" spans="7:12">
      <c r="H10" s="441"/>
      <c r="I10" s="597"/>
      <c r="J10" s="597"/>
      <c r="K10" s="441"/>
    </row>
    <row r="11" spans="7:12">
      <c r="H11" s="441"/>
      <c r="I11" s="441"/>
      <c r="J11" s="441"/>
      <c r="K11" s="441"/>
    </row>
    <row r="12" spans="7:12" ht="26.25">
      <c r="G12" s="598" t="s">
        <v>556</v>
      </c>
      <c r="H12" s="598"/>
      <c r="I12" s="598"/>
      <c r="J12" s="598"/>
      <c r="K12" s="598"/>
      <c r="L12" s="598"/>
    </row>
    <row r="13" spans="7:12">
      <c r="H13" s="441"/>
      <c r="I13" s="441"/>
      <c r="J13" s="441"/>
      <c r="K13" s="441"/>
    </row>
    <row r="14" spans="7:12">
      <c r="H14" s="441"/>
      <c r="I14" s="442" t="s">
        <v>322</v>
      </c>
      <c r="J14" s="443" t="s">
        <v>608</v>
      </c>
      <c r="K14" s="441"/>
    </row>
    <row r="15" spans="7:12">
      <c r="H15" s="441"/>
      <c r="I15" s="444"/>
      <c r="J15" s="445"/>
      <c r="K15" s="441"/>
    </row>
    <row r="16" spans="7:12">
      <c r="H16" s="441"/>
      <c r="I16" s="442" t="s">
        <v>323</v>
      </c>
      <c r="J16" s="443" t="s">
        <v>584</v>
      </c>
      <c r="K16" s="441"/>
    </row>
    <row r="17" spans="8:11">
      <c r="H17" s="446"/>
      <c r="I17" s="446"/>
      <c r="J17" s="446"/>
      <c r="K17" s="446"/>
    </row>
    <row r="18" spans="8:11">
      <c r="H18" s="446"/>
      <c r="I18" s="446"/>
      <c r="J18" s="446"/>
      <c r="K18" s="446"/>
    </row>
    <row r="19" spans="8:11">
      <c r="H19" s="446"/>
      <c r="I19" s="446"/>
      <c r="J19" s="446"/>
      <c r="K19" s="446"/>
    </row>
    <row r="20" spans="8:11">
      <c r="H20" s="446"/>
      <c r="I20" s="599" t="s">
        <v>356</v>
      </c>
      <c r="J20" s="599"/>
      <c r="K20" s="446"/>
    </row>
    <row r="21" spans="8:11">
      <c r="H21" s="446"/>
      <c r="I21" s="599"/>
      <c r="J21" s="599"/>
      <c r="K21" s="446"/>
    </row>
    <row r="22" spans="8:11"/>
    <row r="23" spans="8:11"/>
    <row r="24" spans="8:11"/>
    <row r="25" spans="8:11"/>
    <row r="26" spans="8:11"/>
    <row r="27" spans="8:11"/>
  </sheetData>
  <sheetProtection password="DC81" sheet="1" objects="1" scenarios="1"/>
  <mergeCells count="5">
    <mergeCell ref="I8:J8"/>
    <mergeCell ref="I9:J9"/>
    <mergeCell ref="I10:J10"/>
    <mergeCell ref="G12:L12"/>
    <mergeCell ref="I20:J21"/>
  </mergeCells>
  <pageMargins left="0.7" right="0.7" top="0.75" bottom="0.7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D72"/>
  <sheetViews>
    <sheetView showRowColHeaders="0" tabSelected="1" workbookViewId="0">
      <pane xSplit="2" ySplit="6" topLeftCell="C7" activePane="bottomRight" state="frozen"/>
      <selection pane="topRight" activeCell="C1" sqref="C1"/>
      <selection pane="bottomLeft" activeCell="A7" sqref="A7"/>
      <selection pane="bottomRight" sqref="A1:B1"/>
    </sheetView>
  </sheetViews>
  <sheetFormatPr defaultColWidth="0" defaultRowHeight="15" zeroHeight="1"/>
  <cols>
    <col min="1" max="1" width="11.28515625" style="57" customWidth="1"/>
    <col min="2" max="2" width="18.42578125" style="57" customWidth="1"/>
    <col min="3" max="3" width="4" style="57" customWidth="1"/>
    <col min="4" max="4" width="25.28515625" style="57" customWidth="1"/>
    <col min="5" max="5" width="4.7109375" style="57" customWidth="1"/>
    <col min="6" max="6" width="7.5703125" style="57" customWidth="1"/>
    <col min="7" max="7" width="19.140625" style="57" customWidth="1"/>
    <col min="8" max="8" width="4.28515625" style="57" customWidth="1"/>
    <col min="9" max="9" width="7" style="57" customWidth="1"/>
    <col min="10" max="10" width="19.28515625" style="57" customWidth="1"/>
    <col min="11" max="11" width="3.7109375" style="57" customWidth="1"/>
    <col min="12" max="12" width="6.7109375" style="57" customWidth="1"/>
    <col min="13" max="13" width="17.7109375" style="57" customWidth="1"/>
    <col min="14" max="14" width="4.140625" style="57" customWidth="1"/>
    <col min="15" max="15" width="8" style="57" customWidth="1"/>
    <col min="16" max="16" width="18.42578125" style="57" customWidth="1"/>
    <col min="17" max="17" width="2.28515625" style="57" customWidth="1"/>
    <col min="18" max="18" width="3.28515625" style="57" customWidth="1"/>
    <col min="19" max="19" width="9.140625" style="137" customWidth="1"/>
    <col min="20" max="20" width="5.42578125" style="137" hidden="1" customWidth="1"/>
    <col min="21" max="21" width="9.140625" style="137" hidden="1" customWidth="1"/>
    <col min="22" max="22" width="8.7109375" style="137" hidden="1" customWidth="1"/>
    <col min="23" max="23" width="9.140625" style="137" hidden="1" customWidth="1"/>
    <col min="24" max="24" width="4.85546875" style="137" hidden="1" customWidth="1"/>
    <col min="25" max="25" width="5.5703125" style="137" hidden="1" customWidth="1"/>
    <col min="26" max="28" width="0" style="57" hidden="1" customWidth="1"/>
    <col min="29" max="16384" width="9.140625" style="57" hidden="1"/>
  </cols>
  <sheetData>
    <row r="1" spans="1:16384" ht="30.75" customHeight="1">
      <c r="A1" s="601" t="s">
        <v>318</v>
      </c>
      <c r="B1" s="601"/>
      <c r="C1" s="434" t="s">
        <v>319</v>
      </c>
      <c r="D1" s="435" t="str">
        <f>LOGIN!J16</f>
        <v>SD NEGERI 006 BUAHBATU</v>
      </c>
      <c r="E1" s="435"/>
      <c r="F1" s="435"/>
      <c r="G1" s="435"/>
      <c r="H1" s="435"/>
      <c r="I1" s="435"/>
      <c r="J1" s="435"/>
      <c r="K1" s="435"/>
      <c r="L1" s="435"/>
      <c r="M1" s="435"/>
      <c r="N1" s="435"/>
      <c r="O1" s="435"/>
      <c r="P1" s="435"/>
      <c r="Q1" s="435"/>
      <c r="R1" s="435"/>
      <c r="S1" s="436"/>
      <c r="T1" s="437"/>
      <c r="U1" s="437"/>
      <c r="V1" s="437"/>
      <c r="W1" s="437"/>
      <c r="X1" s="437"/>
      <c r="Z1" s="263"/>
      <c r="AA1" s="263"/>
    </row>
    <row r="2" spans="1:16384" ht="4.5" customHeight="1">
      <c r="A2" s="447"/>
      <c r="B2" s="447"/>
      <c r="C2" s="276"/>
      <c r="D2" s="451"/>
      <c r="E2" s="451"/>
      <c r="F2" s="451"/>
      <c r="G2" s="451"/>
      <c r="H2" s="451"/>
      <c r="I2" s="451"/>
      <c r="J2" s="451"/>
      <c r="K2" s="267"/>
      <c r="L2" s="267"/>
      <c r="M2" s="267"/>
      <c r="N2" s="267"/>
      <c r="O2" s="267"/>
      <c r="P2" s="267"/>
      <c r="Q2" s="267"/>
      <c r="R2" s="267"/>
      <c r="S2" s="346"/>
      <c r="T2" s="439"/>
      <c r="U2" s="439"/>
      <c r="V2" s="439"/>
      <c r="W2" s="439"/>
      <c r="X2" s="439"/>
      <c r="Z2" s="263"/>
      <c r="AA2" s="263"/>
    </row>
    <row r="3" spans="1:16384" ht="14.25" customHeight="1">
      <c r="A3" s="447"/>
      <c r="B3" s="448" t="str">
        <f>LOGIN!J14</f>
        <v>MASTER KELAS 5</v>
      </c>
      <c r="C3" s="276"/>
      <c r="D3" s="452" t="s">
        <v>354</v>
      </c>
      <c r="E3" s="451"/>
      <c r="F3" s="602" t="s">
        <v>325</v>
      </c>
      <c r="G3" s="453" t="s">
        <v>326</v>
      </c>
      <c r="H3" s="451"/>
      <c r="I3" s="605" t="s">
        <v>327</v>
      </c>
      <c r="J3" s="454" t="s">
        <v>324</v>
      </c>
      <c r="K3" s="451"/>
      <c r="L3" s="607" t="s">
        <v>328</v>
      </c>
      <c r="M3" s="455" t="s">
        <v>329</v>
      </c>
      <c r="N3" s="267"/>
      <c r="O3" s="609" t="s">
        <v>330</v>
      </c>
      <c r="P3" s="456" t="s">
        <v>331</v>
      </c>
      <c r="Q3" s="456"/>
      <c r="R3" s="267"/>
      <c r="S3" s="346"/>
      <c r="T3" s="439"/>
      <c r="U3" s="439"/>
      <c r="V3" s="439"/>
      <c r="W3" s="439"/>
      <c r="X3" s="439"/>
      <c r="Z3" s="263"/>
      <c r="AA3" s="263"/>
    </row>
    <row r="4" spans="1:16384" ht="12.75" customHeight="1">
      <c r="A4" s="447"/>
      <c r="B4" s="449" t="str">
        <f>LOGIN!J16</f>
        <v>SD NEGERI 006 BUAHBATU</v>
      </c>
      <c r="C4" s="276"/>
      <c r="D4" s="452" t="s">
        <v>355</v>
      </c>
      <c r="E4" s="451"/>
      <c r="F4" s="603"/>
      <c r="G4" s="453" t="s">
        <v>332</v>
      </c>
      <c r="H4" s="451"/>
      <c r="I4" s="606"/>
      <c r="J4" s="454" t="s">
        <v>333</v>
      </c>
      <c r="K4" s="451"/>
      <c r="L4" s="608"/>
      <c r="M4" s="455" t="s">
        <v>334</v>
      </c>
      <c r="N4" s="267"/>
      <c r="O4" s="610"/>
      <c r="P4" s="456" t="s">
        <v>45</v>
      </c>
      <c r="Q4" s="456"/>
      <c r="R4" s="267"/>
      <c r="S4" s="346"/>
      <c r="T4" s="439"/>
      <c r="U4" s="439"/>
      <c r="V4" s="439"/>
      <c r="W4" s="439"/>
      <c r="X4" s="439"/>
      <c r="Z4" s="263"/>
      <c r="AA4" s="263"/>
    </row>
    <row r="5" spans="1:16384" ht="14.25" customHeight="1">
      <c r="A5" s="447"/>
      <c r="B5" s="450" t="s">
        <v>213</v>
      </c>
      <c r="C5" s="276"/>
      <c r="D5" s="611">
        <f>SISWA!AU56</f>
        <v>43</v>
      </c>
      <c r="E5" s="451"/>
      <c r="F5" s="603"/>
      <c r="G5" s="612">
        <v>8</v>
      </c>
      <c r="H5" s="451"/>
      <c r="I5" s="606"/>
      <c r="J5" s="613">
        <f>KKM!Y10</f>
        <v>3</v>
      </c>
      <c r="K5" s="451"/>
      <c r="L5" s="608"/>
      <c r="M5" s="614">
        <f>KKM!D8</f>
        <v>65</v>
      </c>
      <c r="N5" s="267"/>
      <c r="O5" s="610"/>
      <c r="P5" s="616">
        <f>AVERAGE(O11:P17)</f>
        <v>0.98979591836734693</v>
      </c>
      <c r="Q5" s="456"/>
      <c r="R5" s="267"/>
      <c r="S5" s="346"/>
      <c r="T5" s="439"/>
      <c r="U5" s="439"/>
      <c r="V5" s="439"/>
      <c r="W5" s="439"/>
      <c r="X5" s="439"/>
      <c r="Z5" s="263"/>
      <c r="AA5" s="263"/>
    </row>
    <row r="6" spans="1:16384" ht="14.25" customHeight="1">
      <c r="A6" s="447"/>
      <c r="B6" s="450"/>
      <c r="C6" s="276"/>
      <c r="D6" s="611"/>
      <c r="E6" s="451"/>
      <c r="F6" s="457"/>
      <c r="G6" s="612"/>
      <c r="H6" s="451"/>
      <c r="I6" s="458"/>
      <c r="J6" s="613"/>
      <c r="K6" s="451"/>
      <c r="L6" s="459"/>
      <c r="M6" s="614"/>
      <c r="N6" s="267"/>
      <c r="O6" s="263"/>
      <c r="P6" s="617"/>
      <c r="Q6" s="456"/>
      <c r="R6" s="267"/>
      <c r="S6" s="346"/>
      <c r="T6" s="439"/>
      <c r="U6" s="439"/>
      <c r="V6" s="439"/>
      <c r="W6" s="439"/>
      <c r="X6" s="439"/>
      <c r="Z6" s="263"/>
      <c r="AA6" s="263"/>
    </row>
    <row r="7" spans="1:16384" ht="6" customHeight="1">
      <c r="A7" s="447"/>
      <c r="B7" s="448"/>
      <c r="C7" s="276"/>
      <c r="D7" s="451"/>
      <c r="E7" s="451"/>
      <c r="F7" s="451"/>
      <c r="G7" s="451"/>
      <c r="H7" s="451"/>
      <c r="I7" s="451"/>
      <c r="J7" s="451"/>
      <c r="K7" s="451"/>
      <c r="L7" s="267"/>
      <c r="M7" s="267"/>
      <c r="N7" s="267"/>
      <c r="O7" s="267"/>
      <c r="P7" s="267"/>
      <c r="Q7" s="267"/>
      <c r="R7" s="267"/>
      <c r="S7" s="264"/>
      <c r="Z7" s="264"/>
      <c r="AA7" s="264"/>
      <c r="AB7" s="264"/>
      <c r="AC7" s="264"/>
      <c r="AD7" s="264"/>
      <c r="AE7" s="264"/>
      <c r="AF7" s="264"/>
      <c r="AG7" s="264"/>
      <c r="AH7" s="264"/>
      <c r="AI7" s="264"/>
      <c r="AJ7" s="264"/>
      <c r="AK7" s="264"/>
      <c r="AL7" s="264"/>
      <c r="AM7" s="264"/>
      <c r="AN7" s="264"/>
      <c r="AO7" s="264"/>
      <c r="AP7" s="264"/>
      <c r="AQ7" s="264"/>
      <c r="AR7" s="264"/>
      <c r="AS7" s="264"/>
      <c r="AT7" s="264"/>
      <c r="AU7" s="264"/>
      <c r="AV7" s="264"/>
      <c r="AW7" s="264"/>
      <c r="AX7" s="264"/>
      <c r="AY7" s="264"/>
      <c r="AZ7" s="264"/>
      <c r="BA7" s="264"/>
      <c r="BB7" s="264"/>
      <c r="BC7" s="264"/>
      <c r="BD7" s="264"/>
      <c r="BE7" s="264"/>
      <c r="BF7" s="264"/>
      <c r="BG7" s="264"/>
      <c r="BH7" s="264"/>
      <c r="BI7" s="264"/>
      <c r="BJ7" s="264"/>
      <c r="BK7" s="264"/>
      <c r="BL7" s="264"/>
      <c r="BM7" s="264"/>
      <c r="BN7" s="264"/>
      <c r="BO7" s="264"/>
      <c r="BP7" s="264"/>
      <c r="BQ7" s="264"/>
      <c r="BR7" s="264"/>
      <c r="BS7" s="264"/>
      <c r="BT7" s="264"/>
      <c r="BU7" s="264"/>
      <c r="BV7" s="264"/>
      <c r="BW7" s="264"/>
      <c r="BX7" s="264"/>
      <c r="BY7" s="264"/>
      <c r="BZ7" s="264"/>
      <c r="CA7" s="264"/>
      <c r="CB7" s="264"/>
      <c r="CC7" s="264"/>
      <c r="CD7" s="264"/>
      <c r="CE7" s="264"/>
      <c r="CF7" s="264"/>
      <c r="CG7" s="264"/>
      <c r="CH7" s="264"/>
      <c r="CI7" s="264"/>
      <c r="CJ7" s="264"/>
      <c r="CK7" s="264"/>
      <c r="CL7" s="264"/>
      <c r="CM7" s="264"/>
      <c r="CN7" s="264"/>
      <c r="CO7" s="264"/>
      <c r="CP7" s="264"/>
      <c r="CQ7" s="264"/>
      <c r="CR7" s="264"/>
      <c r="CS7" s="264"/>
      <c r="CT7" s="264"/>
      <c r="CU7" s="264"/>
      <c r="CV7" s="264"/>
      <c r="CW7" s="264"/>
      <c r="CX7" s="264"/>
      <c r="CY7" s="264"/>
      <c r="CZ7" s="264"/>
      <c r="DA7" s="264"/>
      <c r="DB7" s="264"/>
      <c r="DC7" s="264"/>
      <c r="DD7" s="264"/>
      <c r="DE7" s="264"/>
      <c r="DF7" s="264"/>
      <c r="DG7" s="264"/>
      <c r="DH7" s="264"/>
      <c r="DI7" s="264"/>
      <c r="DJ7" s="264"/>
      <c r="DK7" s="264"/>
      <c r="DL7" s="264"/>
      <c r="DM7" s="264"/>
      <c r="DN7" s="264"/>
      <c r="DO7" s="264"/>
      <c r="DP7" s="264"/>
      <c r="DQ7" s="264"/>
      <c r="DR7" s="264"/>
      <c r="DS7" s="264"/>
      <c r="DT7" s="264"/>
      <c r="DU7" s="264"/>
      <c r="DV7" s="264"/>
      <c r="DW7" s="264"/>
      <c r="DX7" s="264"/>
      <c r="DY7" s="264"/>
      <c r="DZ7" s="264"/>
      <c r="EA7" s="264"/>
      <c r="EB7" s="264"/>
      <c r="EC7" s="264"/>
      <c r="ED7" s="264"/>
      <c r="EE7" s="264"/>
      <c r="EF7" s="264"/>
      <c r="EG7" s="264"/>
      <c r="EH7" s="264"/>
      <c r="EI7" s="264"/>
      <c r="EJ7" s="264"/>
      <c r="EK7" s="264"/>
      <c r="EL7" s="264"/>
      <c r="EM7" s="264"/>
      <c r="EN7" s="264"/>
      <c r="EO7" s="264"/>
      <c r="EP7" s="264"/>
      <c r="EQ7" s="264"/>
      <c r="ER7" s="264"/>
      <c r="ES7" s="264"/>
      <c r="ET7" s="264"/>
      <c r="EU7" s="264"/>
      <c r="EV7" s="264"/>
      <c r="EW7" s="264"/>
      <c r="EX7" s="264"/>
      <c r="EY7" s="264"/>
      <c r="EZ7" s="264"/>
      <c r="FA7" s="264"/>
      <c r="FB7" s="264"/>
      <c r="FC7" s="264"/>
      <c r="FD7" s="264"/>
      <c r="FE7" s="264"/>
      <c r="FF7" s="264"/>
      <c r="FG7" s="264"/>
      <c r="FH7" s="264"/>
      <c r="FI7" s="264"/>
      <c r="FJ7" s="264"/>
      <c r="FK7" s="264"/>
      <c r="FL7" s="264"/>
      <c r="FM7" s="264"/>
      <c r="FN7" s="264"/>
      <c r="FO7" s="264"/>
      <c r="FP7" s="264"/>
      <c r="FQ7" s="264"/>
      <c r="FR7" s="264"/>
      <c r="FS7" s="264"/>
      <c r="FT7" s="264"/>
      <c r="FU7" s="264"/>
      <c r="FV7" s="264"/>
      <c r="FW7" s="264"/>
      <c r="FX7" s="264"/>
      <c r="FY7" s="264"/>
      <c r="FZ7" s="264"/>
      <c r="GA7" s="264"/>
      <c r="GB7" s="264"/>
      <c r="GC7" s="264"/>
      <c r="GD7" s="264"/>
      <c r="GE7" s="264"/>
      <c r="GF7" s="264"/>
      <c r="GG7" s="264"/>
      <c r="GH7" s="264"/>
      <c r="GI7" s="264"/>
      <c r="GJ7" s="264"/>
      <c r="GK7" s="264"/>
      <c r="GL7" s="264"/>
      <c r="GM7" s="264"/>
      <c r="GN7" s="264"/>
      <c r="GO7" s="264"/>
      <c r="GP7" s="264"/>
      <c r="GQ7" s="264"/>
      <c r="GR7" s="264"/>
      <c r="GS7" s="264"/>
      <c r="GT7" s="264"/>
      <c r="GU7" s="264"/>
      <c r="GV7" s="264"/>
      <c r="GW7" s="264"/>
      <c r="GX7" s="264"/>
      <c r="GY7" s="264"/>
      <c r="GZ7" s="264"/>
      <c r="HA7" s="264"/>
      <c r="HB7" s="264"/>
      <c r="HC7" s="264"/>
      <c r="HD7" s="264"/>
      <c r="HE7" s="264"/>
      <c r="HF7" s="264"/>
      <c r="HG7" s="264"/>
      <c r="HH7" s="264"/>
      <c r="HI7" s="264"/>
      <c r="HJ7" s="264"/>
      <c r="HK7" s="264"/>
      <c r="HL7" s="264"/>
      <c r="HM7" s="264"/>
      <c r="HN7" s="264"/>
      <c r="HO7" s="264"/>
      <c r="HP7" s="264"/>
      <c r="HQ7" s="264"/>
      <c r="HR7" s="264"/>
      <c r="HS7" s="264"/>
      <c r="HT7" s="264"/>
      <c r="HU7" s="264"/>
      <c r="HV7" s="264"/>
      <c r="HW7" s="264"/>
      <c r="HX7" s="264"/>
      <c r="HY7" s="264"/>
      <c r="HZ7" s="264"/>
      <c r="IA7" s="264"/>
      <c r="IB7" s="264"/>
      <c r="IC7" s="264"/>
      <c r="ID7" s="264"/>
      <c r="IE7" s="264"/>
      <c r="IF7" s="264"/>
      <c r="IG7" s="264"/>
      <c r="IH7" s="264"/>
      <c r="II7" s="264"/>
      <c r="IJ7" s="264"/>
      <c r="IK7" s="264"/>
      <c r="IL7" s="264"/>
      <c r="IM7" s="264"/>
      <c r="IN7" s="264"/>
      <c r="IO7" s="264"/>
      <c r="IP7" s="264"/>
      <c r="IQ7" s="264"/>
      <c r="IR7" s="264"/>
      <c r="IS7" s="264"/>
      <c r="IT7" s="264"/>
      <c r="IU7" s="264"/>
      <c r="IV7" s="264"/>
      <c r="IW7" s="264"/>
      <c r="IX7" s="264"/>
      <c r="IY7" s="264"/>
      <c r="IZ7" s="264"/>
      <c r="JA7" s="264"/>
      <c r="JB7" s="264"/>
      <c r="JC7" s="264"/>
      <c r="JD7" s="264"/>
      <c r="JE7" s="264"/>
      <c r="JF7" s="264"/>
      <c r="JG7" s="264"/>
      <c r="JH7" s="264"/>
      <c r="JI7" s="264"/>
      <c r="JJ7" s="264"/>
      <c r="JK7" s="264"/>
      <c r="JL7" s="264"/>
      <c r="JM7" s="264"/>
      <c r="JN7" s="264"/>
      <c r="JO7" s="264"/>
      <c r="JP7" s="264"/>
      <c r="JQ7" s="264"/>
      <c r="JR7" s="264"/>
      <c r="JS7" s="264"/>
      <c r="JT7" s="264"/>
      <c r="JU7" s="264"/>
      <c r="JV7" s="264"/>
      <c r="JW7" s="264"/>
      <c r="JX7" s="264"/>
      <c r="JY7" s="264"/>
      <c r="JZ7" s="264"/>
      <c r="KA7" s="264"/>
      <c r="KB7" s="264"/>
      <c r="KC7" s="264"/>
      <c r="KD7" s="264"/>
      <c r="KE7" s="264"/>
      <c r="KF7" s="264"/>
      <c r="KG7" s="264"/>
      <c r="KH7" s="264"/>
      <c r="KI7" s="264"/>
      <c r="KJ7" s="264"/>
      <c r="KK7" s="264"/>
      <c r="KL7" s="264"/>
      <c r="KM7" s="264"/>
      <c r="KN7" s="264"/>
      <c r="KO7" s="264"/>
      <c r="KP7" s="264"/>
      <c r="KQ7" s="264"/>
      <c r="KR7" s="264"/>
      <c r="KS7" s="264"/>
      <c r="KT7" s="264"/>
      <c r="KU7" s="264"/>
      <c r="KV7" s="264"/>
      <c r="KW7" s="264"/>
      <c r="KX7" s="264"/>
      <c r="KY7" s="264"/>
      <c r="KZ7" s="264"/>
      <c r="LA7" s="264"/>
      <c r="LB7" s="264"/>
      <c r="LC7" s="264"/>
      <c r="LD7" s="264"/>
      <c r="LE7" s="264"/>
      <c r="LF7" s="264"/>
      <c r="LG7" s="264"/>
      <c r="LH7" s="264"/>
      <c r="LI7" s="264"/>
      <c r="LJ7" s="264"/>
      <c r="LK7" s="264"/>
      <c r="LL7" s="264"/>
      <c r="LM7" s="264"/>
      <c r="LN7" s="264"/>
      <c r="LO7" s="264"/>
      <c r="LP7" s="264"/>
      <c r="LQ7" s="264"/>
      <c r="LR7" s="264"/>
      <c r="LS7" s="264"/>
      <c r="LT7" s="264"/>
      <c r="LU7" s="264"/>
      <c r="LV7" s="264"/>
      <c r="LW7" s="264"/>
      <c r="LX7" s="264"/>
      <c r="LY7" s="264"/>
      <c r="LZ7" s="264"/>
      <c r="MA7" s="264"/>
      <c r="MB7" s="264"/>
      <c r="MC7" s="264"/>
      <c r="MD7" s="264"/>
      <c r="ME7" s="264"/>
      <c r="MF7" s="264"/>
      <c r="MG7" s="264"/>
      <c r="MH7" s="264"/>
      <c r="MI7" s="264"/>
      <c r="MJ7" s="264"/>
      <c r="MK7" s="264"/>
      <c r="ML7" s="264"/>
      <c r="MM7" s="264"/>
      <c r="MN7" s="264"/>
      <c r="MO7" s="264"/>
      <c r="MP7" s="264"/>
      <c r="MQ7" s="264"/>
      <c r="MR7" s="264"/>
      <c r="MS7" s="264"/>
      <c r="MT7" s="264"/>
      <c r="MU7" s="264"/>
      <c r="MV7" s="264"/>
      <c r="MW7" s="264"/>
      <c r="MX7" s="264"/>
      <c r="MY7" s="264"/>
      <c r="MZ7" s="264"/>
      <c r="NA7" s="264"/>
      <c r="NB7" s="264"/>
      <c r="NC7" s="264"/>
      <c r="ND7" s="264"/>
      <c r="NE7" s="264"/>
      <c r="NF7" s="264"/>
      <c r="NG7" s="264"/>
      <c r="NH7" s="264"/>
      <c r="NI7" s="264"/>
      <c r="NJ7" s="264"/>
      <c r="NK7" s="264"/>
      <c r="NL7" s="264"/>
      <c r="NM7" s="264"/>
      <c r="NN7" s="264"/>
      <c r="NO7" s="264"/>
      <c r="NP7" s="264"/>
      <c r="NQ7" s="264"/>
      <c r="NR7" s="264"/>
      <c r="NS7" s="264"/>
      <c r="NT7" s="264"/>
      <c r="NU7" s="264"/>
      <c r="NV7" s="264"/>
      <c r="NW7" s="264"/>
      <c r="NX7" s="264"/>
      <c r="NY7" s="264"/>
      <c r="NZ7" s="264"/>
      <c r="OA7" s="264"/>
      <c r="OB7" s="264"/>
      <c r="OC7" s="264"/>
      <c r="OD7" s="264"/>
      <c r="OE7" s="264"/>
      <c r="OF7" s="264"/>
      <c r="OG7" s="264"/>
      <c r="OH7" s="264"/>
      <c r="OI7" s="264"/>
      <c r="OJ7" s="264"/>
      <c r="OK7" s="264"/>
      <c r="OL7" s="264"/>
      <c r="OM7" s="264"/>
      <c r="ON7" s="264"/>
      <c r="OO7" s="264"/>
      <c r="OP7" s="264"/>
      <c r="OQ7" s="264"/>
      <c r="OR7" s="264"/>
      <c r="OS7" s="264"/>
      <c r="OT7" s="264"/>
      <c r="OU7" s="264"/>
      <c r="OV7" s="264"/>
      <c r="OW7" s="264"/>
      <c r="OX7" s="264"/>
      <c r="OY7" s="264"/>
      <c r="OZ7" s="264"/>
      <c r="PA7" s="264"/>
      <c r="PB7" s="264"/>
      <c r="PC7" s="264"/>
      <c r="PD7" s="264"/>
      <c r="PE7" s="264"/>
      <c r="PF7" s="264"/>
      <c r="PG7" s="264"/>
      <c r="PH7" s="264"/>
      <c r="PI7" s="264"/>
      <c r="PJ7" s="264"/>
      <c r="PK7" s="264"/>
      <c r="PL7" s="264"/>
      <c r="PM7" s="264"/>
      <c r="PN7" s="264"/>
      <c r="PO7" s="264"/>
      <c r="PP7" s="264"/>
      <c r="PQ7" s="264"/>
      <c r="PR7" s="264"/>
      <c r="PS7" s="264"/>
      <c r="PT7" s="264"/>
      <c r="PU7" s="264"/>
      <c r="PV7" s="264"/>
      <c r="PW7" s="264"/>
      <c r="PX7" s="264"/>
      <c r="PY7" s="264"/>
      <c r="PZ7" s="264"/>
      <c r="QA7" s="264"/>
      <c r="QB7" s="264"/>
      <c r="QC7" s="264"/>
      <c r="QD7" s="264"/>
      <c r="QE7" s="264"/>
      <c r="QF7" s="264"/>
      <c r="QG7" s="264"/>
      <c r="QH7" s="264"/>
      <c r="QI7" s="264"/>
      <c r="QJ7" s="264"/>
      <c r="QK7" s="264"/>
      <c r="QL7" s="264"/>
      <c r="QM7" s="264"/>
      <c r="QN7" s="264"/>
      <c r="QO7" s="264"/>
      <c r="QP7" s="264"/>
      <c r="QQ7" s="264"/>
      <c r="QR7" s="264"/>
      <c r="QS7" s="264"/>
      <c r="QT7" s="264"/>
      <c r="QU7" s="264"/>
      <c r="QV7" s="264"/>
      <c r="QW7" s="264"/>
      <c r="QX7" s="264"/>
      <c r="QY7" s="264"/>
      <c r="QZ7" s="264"/>
      <c r="RA7" s="264"/>
      <c r="RB7" s="264"/>
      <c r="RC7" s="264"/>
      <c r="RD7" s="264"/>
      <c r="RE7" s="264"/>
      <c r="RF7" s="264"/>
      <c r="RG7" s="264"/>
      <c r="RH7" s="264"/>
      <c r="RI7" s="264"/>
      <c r="RJ7" s="264"/>
      <c r="RK7" s="264"/>
      <c r="RL7" s="264"/>
      <c r="RM7" s="264"/>
      <c r="RN7" s="264"/>
      <c r="RO7" s="264"/>
      <c r="RP7" s="264"/>
      <c r="RQ7" s="264"/>
      <c r="RR7" s="264"/>
      <c r="RS7" s="264"/>
      <c r="RT7" s="264"/>
      <c r="RU7" s="264"/>
      <c r="RV7" s="264"/>
      <c r="RW7" s="264"/>
      <c r="RX7" s="264"/>
      <c r="RY7" s="264"/>
      <c r="RZ7" s="264"/>
      <c r="SA7" s="264"/>
      <c r="SB7" s="264"/>
      <c r="SC7" s="264"/>
      <c r="SD7" s="264"/>
      <c r="SE7" s="264"/>
      <c r="SF7" s="264"/>
      <c r="SG7" s="264"/>
      <c r="SH7" s="264"/>
      <c r="SI7" s="264"/>
      <c r="SJ7" s="264"/>
      <c r="SK7" s="264"/>
      <c r="SL7" s="264"/>
      <c r="SM7" s="264"/>
      <c r="SN7" s="264"/>
      <c r="SO7" s="264"/>
      <c r="SP7" s="264"/>
      <c r="SQ7" s="264"/>
      <c r="SR7" s="264"/>
      <c r="SS7" s="264"/>
      <c r="ST7" s="264"/>
      <c r="SU7" s="264"/>
      <c r="SV7" s="264"/>
      <c r="SW7" s="264"/>
      <c r="SX7" s="264"/>
      <c r="SY7" s="264"/>
      <c r="SZ7" s="264"/>
      <c r="TA7" s="264"/>
      <c r="TB7" s="264"/>
      <c r="TC7" s="264"/>
      <c r="TD7" s="264"/>
      <c r="TE7" s="264"/>
      <c r="TF7" s="264"/>
      <c r="TG7" s="264"/>
      <c r="TH7" s="264"/>
      <c r="TI7" s="264"/>
      <c r="TJ7" s="264"/>
      <c r="TK7" s="264"/>
      <c r="TL7" s="264"/>
      <c r="TM7" s="264"/>
      <c r="TN7" s="264"/>
      <c r="TO7" s="264"/>
      <c r="TP7" s="264"/>
      <c r="TQ7" s="264"/>
      <c r="TR7" s="264"/>
      <c r="TS7" s="264"/>
      <c r="TT7" s="264"/>
      <c r="TU7" s="264"/>
      <c r="TV7" s="264"/>
      <c r="TW7" s="264"/>
      <c r="TX7" s="264"/>
      <c r="TY7" s="264"/>
      <c r="TZ7" s="264"/>
      <c r="UA7" s="264"/>
      <c r="UB7" s="264"/>
      <c r="UC7" s="264"/>
      <c r="UD7" s="264"/>
      <c r="UE7" s="264"/>
      <c r="UF7" s="264"/>
      <c r="UG7" s="264"/>
      <c r="UH7" s="264"/>
      <c r="UI7" s="264"/>
      <c r="UJ7" s="264"/>
      <c r="UK7" s="264"/>
      <c r="UL7" s="264"/>
      <c r="UM7" s="264"/>
      <c r="UN7" s="264"/>
      <c r="UO7" s="264"/>
      <c r="UP7" s="264"/>
      <c r="UQ7" s="264"/>
      <c r="UR7" s="264"/>
      <c r="US7" s="264"/>
      <c r="UT7" s="264"/>
      <c r="UU7" s="264"/>
      <c r="UV7" s="264"/>
      <c r="UW7" s="264"/>
      <c r="UX7" s="264"/>
      <c r="UY7" s="264"/>
      <c r="UZ7" s="264"/>
      <c r="VA7" s="264"/>
      <c r="VB7" s="264"/>
      <c r="VC7" s="264"/>
      <c r="VD7" s="264"/>
      <c r="VE7" s="264"/>
      <c r="VF7" s="264"/>
      <c r="VG7" s="264"/>
      <c r="VH7" s="264"/>
      <c r="VI7" s="264"/>
      <c r="VJ7" s="264"/>
      <c r="VK7" s="264"/>
      <c r="VL7" s="264"/>
      <c r="VM7" s="264"/>
      <c r="VN7" s="264"/>
      <c r="VO7" s="264"/>
      <c r="VP7" s="264"/>
      <c r="VQ7" s="264"/>
      <c r="VR7" s="264"/>
      <c r="VS7" s="264"/>
      <c r="VT7" s="264"/>
      <c r="VU7" s="264"/>
      <c r="VV7" s="264"/>
      <c r="VW7" s="264"/>
      <c r="VX7" s="264"/>
      <c r="VY7" s="264"/>
      <c r="VZ7" s="264"/>
      <c r="WA7" s="264"/>
      <c r="WB7" s="264"/>
      <c r="WC7" s="264"/>
      <c r="WD7" s="264"/>
      <c r="WE7" s="264"/>
      <c r="WF7" s="264"/>
      <c r="WG7" s="264"/>
      <c r="WH7" s="264"/>
      <c r="WI7" s="264"/>
      <c r="WJ7" s="264"/>
      <c r="WK7" s="264"/>
      <c r="WL7" s="264"/>
      <c r="WM7" s="264"/>
      <c r="WN7" s="264"/>
      <c r="WO7" s="264"/>
      <c r="WP7" s="264"/>
      <c r="WQ7" s="264"/>
      <c r="WR7" s="264"/>
      <c r="WS7" s="264"/>
      <c r="WT7" s="264"/>
      <c r="WU7" s="264"/>
      <c r="WV7" s="264"/>
      <c r="WW7" s="264"/>
      <c r="WX7" s="264"/>
      <c r="WY7" s="264"/>
      <c r="WZ7" s="264"/>
      <c r="XA7" s="264"/>
      <c r="XB7" s="264"/>
      <c r="XC7" s="264"/>
      <c r="XD7" s="264"/>
      <c r="XE7" s="264"/>
      <c r="XF7" s="264"/>
      <c r="XG7" s="264"/>
      <c r="XH7" s="264"/>
      <c r="XI7" s="264"/>
      <c r="XJ7" s="264"/>
      <c r="XK7" s="264"/>
      <c r="XL7" s="264"/>
      <c r="XM7" s="264"/>
      <c r="XN7" s="264"/>
      <c r="XO7" s="264"/>
      <c r="XP7" s="264"/>
      <c r="XQ7" s="264"/>
      <c r="XR7" s="264"/>
      <c r="XS7" s="264"/>
      <c r="XT7" s="264"/>
      <c r="XU7" s="264"/>
      <c r="XV7" s="264"/>
      <c r="XW7" s="264"/>
      <c r="XX7" s="264"/>
      <c r="XY7" s="264"/>
      <c r="XZ7" s="264"/>
      <c r="YA7" s="264"/>
      <c r="YB7" s="264"/>
      <c r="YC7" s="264"/>
      <c r="YD7" s="264"/>
      <c r="YE7" s="264"/>
      <c r="YF7" s="264"/>
      <c r="YG7" s="264"/>
      <c r="YH7" s="264"/>
      <c r="YI7" s="264"/>
      <c r="YJ7" s="264"/>
      <c r="YK7" s="264"/>
      <c r="YL7" s="264"/>
      <c r="YM7" s="264"/>
      <c r="YN7" s="264"/>
      <c r="YO7" s="264"/>
      <c r="YP7" s="264"/>
      <c r="YQ7" s="264"/>
      <c r="YR7" s="264"/>
      <c r="YS7" s="264"/>
      <c r="YT7" s="264"/>
      <c r="YU7" s="264"/>
      <c r="YV7" s="264"/>
      <c r="YW7" s="264"/>
      <c r="YX7" s="264"/>
      <c r="YY7" s="264"/>
      <c r="YZ7" s="264"/>
      <c r="ZA7" s="264"/>
      <c r="ZB7" s="264"/>
      <c r="ZC7" s="264"/>
      <c r="ZD7" s="264"/>
      <c r="ZE7" s="264"/>
      <c r="ZF7" s="264"/>
      <c r="ZG7" s="264"/>
      <c r="ZH7" s="264"/>
      <c r="ZI7" s="264"/>
      <c r="ZJ7" s="264"/>
      <c r="ZK7" s="264"/>
      <c r="ZL7" s="264"/>
      <c r="ZM7" s="264"/>
      <c r="ZN7" s="264"/>
      <c r="ZO7" s="264"/>
      <c r="ZP7" s="264"/>
      <c r="ZQ7" s="264"/>
      <c r="ZR7" s="264"/>
      <c r="ZS7" s="264"/>
      <c r="ZT7" s="264"/>
      <c r="ZU7" s="264"/>
      <c r="ZV7" s="264"/>
      <c r="ZW7" s="264"/>
      <c r="ZX7" s="264"/>
      <c r="ZY7" s="264"/>
      <c r="ZZ7" s="264"/>
      <c r="AAA7" s="264"/>
      <c r="AAB7" s="264"/>
      <c r="AAC7" s="264"/>
      <c r="AAD7" s="264"/>
      <c r="AAE7" s="264"/>
      <c r="AAF7" s="264"/>
      <c r="AAG7" s="264"/>
      <c r="AAH7" s="264"/>
      <c r="AAI7" s="264"/>
      <c r="AAJ7" s="264"/>
      <c r="AAK7" s="264"/>
      <c r="AAL7" s="264"/>
      <c r="AAM7" s="264"/>
      <c r="AAN7" s="264"/>
      <c r="AAO7" s="264"/>
      <c r="AAP7" s="264"/>
      <c r="AAQ7" s="264"/>
      <c r="AAR7" s="264"/>
      <c r="AAS7" s="264"/>
      <c r="AAT7" s="264"/>
      <c r="AAU7" s="264"/>
      <c r="AAV7" s="264"/>
      <c r="AAW7" s="264"/>
      <c r="AAX7" s="264"/>
      <c r="AAY7" s="264"/>
      <c r="AAZ7" s="264"/>
      <c r="ABA7" s="264"/>
      <c r="ABB7" s="264"/>
      <c r="ABC7" s="264"/>
      <c r="ABD7" s="264"/>
      <c r="ABE7" s="264"/>
      <c r="ABF7" s="264"/>
      <c r="ABG7" s="264"/>
      <c r="ABH7" s="264"/>
      <c r="ABI7" s="264"/>
      <c r="ABJ7" s="264"/>
      <c r="ABK7" s="264"/>
      <c r="ABL7" s="264"/>
      <c r="ABM7" s="264"/>
      <c r="ABN7" s="264"/>
      <c r="ABO7" s="264"/>
      <c r="ABP7" s="264"/>
      <c r="ABQ7" s="264"/>
      <c r="ABR7" s="264"/>
      <c r="ABS7" s="264"/>
      <c r="ABT7" s="264"/>
      <c r="ABU7" s="264"/>
      <c r="ABV7" s="264"/>
      <c r="ABW7" s="264"/>
      <c r="ABX7" s="264"/>
      <c r="ABY7" s="264"/>
      <c r="ABZ7" s="264"/>
      <c r="ACA7" s="264"/>
      <c r="ACB7" s="264"/>
      <c r="ACC7" s="264"/>
      <c r="ACD7" s="264"/>
      <c r="ACE7" s="264"/>
      <c r="ACF7" s="264"/>
      <c r="ACG7" s="264"/>
      <c r="ACH7" s="264"/>
      <c r="ACI7" s="264"/>
      <c r="ACJ7" s="264"/>
      <c r="ACK7" s="264"/>
      <c r="ACL7" s="264"/>
      <c r="ACM7" s="264"/>
      <c r="ACN7" s="264"/>
      <c r="ACO7" s="264"/>
      <c r="ACP7" s="264"/>
      <c r="ACQ7" s="264"/>
      <c r="ACR7" s="264"/>
      <c r="ACS7" s="264"/>
      <c r="ACT7" s="264"/>
      <c r="ACU7" s="264"/>
      <c r="ACV7" s="264"/>
      <c r="ACW7" s="264"/>
      <c r="ACX7" s="264"/>
      <c r="ACY7" s="264"/>
      <c r="ACZ7" s="264"/>
      <c r="ADA7" s="264"/>
      <c r="ADB7" s="264"/>
      <c r="ADC7" s="264"/>
      <c r="ADD7" s="264"/>
      <c r="ADE7" s="264"/>
      <c r="ADF7" s="264"/>
      <c r="ADG7" s="264"/>
      <c r="ADH7" s="264"/>
      <c r="ADI7" s="264"/>
      <c r="ADJ7" s="264"/>
      <c r="ADK7" s="264"/>
      <c r="ADL7" s="264"/>
      <c r="ADM7" s="264"/>
      <c r="ADN7" s="264"/>
      <c r="ADO7" s="264"/>
      <c r="ADP7" s="264"/>
      <c r="ADQ7" s="264"/>
      <c r="ADR7" s="264"/>
      <c r="ADS7" s="264"/>
      <c r="ADT7" s="264"/>
      <c r="ADU7" s="264"/>
      <c r="ADV7" s="264"/>
      <c r="ADW7" s="264"/>
      <c r="ADX7" s="264"/>
      <c r="ADY7" s="264"/>
      <c r="ADZ7" s="264"/>
      <c r="AEA7" s="264"/>
      <c r="AEB7" s="264"/>
      <c r="AEC7" s="264"/>
      <c r="AED7" s="264"/>
      <c r="AEE7" s="264"/>
      <c r="AEF7" s="264"/>
      <c r="AEG7" s="264"/>
      <c r="AEH7" s="264"/>
      <c r="AEI7" s="264"/>
      <c r="AEJ7" s="264"/>
      <c r="AEK7" s="264"/>
      <c r="AEL7" s="264"/>
      <c r="AEM7" s="264"/>
      <c r="AEN7" s="264"/>
      <c r="AEO7" s="264"/>
      <c r="AEP7" s="264"/>
      <c r="AEQ7" s="264"/>
      <c r="AER7" s="264"/>
      <c r="AES7" s="264"/>
      <c r="AET7" s="264"/>
      <c r="AEU7" s="264"/>
      <c r="AEV7" s="264"/>
      <c r="AEW7" s="264"/>
      <c r="AEX7" s="264"/>
      <c r="AEY7" s="264"/>
      <c r="AEZ7" s="264"/>
      <c r="AFA7" s="264"/>
      <c r="AFB7" s="264"/>
      <c r="AFC7" s="264"/>
      <c r="AFD7" s="264"/>
      <c r="AFE7" s="264"/>
      <c r="AFF7" s="264"/>
      <c r="AFG7" s="264"/>
      <c r="AFH7" s="264"/>
      <c r="AFI7" s="264"/>
      <c r="AFJ7" s="264"/>
      <c r="AFK7" s="264"/>
      <c r="AFL7" s="264"/>
      <c r="AFM7" s="264"/>
      <c r="AFN7" s="264"/>
      <c r="AFO7" s="264"/>
      <c r="AFP7" s="264"/>
      <c r="AFQ7" s="264"/>
      <c r="AFR7" s="264"/>
      <c r="AFS7" s="264"/>
      <c r="AFT7" s="264"/>
      <c r="AFU7" s="264"/>
      <c r="AFV7" s="264"/>
      <c r="AFW7" s="264"/>
      <c r="AFX7" s="264"/>
      <c r="AFY7" s="264"/>
      <c r="AFZ7" s="264"/>
      <c r="AGA7" s="264"/>
      <c r="AGB7" s="264"/>
      <c r="AGC7" s="264"/>
      <c r="AGD7" s="264"/>
      <c r="AGE7" s="264"/>
      <c r="AGF7" s="264"/>
      <c r="AGG7" s="264"/>
      <c r="AGH7" s="264"/>
      <c r="AGI7" s="264"/>
      <c r="AGJ7" s="264"/>
      <c r="AGK7" s="264"/>
      <c r="AGL7" s="264"/>
      <c r="AGM7" s="264"/>
      <c r="AGN7" s="264"/>
      <c r="AGO7" s="264"/>
      <c r="AGP7" s="264"/>
      <c r="AGQ7" s="264"/>
      <c r="AGR7" s="264"/>
      <c r="AGS7" s="264"/>
      <c r="AGT7" s="264"/>
      <c r="AGU7" s="264"/>
      <c r="AGV7" s="264"/>
      <c r="AGW7" s="264"/>
      <c r="AGX7" s="264"/>
      <c r="AGY7" s="264"/>
      <c r="AGZ7" s="264"/>
      <c r="AHA7" s="264"/>
      <c r="AHB7" s="264"/>
      <c r="AHC7" s="264"/>
      <c r="AHD7" s="264"/>
      <c r="AHE7" s="264"/>
      <c r="AHF7" s="264"/>
      <c r="AHG7" s="264"/>
      <c r="AHH7" s="264"/>
      <c r="AHI7" s="264"/>
      <c r="AHJ7" s="264"/>
      <c r="AHK7" s="264"/>
      <c r="AHL7" s="264"/>
      <c r="AHM7" s="264"/>
      <c r="AHN7" s="264"/>
      <c r="AHO7" s="264"/>
      <c r="AHP7" s="264"/>
      <c r="AHQ7" s="264"/>
      <c r="AHR7" s="264"/>
      <c r="AHS7" s="264"/>
      <c r="AHT7" s="264"/>
      <c r="AHU7" s="264"/>
      <c r="AHV7" s="264"/>
      <c r="AHW7" s="264"/>
      <c r="AHX7" s="264"/>
      <c r="AHY7" s="264"/>
      <c r="AHZ7" s="264"/>
      <c r="AIA7" s="264"/>
      <c r="AIB7" s="264"/>
      <c r="AIC7" s="264"/>
      <c r="AID7" s="264"/>
      <c r="AIE7" s="264"/>
      <c r="AIF7" s="264"/>
      <c r="AIG7" s="264"/>
      <c r="AIH7" s="264"/>
      <c r="AII7" s="264"/>
      <c r="AIJ7" s="264"/>
      <c r="AIK7" s="264"/>
      <c r="AIL7" s="264"/>
      <c r="AIM7" s="264"/>
      <c r="AIN7" s="264"/>
      <c r="AIO7" s="264"/>
      <c r="AIP7" s="264"/>
      <c r="AIQ7" s="264"/>
      <c r="AIR7" s="264"/>
      <c r="AIS7" s="264"/>
      <c r="AIT7" s="264"/>
      <c r="AIU7" s="264"/>
      <c r="AIV7" s="264"/>
      <c r="AIW7" s="264"/>
      <c r="AIX7" s="264"/>
      <c r="AIY7" s="264"/>
      <c r="AIZ7" s="264"/>
      <c r="AJA7" s="264"/>
      <c r="AJB7" s="264"/>
      <c r="AJC7" s="264"/>
      <c r="AJD7" s="264"/>
      <c r="AJE7" s="264"/>
      <c r="AJF7" s="264"/>
      <c r="AJG7" s="264"/>
      <c r="AJH7" s="264"/>
      <c r="AJI7" s="264"/>
      <c r="AJJ7" s="264"/>
      <c r="AJK7" s="264"/>
      <c r="AJL7" s="264"/>
      <c r="AJM7" s="264"/>
      <c r="AJN7" s="264"/>
      <c r="AJO7" s="264"/>
      <c r="AJP7" s="264"/>
      <c r="AJQ7" s="264"/>
      <c r="AJR7" s="264"/>
      <c r="AJS7" s="264"/>
      <c r="AJT7" s="264"/>
      <c r="AJU7" s="264"/>
      <c r="AJV7" s="264"/>
      <c r="AJW7" s="264"/>
      <c r="AJX7" s="264"/>
      <c r="AJY7" s="264"/>
      <c r="AJZ7" s="264"/>
      <c r="AKA7" s="264"/>
      <c r="AKB7" s="264"/>
      <c r="AKC7" s="264"/>
      <c r="AKD7" s="264"/>
      <c r="AKE7" s="264"/>
      <c r="AKF7" s="264"/>
      <c r="AKG7" s="264"/>
      <c r="AKH7" s="264"/>
      <c r="AKI7" s="264"/>
      <c r="AKJ7" s="264"/>
      <c r="AKK7" s="264"/>
      <c r="AKL7" s="264"/>
      <c r="AKM7" s="264"/>
      <c r="AKN7" s="264"/>
      <c r="AKO7" s="264"/>
      <c r="AKP7" s="264"/>
      <c r="AKQ7" s="264"/>
      <c r="AKR7" s="264"/>
      <c r="AKS7" s="264"/>
      <c r="AKT7" s="264"/>
      <c r="AKU7" s="264"/>
      <c r="AKV7" s="264"/>
      <c r="AKW7" s="264"/>
      <c r="AKX7" s="264"/>
      <c r="AKY7" s="264"/>
      <c r="AKZ7" s="264"/>
      <c r="ALA7" s="264"/>
      <c r="ALB7" s="264"/>
      <c r="ALC7" s="264"/>
      <c r="ALD7" s="264"/>
      <c r="ALE7" s="264"/>
      <c r="ALF7" s="264"/>
      <c r="ALG7" s="264"/>
      <c r="ALH7" s="264"/>
      <c r="ALI7" s="264"/>
      <c r="ALJ7" s="264"/>
      <c r="ALK7" s="264"/>
      <c r="ALL7" s="264"/>
      <c r="ALM7" s="264"/>
      <c r="ALN7" s="264"/>
      <c r="ALO7" s="264"/>
      <c r="ALP7" s="264"/>
      <c r="ALQ7" s="264"/>
      <c r="ALR7" s="264"/>
      <c r="ALS7" s="264"/>
      <c r="ALT7" s="264"/>
      <c r="ALU7" s="264"/>
      <c r="ALV7" s="264"/>
      <c r="ALW7" s="264"/>
      <c r="ALX7" s="264"/>
      <c r="ALY7" s="264"/>
      <c r="ALZ7" s="264"/>
      <c r="AMA7" s="264"/>
      <c r="AMB7" s="264"/>
      <c r="AMC7" s="264"/>
      <c r="AMD7" s="264"/>
      <c r="AME7" s="264"/>
      <c r="AMF7" s="264"/>
      <c r="AMG7" s="264"/>
      <c r="AMH7" s="264"/>
      <c r="AMI7" s="264"/>
      <c r="AMJ7" s="264"/>
      <c r="AMK7" s="264"/>
      <c r="AML7" s="264"/>
      <c r="AMM7" s="264"/>
      <c r="AMN7" s="264"/>
      <c r="AMO7" s="264"/>
      <c r="AMP7" s="264"/>
      <c r="AMQ7" s="264"/>
      <c r="AMR7" s="264"/>
      <c r="AMS7" s="264"/>
      <c r="AMT7" s="264"/>
      <c r="AMU7" s="264"/>
      <c r="AMV7" s="264"/>
      <c r="AMW7" s="264"/>
      <c r="AMX7" s="264"/>
      <c r="AMY7" s="264"/>
      <c r="AMZ7" s="264"/>
      <c r="ANA7" s="264"/>
      <c r="ANB7" s="264"/>
      <c r="ANC7" s="264"/>
      <c r="AND7" s="264"/>
      <c r="ANE7" s="264"/>
      <c r="ANF7" s="264"/>
      <c r="ANG7" s="264"/>
      <c r="ANH7" s="264"/>
      <c r="ANI7" s="264"/>
      <c r="ANJ7" s="264"/>
      <c r="ANK7" s="264"/>
      <c r="ANL7" s="264"/>
      <c r="ANM7" s="264"/>
      <c r="ANN7" s="264"/>
      <c r="ANO7" s="264"/>
      <c r="ANP7" s="264"/>
      <c r="ANQ7" s="264"/>
      <c r="ANR7" s="264"/>
      <c r="ANS7" s="264"/>
      <c r="ANT7" s="264"/>
      <c r="ANU7" s="264"/>
      <c r="ANV7" s="264"/>
      <c r="ANW7" s="264"/>
      <c r="ANX7" s="264"/>
      <c r="ANY7" s="264"/>
      <c r="ANZ7" s="264"/>
      <c r="AOA7" s="264"/>
      <c r="AOB7" s="264"/>
      <c r="AOC7" s="264"/>
      <c r="AOD7" s="264"/>
      <c r="AOE7" s="264"/>
      <c r="AOF7" s="264"/>
      <c r="AOG7" s="264"/>
      <c r="AOH7" s="264"/>
      <c r="AOI7" s="264"/>
      <c r="AOJ7" s="264"/>
      <c r="AOK7" s="264"/>
      <c r="AOL7" s="264"/>
      <c r="AOM7" s="264"/>
      <c r="AON7" s="264"/>
      <c r="AOO7" s="264"/>
      <c r="AOP7" s="264"/>
      <c r="AOQ7" s="264"/>
      <c r="AOR7" s="264"/>
      <c r="AOS7" s="264"/>
      <c r="AOT7" s="264"/>
      <c r="AOU7" s="264"/>
      <c r="AOV7" s="264"/>
      <c r="AOW7" s="264"/>
      <c r="AOX7" s="264"/>
      <c r="AOY7" s="264"/>
      <c r="AOZ7" s="264"/>
      <c r="APA7" s="264"/>
      <c r="APB7" s="264"/>
      <c r="APC7" s="264"/>
      <c r="APD7" s="264"/>
      <c r="APE7" s="264"/>
      <c r="APF7" s="264"/>
      <c r="APG7" s="264"/>
      <c r="APH7" s="264"/>
      <c r="API7" s="264"/>
      <c r="APJ7" s="264"/>
      <c r="APK7" s="264"/>
      <c r="APL7" s="264"/>
      <c r="APM7" s="264"/>
      <c r="APN7" s="264"/>
      <c r="APO7" s="264"/>
      <c r="APP7" s="264"/>
      <c r="APQ7" s="264"/>
      <c r="APR7" s="264"/>
      <c r="APS7" s="264"/>
      <c r="APT7" s="264"/>
      <c r="APU7" s="264"/>
      <c r="APV7" s="264"/>
      <c r="APW7" s="264"/>
      <c r="APX7" s="264"/>
      <c r="APY7" s="264"/>
      <c r="APZ7" s="264"/>
      <c r="AQA7" s="264"/>
      <c r="AQB7" s="264"/>
      <c r="AQC7" s="264"/>
      <c r="AQD7" s="264"/>
      <c r="AQE7" s="264"/>
      <c r="AQF7" s="264"/>
      <c r="AQG7" s="264"/>
      <c r="AQH7" s="264"/>
      <c r="AQI7" s="264"/>
      <c r="AQJ7" s="264"/>
      <c r="AQK7" s="264"/>
      <c r="AQL7" s="264"/>
      <c r="AQM7" s="264"/>
      <c r="AQN7" s="264"/>
      <c r="AQO7" s="264"/>
      <c r="AQP7" s="264"/>
      <c r="AQQ7" s="264"/>
      <c r="AQR7" s="264"/>
      <c r="AQS7" s="264"/>
      <c r="AQT7" s="264"/>
      <c r="AQU7" s="264"/>
      <c r="AQV7" s="264"/>
      <c r="AQW7" s="264"/>
      <c r="AQX7" s="264"/>
      <c r="AQY7" s="264"/>
      <c r="AQZ7" s="264"/>
      <c r="ARA7" s="264"/>
      <c r="ARB7" s="264"/>
      <c r="ARC7" s="264"/>
      <c r="ARD7" s="264"/>
      <c r="ARE7" s="264"/>
      <c r="ARF7" s="264"/>
      <c r="ARG7" s="264"/>
      <c r="ARH7" s="264"/>
      <c r="ARI7" s="264"/>
      <c r="ARJ7" s="264"/>
      <c r="ARK7" s="264"/>
      <c r="ARL7" s="264"/>
      <c r="ARM7" s="264"/>
      <c r="ARN7" s="264"/>
      <c r="ARO7" s="264"/>
      <c r="ARP7" s="264"/>
      <c r="ARQ7" s="264"/>
      <c r="ARR7" s="264"/>
      <c r="ARS7" s="264"/>
      <c r="ART7" s="264"/>
      <c r="ARU7" s="264"/>
      <c r="ARV7" s="264"/>
      <c r="ARW7" s="264"/>
      <c r="ARX7" s="264"/>
      <c r="ARY7" s="264"/>
      <c r="ARZ7" s="264"/>
      <c r="ASA7" s="264"/>
      <c r="ASB7" s="264"/>
      <c r="ASC7" s="264"/>
      <c r="ASD7" s="264"/>
      <c r="ASE7" s="264"/>
      <c r="ASF7" s="264"/>
      <c r="ASG7" s="264"/>
      <c r="ASH7" s="264"/>
      <c r="ASI7" s="264"/>
      <c r="ASJ7" s="264"/>
      <c r="ASK7" s="264"/>
      <c r="ASL7" s="264"/>
      <c r="ASM7" s="264"/>
      <c r="ASN7" s="264"/>
      <c r="ASO7" s="264"/>
      <c r="ASP7" s="264"/>
      <c r="ASQ7" s="264"/>
      <c r="ASR7" s="264"/>
      <c r="ASS7" s="264"/>
      <c r="AST7" s="264"/>
      <c r="ASU7" s="264"/>
      <c r="ASV7" s="264"/>
      <c r="ASW7" s="264"/>
      <c r="ASX7" s="264"/>
      <c r="ASY7" s="264"/>
      <c r="ASZ7" s="264"/>
      <c r="ATA7" s="264"/>
      <c r="ATB7" s="264"/>
      <c r="ATC7" s="264"/>
      <c r="ATD7" s="264"/>
      <c r="ATE7" s="264"/>
      <c r="ATF7" s="264"/>
      <c r="ATG7" s="264"/>
      <c r="ATH7" s="264"/>
      <c r="ATI7" s="264"/>
      <c r="ATJ7" s="264"/>
      <c r="ATK7" s="264"/>
      <c r="ATL7" s="264"/>
      <c r="ATM7" s="264"/>
      <c r="ATN7" s="264"/>
      <c r="ATO7" s="264"/>
      <c r="ATP7" s="264"/>
      <c r="ATQ7" s="264"/>
      <c r="ATR7" s="264"/>
      <c r="ATS7" s="264"/>
      <c r="ATT7" s="264"/>
      <c r="ATU7" s="264"/>
      <c r="ATV7" s="264"/>
      <c r="ATW7" s="264"/>
      <c r="ATX7" s="264"/>
      <c r="ATY7" s="264"/>
      <c r="ATZ7" s="264"/>
      <c r="AUA7" s="264"/>
      <c r="AUB7" s="264"/>
      <c r="AUC7" s="264"/>
      <c r="AUD7" s="264"/>
      <c r="AUE7" s="264"/>
      <c r="AUF7" s="264"/>
      <c r="AUG7" s="264"/>
      <c r="AUH7" s="264"/>
      <c r="AUI7" s="264"/>
      <c r="AUJ7" s="264"/>
      <c r="AUK7" s="264"/>
      <c r="AUL7" s="264"/>
      <c r="AUM7" s="264"/>
      <c r="AUN7" s="264"/>
      <c r="AUO7" s="264"/>
      <c r="AUP7" s="264"/>
      <c r="AUQ7" s="264"/>
      <c r="AUR7" s="264"/>
      <c r="AUS7" s="264"/>
      <c r="AUT7" s="264"/>
      <c r="AUU7" s="264"/>
      <c r="AUV7" s="264"/>
      <c r="AUW7" s="264"/>
      <c r="AUX7" s="264"/>
      <c r="AUY7" s="264"/>
      <c r="AUZ7" s="264"/>
      <c r="AVA7" s="264"/>
      <c r="AVB7" s="264"/>
      <c r="AVC7" s="264"/>
      <c r="AVD7" s="264"/>
      <c r="AVE7" s="264"/>
      <c r="AVF7" s="264"/>
      <c r="AVG7" s="264"/>
      <c r="AVH7" s="264"/>
      <c r="AVI7" s="264"/>
      <c r="AVJ7" s="264"/>
      <c r="AVK7" s="264"/>
      <c r="AVL7" s="264"/>
      <c r="AVM7" s="264"/>
      <c r="AVN7" s="264"/>
      <c r="AVO7" s="264"/>
      <c r="AVP7" s="264"/>
      <c r="AVQ7" s="264"/>
      <c r="AVR7" s="264"/>
      <c r="AVS7" s="264"/>
      <c r="AVT7" s="264"/>
      <c r="AVU7" s="264"/>
      <c r="AVV7" s="264"/>
      <c r="AVW7" s="264"/>
      <c r="AVX7" s="264"/>
      <c r="AVY7" s="264"/>
      <c r="AVZ7" s="264"/>
      <c r="AWA7" s="264"/>
      <c r="AWB7" s="264"/>
      <c r="AWC7" s="264"/>
      <c r="AWD7" s="264"/>
      <c r="AWE7" s="264"/>
      <c r="AWF7" s="264"/>
      <c r="AWG7" s="264"/>
      <c r="AWH7" s="264"/>
      <c r="AWI7" s="264"/>
      <c r="AWJ7" s="264"/>
      <c r="AWK7" s="264"/>
      <c r="AWL7" s="264"/>
      <c r="AWM7" s="264"/>
      <c r="AWN7" s="264"/>
      <c r="AWO7" s="264"/>
      <c r="AWP7" s="264"/>
      <c r="AWQ7" s="264"/>
      <c r="AWR7" s="264"/>
      <c r="AWS7" s="264"/>
      <c r="AWT7" s="264"/>
      <c r="AWU7" s="264"/>
      <c r="AWV7" s="264"/>
      <c r="AWW7" s="264"/>
      <c r="AWX7" s="264"/>
      <c r="AWY7" s="264"/>
      <c r="AWZ7" s="264"/>
      <c r="AXA7" s="264"/>
      <c r="AXB7" s="264"/>
      <c r="AXC7" s="264"/>
      <c r="AXD7" s="264"/>
      <c r="AXE7" s="264"/>
      <c r="AXF7" s="264"/>
      <c r="AXG7" s="264"/>
      <c r="AXH7" s="264"/>
      <c r="AXI7" s="264"/>
      <c r="AXJ7" s="264"/>
      <c r="AXK7" s="264"/>
      <c r="AXL7" s="264"/>
      <c r="AXM7" s="264"/>
      <c r="AXN7" s="264"/>
      <c r="AXO7" s="264"/>
      <c r="AXP7" s="264"/>
      <c r="AXQ7" s="264"/>
      <c r="AXR7" s="264"/>
      <c r="AXS7" s="264"/>
      <c r="AXT7" s="264"/>
      <c r="AXU7" s="264"/>
      <c r="AXV7" s="264"/>
      <c r="AXW7" s="264"/>
      <c r="AXX7" s="264"/>
      <c r="AXY7" s="264"/>
      <c r="AXZ7" s="264"/>
      <c r="AYA7" s="264"/>
      <c r="AYB7" s="264"/>
      <c r="AYC7" s="264"/>
      <c r="AYD7" s="264"/>
      <c r="AYE7" s="264"/>
      <c r="AYF7" s="264"/>
      <c r="AYG7" s="264"/>
      <c r="AYH7" s="264"/>
      <c r="AYI7" s="264"/>
      <c r="AYJ7" s="264"/>
      <c r="AYK7" s="264"/>
      <c r="AYL7" s="264"/>
      <c r="AYM7" s="264"/>
      <c r="AYN7" s="264"/>
      <c r="AYO7" s="264"/>
      <c r="AYP7" s="264"/>
      <c r="AYQ7" s="264"/>
      <c r="AYR7" s="264"/>
      <c r="AYS7" s="264"/>
      <c r="AYT7" s="264"/>
      <c r="AYU7" s="264"/>
      <c r="AYV7" s="264"/>
      <c r="AYW7" s="264"/>
      <c r="AYX7" s="264"/>
      <c r="AYY7" s="264"/>
      <c r="AYZ7" s="264"/>
      <c r="AZA7" s="264"/>
      <c r="AZB7" s="264"/>
      <c r="AZC7" s="264"/>
      <c r="AZD7" s="264"/>
      <c r="AZE7" s="264"/>
      <c r="AZF7" s="264"/>
      <c r="AZG7" s="264"/>
      <c r="AZH7" s="264"/>
      <c r="AZI7" s="264"/>
      <c r="AZJ7" s="264"/>
      <c r="AZK7" s="264"/>
      <c r="AZL7" s="264"/>
      <c r="AZM7" s="264"/>
      <c r="AZN7" s="264"/>
      <c r="AZO7" s="264"/>
      <c r="AZP7" s="264"/>
      <c r="AZQ7" s="264"/>
      <c r="AZR7" s="264"/>
      <c r="AZS7" s="264"/>
      <c r="AZT7" s="264"/>
      <c r="AZU7" s="264"/>
      <c r="AZV7" s="264"/>
      <c r="AZW7" s="264"/>
      <c r="AZX7" s="264"/>
      <c r="AZY7" s="264"/>
      <c r="AZZ7" s="264"/>
      <c r="BAA7" s="264"/>
      <c r="BAB7" s="264"/>
      <c r="BAC7" s="264"/>
      <c r="BAD7" s="264"/>
      <c r="BAE7" s="264"/>
      <c r="BAF7" s="264"/>
      <c r="BAG7" s="264"/>
      <c r="BAH7" s="264"/>
      <c r="BAI7" s="264"/>
      <c r="BAJ7" s="264"/>
      <c r="BAK7" s="264"/>
      <c r="BAL7" s="264"/>
      <c r="BAM7" s="264"/>
      <c r="BAN7" s="264"/>
      <c r="BAO7" s="264"/>
      <c r="BAP7" s="264"/>
      <c r="BAQ7" s="264"/>
      <c r="BAR7" s="264"/>
      <c r="BAS7" s="264"/>
      <c r="BAT7" s="264"/>
      <c r="BAU7" s="264"/>
      <c r="BAV7" s="264"/>
      <c r="BAW7" s="264"/>
      <c r="BAX7" s="264"/>
      <c r="BAY7" s="264"/>
      <c r="BAZ7" s="264"/>
      <c r="BBA7" s="264"/>
      <c r="BBB7" s="264"/>
      <c r="BBC7" s="264"/>
      <c r="BBD7" s="264"/>
      <c r="BBE7" s="264"/>
      <c r="BBF7" s="264"/>
      <c r="BBG7" s="264"/>
      <c r="BBH7" s="264"/>
      <c r="BBI7" s="264"/>
      <c r="BBJ7" s="264"/>
      <c r="BBK7" s="264"/>
      <c r="BBL7" s="264"/>
      <c r="BBM7" s="264"/>
      <c r="BBN7" s="264"/>
      <c r="BBO7" s="264"/>
      <c r="BBP7" s="264"/>
      <c r="BBQ7" s="264"/>
      <c r="BBR7" s="264"/>
      <c r="BBS7" s="264"/>
      <c r="BBT7" s="264"/>
      <c r="BBU7" s="264"/>
      <c r="BBV7" s="264"/>
      <c r="BBW7" s="264"/>
      <c r="BBX7" s="264"/>
      <c r="BBY7" s="264"/>
      <c r="BBZ7" s="264"/>
      <c r="BCA7" s="264"/>
      <c r="BCB7" s="264"/>
      <c r="BCC7" s="264"/>
      <c r="BCD7" s="264"/>
      <c r="BCE7" s="264"/>
      <c r="BCF7" s="264"/>
      <c r="BCG7" s="264"/>
      <c r="BCH7" s="264"/>
      <c r="BCI7" s="264"/>
      <c r="BCJ7" s="264"/>
      <c r="BCK7" s="264"/>
      <c r="BCL7" s="264"/>
      <c r="BCM7" s="264"/>
      <c r="BCN7" s="264"/>
      <c r="BCO7" s="264"/>
      <c r="BCP7" s="264"/>
      <c r="BCQ7" s="264"/>
      <c r="BCR7" s="264"/>
      <c r="BCS7" s="264"/>
      <c r="BCT7" s="264"/>
      <c r="BCU7" s="264"/>
      <c r="BCV7" s="264"/>
      <c r="BCW7" s="264"/>
      <c r="BCX7" s="264"/>
      <c r="BCY7" s="264"/>
      <c r="BCZ7" s="264"/>
      <c r="BDA7" s="264"/>
      <c r="BDB7" s="264"/>
      <c r="BDC7" s="264"/>
      <c r="BDD7" s="264"/>
      <c r="BDE7" s="264"/>
      <c r="BDF7" s="264"/>
      <c r="BDG7" s="264"/>
      <c r="BDH7" s="264"/>
      <c r="BDI7" s="264"/>
      <c r="BDJ7" s="264"/>
      <c r="BDK7" s="264"/>
      <c r="BDL7" s="264"/>
      <c r="BDM7" s="264"/>
      <c r="BDN7" s="264"/>
      <c r="BDO7" s="264"/>
      <c r="BDP7" s="264"/>
      <c r="BDQ7" s="264"/>
      <c r="BDR7" s="264"/>
      <c r="BDS7" s="264"/>
      <c r="BDT7" s="264"/>
      <c r="BDU7" s="264"/>
      <c r="BDV7" s="264"/>
      <c r="BDW7" s="264"/>
      <c r="BDX7" s="264"/>
      <c r="BDY7" s="264"/>
      <c r="BDZ7" s="264"/>
      <c r="BEA7" s="264"/>
      <c r="BEB7" s="264"/>
      <c r="BEC7" s="264"/>
      <c r="BED7" s="264"/>
      <c r="BEE7" s="264"/>
      <c r="BEF7" s="264"/>
      <c r="BEG7" s="264"/>
      <c r="BEH7" s="264"/>
      <c r="BEI7" s="264"/>
      <c r="BEJ7" s="264"/>
      <c r="BEK7" s="264"/>
      <c r="BEL7" s="264"/>
      <c r="BEM7" s="264"/>
      <c r="BEN7" s="264"/>
      <c r="BEO7" s="264"/>
      <c r="BEP7" s="264"/>
      <c r="BEQ7" s="264"/>
      <c r="BER7" s="264"/>
      <c r="BES7" s="264"/>
      <c r="BET7" s="264"/>
      <c r="BEU7" s="264"/>
      <c r="BEV7" s="264"/>
      <c r="BEW7" s="264"/>
      <c r="BEX7" s="264"/>
      <c r="BEY7" s="264"/>
      <c r="BEZ7" s="264"/>
      <c r="BFA7" s="264"/>
      <c r="BFB7" s="264"/>
      <c r="BFC7" s="264"/>
      <c r="BFD7" s="264"/>
      <c r="BFE7" s="264"/>
      <c r="BFF7" s="264"/>
      <c r="BFG7" s="264"/>
      <c r="BFH7" s="264"/>
      <c r="BFI7" s="264"/>
      <c r="BFJ7" s="264"/>
      <c r="BFK7" s="264"/>
      <c r="BFL7" s="264"/>
      <c r="BFM7" s="264"/>
      <c r="BFN7" s="264"/>
      <c r="BFO7" s="264"/>
      <c r="BFP7" s="264"/>
      <c r="BFQ7" s="264"/>
      <c r="BFR7" s="264"/>
      <c r="BFS7" s="264"/>
      <c r="BFT7" s="264"/>
      <c r="BFU7" s="264"/>
      <c r="BFV7" s="264"/>
      <c r="BFW7" s="264"/>
      <c r="BFX7" s="264"/>
      <c r="BFY7" s="264"/>
      <c r="BFZ7" s="264"/>
      <c r="BGA7" s="264"/>
      <c r="BGB7" s="264"/>
      <c r="BGC7" s="264"/>
      <c r="BGD7" s="264"/>
      <c r="BGE7" s="264"/>
      <c r="BGF7" s="264"/>
      <c r="BGG7" s="264"/>
      <c r="BGH7" s="264"/>
      <c r="BGI7" s="264"/>
      <c r="BGJ7" s="264"/>
      <c r="BGK7" s="264"/>
      <c r="BGL7" s="264"/>
      <c r="BGM7" s="264"/>
      <c r="BGN7" s="264"/>
      <c r="BGO7" s="264"/>
      <c r="BGP7" s="264"/>
      <c r="BGQ7" s="264"/>
      <c r="BGR7" s="264"/>
      <c r="BGS7" s="264"/>
      <c r="BGT7" s="264"/>
      <c r="BGU7" s="264"/>
      <c r="BGV7" s="264"/>
      <c r="BGW7" s="264"/>
      <c r="BGX7" s="264"/>
      <c r="BGY7" s="264"/>
      <c r="BGZ7" s="264"/>
      <c r="BHA7" s="264"/>
      <c r="BHB7" s="264"/>
      <c r="BHC7" s="264"/>
      <c r="BHD7" s="264"/>
      <c r="BHE7" s="264"/>
      <c r="BHF7" s="264"/>
      <c r="BHG7" s="264"/>
      <c r="BHH7" s="264"/>
      <c r="BHI7" s="264"/>
      <c r="BHJ7" s="264"/>
      <c r="BHK7" s="264"/>
      <c r="BHL7" s="264"/>
      <c r="BHM7" s="264"/>
      <c r="BHN7" s="264"/>
      <c r="BHO7" s="264"/>
      <c r="BHP7" s="264"/>
      <c r="BHQ7" s="264"/>
      <c r="BHR7" s="264"/>
      <c r="BHS7" s="264"/>
      <c r="BHT7" s="264"/>
      <c r="BHU7" s="264"/>
      <c r="BHV7" s="264"/>
      <c r="BHW7" s="264"/>
      <c r="BHX7" s="264"/>
      <c r="BHY7" s="264"/>
      <c r="BHZ7" s="264"/>
      <c r="BIA7" s="264"/>
      <c r="BIB7" s="264"/>
      <c r="BIC7" s="264"/>
      <c r="BID7" s="264"/>
      <c r="BIE7" s="264"/>
      <c r="BIF7" s="264"/>
      <c r="BIG7" s="264"/>
      <c r="BIH7" s="264"/>
      <c r="BII7" s="264"/>
      <c r="BIJ7" s="264"/>
      <c r="BIK7" s="264"/>
      <c r="BIL7" s="264"/>
      <c r="BIM7" s="264"/>
      <c r="BIN7" s="264"/>
      <c r="BIO7" s="264"/>
      <c r="BIP7" s="264"/>
      <c r="BIQ7" s="264"/>
      <c r="BIR7" s="264"/>
      <c r="BIS7" s="264"/>
      <c r="BIT7" s="264"/>
      <c r="BIU7" s="264"/>
      <c r="BIV7" s="264"/>
      <c r="BIW7" s="264"/>
      <c r="BIX7" s="264"/>
      <c r="BIY7" s="264"/>
      <c r="BIZ7" s="264"/>
      <c r="BJA7" s="264"/>
      <c r="BJB7" s="264"/>
      <c r="BJC7" s="264"/>
      <c r="BJD7" s="264"/>
      <c r="BJE7" s="264"/>
      <c r="BJF7" s="264"/>
      <c r="BJG7" s="264"/>
      <c r="BJH7" s="264"/>
      <c r="BJI7" s="264"/>
      <c r="BJJ7" s="264"/>
      <c r="BJK7" s="264"/>
      <c r="BJL7" s="264"/>
      <c r="BJM7" s="264"/>
      <c r="BJN7" s="264"/>
      <c r="BJO7" s="264"/>
      <c r="BJP7" s="264"/>
      <c r="BJQ7" s="264"/>
      <c r="BJR7" s="264"/>
      <c r="BJS7" s="264"/>
      <c r="BJT7" s="264"/>
      <c r="BJU7" s="264"/>
      <c r="BJV7" s="264"/>
      <c r="BJW7" s="264"/>
      <c r="BJX7" s="264"/>
      <c r="BJY7" s="264"/>
      <c r="BJZ7" s="264"/>
      <c r="BKA7" s="264"/>
      <c r="BKB7" s="264"/>
      <c r="BKC7" s="264"/>
      <c r="BKD7" s="264"/>
      <c r="BKE7" s="264"/>
      <c r="BKF7" s="264"/>
      <c r="BKG7" s="264"/>
      <c r="BKH7" s="264"/>
      <c r="BKI7" s="264"/>
      <c r="BKJ7" s="264"/>
      <c r="BKK7" s="264"/>
      <c r="BKL7" s="264"/>
      <c r="BKM7" s="264"/>
      <c r="BKN7" s="264"/>
      <c r="BKO7" s="264"/>
      <c r="BKP7" s="264"/>
      <c r="BKQ7" s="264"/>
      <c r="BKR7" s="264"/>
      <c r="BKS7" s="264"/>
      <c r="BKT7" s="264"/>
      <c r="BKU7" s="264"/>
      <c r="BKV7" s="264"/>
      <c r="BKW7" s="264"/>
      <c r="BKX7" s="264"/>
      <c r="BKY7" s="264"/>
      <c r="BKZ7" s="264"/>
      <c r="BLA7" s="264"/>
      <c r="BLB7" s="264"/>
      <c r="BLC7" s="264"/>
      <c r="BLD7" s="264"/>
      <c r="BLE7" s="264"/>
      <c r="BLF7" s="264"/>
      <c r="BLG7" s="264"/>
      <c r="BLH7" s="264"/>
      <c r="BLI7" s="264"/>
      <c r="BLJ7" s="264"/>
      <c r="BLK7" s="264"/>
      <c r="BLL7" s="264"/>
      <c r="BLM7" s="264"/>
      <c r="BLN7" s="264"/>
      <c r="BLO7" s="264"/>
      <c r="BLP7" s="264"/>
      <c r="BLQ7" s="264"/>
      <c r="BLR7" s="264"/>
      <c r="BLS7" s="264"/>
      <c r="BLT7" s="264"/>
      <c r="BLU7" s="264"/>
      <c r="BLV7" s="264"/>
      <c r="BLW7" s="264"/>
      <c r="BLX7" s="264"/>
      <c r="BLY7" s="264"/>
      <c r="BLZ7" s="264"/>
      <c r="BMA7" s="264"/>
      <c r="BMB7" s="264"/>
      <c r="BMC7" s="264"/>
      <c r="BMD7" s="264"/>
      <c r="BME7" s="264"/>
      <c r="BMF7" s="264"/>
      <c r="BMG7" s="264"/>
      <c r="BMH7" s="264"/>
      <c r="BMI7" s="264"/>
      <c r="BMJ7" s="264"/>
      <c r="BMK7" s="264"/>
      <c r="BML7" s="264"/>
      <c r="BMM7" s="264"/>
      <c r="BMN7" s="264"/>
      <c r="BMO7" s="264"/>
      <c r="BMP7" s="264"/>
      <c r="BMQ7" s="264"/>
      <c r="BMR7" s="264"/>
      <c r="BMS7" s="264"/>
      <c r="BMT7" s="264"/>
      <c r="BMU7" s="264"/>
      <c r="BMV7" s="264"/>
      <c r="BMW7" s="264"/>
      <c r="BMX7" s="264"/>
      <c r="BMY7" s="264"/>
      <c r="BMZ7" s="264"/>
      <c r="BNA7" s="264"/>
      <c r="BNB7" s="264"/>
      <c r="BNC7" s="264"/>
      <c r="BND7" s="264"/>
      <c r="BNE7" s="264"/>
      <c r="BNF7" s="264"/>
      <c r="BNG7" s="264"/>
      <c r="BNH7" s="264"/>
      <c r="BNI7" s="264"/>
      <c r="BNJ7" s="264"/>
      <c r="BNK7" s="264"/>
      <c r="BNL7" s="264"/>
      <c r="BNM7" s="264"/>
      <c r="BNN7" s="264"/>
      <c r="BNO7" s="264"/>
      <c r="BNP7" s="264"/>
      <c r="BNQ7" s="264"/>
      <c r="BNR7" s="264"/>
      <c r="BNS7" s="264"/>
      <c r="BNT7" s="264"/>
      <c r="BNU7" s="264"/>
      <c r="BNV7" s="264"/>
      <c r="BNW7" s="264"/>
      <c r="BNX7" s="264"/>
      <c r="BNY7" s="264"/>
      <c r="BNZ7" s="264"/>
      <c r="BOA7" s="264"/>
      <c r="BOB7" s="264"/>
      <c r="BOC7" s="264"/>
      <c r="BOD7" s="264"/>
      <c r="BOE7" s="264"/>
      <c r="BOF7" s="264"/>
      <c r="BOG7" s="264"/>
      <c r="BOH7" s="264"/>
      <c r="BOI7" s="264"/>
      <c r="BOJ7" s="264"/>
      <c r="BOK7" s="264"/>
      <c r="BOL7" s="264"/>
      <c r="BOM7" s="264"/>
      <c r="BON7" s="264"/>
      <c r="BOO7" s="264"/>
      <c r="BOP7" s="264"/>
      <c r="BOQ7" s="264"/>
      <c r="BOR7" s="264"/>
      <c r="BOS7" s="264"/>
      <c r="BOT7" s="264"/>
      <c r="BOU7" s="264"/>
      <c r="BOV7" s="264"/>
      <c r="BOW7" s="264"/>
      <c r="BOX7" s="264"/>
      <c r="BOY7" s="264"/>
      <c r="BOZ7" s="264"/>
      <c r="BPA7" s="264"/>
      <c r="BPB7" s="264"/>
      <c r="BPC7" s="264"/>
      <c r="BPD7" s="264"/>
      <c r="BPE7" s="264"/>
      <c r="BPF7" s="264"/>
      <c r="BPG7" s="264"/>
      <c r="BPH7" s="264"/>
      <c r="BPI7" s="264"/>
      <c r="BPJ7" s="264"/>
      <c r="BPK7" s="264"/>
      <c r="BPL7" s="264"/>
      <c r="BPM7" s="264"/>
      <c r="BPN7" s="264"/>
      <c r="BPO7" s="264"/>
      <c r="BPP7" s="264"/>
      <c r="BPQ7" s="264"/>
      <c r="BPR7" s="264"/>
      <c r="BPS7" s="264"/>
      <c r="BPT7" s="264"/>
      <c r="BPU7" s="264"/>
      <c r="BPV7" s="264"/>
      <c r="BPW7" s="264"/>
      <c r="BPX7" s="264"/>
      <c r="BPY7" s="264"/>
      <c r="BPZ7" s="264"/>
      <c r="BQA7" s="264"/>
      <c r="BQB7" s="264"/>
      <c r="BQC7" s="264"/>
      <c r="BQD7" s="264"/>
      <c r="BQE7" s="264"/>
      <c r="BQF7" s="264"/>
      <c r="BQG7" s="264"/>
      <c r="BQH7" s="264"/>
      <c r="BQI7" s="264"/>
      <c r="BQJ7" s="264"/>
      <c r="BQK7" s="264"/>
      <c r="BQL7" s="264"/>
      <c r="BQM7" s="264"/>
      <c r="BQN7" s="264"/>
      <c r="BQO7" s="264"/>
      <c r="BQP7" s="264"/>
      <c r="BQQ7" s="264"/>
      <c r="BQR7" s="264"/>
      <c r="BQS7" s="264"/>
      <c r="BQT7" s="264"/>
      <c r="BQU7" s="264"/>
      <c r="BQV7" s="264"/>
      <c r="BQW7" s="264"/>
      <c r="BQX7" s="264"/>
      <c r="BQY7" s="264"/>
      <c r="BQZ7" s="264"/>
      <c r="BRA7" s="264"/>
      <c r="BRB7" s="264"/>
      <c r="BRC7" s="264"/>
      <c r="BRD7" s="264"/>
      <c r="BRE7" s="264"/>
      <c r="BRF7" s="264"/>
      <c r="BRG7" s="264"/>
      <c r="BRH7" s="264"/>
      <c r="BRI7" s="264"/>
      <c r="BRJ7" s="264"/>
      <c r="BRK7" s="264"/>
      <c r="BRL7" s="264"/>
      <c r="BRM7" s="264"/>
      <c r="BRN7" s="264"/>
      <c r="BRO7" s="264"/>
      <c r="BRP7" s="264"/>
      <c r="BRQ7" s="264"/>
      <c r="BRR7" s="264"/>
      <c r="BRS7" s="264"/>
      <c r="BRT7" s="264"/>
      <c r="BRU7" s="264"/>
      <c r="BRV7" s="264"/>
      <c r="BRW7" s="264"/>
      <c r="BRX7" s="264"/>
      <c r="BRY7" s="264"/>
      <c r="BRZ7" s="264"/>
      <c r="BSA7" s="264"/>
      <c r="BSB7" s="264"/>
      <c r="BSC7" s="264"/>
      <c r="BSD7" s="264"/>
      <c r="BSE7" s="264"/>
      <c r="BSF7" s="264"/>
      <c r="BSG7" s="264"/>
      <c r="BSH7" s="264"/>
      <c r="BSI7" s="264"/>
      <c r="BSJ7" s="264"/>
      <c r="BSK7" s="264"/>
      <c r="BSL7" s="264"/>
      <c r="BSM7" s="264"/>
      <c r="BSN7" s="264"/>
      <c r="BSO7" s="264"/>
      <c r="BSP7" s="264"/>
      <c r="BSQ7" s="264"/>
      <c r="BSR7" s="264"/>
      <c r="BSS7" s="264"/>
      <c r="BST7" s="264"/>
      <c r="BSU7" s="264"/>
      <c r="BSV7" s="264"/>
      <c r="BSW7" s="264"/>
      <c r="BSX7" s="264"/>
      <c r="BSY7" s="264"/>
      <c r="BSZ7" s="264"/>
      <c r="BTA7" s="264"/>
      <c r="BTB7" s="264"/>
      <c r="BTC7" s="264"/>
      <c r="BTD7" s="264"/>
      <c r="BTE7" s="264"/>
      <c r="BTF7" s="264"/>
      <c r="BTG7" s="264"/>
      <c r="BTH7" s="264"/>
      <c r="BTI7" s="264"/>
      <c r="BTJ7" s="264"/>
      <c r="BTK7" s="264"/>
      <c r="BTL7" s="264"/>
      <c r="BTM7" s="264"/>
      <c r="BTN7" s="264"/>
      <c r="BTO7" s="264"/>
      <c r="BTP7" s="264"/>
      <c r="BTQ7" s="264"/>
      <c r="BTR7" s="264"/>
      <c r="BTS7" s="264"/>
      <c r="BTT7" s="264"/>
      <c r="BTU7" s="264"/>
      <c r="BTV7" s="264"/>
      <c r="BTW7" s="264"/>
      <c r="BTX7" s="264"/>
      <c r="BTY7" s="264"/>
      <c r="BTZ7" s="264"/>
      <c r="BUA7" s="264"/>
      <c r="BUB7" s="264"/>
      <c r="BUC7" s="264"/>
      <c r="BUD7" s="264"/>
      <c r="BUE7" s="264"/>
      <c r="BUF7" s="264"/>
      <c r="BUG7" s="264"/>
      <c r="BUH7" s="264"/>
      <c r="BUI7" s="264"/>
      <c r="BUJ7" s="264"/>
      <c r="BUK7" s="264"/>
      <c r="BUL7" s="264"/>
      <c r="BUM7" s="264"/>
      <c r="BUN7" s="264"/>
      <c r="BUO7" s="264"/>
      <c r="BUP7" s="264"/>
      <c r="BUQ7" s="264"/>
      <c r="BUR7" s="264"/>
      <c r="BUS7" s="264"/>
      <c r="BUT7" s="264"/>
      <c r="BUU7" s="264"/>
      <c r="BUV7" s="264"/>
      <c r="BUW7" s="264"/>
      <c r="BUX7" s="264"/>
      <c r="BUY7" s="264"/>
      <c r="BUZ7" s="264"/>
      <c r="BVA7" s="264"/>
      <c r="BVB7" s="264"/>
      <c r="BVC7" s="264"/>
      <c r="BVD7" s="264"/>
      <c r="BVE7" s="264"/>
      <c r="BVF7" s="264"/>
      <c r="BVG7" s="264"/>
      <c r="BVH7" s="264"/>
      <c r="BVI7" s="264"/>
      <c r="BVJ7" s="264"/>
      <c r="BVK7" s="264"/>
      <c r="BVL7" s="264"/>
      <c r="BVM7" s="264"/>
      <c r="BVN7" s="264"/>
      <c r="BVO7" s="264"/>
      <c r="BVP7" s="264"/>
      <c r="BVQ7" s="264"/>
      <c r="BVR7" s="264"/>
      <c r="BVS7" s="264"/>
      <c r="BVT7" s="264"/>
      <c r="BVU7" s="264"/>
      <c r="BVV7" s="264"/>
      <c r="BVW7" s="264"/>
      <c r="BVX7" s="264"/>
      <c r="BVY7" s="264"/>
      <c r="BVZ7" s="264"/>
      <c r="BWA7" s="264"/>
      <c r="BWB7" s="264"/>
      <c r="BWC7" s="264"/>
      <c r="BWD7" s="264"/>
      <c r="BWE7" s="264"/>
      <c r="BWF7" s="264"/>
      <c r="BWG7" s="264"/>
      <c r="BWH7" s="264"/>
      <c r="BWI7" s="264"/>
      <c r="BWJ7" s="264"/>
      <c r="BWK7" s="264"/>
      <c r="BWL7" s="264"/>
      <c r="BWM7" s="264"/>
      <c r="BWN7" s="264"/>
      <c r="BWO7" s="264"/>
      <c r="BWP7" s="264"/>
      <c r="BWQ7" s="264"/>
      <c r="BWR7" s="264"/>
      <c r="BWS7" s="264"/>
      <c r="BWT7" s="264"/>
      <c r="BWU7" s="264"/>
      <c r="BWV7" s="264"/>
      <c r="BWW7" s="264"/>
      <c r="BWX7" s="264"/>
      <c r="BWY7" s="264"/>
      <c r="BWZ7" s="264"/>
      <c r="BXA7" s="264"/>
      <c r="BXB7" s="264"/>
      <c r="BXC7" s="264"/>
      <c r="BXD7" s="264"/>
      <c r="BXE7" s="264"/>
      <c r="BXF7" s="264"/>
      <c r="BXG7" s="264"/>
      <c r="BXH7" s="264"/>
      <c r="BXI7" s="264"/>
      <c r="BXJ7" s="264"/>
      <c r="BXK7" s="264"/>
      <c r="BXL7" s="264"/>
      <c r="BXM7" s="264"/>
      <c r="BXN7" s="264"/>
      <c r="BXO7" s="264"/>
      <c r="BXP7" s="264"/>
      <c r="BXQ7" s="264"/>
      <c r="BXR7" s="264"/>
      <c r="BXS7" s="264"/>
      <c r="BXT7" s="264"/>
      <c r="BXU7" s="264"/>
      <c r="BXV7" s="264"/>
      <c r="BXW7" s="264"/>
      <c r="BXX7" s="264"/>
      <c r="BXY7" s="264"/>
      <c r="BXZ7" s="264"/>
      <c r="BYA7" s="264"/>
      <c r="BYB7" s="264"/>
      <c r="BYC7" s="264"/>
      <c r="BYD7" s="264"/>
      <c r="BYE7" s="264"/>
      <c r="BYF7" s="264"/>
      <c r="BYG7" s="264"/>
      <c r="BYH7" s="264"/>
      <c r="BYI7" s="264"/>
      <c r="BYJ7" s="264"/>
      <c r="BYK7" s="264"/>
      <c r="BYL7" s="264"/>
      <c r="BYM7" s="264"/>
      <c r="BYN7" s="264"/>
      <c r="BYO7" s="264"/>
      <c r="BYP7" s="264"/>
      <c r="BYQ7" s="264"/>
      <c r="BYR7" s="264"/>
      <c r="BYS7" s="264"/>
      <c r="BYT7" s="264"/>
      <c r="BYU7" s="264"/>
      <c r="BYV7" s="264"/>
      <c r="BYW7" s="264"/>
      <c r="BYX7" s="264"/>
      <c r="BYY7" s="264"/>
      <c r="BYZ7" s="264"/>
      <c r="BZA7" s="264"/>
      <c r="BZB7" s="264"/>
      <c r="BZC7" s="264"/>
      <c r="BZD7" s="264"/>
      <c r="BZE7" s="264"/>
      <c r="BZF7" s="264"/>
      <c r="BZG7" s="264"/>
      <c r="BZH7" s="264"/>
      <c r="BZI7" s="264"/>
      <c r="BZJ7" s="264"/>
      <c r="BZK7" s="264"/>
      <c r="BZL7" s="264"/>
      <c r="BZM7" s="264"/>
      <c r="BZN7" s="264"/>
      <c r="BZO7" s="264"/>
      <c r="BZP7" s="264"/>
      <c r="BZQ7" s="264"/>
      <c r="BZR7" s="264"/>
      <c r="BZS7" s="264"/>
      <c r="BZT7" s="264"/>
      <c r="BZU7" s="264"/>
      <c r="BZV7" s="264"/>
      <c r="BZW7" s="264"/>
      <c r="BZX7" s="264"/>
      <c r="BZY7" s="264"/>
      <c r="BZZ7" s="264"/>
      <c r="CAA7" s="264"/>
      <c r="CAB7" s="264"/>
      <c r="CAC7" s="264"/>
      <c r="CAD7" s="264"/>
      <c r="CAE7" s="264"/>
      <c r="CAF7" s="264"/>
      <c r="CAG7" s="264"/>
      <c r="CAH7" s="264"/>
      <c r="CAI7" s="264"/>
      <c r="CAJ7" s="264"/>
      <c r="CAK7" s="264"/>
      <c r="CAL7" s="264"/>
      <c r="CAM7" s="264"/>
      <c r="CAN7" s="264"/>
      <c r="CAO7" s="264"/>
      <c r="CAP7" s="264"/>
      <c r="CAQ7" s="264"/>
      <c r="CAR7" s="264"/>
      <c r="CAS7" s="264"/>
      <c r="CAT7" s="264"/>
      <c r="CAU7" s="264"/>
      <c r="CAV7" s="264"/>
      <c r="CAW7" s="264"/>
      <c r="CAX7" s="264"/>
      <c r="CAY7" s="264"/>
      <c r="CAZ7" s="264"/>
      <c r="CBA7" s="264"/>
      <c r="CBB7" s="264"/>
      <c r="CBC7" s="264"/>
      <c r="CBD7" s="264"/>
      <c r="CBE7" s="264"/>
      <c r="CBF7" s="264"/>
      <c r="CBG7" s="264"/>
      <c r="CBH7" s="264"/>
      <c r="CBI7" s="264"/>
      <c r="CBJ7" s="264"/>
      <c r="CBK7" s="264"/>
      <c r="CBL7" s="264"/>
      <c r="CBM7" s="264"/>
      <c r="CBN7" s="264"/>
      <c r="CBO7" s="264"/>
      <c r="CBP7" s="264"/>
      <c r="CBQ7" s="264"/>
      <c r="CBR7" s="264"/>
      <c r="CBS7" s="264"/>
      <c r="CBT7" s="264"/>
      <c r="CBU7" s="264"/>
      <c r="CBV7" s="264"/>
      <c r="CBW7" s="264"/>
      <c r="CBX7" s="264"/>
      <c r="CBY7" s="264"/>
      <c r="CBZ7" s="264"/>
      <c r="CCA7" s="264"/>
      <c r="CCB7" s="264"/>
      <c r="CCC7" s="264"/>
      <c r="CCD7" s="264"/>
      <c r="CCE7" s="264"/>
      <c r="CCF7" s="264"/>
      <c r="CCG7" s="264"/>
      <c r="CCH7" s="264"/>
      <c r="CCI7" s="264"/>
      <c r="CCJ7" s="264"/>
      <c r="CCK7" s="264"/>
      <c r="CCL7" s="264"/>
      <c r="CCM7" s="264"/>
      <c r="CCN7" s="264"/>
      <c r="CCO7" s="264"/>
      <c r="CCP7" s="264"/>
      <c r="CCQ7" s="264"/>
      <c r="CCR7" s="264"/>
      <c r="CCS7" s="264"/>
      <c r="CCT7" s="264"/>
      <c r="CCU7" s="264"/>
      <c r="CCV7" s="264"/>
      <c r="CCW7" s="264"/>
      <c r="CCX7" s="264"/>
      <c r="CCY7" s="264"/>
      <c r="CCZ7" s="264"/>
      <c r="CDA7" s="264"/>
      <c r="CDB7" s="264"/>
      <c r="CDC7" s="264"/>
      <c r="CDD7" s="264"/>
      <c r="CDE7" s="264"/>
      <c r="CDF7" s="264"/>
      <c r="CDG7" s="264"/>
      <c r="CDH7" s="264"/>
      <c r="CDI7" s="264"/>
      <c r="CDJ7" s="264"/>
      <c r="CDK7" s="264"/>
      <c r="CDL7" s="264"/>
      <c r="CDM7" s="264"/>
      <c r="CDN7" s="264"/>
      <c r="CDO7" s="264"/>
      <c r="CDP7" s="264"/>
      <c r="CDQ7" s="264"/>
      <c r="CDR7" s="264"/>
      <c r="CDS7" s="264"/>
      <c r="CDT7" s="264"/>
      <c r="CDU7" s="264"/>
      <c r="CDV7" s="264"/>
      <c r="CDW7" s="264"/>
      <c r="CDX7" s="264"/>
      <c r="CDY7" s="264"/>
      <c r="CDZ7" s="264"/>
      <c r="CEA7" s="264"/>
      <c r="CEB7" s="264"/>
      <c r="CEC7" s="264"/>
      <c r="CED7" s="264"/>
      <c r="CEE7" s="264"/>
      <c r="CEF7" s="264"/>
      <c r="CEG7" s="264"/>
      <c r="CEH7" s="264"/>
      <c r="CEI7" s="264"/>
      <c r="CEJ7" s="264"/>
      <c r="CEK7" s="264"/>
      <c r="CEL7" s="264"/>
      <c r="CEM7" s="264"/>
      <c r="CEN7" s="264"/>
      <c r="CEO7" s="264"/>
      <c r="CEP7" s="264"/>
      <c r="CEQ7" s="264"/>
      <c r="CER7" s="264"/>
      <c r="CES7" s="264"/>
      <c r="CET7" s="264"/>
      <c r="CEU7" s="264"/>
      <c r="CEV7" s="264"/>
      <c r="CEW7" s="264"/>
      <c r="CEX7" s="264"/>
      <c r="CEY7" s="264"/>
      <c r="CEZ7" s="264"/>
      <c r="CFA7" s="264"/>
      <c r="CFB7" s="264"/>
      <c r="CFC7" s="264"/>
      <c r="CFD7" s="264"/>
      <c r="CFE7" s="264"/>
      <c r="CFF7" s="264"/>
      <c r="CFG7" s="264"/>
      <c r="CFH7" s="264"/>
      <c r="CFI7" s="264"/>
      <c r="CFJ7" s="264"/>
      <c r="CFK7" s="264"/>
      <c r="CFL7" s="264"/>
      <c r="CFM7" s="264"/>
      <c r="CFN7" s="264"/>
      <c r="CFO7" s="264"/>
      <c r="CFP7" s="264"/>
      <c r="CFQ7" s="264"/>
      <c r="CFR7" s="264"/>
      <c r="CFS7" s="264"/>
      <c r="CFT7" s="264"/>
      <c r="CFU7" s="264"/>
      <c r="CFV7" s="264"/>
      <c r="CFW7" s="264"/>
      <c r="CFX7" s="264"/>
      <c r="CFY7" s="264"/>
      <c r="CFZ7" s="264"/>
      <c r="CGA7" s="264"/>
      <c r="CGB7" s="264"/>
      <c r="CGC7" s="264"/>
      <c r="CGD7" s="264"/>
      <c r="CGE7" s="264"/>
      <c r="CGF7" s="264"/>
      <c r="CGG7" s="264"/>
      <c r="CGH7" s="264"/>
      <c r="CGI7" s="264"/>
      <c r="CGJ7" s="264"/>
      <c r="CGK7" s="264"/>
      <c r="CGL7" s="264"/>
      <c r="CGM7" s="264"/>
      <c r="CGN7" s="264"/>
      <c r="CGO7" s="264"/>
      <c r="CGP7" s="264"/>
      <c r="CGQ7" s="264"/>
      <c r="CGR7" s="264"/>
      <c r="CGS7" s="264"/>
      <c r="CGT7" s="264"/>
      <c r="CGU7" s="264"/>
      <c r="CGV7" s="264"/>
      <c r="CGW7" s="264"/>
      <c r="CGX7" s="264"/>
      <c r="CGY7" s="264"/>
      <c r="CGZ7" s="264"/>
      <c r="CHA7" s="264"/>
      <c r="CHB7" s="264"/>
      <c r="CHC7" s="264"/>
      <c r="CHD7" s="264"/>
      <c r="CHE7" s="264"/>
      <c r="CHF7" s="264"/>
      <c r="CHG7" s="264"/>
      <c r="CHH7" s="264"/>
      <c r="CHI7" s="264"/>
      <c r="CHJ7" s="264"/>
      <c r="CHK7" s="264"/>
      <c r="CHL7" s="264"/>
      <c r="CHM7" s="264"/>
      <c r="CHN7" s="264"/>
      <c r="CHO7" s="264"/>
      <c r="CHP7" s="264"/>
      <c r="CHQ7" s="264"/>
      <c r="CHR7" s="264"/>
      <c r="CHS7" s="264"/>
      <c r="CHT7" s="264"/>
      <c r="CHU7" s="264"/>
      <c r="CHV7" s="264"/>
      <c r="CHW7" s="264"/>
      <c r="CHX7" s="264"/>
      <c r="CHY7" s="264"/>
      <c r="CHZ7" s="264"/>
      <c r="CIA7" s="264"/>
      <c r="CIB7" s="264"/>
      <c r="CIC7" s="264"/>
      <c r="CID7" s="264"/>
      <c r="CIE7" s="264"/>
      <c r="CIF7" s="264"/>
      <c r="CIG7" s="264"/>
      <c r="CIH7" s="264"/>
      <c r="CII7" s="264"/>
      <c r="CIJ7" s="264"/>
      <c r="CIK7" s="264"/>
      <c r="CIL7" s="264"/>
      <c r="CIM7" s="264"/>
      <c r="CIN7" s="264"/>
      <c r="CIO7" s="264"/>
      <c r="CIP7" s="264"/>
      <c r="CIQ7" s="264"/>
      <c r="CIR7" s="264"/>
      <c r="CIS7" s="264"/>
      <c r="CIT7" s="264"/>
      <c r="CIU7" s="264"/>
      <c r="CIV7" s="264"/>
      <c r="CIW7" s="264"/>
      <c r="CIX7" s="264"/>
      <c r="CIY7" s="264"/>
      <c r="CIZ7" s="264"/>
      <c r="CJA7" s="264"/>
      <c r="CJB7" s="264"/>
      <c r="CJC7" s="264"/>
      <c r="CJD7" s="264"/>
      <c r="CJE7" s="264"/>
      <c r="CJF7" s="264"/>
      <c r="CJG7" s="264"/>
      <c r="CJH7" s="264"/>
      <c r="CJI7" s="264"/>
      <c r="CJJ7" s="264"/>
      <c r="CJK7" s="264"/>
      <c r="CJL7" s="264"/>
      <c r="CJM7" s="264"/>
      <c r="CJN7" s="264"/>
      <c r="CJO7" s="264"/>
      <c r="CJP7" s="264"/>
      <c r="CJQ7" s="264"/>
      <c r="CJR7" s="264"/>
      <c r="CJS7" s="264"/>
      <c r="CJT7" s="264"/>
      <c r="CJU7" s="264"/>
      <c r="CJV7" s="264"/>
      <c r="CJW7" s="264"/>
      <c r="CJX7" s="264"/>
      <c r="CJY7" s="264"/>
      <c r="CJZ7" s="264"/>
      <c r="CKA7" s="264"/>
      <c r="CKB7" s="264"/>
      <c r="CKC7" s="264"/>
      <c r="CKD7" s="264"/>
      <c r="CKE7" s="264"/>
      <c r="CKF7" s="264"/>
      <c r="CKG7" s="264"/>
      <c r="CKH7" s="264"/>
      <c r="CKI7" s="264"/>
      <c r="CKJ7" s="264"/>
      <c r="CKK7" s="264"/>
      <c r="CKL7" s="264"/>
      <c r="CKM7" s="264"/>
      <c r="CKN7" s="264"/>
      <c r="CKO7" s="264"/>
      <c r="CKP7" s="264"/>
      <c r="CKQ7" s="264"/>
      <c r="CKR7" s="264"/>
      <c r="CKS7" s="264"/>
      <c r="CKT7" s="264"/>
      <c r="CKU7" s="264"/>
      <c r="CKV7" s="264"/>
      <c r="CKW7" s="264"/>
      <c r="CKX7" s="264"/>
      <c r="CKY7" s="264"/>
      <c r="CKZ7" s="264"/>
      <c r="CLA7" s="264"/>
      <c r="CLB7" s="264"/>
      <c r="CLC7" s="264"/>
      <c r="CLD7" s="264"/>
      <c r="CLE7" s="264"/>
      <c r="CLF7" s="264"/>
      <c r="CLG7" s="264"/>
      <c r="CLH7" s="264"/>
      <c r="CLI7" s="264"/>
      <c r="CLJ7" s="264"/>
      <c r="CLK7" s="264"/>
      <c r="CLL7" s="264"/>
      <c r="CLM7" s="264"/>
      <c r="CLN7" s="264"/>
      <c r="CLO7" s="264"/>
      <c r="CLP7" s="264"/>
      <c r="CLQ7" s="264"/>
      <c r="CLR7" s="264"/>
      <c r="CLS7" s="264"/>
      <c r="CLT7" s="264"/>
      <c r="CLU7" s="264"/>
      <c r="CLV7" s="264"/>
      <c r="CLW7" s="264"/>
      <c r="CLX7" s="264"/>
      <c r="CLY7" s="264"/>
      <c r="CLZ7" s="264"/>
      <c r="CMA7" s="264"/>
      <c r="CMB7" s="264"/>
      <c r="CMC7" s="264"/>
      <c r="CMD7" s="264"/>
      <c r="CME7" s="264"/>
      <c r="CMF7" s="264"/>
      <c r="CMG7" s="264"/>
      <c r="CMH7" s="264"/>
      <c r="CMI7" s="264"/>
      <c r="CMJ7" s="264"/>
      <c r="CMK7" s="264"/>
      <c r="CML7" s="264"/>
      <c r="CMM7" s="264"/>
      <c r="CMN7" s="264"/>
      <c r="CMO7" s="264"/>
      <c r="CMP7" s="264"/>
      <c r="CMQ7" s="264"/>
      <c r="CMR7" s="264"/>
      <c r="CMS7" s="264"/>
      <c r="CMT7" s="264"/>
      <c r="CMU7" s="264"/>
      <c r="CMV7" s="264"/>
      <c r="CMW7" s="264"/>
      <c r="CMX7" s="264"/>
      <c r="CMY7" s="264"/>
      <c r="CMZ7" s="264"/>
      <c r="CNA7" s="264"/>
      <c r="CNB7" s="264"/>
      <c r="CNC7" s="264"/>
      <c r="CND7" s="264"/>
      <c r="CNE7" s="264"/>
      <c r="CNF7" s="264"/>
      <c r="CNG7" s="264"/>
      <c r="CNH7" s="264"/>
      <c r="CNI7" s="264"/>
      <c r="CNJ7" s="264"/>
      <c r="CNK7" s="264"/>
      <c r="CNL7" s="264"/>
      <c r="CNM7" s="264"/>
      <c r="CNN7" s="264"/>
      <c r="CNO7" s="264"/>
      <c r="CNP7" s="264"/>
      <c r="CNQ7" s="264"/>
      <c r="CNR7" s="264"/>
      <c r="CNS7" s="264"/>
      <c r="CNT7" s="264"/>
      <c r="CNU7" s="264"/>
      <c r="CNV7" s="264"/>
      <c r="CNW7" s="264"/>
      <c r="CNX7" s="264"/>
      <c r="CNY7" s="264"/>
      <c r="CNZ7" s="264"/>
      <c r="COA7" s="264"/>
      <c r="COB7" s="264"/>
      <c r="COC7" s="264"/>
      <c r="COD7" s="264"/>
      <c r="COE7" s="264"/>
      <c r="COF7" s="264"/>
      <c r="COG7" s="264"/>
      <c r="COH7" s="264"/>
      <c r="COI7" s="264"/>
      <c r="COJ7" s="264"/>
      <c r="COK7" s="264"/>
      <c r="COL7" s="264"/>
      <c r="COM7" s="264"/>
      <c r="CON7" s="264"/>
      <c r="COO7" s="264"/>
      <c r="COP7" s="264"/>
      <c r="COQ7" s="264"/>
      <c r="COR7" s="264"/>
      <c r="COS7" s="264"/>
      <c r="COT7" s="264"/>
      <c r="COU7" s="264"/>
      <c r="COV7" s="264"/>
      <c r="COW7" s="264"/>
      <c r="COX7" s="264"/>
      <c r="COY7" s="264"/>
      <c r="COZ7" s="264"/>
      <c r="CPA7" s="264"/>
      <c r="CPB7" s="264"/>
      <c r="CPC7" s="264"/>
      <c r="CPD7" s="264"/>
      <c r="CPE7" s="264"/>
      <c r="CPF7" s="264"/>
      <c r="CPG7" s="264"/>
      <c r="CPH7" s="264"/>
      <c r="CPI7" s="264"/>
      <c r="CPJ7" s="264"/>
      <c r="CPK7" s="264"/>
      <c r="CPL7" s="264"/>
      <c r="CPM7" s="264"/>
      <c r="CPN7" s="264"/>
      <c r="CPO7" s="264"/>
      <c r="CPP7" s="264"/>
      <c r="CPQ7" s="264"/>
      <c r="CPR7" s="264"/>
      <c r="CPS7" s="264"/>
      <c r="CPT7" s="264"/>
      <c r="CPU7" s="264"/>
      <c r="CPV7" s="264"/>
      <c r="CPW7" s="264"/>
      <c r="CPX7" s="264"/>
      <c r="CPY7" s="264"/>
      <c r="CPZ7" s="264"/>
      <c r="CQA7" s="264"/>
      <c r="CQB7" s="264"/>
      <c r="CQC7" s="264"/>
      <c r="CQD7" s="264"/>
      <c r="CQE7" s="264"/>
      <c r="CQF7" s="264"/>
      <c r="CQG7" s="264"/>
      <c r="CQH7" s="264"/>
      <c r="CQI7" s="264"/>
      <c r="CQJ7" s="264"/>
      <c r="CQK7" s="264"/>
      <c r="CQL7" s="264"/>
      <c r="CQM7" s="264"/>
      <c r="CQN7" s="264"/>
      <c r="CQO7" s="264"/>
      <c r="CQP7" s="264"/>
      <c r="CQQ7" s="264"/>
      <c r="CQR7" s="264"/>
      <c r="CQS7" s="264"/>
      <c r="CQT7" s="264"/>
      <c r="CQU7" s="264"/>
      <c r="CQV7" s="264"/>
      <c r="CQW7" s="264"/>
      <c r="CQX7" s="264"/>
      <c r="CQY7" s="264"/>
      <c r="CQZ7" s="264"/>
      <c r="CRA7" s="264"/>
      <c r="CRB7" s="264"/>
      <c r="CRC7" s="264"/>
      <c r="CRD7" s="264"/>
      <c r="CRE7" s="264"/>
      <c r="CRF7" s="264"/>
      <c r="CRG7" s="264"/>
      <c r="CRH7" s="264"/>
      <c r="CRI7" s="264"/>
      <c r="CRJ7" s="264"/>
      <c r="CRK7" s="264"/>
      <c r="CRL7" s="264"/>
      <c r="CRM7" s="264"/>
      <c r="CRN7" s="264"/>
      <c r="CRO7" s="264"/>
      <c r="CRP7" s="264"/>
      <c r="CRQ7" s="264"/>
      <c r="CRR7" s="264"/>
      <c r="CRS7" s="264"/>
      <c r="CRT7" s="264"/>
      <c r="CRU7" s="264"/>
      <c r="CRV7" s="264"/>
      <c r="CRW7" s="264"/>
      <c r="CRX7" s="264"/>
      <c r="CRY7" s="264"/>
      <c r="CRZ7" s="264"/>
      <c r="CSA7" s="264"/>
      <c r="CSB7" s="264"/>
      <c r="CSC7" s="264"/>
      <c r="CSD7" s="264"/>
      <c r="CSE7" s="264"/>
      <c r="CSF7" s="264"/>
      <c r="CSG7" s="264"/>
      <c r="CSH7" s="264"/>
      <c r="CSI7" s="264"/>
      <c r="CSJ7" s="264"/>
      <c r="CSK7" s="264"/>
      <c r="CSL7" s="264"/>
      <c r="CSM7" s="264"/>
      <c r="CSN7" s="264"/>
      <c r="CSO7" s="264"/>
      <c r="CSP7" s="264"/>
      <c r="CSQ7" s="264"/>
      <c r="CSR7" s="264"/>
      <c r="CSS7" s="264"/>
      <c r="CST7" s="264"/>
      <c r="CSU7" s="264"/>
      <c r="CSV7" s="264"/>
      <c r="CSW7" s="264"/>
      <c r="CSX7" s="264"/>
      <c r="CSY7" s="264"/>
      <c r="CSZ7" s="264"/>
      <c r="CTA7" s="264"/>
      <c r="CTB7" s="264"/>
      <c r="CTC7" s="264"/>
      <c r="CTD7" s="264"/>
      <c r="CTE7" s="264"/>
      <c r="CTF7" s="264"/>
      <c r="CTG7" s="264"/>
      <c r="CTH7" s="264"/>
      <c r="CTI7" s="264"/>
      <c r="CTJ7" s="264"/>
      <c r="CTK7" s="264"/>
      <c r="CTL7" s="264"/>
      <c r="CTM7" s="264"/>
      <c r="CTN7" s="264"/>
      <c r="CTO7" s="264"/>
      <c r="CTP7" s="264"/>
      <c r="CTQ7" s="264"/>
      <c r="CTR7" s="264"/>
      <c r="CTS7" s="264"/>
      <c r="CTT7" s="264"/>
      <c r="CTU7" s="264"/>
      <c r="CTV7" s="264"/>
      <c r="CTW7" s="264"/>
      <c r="CTX7" s="264"/>
      <c r="CTY7" s="264"/>
      <c r="CTZ7" s="264"/>
      <c r="CUA7" s="264"/>
      <c r="CUB7" s="264"/>
      <c r="CUC7" s="264"/>
      <c r="CUD7" s="264"/>
      <c r="CUE7" s="264"/>
      <c r="CUF7" s="264"/>
      <c r="CUG7" s="264"/>
      <c r="CUH7" s="264"/>
      <c r="CUI7" s="264"/>
      <c r="CUJ7" s="264"/>
      <c r="CUK7" s="264"/>
      <c r="CUL7" s="264"/>
      <c r="CUM7" s="264"/>
      <c r="CUN7" s="264"/>
      <c r="CUO7" s="264"/>
      <c r="CUP7" s="264"/>
      <c r="CUQ7" s="264"/>
      <c r="CUR7" s="264"/>
      <c r="CUS7" s="264"/>
      <c r="CUT7" s="264"/>
      <c r="CUU7" s="264"/>
      <c r="CUV7" s="264"/>
      <c r="CUW7" s="264"/>
      <c r="CUX7" s="264"/>
      <c r="CUY7" s="264"/>
      <c r="CUZ7" s="264"/>
      <c r="CVA7" s="264"/>
      <c r="CVB7" s="264"/>
      <c r="CVC7" s="264"/>
      <c r="CVD7" s="264"/>
      <c r="CVE7" s="264"/>
      <c r="CVF7" s="264"/>
      <c r="CVG7" s="264"/>
      <c r="CVH7" s="264"/>
      <c r="CVI7" s="264"/>
      <c r="CVJ7" s="264"/>
      <c r="CVK7" s="264"/>
      <c r="CVL7" s="264"/>
      <c r="CVM7" s="264"/>
      <c r="CVN7" s="264"/>
      <c r="CVO7" s="264"/>
      <c r="CVP7" s="264"/>
      <c r="CVQ7" s="264"/>
      <c r="CVR7" s="264"/>
      <c r="CVS7" s="264"/>
      <c r="CVT7" s="264"/>
      <c r="CVU7" s="264"/>
      <c r="CVV7" s="264"/>
      <c r="CVW7" s="264"/>
      <c r="CVX7" s="264"/>
      <c r="CVY7" s="264"/>
      <c r="CVZ7" s="264"/>
      <c r="CWA7" s="264"/>
      <c r="CWB7" s="264"/>
      <c r="CWC7" s="264"/>
      <c r="CWD7" s="264"/>
      <c r="CWE7" s="264"/>
      <c r="CWF7" s="264"/>
      <c r="CWG7" s="264"/>
      <c r="CWH7" s="264"/>
      <c r="CWI7" s="264"/>
      <c r="CWJ7" s="264"/>
      <c r="CWK7" s="264"/>
      <c r="CWL7" s="264"/>
      <c r="CWM7" s="264"/>
      <c r="CWN7" s="264"/>
      <c r="CWO7" s="264"/>
      <c r="CWP7" s="264"/>
      <c r="CWQ7" s="264"/>
      <c r="CWR7" s="264"/>
      <c r="CWS7" s="264"/>
      <c r="CWT7" s="264"/>
      <c r="CWU7" s="264"/>
      <c r="CWV7" s="264"/>
      <c r="CWW7" s="264"/>
      <c r="CWX7" s="264"/>
      <c r="CWY7" s="264"/>
      <c r="CWZ7" s="264"/>
      <c r="CXA7" s="264"/>
      <c r="CXB7" s="264"/>
      <c r="CXC7" s="264"/>
      <c r="CXD7" s="264"/>
      <c r="CXE7" s="264"/>
      <c r="CXF7" s="264"/>
      <c r="CXG7" s="264"/>
      <c r="CXH7" s="264"/>
      <c r="CXI7" s="264"/>
      <c r="CXJ7" s="264"/>
      <c r="CXK7" s="264"/>
      <c r="CXL7" s="264"/>
      <c r="CXM7" s="264"/>
      <c r="CXN7" s="264"/>
      <c r="CXO7" s="264"/>
      <c r="CXP7" s="264"/>
      <c r="CXQ7" s="264"/>
      <c r="CXR7" s="264"/>
      <c r="CXS7" s="264"/>
      <c r="CXT7" s="264"/>
      <c r="CXU7" s="264"/>
      <c r="CXV7" s="264"/>
      <c r="CXW7" s="264"/>
      <c r="CXX7" s="264"/>
      <c r="CXY7" s="264"/>
      <c r="CXZ7" s="264"/>
      <c r="CYA7" s="264"/>
      <c r="CYB7" s="264"/>
      <c r="CYC7" s="264"/>
      <c r="CYD7" s="264"/>
      <c r="CYE7" s="264"/>
      <c r="CYF7" s="264"/>
      <c r="CYG7" s="264"/>
      <c r="CYH7" s="264"/>
      <c r="CYI7" s="264"/>
      <c r="CYJ7" s="264"/>
      <c r="CYK7" s="264"/>
      <c r="CYL7" s="264"/>
      <c r="CYM7" s="264"/>
      <c r="CYN7" s="264"/>
      <c r="CYO7" s="264"/>
      <c r="CYP7" s="264"/>
      <c r="CYQ7" s="264"/>
      <c r="CYR7" s="264"/>
      <c r="CYS7" s="264"/>
      <c r="CYT7" s="264"/>
      <c r="CYU7" s="264"/>
      <c r="CYV7" s="264"/>
      <c r="CYW7" s="264"/>
      <c r="CYX7" s="264"/>
      <c r="CYY7" s="264"/>
      <c r="CYZ7" s="264"/>
      <c r="CZA7" s="264"/>
      <c r="CZB7" s="264"/>
      <c r="CZC7" s="264"/>
      <c r="CZD7" s="264"/>
      <c r="CZE7" s="264"/>
      <c r="CZF7" s="264"/>
      <c r="CZG7" s="264"/>
      <c r="CZH7" s="264"/>
      <c r="CZI7" s="264"/>
      <c r="CZJ7" s="264"/>
      <c r="CZK7" s="264"/>
      <c r="CZL7" s="264"/>
      <c r="CZM7" s="264"/>
      <c r="CZN7" s="264"/>
      <c r="CZO7" s="264"/>
      <c r="CZP7" s="264"/>
      <c r="CZQ7" s="264"/>
      <c r="CZR7" s="264"/>
      <c r="CZS7" s="264"/>
      <c r="CZT7" s="264"/>
      <c r="CZU7" s="264"/>
      <c r="CZV7" s="264"/>
      <c r="CZW7" s="264"/>
      <c r="CZX7" s="264"/>
      <c r="CZY7" s="264"/>
      <c r="CZZ7" s="264"/>
      <c r="DAA7" s="264"/>
      <c r="DAB7" s="264"/>
      <c r="DAC7" s="264"/>
      <c r="DAD7" s="264"/>
      <c r="DAE7" s="264"/>
      <c r="DAF7" s="264"/>
      <c r="DAG7" s="264"/>
      <c r="DAH7" s="264"/>
      <c r="DAI7" s="264"/>
      <c r="DAJ7" s="264"/>
      <c r="DAK7" s="264"/>
      <c r="DAL7" s="264"/>
      <c r="DAM7" s="264"/>
      <c r="DAN7" s="264"/>
      <c r="DAO7" s="264"/>
      <c r="DAP7" s="264"/>
      <c r="DAQ7" s="264"/>
      <c r="DAR7" s="264"/>
      <c r="DAS7" s="264"/>
      <c r="DAT7" s="264"/>
      <c r="DAU7" s="264"/>
      <c r="DAV7" s="264"/>
      <c r="DAW7" s="264"/>
      <c r="DAX7" s="264"/>
      <c r="DAY7" s="264"/>
      <c r="DAZ7" s="264"/>
      <c r="DBA7" s="264"/>
      <c r="DBB7" s="264"/>
      <c r="DBC7" s="264"/>
      <c r="DBD7" s="264"/>
      <c r="DBE7" s="264"/>
      <c r="DBF7" s="264"/>
      <c r="DBG7" s="264"/>
      <c r="DBH7" s="264"/>
      <c r="DBI7" s="264"/>
      <c r="DBJ7" s="264"/>
      <c r="DBK7" s="264"/>
      <c r="DBL7" s="264"/>
      <c r="DBM7" s="264"/>
      <c r="DBN7" s="264"/>
      <c r="DBO7" s="264"/>
      <c r="DBP7" s="264"/>
      <c r="DBQ7" s="264"/>
      <c r="DBR7" s="264"/>
      <c r="DBS7" s="264"/>
      <c r="DBT7" s="264"/>
      <c r="DBU7" s="264"/>
      <c r="DBV7" s="264"/>
      <c r="DBW7" s="264"/>
      <c r="DBX7" s="264"/>
      <c r="DBY7" s="264"/>
      <c r="DBZ7" s="264"/>
      <c r="DCA7" s="264"/>
      <c r="DCB7" s="264"/>
      <c r="DCC7" s="264"/>
      <c r="DCD7" s="264"/>
      <c r="DCE7" s="264"/>
      <c r="DCF7" s="264"/>
      <c r="DCG7" s="264"/>
      <c r="DCH7" s="264"/>
      <c r="DCI7" s="264"/>
      <c r="DCJ7" s="264"/>
      <c r="DCK7" s="264"/>
      <c r="DCL7" s="264"/>
      <c r="DCM7" s="264"/>
      <c r="DCN7" s="264"/>
      <c r="DCO7" s="264"/>
      <c r="DCP7" s="264"/>
      <c r="DCQ7" s="264"/>
      <c r="DCR7" s="264"/>
      <c r="DCS7" s="264"/>
      <c r="DCT7" s="264"/>
      <c r="DCU7" s="264"/>
      <c r="DCV7" s="264"/>
      <c r="DCW7" s="264"/>
      <c r="DCX7" s="264"/>
      <c r="DCY7" s="264"/>
      <c r="DCZ7" s="264"/>
      <c r="DDA7" s="264"/>
      <c r="DDB7" s="264"/>
      <c r="DDC7" s="264"/>
      <c r="DDD7" s="264"/>
      <c r="DDE7" s="264"/>
      <c r="DDF7" s="264"/>
      <c r="DDG7" s="264"/>
      <c r="DDH7" s="264"/>
      <c r="DDI7" s="264"/>
      <c r="DDJ7" s="264"/>
      <c r="DDK7" s="264"/>
      <c r="DDL7" s="264"/>
      <c r="DDM7" s="264"/>
      <c r="DDN7" s="264"/>
      <c r="DDO7" s="264"/>
      <c r="DDP7" s="264"/>
      <c r="DDQ7" s="264"/>
      <c r="DDR7" s="264"/>
      <c r="DDS7" s="264"/>
      <c r="DDT7" s="264"/>
      <c r="DDU7" s="264"/>
      <c r="DDV7" s="264"/>
      <c r="DDW7" s="264"/>
      <c r="DDX7" s="264"/>
      <c r="DDY7" s="264"/>
      <c r="DDZ7" s="264"/>
      <c r="DEA7" s="264"/>
      <c r="DEB7" s="264"/>
      <c r="DEC7" s="264"/>
      <c r="DED7" s="264"/>
      <c r="DEE7" s="264"/>
      <c r="DEF7" s="264"/>
      <c r="DEG7" s="264"/>
      <c r="DEH7" s="264"/>
      <c r="DEI7" s="264"/>
      <c r="DEJ7" s="264"/>
      <c r="DEK7" s="264"/>
      <c r="DEL7" s="264"/>
      <c r="DEM7" s="264"/>
      <c r="DEN7" s="264"/>
      <c r="DEO7" s="264"/>
      <c r="DEP7" s="264"/>
      <c r="DEQ7" s="264"/>
      <c r="DER7" s="264"/>
      <c r="DES7" s="264"/>
      <c r="DET7" s="264"/>
      <c r="DEU7" s="264"/>
      <c r="DEV7" s="264"/>
      <c r="DEW7" s="264"/>
      <c r="DEX7" s="264"/>
      <c r="DEY7" s="264"/>
      <c r="DEZ7" s="264"/>
      <c r="DFA7" s="264"/>
      <c r="DFB7" s="264"/>
      <c r="DFC7" s="264"/>
      <c r="DFD7" s="264"/>
      <c r="DFE7" s="264"/>
      <c r="DFF7" s="264"/>
      <c r="DFG7" s="264"/>
      <c r="DFH7" s="264"/>
      <c r="DFI7" s="264"/>
      <c r="DFJ7" s="264"/>
      <c r="DFK7" s="264"/>
      <c r="DFL7" s="264"/>
      <c r="DFM7" s="264"/>
      <c r="DFN7" s="264"/>
      <c r="DFO7" s="264"/>
      <c r="DFP7" s="264"/>
      <c r="DFQ7" s="264"/>
      <c r="DFR7" s="264"/>
      <c r="DFS7" s="264"/>
      <c r="DFT7" s="264"/>
      <c r="DFU7" s="264"/>
      <c r="DFV7" s="264"/>
      <c r="DFW7" s="264"/>
      <c r="DFX7" s="264"/>
      <c r="DFY7" s="264"/>
      <c r="DFZ7" s="264"/>
      <c r="DGA7" s="264"/>
      <c r="DGB7" s="264"/>
      <c r="DGC7" s="264"/>
      <c r="DGD7" s="264"/>
      <c r="DGE7" s="264"/>
      <c r="DGF7" s="264"/>
      <c r="DGG7" s="264"/>
      <c r="DGH7" s="264"/>
      <c r="DGI7" s="264"/>
      <c r="DGJ7" s="264"/>
      <c r="DGK7" s="264"/>
      <c r="DGL7" s="264"/>
      <c r="DGM7" s="264"/>
      <c r="DGN7" s="264"/>
      <c r="DGO7" s="264"/>
      <c r="DGP7" s="264"/>
      <c r="DGQ7" s="264"/>
      <c r="DGR7" s="264"/>
      <c r="DGS7" s="264"/>
      <c r="DGT7" s="264"/>
      <c r="DGU7" s="264"/>
      <c r="DGV7" s="264"/>
      <c r="DGW7" s="264"/>
      <c r="DGX7" s="264"/>
      <c r="DGY7" s="264"/>
      <c r="DGZ7" s="264"/>
      <c r="DHA7" s="264"/>
      <c r="DHB7" s="264"/>
      <c r="DHC7" s="264"/>
      <c r="DHD7" s="264"/>
      <c r="DHE7" s="264"/>
      <c r="DHF7" s="264"/>
      <c r="DHG7" s="264"/>
      <c r="DHH7" s="264"/>
      <c r="DHI7" s="264"/>
      <c r="DHJ7" s="264"/>
      <c r="DHK7" s="264"/>
      <c r="DHL7" s="264"/>
      <c r="DHM7" s="264"/>
      <c r="DHN7" s="264"/>
      <c r="DHO7" s="264"/>
      <c r="DHP7" s="264"/>
      <c r="DHQ7" s="264"/>
      <c r="DHR7" s="264"/>
      <c r="DHS7" s="264"/>
      <c r="DHT7" s="264"/>
      <c r="DHU7" s="264"/>
      <c r="DHV7" s="264"/>
      <c r="DHW7" s="264"/>
      <c r="DHX7" s="264"/>
      <c r="DHY7" s="264"/>
      <c r="DHZ7" s="264"/>
      <c r="DIA7" s="264"/>
      <c r="DIB7" s="264"/>
      <c r="DIC7" s="264"/>
      <c r="DID7" s="264"/>
      <c r="DIE7" s="264"/>
      <c r="DIF7" s="264"/>
      <c r="DIG7" s="264"/>
      <c r="DIH7" s="264"/>
      <c r="DII7" s="264"/>
      <c r="DIJ7" s="264"/>
      <c r="DIK7" s="264"/>
      <c r="DIL7" s="264"/>
      <c r="DIM7" s="264"/>
      <c r="DIN7" s="264"/>
      <c r="DIO7" s="264"/>
      <c r="DIP7" s="264"/>
      <c r="DIQ7" s="264"/>
      <c r="DIR7" s="264"/>
      <c r="DIS7" s="264"/>
      <c r="DIT7" s="264"/>
      <c r="DIU7" s="264"/>
      <c r="DIV7" s="264"/>
      <c r="DIW7" s="264"/>
      <c r="DIX7" s="264"/>
      <c r="DIY7" s="264"/>
      <c r="DIZ7" s="264"/>
      <c r="DJA7" s="264"/>
      <c r="DJB7" s="264"/>
      <c r="DJC7" s="264"/>
      <c r="DJD7" s="264"/>
      <c r="DJE7" s="264"/>
      <c r="DJF7" s="264"/>
      <c r="DJG7" s="264"/>
      <c r="DJH7" s="264"/>
      <c r="DJI7" s="264"/>
      <c r="DJJ7" s="264"/>
      <c r="DJK7" s="264"/>
      <c r="DJL7" s="264"/>
      <c r="DJM7" s="264"/>
      <c r="DJN7" s="264"/>
      <c r="DJO7" s="264"/>
      <c r="DJP7" s="264"/>
      <c r="DJQ7" s="264"/>
      <c r="DJR7" s="264"/>
      <c r="DJS7" s="264"/>
      <c r="DJT7" s="264"/>
      <c r="DJU7" s="264"/>
      <c r="DJV7" s="264"/>
      <c r="DJW7" s="264"/>
      <c r="DJX7" s="264"/>
      <c r="DJY7" s="264"/>
      <c r="DJZ7" s="264"/>
      <c r="DKA7" s="264"/>
      <c r="DKB7" s="264"/>
      <c r="DKC7" s="264"/>
      <c r="DKD7" s="264"/>
      <c r="DKE7" s="264"/>
      <c r="DKF7" s="264"/>
      <c r="DKG7" s="264"/>
      <c r="DKH7" s="264"/>
      <c r="DKI7" s="264"/>
      <c r="DKJ7" s="264"/>
      <c r="DKK7" s="264"/>
      <c r="DKL7" s="264"/>
      <c r="DKM7" s="264"/>
      <c r="DKN7" s="264"/>
      <c r="DKO7" s="264"/>
      <c r="DKP7" s="264"/>
      <c r="DKQ7" s="264"/>
      <c r="DKR7" s="264"/>
      <c r="DKS7" s="264"/>
      <c r="DKT7" s="264"/>
      <c r="DKU7" s="264"/>
      <c r="DKV7" s="264"/>
      <c r="DKW7" s="264"/>
      <c r="DKX7" s="264"/>
      <c r="DKY7" s="264"/>
      <c r="DKZ7" s="264"/>
      <c r="DLA7" s="264"/>
      <c r="DLB7" s="264"/>
      <c r="DLC7" s="264"/>
      <c r="DLD7" s="264"/>
      <c r="DLE7" s="264"/>
      <c r="DLF7" s="264"/>
      <c r="DLG7" s="264"/>
      <c r="DLH7" s="264"/>
      <c r="DLI7" s="264"/>
      <c r="DLJ7" s="264"/>
      <c r="DLK7" s="264"/>
      <c r="DLL7" s="264"/>
      <c r="DLM7" s="264"/>
      <c r="DLN7" s="264"/>
      <c r="DLO7" s="264"/>
      <c r="DLP7" s="264"/>
      <c r="DLQ7" s="264"/>
      <c r="DLR7" s="264"/>
      <c r="DLS7" s="264"/>
      <c r="DLT7" s="264"/>
      <c r="DLU7" s="264"/>
      <c r="DLV7" s="264"/>
      <c r="DLW7" s="264"/>
      <c r="DLX7" s="264"/>
      <c r="DLY7" s="264"/>
      <c r="DLZ7" s="264"/>
      <c r="DMA7" s="264"/>
      <c r="DMB7" s="264"/>
      <c r="DMC7" s="264"/>
      <c r="DMD7" s="264"/>
      <c r="DME7" s="264"/>
      <c r="DMF7" s="264"/>
      <c r="DMG7" s="264"/>
      <c r="DMH7" s="264"/>
      <c r="DMI7" s="264"/>
      <c r="DMJ7" s="264"/>
      <c r="DMK7" s="264"/>
      <c r="DML7" s="264"/>
      <c r="DMM7" s="264"/>
      <c r="DMN7" s="264"/>
      <c r="DMO7" s="264"/>
      <c r="DMP7" s="264"/>
      <c r="DMQ7" s="264"/>
      <c r="DMR7" s="264"/>
      <c r="DMS7" s="264"/>
      <c r="DMT7" s="264"/>
      <c r="DMU7" s="264"/>
      <c r="DMV7" s="264"/>
      <c r="DMW7" s="264"/>
      <c r="DMX7" s="264"/>
      <c r="DMY7" s="264"/>
      <c r="DMZ7" s="264"/>
      <c r="DNA7" s="264"/>
      <c r="DNB7" s="264"/>
      <c r="DNC7" s="264"/>
      <c r="DND7" s="264"/>
      <c r="DNE7" s="264"/>
      <c r="DNF7" s="264"/>
      <c r="DNG7" s="264"/>
      <c r="DNH7" s="264"/>
      <c r="DNI7" s="264"/>
      <c r="DNJ7" s="264"/>
      <c r="DNK7" s="264"/>
      <c r="DNL7" s="264"/>
      <c r="DNM7" s="264"/>
      <c r="DNN7" s="264"/>
      <c r="DNO7" s="264"/>
      <c r="DNP7" s="264"/>
      <c r="DNQ7" s="264"/>
      <c r="DNR7" s="264"/>
      <c r="DNS7" s="264"/>
      <c r="DNT7" s="264"/>
      <c r="DNU7" s="264"/>
      <c r="DNV7" s="264"/>
      <c r="DNW7" s="264"/>
      <c r="DNX7" s="264"/>
      <c r="DNY7" s="264"/>
      <c r="DNZ7" s="264"/>
      <c r="DOA7" s="264"/>
      <c r="DOB7" s="264"/>
      <c r="DOC7" s="264"/>
      <c r="DOD7" s="264"/>
      <c r="DOE7" s="264"/>
      <c r="DOF7" s="264"/>
      <c r="DOG7" s="264"/>
      <c r="DOH7" s="264"/>
      <c r="DOI7" s="264"/>
      <c r="DOJ7" s="264"/>
      <c r="DOK7" s="264"/>
      <c r="DOL7" s="264"/>
      <c r="DOM7" s="264"/>
      <c r="DON7" s="264"/>
      <c r="DOO7" s="264"/>
      <c r="DOP7" s="264"/>
      <c r="DOQ7" s="264"/>
      <c r="DOR7" s="264"/>
      <c r="DOS7" s="264"/>
      <c r="DOT7" s="264"/>
      <c r="DOU7" s="264"/>
      <c r="DOV7" s="264"/>
      <c r="DOW7" s="264"/>
      <c r="DOX7" s="264"/>
      <c r="DOY7" s="264"/>
      <c r="DOZ7" s="264"/>
      <c r="DPA7" s="264"/>
      <c r="DPB7" s="264"/>
      <c r="DPC7" s="264"/>
      <c r="DPD7" s="264"/>
      <c r="DPE7" s="264"/>
      <c r="DPF7" s="264"/>
      <c r="DPG7" s="264"/>
      <c r="DPH7" s="264"/>
      <c r="DPI7" s="264"/>
      <c r="DPJ7" s="264"/>
      <c r="DPK7" s="264"/>
      <c r="DPL7" s="264"/>
      <c r="DPM7" s="264"/>
      <c r="DPN7" s="264"/>
      <c r="DPO7" s="264"/>
      <c r="DPP7" s="264"/>
      <c r="DPQ7" s="264"/>
      <c r="DPR7" s="264"/>
      <c r="DPS7" s="264"/>
      <c r="DPT7" s="264"/>
      <c r="DPU7" s="264"/>
      <c r="DPV7" s="264"/>
      <c r="DPW7" s="264"/>
      <c r="DPX7" s="264"/>
      <c r="DPY7" s="264"/>
      <c r="DPZ7" s="264"/>
      <c r="DQA7" s="264"/>
      <c r="DQB7" s="264"/>
      <c r="DQC7" s="264"/>
      <c r="DQD7" s="264"/>
      <c r="DQE7" s="264"/>
      <c r="DQF7" s="264"/>
      <c r="DQG7" s="264"/>
      <c r="DQH7" s="264"/>
      <c r="DQI7" s="264"/>
      <c r="DQJ7" s="264"/>
      <c r="DQK7" s="264"/>
      <c r="DQL7" s="264"/>
      <c r="DQM7" s="264"/>
      <c r="DQN7" s="264"/>
      <c r="DQO7" s="264"/>
      <c r="DQP7" s="264"/>
      <c r="DQQ7" s="264"/>
      <c r="DQR7" s="264"/>
      <c r="DQS7" s="264"/>
      <c r="DQT7" s="264"/>
      <c r="DQU7" s="264"/>
      <c r="DQV7" s="264"/>
      <c r="DQW7" s="264"/>
      <c r="DQX7" s="264"/>
      <c r="DQY7" s="264"/>
      <c r="DQZ7" s="264"/>
      <c r="DRA7" s="264"/>
      <c r="DRB7" s="264"/>
      <c r="DRC7" s="264"/>
      <c r="DRD7" s="264"/>
      <c r="DRE7" s="264"/>
      <c r="DRF7" s="264"/>
      <c r="DRG7" s="264"/>
      <c r="DRH7" s="264"/>
      <c r="DRI7" s="264"/>
      <c r="DRJ7" s="264"/>
      <c r="DRK7" s="264"/>
      <c r="DRL7" s="264"/>
      <c r="DRM7" s="264"/>
      <c r="DRN7" s="264"/>
      <c r="DRO7" s="264"/>
      <c r="DRP7" s="264"/>
      <c r="DRQ7" s="264"/>
      <c r="DRR7" s="264"/>
      <c r="DRS7" s="264"/>
      <c r="DRT7" s="264"/>
      <c r="DRU7" s="264"/>
      <c r="DRV7" s="264"/>
      <c r="DRW7" s="264"/>
      <c r="DRX7" s="264"/>
      <c r="DRY7" s="264"/>
      <c r="DRZ7" s="264"/>
      <c r="DSA7" s="264"/>
      <c r="DSB7" s="264"/>
      <c r="DSC7" s="264"/>
      <c r="DSD7" s="264"/>
      <c r="DSE7" s="264"/>
      <c r="DSF7" s="264"/>
      <c r="DSG7" s="264"/>
      <c r="DSH7" s="264"/>
      <c r="DSI7" s="264"/>
      <c r="DSJ7" s="264"/>
      <c r="DSK7" s="264"/>
      <c r="DSL7" s="264"/>
      <c r="DSM7" s="264"/>
      <c r="DSN7" s="264"/>
      <c r="DSO7" s="264"/>
      <c r="DSP7" s="264"/>
      <c r="DSQ7" s="264"/>
      <c r="DSR7" s="264"/>
      <c r="DSS7" s="264"/>
      <c r="DST7" s="264"/>
      <c r="DSU7" s="264"/>
      <c r="DSV7" s="264"/>
      <c r="DSW7" s="264"/>
      <c r="DSX7" s="264"/>
      <c r="DSY7" s="264"/>
      <c r="DSZ7" s="264"/>
      <c r="DTA7" s="264"/>
      <c r="DTB7" s="264"/>
      <c r="DTC7" s="264"/>
      <c r="DTD7" s="264"/>
      <c r="DTE7" s="264"/>
      <c r="DTF7" s="264"/>
      <c r="DTG7" s="264"/>
      <c r="DTH7" s="264"/>
      <c r="DTI7" s="264"/>
      <c r="DTJ7" s="264"/>
      <c r="DTK7" s="264"/>
      <c r="DTL7" s="264"/>
      <c r="DTM7" s="264"/>
      <c r="DTN7" s="264"/>
      <c r="DTO7" s="264"/>
      <c r="DTP7" s="264"/>
      <c r="DTQ7" s="264"/>
      <c r="DTR7" s="264"/>
      <c r="DTS7" s="264"/>
      <c r="DTT7" s="264"/>
      <c r="DTU7" s="264"/>
      <c r="DTV7" s="264"/>
      <c r="DTW7" s="264"/>
      <c r="DTX7" s="264"/>
      <c r="DTY7" s="264"/>
      <c r="DTZ7" s="264"/>
      <c r="DUA7" s="264"/>
      <c r="DUB7" s="264"/>
      <c r="DUC7" s="264"/>
      <c r="DUD7" s="264"/>
      <c r="DUE7" s="264"/>
      <c r="DUF7" s="264"/>
      <c r="DUG7" s="264"/>
      <c r="DUH7" s="264"/>
      <c r="DUI7" s="264"/>
      <c r="DUJ7" s="264"/>
      <c r="DUK7" s="264"/>
      <c r="DUL7" s="264"/>
      <c r="DUM7" s="264"/>
      <c r="DUN7" s="264"/>
      <c r="DUO7" s="264"/>
      <c r="DUP7" s="264"/>
      <c r="DUQ7" s="264"/>
      <c r="DUR7" s="264"/>
      <c r="DUS7" s="264"/>
      <c r="DUT7" s="264"/>
      <c r="DUU7" s="264"/>
      <c r="DUV7" s="264"/>
      <c r="DUW7" s="264"/>
      <c r="DUX7" s="264"/>
      <c r="DUY7" s="264"/>
      <c r="DUZ7" s="264"/>
      <c r="DVA7" s="264"/>
      <c r="DVB7" s="264"/>
      <c r="DVC7" s="264"/>
      <c r="DVD7" s="264"/>
      <c r="DVE7" s="264"/>
      <c r="DVF7" s="264"/>
      <c r="DVG7" s="264"/>
      <c r="DVH7" s="264"/>
      <c r="DVI7" s="264"/>
      <c r="DVJ7" s="264"/>
      <c r="DVK7" s="264"/>
      <c r="DVL7" s="264"/>
      <c r="DVM7" s="264"/>
      <c r="DVN7" s="264"/>
      <c r="DVO7" s="264"/>
      <c r="DVP7" s="264"/>
      <c r="DVQ7" s="264"/>
      <c r="DVR7" s="264"/>
      <c r="DVS7" s="264"/>
      <c r="DVT7" s="264"/>
      <c r="DVU7" s="264"/>
      <c r="DVV7" s="264"/>
      <c r="DVW7" s="264"/>
      <c r="DVX7" s="264"/>
      <c r="DVY7" s="264"/>
      <c r="DVZ7" s="264"/>
      <c r="DWA7" s="264"/>
      <c r="DWB7" s="264"/>
      <c r="DWC7" s="264"/>
      <c r="DWD7" s="264"/>
      <c r="DWE7" s="264"/>
      <c r="DWF7" s="264"/>
      <c r="DWG7" s="264"/>
      <c r="DWH7" s="264"/>
      <c r="DWI7" s="264"/>
      <c r="DWJ7" s="264"/>
      <c r="DWK7" s="264"/>
      <c r="DWL7" s="264"/>
      <c r="DWM7" s="264"/>
      <c r="DWN7" s="264"/>
      <c r="DWO7" s="264"/>
      <c r="DWP7" s="264"/>
      <c r="DWQ7" s="264"/>
      <c r="DWR7" s="264"/>
      <c r="DWS7" s="264"/>
      <c r="DWT7" s="264"/>
      <c r="DWU7" s="264"/>
      <c r="DWV7" s="264"/>
      <c r="DWW7" s="264"/>
      <c r="DWX7" s="264"/>
      <c r="DWY7" s="264"/>
      <c r="DWZ7" s="264"/>
      <c r="DXA7" s="264"/>
      <c r="DXB7" s="264"/>
      <c r="DXC7" s="264"/>
      <c r="DXD7" s="264"/>
      <c r="DXE7" s="264"/>
      <c r="DXF7" s="264"/>
      <c r="DXG7" s="264"/>
      <c r="DXH7" s="264"/>
      <c r="DXI7" s="264"/>
      <c r="DXJ7" s="264"/>
      <c r="DXK7" s="264"/>
      <c r="DXL7" s="264"/>
      <c r="DXM7" s="264"/>
      <c r="DXN7" s="264"/>
      <c r="DXO7" s="264"/>
      <c r="DXP7" s="264"/>
      <c r="DXQ7" s="264"/>
      <c r="DXR7" s="264"/>
      <c r="DXS7" s="264"/>
      <c r="DXT7" s="264"/>
      <c r="DXU7" s="264"/>
      <c r="DXV7" s="264"/>
      <c r="DXW7" s="264"/>
      <c r="DXX7" s="264"/>
      <c r="DXY7" s="264"/>
      <c r="DXZ7" s="264"/>
      <c r="DYA7" s="264"/>
      <c r="DYB7" s="264"/>
      <c r="DYC7" s="264"/>
      <c r="DYD7" s="264"/>
      <c r="DYE7" s="264"/>
      <c r="DYF7" s="264"/>
      <c r="DYG7" s="264"/>
      <c r="DYH7" s="264"/>
      <c r="DYI7" s="264"/>
      <c r="DYJ7" s="264"/>
      <c r="DYK7" s="264"/>
      <c r="DYL7" s="264"/>
      <c r="DYM7" s="264"/>
      <c r="DYN7" s="264"/>
      <c r="DYO7" s="264"/>
      <c r="DYP7" s="264"/>
      <c r="DYQ7" s="264"/>
      <c r="DYR7" s="264"/>
      <c r="DYS7" s="264"/>
      <c r="DYT7" s="264"/>
      <c r="DYU7" s="264"/>
      <c r="DYV7" s="264"/>
      <c r="DYW7" s="264"/>
      <c r="DYX7" s="264"/>
      <c r="DYY7" s="264"/>
      <c r="DYZ7" s="264"/>
      <c r="DZA7" s="264"/>
      <c r="DZB7" s="264"/>
      <c r="DZC7" s="264"/>
      <c r="DZD7" s="264"/>
      <c r="DZE7" s="264"/>
      <c r="DZF7" s="264"/>
      <c r="DZG7" s="264"/>
      <c r="DZH7" s="264"/>
      <c r="DZI7" s="264"/>
      <c r="DZJ7" s="264"/>
      <c r="DZK7" s="264"/>
      <c r="DZL7" s="264"/>
      <c r="DZM7" s="264"/>
      <c r="DZN7" s="264"/>
      <c r="DZO7" s="264"/>
      <c r="DZP7" s="264"/>
      <c r="DZQ7" s="264"/>
      <c r="DZR7" s="264"/>
      <c r="DZS7" s="264"/>
      <c r="DZT7" s="264"/>
      <c r="DZU7" s="264"/>
      <c r="DZV7" s="264"/>
      <c r="DZW7" s="264"/>
      <c r="DZX7" s="264"/>
      <c r="DZY7" s="264"/>
      <c r="DZZ7" s="264"/>
      <c r="EAA7" s="264"/>
      <c r="EAB7" s="264"/>
      <c r="EAC7" s="264"/>
      <c r="EAD7" s="264"/>
      <c r="EAE7" s="264"/>
      <c r="EAF7" s="264"/>
      <c r="EAG7" s="264"/>
      <c r="EAH7" s="264"/>
      <c r="EAI7" s="264"/>
      <c r="EAJ7" s="264"/>
      <c r="EAK7" s="264"/>
      <c r="EAL7" s="264"/>
      <c r="EAM7" s="264"/>
      <c r="EAN7" s="264"/>
      <c r="EAO7" s="264"/>
      <c r="EAP7" s="264"/>
      <c r="EAQ7" s="264"/>
      <c r="EAR7" s="264"/>
      <c r="EAS7" s="264"/>
      <c r="EAT7" s="264"/>
      <c r="EAU7" s="264"/>
      <c r="EAV7" s="264"/>
      <c r="EAW7" s="264"/>
      <c r="EAX7" s="264"/>
      <c r="EAY7" s="264"/>
      <c r="EAZ7" s="264"/>
      <c r="EBA7" s="264"/>
      <c r="EBB7" s="264"/>
      <c r="EBC7" s="264"/>
      <c r="EBD7" s="264"/>
      <c r="EBE7" s="264"/>
      <c r="EBF7" s="264"/>
      <c r="EBG7" s="264"/>
      <c r="EBH7" s="264"/>
      <c r="EBI7" s="264"/>
      <c r="EBJ7" s="264"/>
      <c r="EBK7" s="264"/>
      <c r="EBL7" s="264"/>
      <c r="EBM7" s="264"/>
      <c r="EBN7" s="264"/>
      <c r="EBO7" s="264"/>
      <c r="EBP7" s="264"/>
      <c r="EBQ7" s="264"/>
      <c r="EBR7" s="264"/>
      <c r="EBS7" s="264"/>
      <c r="EBT7" s="264"/>
      <c r="EBU7" s="264"/>
      <c r="EBV7" s="264"/>
      <c r="EBW7" s="264"/>
      <c r="EBX7" s="264"/>
      <c r="EBY7" s="264"/>
      <c r="EBZ7" s="264"/>
      <c r="ECA7" s="264"/>
      <c r="ECB7" s="264"/>
      <c r="ECC7" s="264"/>
      <c r="ECD7" s="264"/>
      <c r="ECE7" s="264"/>
      <c r="ECF7" s="264"/>
      <c r="ECG7" s="264"/>
      <c r="ECH7" s="264"/>
      <c r="ECI7" s="264"/>
      <c r="ECJ7" s="264"/>
      <c r="ECK7" s="264"/>
      <c r="ECL7" s="264"/>
      <c r="ECM7" s="264"/>
      <c r="ECN7" s="264"/>
      <c r="ECO7" s="264"/>
      <c r="ECP7" s="264"/>
      <c r="ECQ7" s="264"/>
      <c r="ECR7" s="264"/>
      <c r="ECS7" s="264"/>
      <c r="ECT7" s="264"/>
      <c r="ECU7" s="264"/>
      <c r="ECV7" s="264"/>
      <c r="ECW7" s="264"/>
      <c r="ECX7" s="264"/>
      <c r="ECY7" s="264"/>
      <c r="ECZ7" s="264"/>
      <c r="EDA7" s="264"/>
      <c r="EDB7" s="264"/>
      <c r="EDC7" s="264"/>
      <c r="EDD7" s="264"/>
      <c r="EDE7" s="264"/>
      <c r="EDF7" s="264"/>
      <c r="EDG7" s="264"/>
      <c r="EDH7" s="264"/>
      <c r="EDI7" s="264"/>
      <c r="EDJ7" s="264"/>
      <c r="EDK7" s="264"/>
      <c r="EDL7" s="264"/>
      <c r="EDM7" s="264"/>
      <c r="EDN7" s="264"/>
      <c r="EDO7" s="264"/>
      <c r="EDP7" s="264"/>
      <c r="EDQ7" s="264"/>
      <c r="EDR7" s="264"/>
      <c r="EDS7" s="264"/>
      <c r="EDT7" s="264"/>
      <c r="EDU7" s="264"/>
      <c r="EDV7" s="264"/>
      <c r="EDW7" s="264"/>
      <c r="EDX7" s="264"/>
      <c r="EDY7" s="264"/>
      <c r="EDZ7" s="264"/>
      <c r="EEA7" s="264"/>
      <c r="EEB7" s="264"/>
      <c r="EEC7" s="264"/>
      <c r="EED7" s="264"/>
      <c r="EEE7" s="264"/>
      <c r="EEF7" s="264"/>
      <c r="EEG7" s="264"/>
      <c r="EEH7" s="264"/>
      <c r="EEI7" s="264"/>
      <c r="EEJ7" s="264"/>
      <c r="EEK7" s="264"/>
      <c r="EEL7" s="264"/>
      <c r="EEM7" s="264"/>
      <c r="EEN7" s="264"/>
      <c r="EEO7" s="264"/>
      <c r="EEP7" s="264"/>
      <c r="EEQ7" s="264"/>
      <c r="EER7" s="264"/>
      <c r="EES7" s="264"/>
      <c r="EET7" s="264"/>
      <c r="EEU7" s="264"/>
      <c r="EEV7" s="264"/>
      <c r="EEW7" s="264"/>
      <c r="EEX7" s="264"/>
      <c r="EEY7" s="264"/>
      <c r="EEZ7" s="264"/>
      <c r="EFA7" s="264"/>
      <c r="EFB7" s="264"/>
      <c r="EFC7" s="264"/>
      <c r="EFD7" s="264"/>
      <c r="EFE7" s="264"/>
      <c r="EFF7" s="264"/>
      <c r="EFG7" s="264"/>
      <c r="EFH7" s="264"/>
      <c r="EFI7" s="264"/>
      <c r="EFJ7" s="264"/>
      <c r="EFK7" s="264"/>
      <c r="EFL7" s="264"/>
      <c r="EFM7" s="264"/>
      <c r="EFN7" s="264"/>
      <c r="EFO7" s="264"/>
      <c r="EFP7" s="264"/>
      <c r="EFQ7" s="264"/>
      <c r="EFR7" s="264"/>
      <c r="EFS7" s="264"/>
      <c r="EFT7" s="264"/>
      <c r="EFU7" s="264"/>
      <c r="EFV7" s="264"/>
      <c r="EFW7" s="264"/>
      <c r="EFX7" s="264"/>
      <c r="EFY7" s="264"/>
      <c r="EFZ7" s="264"/>
      <c r="EGA7" s="264"/>
      <c r="EGB7" s="264"/>
      <c r="EGC7" s="264"/>
      <c r="EGD7" s="264"/>
      <c r="EGE7" s="264"/>
      <c r="EGF7" s="264"/>
      <c r="EGG7" s="264"/>
      <c r="EGH7" s="264"/>
      <c r="EGI7" s="264"/>
      <c r="EGJ7" s="264"/>
      <c r="EGK7" s="264"/>
      <c r="EGL7" s="264"/>
      <c r="EGM7" s="264"/>
      <c r="EGN7" s="264"/>
      <c r="EGO7" s="264"/>
      <c r="EGP7" s="264"/>
      <c r="EGQ7" s="264"/>
      <c r="EGR7" s="264"/>
      <c r="EGS7" s="264"/>
      <c r="EGT7" s="264"/>
      <c r="EGU7" s="264"/>
      <c r="EGV7" s="264"/>
      <c r="EGW7" s="264"/>
      <c r="EGX7" s="264"/>
      <c r="EGY7" s="264"/>
      <c r="EGZ7" s="264"/>
      <c r="EHA7" s="264"/>
      <c r="EHB7" s="264"/>
      <c r="EHC7" s="264"/>
      <c r="EHD7" s="264"/>
      <c r="EHE7" s="264"/>
      <c r="EHF7" s="264"/>
      <c r="EHG7" s="264"/>
      <c r="EHH7" s="264"/>
      <c r="EHI7" s="264"/>
      <c r="EHJ7" s="264"/>
      <c r="EHK7" s="264"/>
      <c r="EHL7" s="264"/>
      <c r="EHM7" s="264"/>
      <c r="EHN7" s="264"/>
      <c r="EHO7" s="264"/>
      <c r="EHP7" s="264"/>
      <c r="EHQ7" s="264"/>
      <c r="EHR7" s="264"/>
      <c r="EHS7" s="264"/>
      <c r="EHT7" s="264"/>
      <c r="EHU7" s="264"/>
      <c r="EHV7" s="264"/>
      <c r="EHW7" s="264"/>
      <c r="EHX7" s="264"/>
      <c r="EHY7" s="264"/>
      <c r="EHZ7" s="264"/>
      <c r="EIA7" s="264"/>
      <c r="EIB7" s="264"/>
      <c r="EIC7" s="264"/>
      <c r="EID7" s="264"/>
      <c r="EIE7" s="264"/>
      <c r="EIF7" s="264"/>
      <c r="EIG7" s="264"/>
      <c r="EIH7" s="264"/>
      <c r="EII7" s="264"/>
      <c r="EIJ7" s="264"/>
      <c r="EIK7" s="264"/>
      <c r="EIL7" s="264"/>
      <c r="EIM7" s="264"/>
      <c r="EIN7" s="264"/>
      <c r="EIO7" s="264"/>
      <c r="EIP7" s="264"/>
      <c r="EIQ7" s="264"/>
      <c r="EIR7" s="264"/>
      <c r="EIS7" s="264"/>
      <c r="EIT7" s="264"/>
      <c r="EIU7" s="264"/>
      <c r="EIV7" s="264"/>
      <c r="EIW7" s="264"/>
      <c r="EIX7" s="264"/>
      <c r="EIY7" s="264"/>
      <c r="EIZ7" s="264"/>
      <c r="EJA7" s="264"/>
      <c r="EJB7" s="264"/>
      <c r="EJC7" s="264"/>
      <c r="EJD7" s="264"/>
      <c r="EJE7" s="264"/>
      <c r="EJF7" s="264"/>
      <c r="EJG7" s="264"/>
      <c r="EJH7" s="264"/>
      <c r="EJI7" s="264"/>
      <c r="EJJ7" s="264"/>
      <c r="EJK7" s="264"/>
      <c r="EJL7" s="264"/>
      <c r="EJM7" s="264"/>
      <c r="EJN7" s="264"/>
      <c r="EJO7" s="264"/>
      <c r="EJP7" s="264"/>
      <c r="EJQ7" s="264"/>
      <c r="EJR7" s="264"/>
      <c r="EJS7" s="264"/>
      <c r="EJT7" s="264"/>
      <c r="EJU7" s="264"/>
      <c r="EJV7" s="264"/>
      <c r="EJW7" s="264"/>
      <c r="EJX7" s="264"/>
      <c r="EJY7" s="264"/>
      <c r="EJZ7" s="264"/>
      <c r="EKA7" s="264"/>
      <c r="EKB7" s="264"/>
      <c r="EKC7" s="264"/>
      <c r="EKD7" s="264"/>
      <c r="EKE7" s="264"/>
      <c r="EKF7" s="264"/>
      <c r="EKG7" s="264"/>
      <c r="EKH7" s="264"/>
      <c r="EKI7" s="264"/>
      <c r="EKJ7" s="264"/>
      <c r="EKK7" s="264"/>
      <c r="EKL7" s="264"/>
      <c r="EKM7" s="264"/>
      <c r="EKN7" s="264"/>
      <c r="EKO7" s="264"/>
      <c r="EKP7" s="264"/>
      <c r="EKQ7" s="264"/>
      <c r="EKR7" s="264"/>
      <c r="EKS7" s="264"/>
      <c r="EKT7" s="264"/>
      <c r="EKU7" s="264"/>
      <c r="EKV7" s="264"/>
      <c r="EKW7" s="264"/>
      <c r="EKX7" s="264"/>
      <c r="EKY7" s="264"/>
      <c r="EKZ7" s="264"/>
      <c r="ELA7" s="264"/>
      <c r="ELB7" s="264"/>
      <c r="ELC7" s="264"/>
      <c r="ELD7" s="264"/>
      <c r="ELE7" s="264"/>
      <c r="ELF7" s="264"/>
      <c r="ELG7" s="264"/>
      <c r="ELH7" s="264"/>
      <c r="ELI7" s="264"/>
      <c r="ELJ7" s="264"/>
      <c r="ELK7" s="264"/>
      <c r="ELL7" s="264"/>
      <c r="ELM7" s="264"/>
      <c r="ELN7" s="264"/>
      <c r="ELO7" s="264"/>
      <c r="ELP7" s="264"/>
      <c r="ELQ7" s="264"/>
      <c r="ELR7" s="264"/>
      <c r="ELS7" s="264"/>
      <c r="ELT7" s="264"/>
      <c r="ELU7" s="264"/>
      <c r="ELV7" s="264"/>
      <c r="ELW7" s="264"/>
      <c r="ELX7" s="264"/>
      <c r="ELY7" s="264"/>
      <c r="ELZ7" s="264"/>
      <c r="EMA7" s="264"/>
      <c r="EMB7" s="264"/>
      <c r="EMC7" s="264"/>
      <c r="EMD7" s="264"/>
      <c r="EME7" s="264"/>
      <c r="EMF7" s="264"/>
      <c r="EMG7" s="264"/>
      <c r="EMH7" s="264"/>
      <c r="EMI7" s="264"/>
      <c r="EMJ7" s="264"/>
      <c r="EMK7" s="264"/>
      <c r="EML7" s="264"/>
      <c r="EMM7" s="264"/>
      <c r="EMN7" s="264"/>
      <c r="EMO7" s="264"/>
      <c r="EMP7" s="264"/>
      <c r="EMQ7" s="264"/>
      <c r="EMR7" s="264"/>
      <c r="EMS7" s="264"/>
      <c r="EMT7" s="264"/>
      <c r="EMU7" s="264"/>
      <c r="EMV7" s="264"/>
      <c r="EMW7" s="264"/>
      <c r="EMX7" s="264"/>
      <c r="EMY7" s="264"/>
      <c r="EMZ7" s="264"/>
      <c r="ENA7" s="264"/>
      <c r="ENB7" s="264"/>
      <c r="ENC7" s="264"/>
      <c r="END7" s="264"/>
      <c r="ENE7" s="264"/>
      <c r="ENF7" s="264"/>
      <c r="ENG7" s="264"/>
      <c r="ENH7" s="264"/>
      <c r="ENI7" s="264"/>
      <c r="ENJ7" s="264"/>
      <c r="ENK7" s="264"/>
      <c r="ENL7" s="264"/>
      <c r="ENM7" s="264"/>
      <c r="ENN7" s="264"/>
      <c r="ENO7" s="264"/>
      <c r="ENP7" s="264"/>
      <c r="ENQ7" s="264"/>
      <c r="ENR7" s="264"/>
      <c r="ENS7" s="264"/>
      <c r="ENT7" s="264"/>
      <c r="ENU7" s="264"/>
      <c r="ENV7" s="264"/>
      <c r="ENW7" s="264"/>
      <c r="ENX7" s="264"/>
      <c r="ENY7" s="264"/>
      <c r="ENZ7" s="264"/>
      <c r="EOA7" s="264"/>
      <c r="EOB7" s="264"/>
      <c r="EOC7" s="264"/>
      <c r="EOD7" s="264"/>
      <c r="EOE7" s="264"/>
      <c r="EOF7" s="264"/>
      <c r="EOG7" s="264"/>
      <c r="EOH7" s="264"/>
      <c r="EOI7" s="264"/>
      <c r="EOJ7" s="264"/>
      <c r="EOK7" s="264"/>
      <c r="EOL7" s="264"/>
      <c r="EOM7" s="264"/>
      <c r="EON7" s="264"/>
      <c r="EOO7" s="264"/>
      <c r="EOP7" s="264"/>
      <c r="EOQ7" s="264"/>
      <c r="EOR7" s="264"/>
      <c r="EOS7" s="264"/>
      <c r="EOT7" s="264"/>
      <c r="EOU7" s="264"/>
      <c r="EOV7" s="264"/>
      <c r="EOW7" s="264"/>
      <c r="EOX7" s="264"/>
      <c r="EOY7" s="264"/>
      <c r="EOZ7" s="264"/>
      <c r="EPA7" s="264"/>
      <c r="EPB7" s="264"/>
      <c r="EPC7" s="264"/>
      <c r="EPD7" s="264"/>
      <c r="EPE7" s="264"/>
      <c r="EPF7" s="264"/>
      <c r="EPG7" s="264"/>
      <c r="EPH7" s="264"/>
      <c r="EPI7" s="264"/>
      <c r="EPJ7" s="264"/>
      <c r="EPK7" s="264"/>
      <c r="EPL7" s="264"/>
      <c r="EPM7" s="264"/>
      <c r="EPN7" s="264"/>
      <c r="EPO7" s="264"/>
      <c r="EPP7" s="264"/>
      <c r="EPQ7" s="264"/>
      <c r="EPR7" s="264"/>
      <c r="EPS7" s="264"/>
      <c r="EPT7" s="264"/>
      <c r="EPU7" s="264"/>
      <c r="EPV7" s="264"/>
      <c r="EPW7" s="264"/>
      <c r="EPX7" s="264"/>
      <c r="EPY7" s="264"/>
      <c r="EPZ7" s="264"/>
      <c r="EQA7" s="264"/>
      <c r="EQB7" s="264"/>
      <c r="EQC7" s="264"/>
      <c r="EQD7" s="264"/>
      <c r="EQE7" s="264"/>
      <c r="EQF7" s="264"/>
      <c r="EQG7" s="264"/>
      <c r="EQH7" s="264"/>
      <c r="EQI7" s="264"/>
      <c r="EQJ7" s="264"/>
      <c r="EQK7" s="264"/>
      <c r="EQL7" s="264"/>
      <c r="EQM7" s="264"/>
      <c r="EQN7" s="264"/>
      <c r="EQO7" s="264"/>
      <c r="EQP7" s="264"/>
      <c r="EQQ7" s="264"/>
      <c r="EQR7" s="264"/>
      <c r="EQS7" s="264"/>
      <c r="EQT7" s="264"/>
      <c r="EQU7" s="264"/>
      <c r="EQV7" s="264"/>
      <c r="EQW7" s="264"/>
      <c r="EQX7" s="264"/>
      <c r="EQY7" s="264"/>
      <c r="EQZ7" s="264"/>
      <c r="ERA7" s="264"/>
      <c r="ERB7" s="264"/>
      <c r="ERC7" s="264"/>
      <c r="ERD7" s="264"/>
      <c r="ERE7" s="264"/>
      <c r="ERF7" s="264"/>
      <c r="ERG7" s="264"/>
      <c r="ERH7" s="264"/>
      <c r="ERI7" s="264"/>
      <c r="ERJ7" s="264"/>
      <c r="ERK7" s="264"/>
      <c r="ERL7" s="264"/>
      <c r="ERM7" s="264"/>
      <c r="ERN7" s="264"/>
      <c r="ERO7" s="264"/>
      <c r="ERP7" s="264"/>
      <c r="ERQ7" s="264"/>
      <c r="ERR7" s="264"/>
      <c r="ERS7" s="264"/>
      <c r="ERT7" s="264"/>
      <c r="ERU7" s="264"/>
      <c r="ERV7" s="264"/>
      <c r="ERW7" s="264"/>
      <c r="ERX7" s="264"/>
      <c r="ERY7" s="264"/>
      <c r="ERZ7" s="264"/>
      <c r="ESA7" s="264"/>
      <c r="ESB7" s="264"/>
      <c r="ESC7" s="264"/>
      <c r="ESD7" s="264"/>
      <c r="ESE7" s="264"/>
      <c r="ESF7" s="264"/>
      <c r="ESG7" s="264"/>
      <c r="ESH7" s="264"/>
      <c r="ESI7" s="264"/>
      <c r="ESJ7" s="264"/>
      <c r="ESK7" s="264"/>
      <c r="ESL7" s="264"/>
      <c r="ESM7" s="264"/>
      <c r="ESN7" s="264"/>
      <c r="ESO7" s="264"/>
      <c r="ESP7" s="264"/>
      <c r="ESQ7" s="264"/>
      <c r="ESR7" s="264"/>
      <c r="ESS7" s="264"/>
      <c r="EST7" s="264"/>
      <c r="ESU7" s="264"/>
      <c r="ESV7" s="264"/>
      <c r="ESW7" s="264"/>
      <c r="ESX7" s="264"/>
      <c r="ESY7" s="264"/>
      <c r="ESZ7" s="264"/>
      <c r="ETA7" s="264"/>
      <c r="ETB7" s="264"/>
      <c r="ETC7" s="264"/>
      <c r="ETD7" s="264"/>
      <c r="ETE7" s="264"/>
      <c r="ETF7" s="264"/>
      <c r="ETG7" s="264"/>
      <c r="ETH7" s="264"/>
      <c r="ETI7" s="264"/>
      <c r="ETJ7" s="264"/>
      <c r="ETK7" s="264"/>
      <c r="ETL7" s="264"/>
      <c r="ETM7" s="264"/>
      <c r="ETN7" s="264"/>
      <c r="ETO7" s="264"/>
      <c r="ETP7" s="264"/>
      <c r="ETQ7" s="264"/>
      <c r="ETR7" s="264"/>
      <c r="ETS7" s="264"/>
      <c r="ETT7" s="264"/>
      <c r="ETU7" s="264"/>
      <c r="ETV7" s="264"/>
      <c r="ETW7" s="264"/>
      <c r="ETX7" s="264"/>
      <c r="ETY7" s="264"/>
      <c r="ETZ7" s="264"/>
      <c r="EUA7" s="264"/>
      <c r="EUB7" s="264"/>
      <c r="EUC7" s="264"/>
      <c r="EUD7" s="264"/>
      <c r="EUE7" s="264"/>
      <c r="EUF7" s="264"/>
      <c r="EUG7" s="264"/>
      <c r="EUH7" s="264"/>
      <c r="EUI7" s="264"/>
      <c r="EUJ7" s="264"/>
      <c r="EUK7" s="264"/>
      <c r="EUL7" s="264"/>
      <c r="EUM7" s="264"/>
      <c r="EUN7" s="264"/>
      <c r="EUO7" s="264"/>
      <c r="EUP7" s="264"/>
      <c r="EUQ7" s="264"/>
      <c r="EUR7" s="264"/>
      <c r="EUS7" s="264"/>
      <c r="EUT7" s="264"/>
      <c r="EUU7" s="264"/>
      <c r="EUV7" s="264"/>
      <c r="EUW7" s="264"/>
      <c r="EUX7" s="264"/>
      <c r="EUY7" s="264"/>
      <c r="EUZ7" s="264"/>
      <c r="EVA7" s="264"/>
      <c r="EVB7" s="264"/>
      <c r="EVC7" s="264"/>
      <c r="EVD7" s="264"/>
      <c r="EVE7" s="264"/>
      <c r="EVF7" s="264"/>
      <c r="EVG7" s="264"/>
      <c r="EVH7" s="264"/>
      <c r="EVI7" s="264"/>
      <c r="EVJ7" s="264"/>
      <c r="EVK7" s="264"/>
      <c r="EVL7" s="264"/>
      <c r="EVM7" s="264"/>
      <c r="EVN7" s="264"/>
      <c r="EVO7" s="264"/>
      <c r="EVP7" s="264"/>
      <c r="EVQ7" s="264"/>
      <c r="EVR7" s="264"/>
      <c r="EVS7" s="264"/>
      <c r="EVT7" s="264"/>
      <c r="EVU7" s="264"/>
      <c r="EVV7" s="264"/>
      <c r="EVW7" s="264"/>
      <c r="EVX7" s="264"/>
      <c r="EVY7" s="264"/>
      <c r="EVZ7" s="264"/>
      <c r="EWA7" s="264"/>
      <c r="EWB7" s="264"/>
      <c r="EWC7" s="264"/>
      <c r="EWD7" s="264"/>
      <c r="EWE7" s="264"/>
      <c r="EWF7" s="264"/>
      <c r="EWG7" s="264"/>
      <c r="EWH7" s="264"/>
      <c r="EWI7" s="264"/>
      <c r="EWJ7" s="264"/>
      <c r="EWK7" s="264"/>
      <c r="EWL7" s="264"/>
      <c r="EWM7" s="264"/>
      <c r="EWN7" s="264"/>
      <c r="EWO7" s="264"/>
      <c r="EWP7" s="264"/>
      <c r="EWQ7" s="264"/>
      <c r="EWR7" s="264"/>
      <c r="EWS7" s="264"/>
      <c r="EWT7" s="264"/>
      <c r="EWU7" s="264"/>
      <c r="EWV7" s="264"/>
      <c r="EWW7" s="264"/>
      <c r="EWX7" s="264"/>
      <c r="EWY7" s="264"/>
      <c r="EWZ7" s="264"/>
      <c r="EXA7" s="264"/>
      <c r="EXB7" s="264"/>
      <c r="EXC7" s="264"/>
      <c r="EXD7" s="264"/>
      <c r="EXE7" s="264"/>
      <c r="EXF7" s="264"/>
      <c r="EXG7" s="264"/>
      <c r="EXH7" s="264"/>
      <c r="EXI7" s="264"/>
      <c r="EXJ7" s="264"/>
      <c r="EXK7" s="264"/>
      <c r="EXL7" s="264"/>
      <c r="EXM7" s="264"/>
      <c r="EXN7" s="264"/>
      <c r="EXO7" s="264"/>
      <c r="EXP7" s="264"/>
      <c r="EXQ7" s="264"/>
      <c r="EXR7" s="264"/>
      <c r="EXS7" s="264"/>
      <c r="EXT7" s="264"/>
      <c r="EXU7" s="264"/>
      <c r="EXV7" s="264"/>
      <c r="EXW7" s="264"/>
      <c r="EXX7" s="264"/>
      <c r="EXY7" s="264"/>
      <c r="EXZ7" s="264"/>
      <c r="EYA7" s="264"/>
      <c r="EYB7" s="264"/>
      <c r="EYC7" s="264"/>
      <c r="EYD7" s="264"/>
      <c r="EYE7" s="264"/>
      <c r="EYF7" s="264"/>
      <c r="EYG7" s="264"/>
      <c r="EYH7" s="264"/>
      <c r="EYI7" s="264"/>
      <c r="EYJ7" s="264"/>
      <c r="EYK7" s="264"/>
      <c r="EYL7" s="264"/>
      <c r="EYM7" s="264"/>
      <c r="EYN7" s="264"/>
      <c r="EYO7" s="264"/>
      <c r="EYP7" s="264"/>
      <c r="EYQ7" s="264"/>
      <c r="EYR7" s="264"/>
      <c r="EYS7" s="264"/>
      <c r="EYT7" s="264"/>
      <c r="EYU7" s="264"/>
      <c r="EYV7" s="264"/>
      <c r="EYW7" s="264"/>
      <c r="EYX7" s="264"/>
      <c r="EYY7" s="264"/>
      <c r="EYZ7" s="264"/>
      <c r="EZA7" s="264"/>
      <c r="EZB7" s="264"/>
      <c r="EZC7" s="264"/>
      <c r="EZD7" s="264"/>
      <c r="EZE7" s="264"/>
      <c r="EZF7" s="264"/>
      <c r="EZG7" s="264"/>
      <c r="EZH7" s="264"/>
      <c r="EZI7" s="264"/>
      <c r="EZJ7" s="264"/>
      <c r="EZK7" s="264"/>
      <c r="EZL7" s="264"/>
      <c r="EZM7" s="264"/>
      <c r="EZN7" s="264"/>
      <c r="EZO7" s="264"/>
      <c r="EZP7" s="264"/>
      <c r="EZQ7" s="264"/>
      <c r="EZR7" s="264"/>
      <c r="EZS7" s="264"/>
      <c r="EZT7" s="264"/>
      <c r="EZU7" s="264"/>
      <c r="EZV7" s="264"/>
      <c r="EZW7" s="264"/>
      <c r="EZX7" s="264"/>
      <c r="EZY7" s="264"/>
      <c r="EZZ7" s="264"/>
      <c r="FAA7" s="264"/>
      <c r="FAB7" s="264"/>
      <c r="FAC7" s="264"/>
      <c r="FAD7" s="264"/>
      <c r="FAE7" s="264"/>
      <c r="FAF7" s="264"/>
      <c r="FAG7" s="264"/>
      <c r="FAH7" s="264"/>
      <c r="FAI7" s="264"/>
      <c r="FAJ7" s="264"/>
      <c r="FAK7" s="264"/>
      <c r="FAL7" s="264"/>
      <c r="FAM7" s="264"/>
      <c r="FAN7" s="264"/>
      <c r="FAO7" s="264"/>
      <c r="FAP7" s="264"/>
      <c r="FAQ7" s="264"/>
      <c r="FAR7" s="264"/>
      <c r="FAS7" s="264"/>
      <c r="FAT7" s="264"/>
      <c r="FAU7" s="264"/>
      <c r="FAV7" s="264"/>
      <c r="FAW7" s="264"/>
      <c r="FAX7" s="264"/>
      <c r="FAY7" s="264"/>
      <c r="FAZ7" s="264"/>
      <c r="FBA7" s="264"/>
      <c r="FBB7" s="264"/>
      <c r="FBC7" s="264"/>
      <c r="FBD7" s="264"/>
      <c r="FBE7" s="264"/>
      <c r="FBF7" s="264"/>
      <c r="FBG7" s="264"/>
      <c r="FBH7" s="264"/>
      <c r="FBI7" s="264"/>
      <c r="FBJ7" s="264"/>
      <c r="FBK7" s="264"/>
      <c r="FBL7" s="264"/>
      <c r="FBM7" s="264"/>
      <c r="FBN7" s="264"/>
      <c r="FBO7" s="264"/>
      <c r="FBP7" s="264"/>
      <c r="FBQ7" s="264"/>
      <c r="FBR7" s="264"/>
      <c r="FBS7" s="264"/>
      <c r="FBT7" s="264"/>
      <c r="FBU7" s="264"/>
      <c r="FBV7" s="264"/>
      <c r="FBW7" s="264"/>
      <c r="FBX7" s="264"/>
      <c r="FBY7" s="264"/>
      <c r="FBZ7" s="264"/>
      <c r="FCA7" s="264"/>
      <c r="FCB7" s="264"/>
      <c r="FCC7" s="264"/>
      <c r="FCD7" s="264"/>
      <c r="FCE7" s="264"/>
      <c r="FCF7" s="264"/>
      <c r="FCG7" s="264"/>
      <c r="FCH7" s="264"/>
      <c r="FCI7" s="264"/>
      <c r="FCJ7" s="264"/>
      <c r="FCK7" s="264"/>
      <c r="FCL7" s="264"/>
      <c r="FCM7" s="264"/>
      <c r="FCN7" s="264"/>
      <c r="FCO7" s="264"/>
      <c r="FCP7" s="264"/>
      <c r="FCQ7" s="264"/>
      <c r="FCR7" s="264"/>
      <c r="FCS7" s="264"/>
      <c r="FCT7" s="264"/>
      <c r="FCU7" s="264"/>
      <c r="FCV7" s="264"/>
      <c r="FCW7" s="264"/>
      <c r="FCX7" s="264"/>
      <c r="FCY7" s="264"/>
      <c r="FCZ7" s="264"/>
      <c r="FDA7" s="264"/>
      <c r="FDB7" s="264"/>
      <c r="FDC7" s="264"/>
      <c r="FDD7" s="264"/>
      <c r="FDE7" s="264"/>
      <c r="FDF7" s="264"/>
      <c r="FDG7" s="264"/>
      <c r="FDH7" s="264"/>
      <c r="FDI7" s="264"/>
      <c r="FDJ7" s="264"/>
      <c r="FDK7" s="264"/>
      <c r="FDL7" s="264"/>
      <c r="FDM7" s="264"/>
      <c r="FDN7" s="264"/>
      <c r="FDO7" s="264"/>
      <c r="FDP7" s="264"/>
      <c r="FDQ7" s="264"/>
      <c r="FDR7" s="264"/>
      <c r="FDS7" s="264"/>
      <c r="FDT7" s="264"/>
      <c r="FDU7" s="264"/>
      <c r="FDV7" s="264"/>
      <c r="FDW7" s="264"/>
      <c r="FDX7" s="264"/>
      <c r="FDY7" s="264"/>
      <c r="FDZ7" s="264"/>
      <c r="FEA7" s="264"/>
      <c r="FEB7" s="264"/>
      <c r="FEC7" s="264"/>
      <c r="FED7" s="264"/>
      <c r="FEE7" s="264"/>
      <c r="FEF7" s="264"/>
      <c r="FEG7" s="264"/>
      <c r="FEH7" s="264"/>
      <c r="FEI7" s="264"/>
      <c r="FEJ7" s="264"/>
      <c r="FEK7" s="264"/>
      <c r="FEL7" s="264"/>
      <c r="FEM7" s="264"/>
      <c r="FEN7" s="264"/>
      <c r="FEO7" s="264"/>
      <c r="FEP7" s="264"/>
      <c r="FEQ7" s="264"/>
      <c r="FER7" s="264"/>
      <c r="FES7" s="264"/>
      <c r="FET7" s="264"/>
      <c r="FEU7" s="264"/>
      <c r="FEV7" s="264"/>
      <c r="FEW7" s="264"/>
      <c r="FEX7" s="264"/>
      <c r="FEY7" s="264"/>
      <c r="FEZ7" s="264"/>
      <c r="FFA7" s="264"/>
      <c r="FFB7" s="264"/>
      <c r="FFC7" s="264"/>
      <c r="FFD7" s="264"/>
      <c r="FFE7" s="264"/>
      <c r="FFF7" s="264"/>
      <c r="FFG7" s="264"/>
      <c r="FFH7" s="264"/>
      <c r="FFI7" s="264"/>
      <c r="FFJ7" s="264"/>
      <c r="FFK7" s="264"/>
      <c r="FFL7" s="264"/>
      <c r="FFM7" s="264"/>
      <c r="FFN7" s="264"/>
      <c r="FFO7" s="264"/>
      <c r="FFP7" s="264"/>
      <c r="FFQ7" s="264"/>
      <c r="FFR7" s="264"/>
      <c r="FFS7" s="264"/>
      <c r="FFT7" s="264"/>
      <c r="FFU7" s="264"/>
      <c r="FFV7" s="264"/>
      <c r="FFW7" s="264"/>
      <c r="FFX7" s="264"/>
      <c r="FFY7" s="264"/>
      <c r="FFZ7" s="264"/>
      <c r="FGA7" s="264"/>
      <c r="FGB7" s="264"/>
      <c r="FGC7" s="264"/>
      <c r="FGD7" s="264"/>
      <c r="FGE7" s="264"/>
      <c r="FGF7" s="264"/>
      <c r="FGG7" s="264"/>
      <c r="FGH7" s="264"/>
      <c r="FGI7" s="264"/>
      <c r="FGJ7" s="264"/>
      <c r="FGK7" s="264"/>
      <c r="FGL7" s="264"/>
      <c r="FGM7" s="264"/>
      <c r="FGN7" s="264"/>
      <c r="FGO7" s="264"/>
      <c r="FGP7" s="264"/>
      <c r="FGQ7" s="264"/>
      <c r="FGR7" s="264"/>
      <c r="FGS7" s="264"/>
      <c r="FGT7" s="264"/>
      <c r="FGU7" s="264"/>
      <c r="FGV7" s="264"/>
      <c r="FGW7" s="264"/>
      <c r="FGX7" s="264"/>
      <c r="FGY7" s="264"/>
      <c r="FGZ7" s="264"/>
      <c r="FHA7" s="264"/>
      <c r="FHB7" s="264"/>
      <c r="FHC7" s="264"/>
      <c r="FHD7" s="264"/>
      <c r="FHE7" s="264"/>
      <c r="FHF7" s="264"/>
      <c r="FHG7" s="264"/>
      <c r="FHH7" s="264"/>
      <c r="FHI7" s="264"/>
      <c r="FHJ7" s="264"/>
      <c r="FHK7" s="264"/>
      <c r="FHL7" s="264"/>
      <c r="FHM7" s="264"/>
      <c r="FHN7" s="264"/>
      <c r="FHO7" s="264"/>
      <c r="FHP7" s="264"/>
      <c r="FHQ7" s="264"/>
      <c r="FHR7" s="264"/>
      <c r="FHS7" s="264"/>
      <c r="FHT7" s="264"/>
      <c r="FHU7" s="264"/>
      <c r="FHV7" s="264"/>
      <c r="FHW7" s="264"/>
      <c r="FHX7" s="264"/>
      <c r="FHY7" s="264"/>
      <c r="FHZ7" s="264"/>
      <c r="FIA7" s="264"/>
      <c r="FIB7" s="264"/>
      <c r="FIC7" s="264"/>
      <c r="FID7" s="264"/>
      <c r="FIE7" s="264"/>
      <c r="FIF7" s="264"/>
      <c r="FIG7" s="264"/>
      <c r="FIH7" s="264"/>
      <c r="FII7" s="264"/>
      <c r="FIJ7" s="264"/>
      <c r="FIK7" s="264"/>
      <c r="FIL7" s="264"/>
      <c r="FIM7" s="264"/>
      <c r="FIN7" s="264"/>
      <c r="FIO7" s="264"/>
      <c r="FIP7" s="264"/>
      <c r="FIQ7" s="264"/>
      <c r="FIR7" s="264"/>
      <c r="FIS7" s="264"/>
      <c r="FIT7" s="264"/>
      <c r="FIU7" s="264"/>
      <c r="FIV7" s="264"/>
      <c r="FIW7" s="264"/>
      <c r="FIX7" s="264"/>
      <c r="FIY7" s="264"/>
      <c r="FIZ7" s="264"/>
      <c r="FJA7" s="264"/>
      <c r="FJB7" s="264"/>
      <c r="FJC7" s="264"/>
      <c r="FJD7" s="264"/>
      <c r="FJE7" s="264"/>
      <c r="FJF7" s="264"/>
      <c r="FJG7" s="264"/>
      <c r="FJH7" s="264"/>
      <c r="FJI7" s="264"/>
      <c r="FJJ7" s="264"/>
      <c r="FJK7" s="264"/>
      <c r="FJL7" s="264"/>
      <c r="FJM7" s="264"/>
      <c r="FJN7" s="264"/>
      <c r="FJO7" s="264"/>
      <c r="FJP7" s="264"/>
      <c r="FJQ7" s="264"/>
      <c r="FJR7" s="264"/>
      <c r="FJS7" s="264"/>
      <c r="FJT7" s="264"/>
      <c r="FJU7" s="264"/>
      <c r="FJV7" s="264"/>
      <c r="FJW7" s="264"/>
      <c r="FJX7" s="264"/>
      <c r="FJY7" s="264"/>
      <c r="FJZ7" s="264"/>
      <c r="FKA7" s="264"/>
      <c r="FKB7" s="264"/>
      <c r="FKC7" s="264"/>
      <c r="FKD7" s="264"/>
      <c r="FKE7" s="264"/>
      <c r="FKF7" s="264"/>
      <c r="FKG7" s="264"/>
      <c r="FKH7" s="264"/>
      <c r="FKI7" s="264"/>
      <c r="FKJ7" s="264"/>
      <c r="FKK7" s="264"/>
      <c r="FKL7" s="264"/>
      <c r="FKM7" s="264"/>
      <c r="FKN7" s="264"/>
      <c r="FKO7" s="264"/>
      <c r="FKP7" s="264"/>
      <c r="FKQ7" s="264"/>
      <c r="FKR7" s="264"/>
      <c r="FKS7" s="264"/>
      <c r="FKT7" s="264"/>
      <c r="FKU7" s="264"/>
      <c r="FKV7" s="264"/>
      <c r="FKW7" s="264"/>
      <c r="FKX7" s="264"/>
      <c r="FKY7" s="264"/>
      <c r="FKZ7" s="264"/>
      <c r="FLA7" s="264"/>
      <c r="FLB7" s="264"/>
      <c r="FLC7" s="264"/>
      <c r="FLD7" s="264"/>
      <c r="FLE7" s="264"/>
      <c r="FLF7" s="264"/>
      <c r="FLG7" s="264"/>
      <c r="FLH7" s="264"/>
      <c r="FLI7" s="264"/>
      <c r="FLJ7" s="264"/>
      <c r="FLK7" s="264"/>
      <c r="FLL7" s="264"/>
      <c r="FLM7" s="264"/>
      <c r="FLN7" s="264"/>
      <c r="FLO7" s="264"/>
      <c r="FLP7" s="264"/>
      <c r="FLQ7" s="264"/>
      <c r="FLR7" s="264"/>
      <c r="FLS7" s="264"/>
      <c r="FLT7" s="264"/>
      <c r="FLU7" s="264"/>
      <c r="FLV7" s="264"/>
      <c r="FLW7" s="264"/>
      <c r="FLX7" s="264"/>
      <c r="FLY7" s="264"/>
      <c r="FLZ7" s="264"/>
      <c r="FMA7" s="264"/>
      <c r="FMB7" s="264"/>
      <c r="FMC7" s="264"/>
      <c r="FMD7" s="264"/>
      <c r="FME7" s="264"/>
      <c r="FMF7" s="264"/>
      <c r="FMG7" s="264"/>
      <c r="FMH7" s="264"/>
      <c r="FMI7" s="264"/>
      <c r="FMJ7" s="264"/>
      <c r="FMK7" s="264"/>
      <c r="FML7" s="264"/>
      <c r="FMM7" s="264"/>
      <c r="FMN7" s="264"/>
      <c r="FMO7" s="264"/>
      <c r="FMP7" s="264"/>
      <c r="FMQ7" s="264"/>
      <c r="FMR7" s="264"/>
      <c r="FMS7" s="264"/>
      <c r="FMT7" s="264"/>
      <c r="FMU7" s="264"/>
      <c r="FMV7" s="264"/>
      <c r="FMW7" s="264"/>
      <c r="FMX7" s="264"/>
      <c r="FMY7" s="264"/>
      <c r="FMZ7" s="264"/>
      <c r="FNA7" s="264"/>
      <c r="FNB7" s="264"/>
      <c r="FNC7" s="264"/>
      <c r="FND7" s="264"/>
      <c r="FNE7" s="264"/>
      <c r="FNF7" s="264"/>
      <c r="FNG7" s="264"/>
      <c r="FNH7" s="264"/>
      <c r="FNI7" s="264"/>
      <c r="FNJ7" s="264"/>
      <c r="FNK7" s="264"/>
      <c r="FNL7" s="264"/>
      <c r="FNM7" s="264"/>
      <c r="FNN7" s="264"/>
      <c r="FNO7" s="264"/>
      <c r="FNP7" s="264"/>
      <c r="FNQ7" s="264"/>
      <c r="FNR7" s="264"/>
      <c r="FNS7" s="264"/>
      <c r="FNT7" s="264"/>
      <c r="FNU7" s="264"/>
      <c r="FNV7" s="264"/>
      <c r="FNW7" s="264"/>
      <c r="FNX7" s="264"/>
      <c r="FNY7" s="264"/>
      <c r="FNZ7" s="264"/>
      <c r="FOA7" s="264"/>
      <c r="FOB7" s="264"/>
      <c r="FOC7" s="264"/>
      <c r="FOD7" s="264"/>
      <c r="FOE7" s="264"/>
      <c r="FOF7" s="264"/>
      <c r="FOG7" s="264"/>
      <c r="FOH7" s="264"/>
      <c r="FOI7" s="264"/>
      <c r="FOJ7" s="264"/>
      <c r="FOK7" s="264"/>
      <c r="FOL7" s="264"/>
      <c r="FOM7" s="264"/>
      <c r="FON7" s="264"/>
      <c r="FOO7" s="264"/>
      <c r="FOP7" s="264"/>
      <c r="FOQ7" s="264"/>
      <c r="FOR7" s="264"/>
      <c r="FOS7" s="264"/>
      <c r="FOT7" s="264"/>
      <c r="FOU7" s="264"/>
      <c r="FOV7" s="264"/>
      <c r="FOW7" s="264"/>
      <c r="FOX7" s="264"/>
      <c r="FOY7" s="264"/>
      <c r="FOZ7" s="264"/>
      <c r="FPA7" s="264"/>
      <c r="FPB7" s="264"/>
      <c r="FPC7" s="264"/>
      <c r="FPD7" s="264"/>
      <c r="FPE7" s="264"/>
      <c r="FPF7" s="264"/>
      <c r="FPG7" s="264"/>
      <c r="FPH7" s="264"/>
      <c r="FPI7" s="264"/>
      <c r="FPJ7" s="264"/>
      <c r="FPK7" s="264"/>
      <c r="FPL7" s="264"/>
      <c r="FPM7" s="264"/>
      <c r="FPN7" s="264"/>
      <c r="FPO7" s="264"/>
      <c r="FPP7" s="264"/>
      <c r="FPQ7" s="264"/>
      <c r="FPR7" s="264"/>
      <c r="FPS7" s="264"/>
      <c r="FPT7" s="264"/>
      <c r="FPU7" s="264"/>
      <c r="FPV7" s="264"/>
      <c r="FPW7" s="264"/>
      <c r="FPX7" s="264"/>
      <c r="FPY7" s="264"/>
      <c r="FPZ7" s="264"/>
      <c r="FQA7" s="264"/>
      <c r="FQB7" s="264"/>
      <c r="FQC7" s="264"/>
      <c r="FQD7" s="264"/>
      <c r="FQE7" s="264"/>
      <c r="FQF7" s="264"/>
      <c r="FQG7" s="264"/>
      <c r="FQH7" s="264"/>
      <c r="FQI7" s="264"/>
      <c r="FQJ7" s="264"/>
      <c r="FQK7" s="264"/>
      <c r="FQL7" s="264"/>
      <c r="FQM7" s="264"/>
      <c r="FQN7" s="264"/>
      <c r="FQO7" s="264"/>
      <c r="FQP7" s="264"/>
      <c r="FQQ7" s="264"/>
      <c r="FQR7" s="264"/>
      <c r="FQS7" s="264"/>
      <c r="FQT7" s="264"/>
      <c r="FQU7" s="264"/>
      <c r="FQV7" s="264"/>
      <c r="FQW7" s="264"/>
      <c r="FQX7" s="264"/>
      <c r="FQY7" s="264"/>
      <c r="FQZ7" s="264"/>
      <c r="FRA7" s="264"/>
      <c r="FRB7" s="264"/>
      <c r="FRC7" s="264"/>
      <c r="FRD7" s="264"/>
      <c r="FRE7" s="264"/>
      <c r="FRF7" s="264"/>
      <c r="FRG7" s="264"/>
      <c r="FRH7" s="264"/>
      <c r="FRI7" s="264"/>
      <c r="FRJ7" s="264"/>
      <c r="FRK7" s="264"/>
      <c r="FRL7" s="264"/>
      <c r="FRM7" s="264"/>
      <c r="FRN7" s="264"/>
      <c r="FRO7" s="264"/>
      <c r="FRP7" s="264"/>
      <c r="FRQ7" s="264"/>
      <c r="FRR7" s="264"/>
      <c r="FRS7" s="264"/>
      <c r="FRT7" s="264"/>
      <c r="FRU7" s="264"/>
      <c r="FRV7" s="264"/>
      <c r="FRW7" s="264"/>
      <c r="FRX7" s="264"/>
      <c r="FRY7" s="264"/>
      <c r="FRZ7" s="264"/>
      <c r="FSA7" s="264"/>
      <c r="FSB7" s="264"/>
      <c r="FSC7" s="264"/>
      <c r="FSD7" s="264"/>
      <c r="FSE7" s="264"/>
      <c r="FSF7" s="264"/>
      <c r="FSG7" s="264"/>
      <c r="FSH7" s="264"/>
      <c r="FSI7" s="264"/>
      <c r="FSJ7" s="264"/>
      <c r="FSK7" s="264"/>
      <c r="FSL7" s="264"/>
      <c r="FSM7" s="264"/>
      <c r="FSN7" s="264"/>
      <c r="FSO7" s="264"/>
      <c r="FSP7" s="264"/>
      <c r="FSQ7" s="264"/>
      <c r="FSR7" s="264"/>
      <c r="FSS7" s="264"/>
      <c r="FST7" s="264"/>
      <c r="FSU7" s="264"/>
      <c r="FSV7" s="264"/>
      <c r="FSW7" s="264"/>
      <c r="FSX7" s="264"/>
      <c r="FSY7" s="264"/>
      <c r="FSZ7" s="264"/>
      <c r="FTA7" s="264"/>
      <c r="FTB7" s="264"/>
      <c r="FTC7" s="264"/>
      <c r="FTD7" s="264"/>
      <c r="FTE7" s="264"/>
      <c r="FTF7" s="264"/>
      <c r="FTG7" s="264"/>
      <c r="FTH7" s="264"/>
      <c r="FTI7" s="264"/>
      <c r="FTJ7" s="264"/>
      <c r="FTK7" s="264"/>
      <c r="FTL7" s="264"/>
      <c r="FTM7" s="264"/>
      <c r="FTN7" s="264"/>
      <c r="FTO7" s="264"/>
      <c r="FTP7" s="264"/>
      <c r="FTQ7" s="264"/>
      <c r="FTR7" s="264"/>
      <c r="FTS7" s="264"/>
      <c r="FTT7" s="264"/>
      <c r="FTU7" s="264"/>
      <c r="FTV7" s="264"/>
      <c r="FTW7" s="264"/>
      <c r="FTX7" s="264"/>
      <c r="FTY7" s="264"/>
      <c r="FTZ7" s="264"/>
      <c r="FUA7" s="264"/>
      <c r="FUB7" s="264"/>
      <c r="FUC7" s="264"/>
      <c r="FUD7" s="264"/>
      <c r="FUE7" s="264"/>
      <c r="FUF7" s="264"/>
      <c r="FUG7" s="264"/>
      <c r="FUH7" s="264"/>
      <c r="FUI7" s="264"/>
      <c r="FUJ7" s="264"/>
      <c r="FUK7" s="264"/>
      <c r="FUL7" s="264"/>
      <c r="FUM7" s="264"/>
      <c r="FUN7" s="264"/>
      <c r="FUO7" s="264"/>
      <c r="FUP7" s="264"/>
      <c r="FUQ7" s="264"/>
      <c r="FUR7" s="264"/>
      <c r="FUS7" s="264"/>
      <c r="FUT7" s="264"/>
      <c r="FUU7" s="264"/>
      <c r="FUV7" s="264"/>
      <c r="FUW7" s="264"/>
      <c r="FUX7" s="264"/>
      <c r="FUY7" s="264"/>
      <c r="FUZ7" s="264"/>
      <c r="FVA7" s="264"/>
      <c r="FVB7" s="264"/>
      <c r="FVC7" s="264"/>
      <c r="FVD7" s="264"/>
      <c r="FVE7" s="264"/>
      <c r="FVF7" s="264"/>
      <c r="FVG7" s="264"/>
      <c r="FVH7" s="264"/>
      <c r="FVI7" s="264"/>
      <c r="FVJ7" s="264"/>
      <c r="FVK7" s="264"/>
      <c r="FVL7" s="264"/>
      <c r="FVM7" s="264"/>
      <c r="FVN7" s="264"/>
      <c r="FVO7" s="264"/>
      <c r="FVP7" s="264"/>
      <c r="FVQ7" s="264"/>
      <c r="FVR7" s="264"/>
      <c r="FVS7" s="264"/>
      <c r="FVT7" s="264"/>
      <c r="FVU7" s="264"/>
      <c r="FVV7" s="264"/>
      <c r="FVW7" s="264"/>
      <c r="FVX7" s="264"/>
      <c r="FVY7" s="264"/>
      <c r="FVZ7" s="264"/>
      <c r="FWA7" s="264"/>
      <c r="FWB7" s="264"/>
      <c r="FWC7" s="264"/>
      <c r="FWD7" s="264"/>
      <c r="FWE7" s="264"/>
      <c r="FWF7" s="264"/>
      <c r="FWG7" s="264"/>
      <c r="FWH7" s="264"/>
      <c r="FWI7" s="264"/>
      <c r="FWJ7" s="264"/>
      <c r="FWK7" s="264"/>
      <c r="FWL7" s="264"/>
      <c r="FWM7" s="264"/>
      <c r="FWN7" s="264"/>
      <c r="FWO7" s="264"/>
      <c r="FWP7" s="264"/>
      <c r="FWQ7" s="264"/>
      <c r="FWR7" s="264"/>
      <c r="FWS7" s="264"/>
      <c r="FWT7" s="264"/>
      <c r="FWU7" s="264"/>
      <c r="FWV7" s="264"/>
      <c r="FWW7" s="264"/>
      <c r="FWX7" s="264"/>
      <c r="FWY7" s="264"/>
      <c r="FWZ7" s="264"/>
      <c r="FXA7" s="264"/>
      <c r="FXB7" s="264"/>
      <c r="FXC7" s="264"/>
      <c r="FXD7" s="264"/>
      <c r="FXE7" s="264"/>
      <c r="FXF7" s="264"/>
      <c r="FXG7" s="264"/>
      <c r="FXH7" s="264"/>
      <c r="FXI7" s="264"/>
      <c r="FXJ7" s="264"/>
      <c r="FXK7" s="264"/>
      <c r="FXL7" s="264"/>
      <c r="FXM7" s="264"/>
      <c r="FXN7" s="264"/>
      <c r="FXO7" s="264"/>
      <c r="FXP7" s="264"/>
      <c r="FXQ7" s="264"/>
      <c r="FXR7" s="264"/>
      <c r="FXS7" s="264"/>
      <c r="FXT7" s="264"/>
      <c r="FXU7" s="264"/>
      <c r="FXV7" s="264"/>
      <c r="FXW7" s="264"/>
      <c r="FXX7" s="264"/>
      <c r="FXY7" s="264"/>
      <c r="FXZ7" s="264"/>
      <c r="FYA7" s="264"/>
      <c r="FYB7" s="264"/>
      <c r="FYC7" s="264"/>
      <c r="FYD7" s="264"/>
      <c r="FYE7" s="264"/>
      <c r="FYF7" s="264"/>
      <c r="FYG7" s="264"/>
      <c r="FYH7" s="264"/>
      <c r="FYI7" s="264"/>
      <c r="FYJ7" s="264"/>
      <c r="FYK7" s="264"/>
      <c r="FYL7" s="264"/>
      <c r="FYM7" s="264"/>
      <c r="FYN7" s="264"/>
      <c r="FYO7" s="264"/>
      <c r="FYP7" s="264"/>
      <c r="FYQ7" s="264"/>
      <c r="FYR7" s="264"/>
      <c r="FYS7" s="264"/>
      <c r="FYT7" s="264"/>
      <c r="FYU7" s="264"/>
      <c r="FYV7" s="264"/>
      <c r="FYW7" s="264"/>
      <c r="FYX7" s="264"/>
      <c r="FYY7" s="264"/>
      <c r="FYZ7" s="264"/>
      <c r="FZA7" s="264"/>
      <c r="FZB7" s="264"/>
      <c r="FZC7" s="264"/>
      <c r="FZD7" s="264"/>
      <c r="FZE7" s="264"/>
      <c r="FZF7" s="264"/>
      <c r="FZG7" s="264"/>
      <c r="FZH7" s="264"/>
      <c r="FZI7" s="264"/>
      <c r="FZJ7" s="264"/>
      <c r="FZK7" s="264"/>
      <c r="FZL7" s="264"/>
      <c r="FZM7" s="264"/>
      <c r="FZN7" s="264"/>
      <c r="FZO7" s="264"/>
      <c r="FZP7" s="264"/>
      <c r="FZQ7" s="264"/>
      <c r="FZR7" s="264"/>
      <c r="FZS7" s="264"/>
      <c r="FZT7" s="264"/>
      <c r="FZU7" s="264"/>
      <c r="FZV7" s="264"/>
      <c r="FZW7" s="264"/>
      <c r="FZX7" s="264"/>
      <c r="FZY7" s="264"/>
      <c r="FZZ7" s="264"/>
      <c r="GAA7" s="264"/>
      <c r="GAB7" s="264"/>
      <c r="GAC7" s="264"/>
      <c r="GAD7" s="264"/>
      <c r="GAE7" s="264"/>
      <c r="GAF7" s="264"/>
      <c r="GAG7" s="264"/>
      <c r="GAH7" s="264"/>
      <c r="GAI7" s="264"/>
      <c r="GAJ7" s="264"/>
      <c r="GAK7" s="264"/>
      <c r="GAL7" s="264"/>
      <c r="GAM7" s="264"/>
      <c r="GAN7" s="264"/>
      <c r="GAO7" s="264"/>
      <c r="GAP7" s="264"/>
      <c r="GAQ7" s="264"/>
      <c r="GAR7" s="264"/>
      <c r="GAS7" s="264"/>
      <c r="GAT7" s="264"/>
      <c r="GAU7" s="264"/>
      <c r="GAV7" s="264"/>
      <c r="GAW7" s="264"/>
      <c r="GAX7" s="264"/>
      <c r="GAY7" s="264"/>
      <c r="GAZ7" s="264"/>
      <c r="GBA7" s="264"/>
      <c r="GBB7" s="264"/>
      <c r="GBC7" s="264"/>
      <c r="GBD7" s="264"/>
      <c r="GBE7" s="264"/>
      <c r="GBF7" s="264"/>
      <c r="GBG7" s="264"/>
      <c r="GBH7" s="264"/>
      <c r="GBI7" s="264"/>
      <c r="GBJ7" s="264"/>
      <c r="GBK7" s="264"/>
      <c r="GBL7" s="264"/>
      <c r="GBM7" s="264"/>
      <c r="GBN7" s="264"/>
      <c r="GBO7" s="264"/>
      <c r="GBP7" s="264"/>
      <c r="GBQ7" s="264"/>
      <c r="GBR7" s="264"/>
      <c r="GBS7" s="264"/>
      <c r="GBT7" s="264"/>
      <c r="GBU7" s="264"/>
      <c r="GBV7" s="264"/>
      <c r="GBW7" s="264"/>
      <c r="GBX7" s="264"/>
      <c r="GBY7" s="264"/>
      <c r="GBZ7" s="264"/>
      <c r="GCA7" s="264"/>
      <c r="GCB7" s="264"/>
      <c r="GCC7" s="264"/>
      <c r="GCD7" s="264"/>
      <c r="GCE7" s="264"/>
      <c r="GCF7" s="264"/>
      <c r="GCG7" s="264"/>
      <c r="GCH7" s="264"/>
      <c r="GCI7" s="264"/>
      <c r="GCJ7" s="264"/>
      <c r="GCK7" s="264"/>
      <c r="GCL7" s="264"/>
      <c r="GCM7" s="264"/>
      <c r="GCN7" s="264"/>
      <c r="GCO7" s="264"/>
      <c r="GCP7" s="264"/>
      <c r="GCQ7" s="264"/>
      <c r="GCR7" s="264"/>
      <c r="GCS7" s="264"/>
      <c r="GCT7" s="264"/>
      <c r="GCU7" s="264"/>
      <c r="GCV7" s="264"/>
      <c r="GCW7" s="264"/>
      <c r="GCX7" s="264"/>
      <c r="GCY7" s="264"/>
      <c r="GCZ7" s="264"/>
      <c r="GDA7" s="264"/>
      <c r="GDB7" s="264"/>
      <c r="GDC7" s="264"/>
      <c r="GDD7" s="264"/>
      <c r="GDE7" s="264"/>
      <c r="GDF7" s="264"/>
      <c r="GDG7" s="264"/>
      <c r="GDH7" s="264"/>
      <c r="GDI7" s="264"/>
      <c r="GDJ7" s="264"/>
      <c r="GDK7" s="264"/>
      <c r="GDL7" s="264"/>
      <c r="GDM7" s="264"/>
      <c r="GDN7" s="264"/>
      <c r="GDO7" s="264"/>
      <c r="GDP7" s="264"/>
      <c r="GDQ7" s="264"/>
      <c r="GDR7" s="264"/>
      <c r="GDS7" s="264"/>
      <c r="GDT7" s="264"/>
      <c r="GDU7" s="264"/>
      <c r="GDV7" s="264"/>
      <c r="GDW7" s="264"/>
      <c r="GDX7" s="264"/>
      <c r="GDY7" s="264"/>
      <c r="GDZ7" s="264"/>
      <c r="GEA7" s="264"/>
      <c r="GEB7" s="264"/>
      <c r="GEC7" s="264"/>
      <c r="GED7" s="264"/>
      <c r="GEE7" s="264"/>
      <c r="GEF7" s="264"/>
      <c r="GEG7" s="264"/>
      <c r="GEH7" s="264"/>
      <c r="GEI7" s="264"/>
      <c r="GEJ7" s="264"/>
      <c r="GEK7" s="264"/>
      <c r="GEL7" s="264"/>
      <c r="GEM7" s="264"/>
      <c r="GEN7" s="264"/>
      <c r="GEO7" s="264"/>
      <c r="GEP7" s="264"/>
      <c r="GEQ7" s="264"/>
      <c r="GER7" s="264"/>
      <c r="GES7" s="264"/>
      <c r="GET7" s="264"/>
      <c r="GEU7" s="264"/>
      <c r="GEV7" s="264"/>
      <c r="GEW7" s="264"/>
      <c r="GEX7" s="264"/>
      <c r="GEY7" s="264"/>
      <c r="GEZ7" s="264"/>
      <c r="GFA7" s="264"/>
      <c r="GFB7" s="264"/>
      <c r="GFC7" s="264"/>
      <c r="GFD7" s="264"/>
      <c r="GFE7" s="264"/>
      <c r="GFF7" s="264"/>
      <c r="GFG7" s="264"/>
      <c r="GFH7" s="264"/>
      <c r="GFI7" s="264"/>
      <c r="GFJ7" s="264"/>
      <c r="GFK7" s="264"/>
      <c r="GFL7" s="264"/>
      <c r="GFM7" s="264"/>
      <c r="GFN7" s="264"/>
      <c r="GFO7" s="264"/>
      <c r="GFP7" s="264"/>
      <c r="GFQ7" s="264"/>
      <c r="GFR7" s="264"/>
      <c r="GFS7" s="264"/>
      <c r="GFT7" s="264"/>
      <c r="GFU7" s="264"/>
      <c r="GFV7" s="264"/>
      <c r="GFW7" s="264"/>
      <c r="GFX7" s="264"/>
      <c r="GFY7" s="264"/>
      <c r="GFZ7" s="264"/>
      <c r="GGA7" s="264"/>
      <c r="GGB7" s="264"/>
      <c r="GGC7" s="264"/>
      <c r="GGD7" s="264"/>
      <c r="GGE7" s="264"/>
      <c r="GGF7" s="264"/>
      <c r="GGG7" s="264"/>
      <c r="GGH7" s="264"/>
      <c r="GGI7" s="264"/>
      <c r="GGJ7" s="264"/>
      <c r="GGK7" s="264"/>
      <c r="GGL7" s="264"/>
      <c r="GGM7" s="264"/>
      <c r="GGN7" s="264"/>
      <c r="GGO7" s="264"/>
      <c r="GGP7" s="264"/>
      <c r="GGQ7" s="264"/>
      <c r="GGR7" s="264"/>
      <c r="GGS7" s="264"/>
      <c r="GGT7" s="264"/>
      <c r="GGU7" s="264"/>
      <c r="GGV7" s="264"/>
      <c r="GGW7" s="264"/>
      <c r="GGX7" s="264"/>
      <c r="GGY7" s="264"/>
      <c r="GGZ7" s="264"/>
      <c r="GHA7" s="264"/>
      <c r="GHB7" s="264"/>
      <c r="GHC7" s="264"/>
      <c r="GHD7" s="264"/>
      <c r="GHE7" s="264"/>
      <c r="GHF7" s="264"/>
      <c r="GHG7" s="264"/>
      <c r="GHH7" s="264"/>
      <c r="GHI7" s="264"/>
      <c r="GHJ7" s="264"/>
      <c r="GHK7" s="264"/>
      <c r="GHL7" s="264"/>
      <c r="GHM7" s="264"/>
      <c r="GHN7" s="264"/>
      <c r="GHO7" s="264"/>
      <c r="GHP7" s="264"/>
      <c r="GHQ7" s="264"/>
      <c r="GHR7" s="264"/>
      <c r="GHS7" s="264"/>
      <c r="GHT7" s="264"/>
      <c r="GHU7" s="264"/>
      <c r="GHV7" s="264"/>
      <c r="GHW7" s="264"/>
      <c r="GHX7" s="264"/>
      <c r="GHY7" s="264"/>
      <c r="GHZ7" s="264"/>
      <c r="GIA7" s="264"/>
      <c r="GIB7" s="264"/>
      <c r="GIC7" s="264"/>
      <c r="GID7" s="264"/>
      <c r="GIE7" s="264"/>
      <c r="GIF7" s="264"/>
      <c r="GIG7" s="264"/>
      <c r="GIH7" s="264"/>
      <c r="GII7" s="264"/>
      <c r="GIJ7" s="264"/>
      <c r="GIK7" s="264"/>
      <c r="GIL7" s="264"/>
      <c r="GIM7" s="264"/>
      <c r="GIN7" s="264"/>
      <c r="GIO7" s="264"/>
      <c r="GIP7" s="264"/>
      <c r="GIQ7" s="264"/>
      <c r="GIR7" s="264"/>
      <c r="GIS7" s="264"/>
      <c r="GIT7" s="264"/>
      <c r="GIU7" s="264"/>
      <c r="GIV7" s="264"/>
      <c r="GIW7" s="264"/>
      <c r="GIX7" s="264"/>
      <c r="GIY7" s="264"/>
      <c r="GIZ7" s="264"/>
      <c r="GJA7" s="264"/>
      <c r="GJB7" s="264"/>
      <c r="GJC7" s="264"/>
      <c r="GJD7" s="264"/>
      <c r="GJE7" s="264"/>
      <c r="GJF7" s="264"/>
      <c r="GJG7" s="264"/>
      <c r="GJH7" s="264"/>
      <c r="GJI7" s="264"/>
      <c r="GJJ7" s="264"/>
      <c r="GJK7" s="264"/>
      <c r="GJL7" s="264"/>
      <c r="GJM7" s="264"/>
      <c r="GJN7" s="264"/>
      <c r="GJO7" s="264"/>
      <c r="GJP7" s="264"/>
      <c r="GJQ7" s="264"/>
      <c r="GJR7" s="264"/>
      <c r="GJS7" s="264"/>
      <c r="GJT7" s="264"/>
      <c r="GJU7" s="264"/>
      <c r="GJV7" s="264"/>
      <c r="GJW7" s="264"/>
      <c r="GJX7" s="264"/>
      <c r="GJY7" s="264"/>
      <c r="GJZ7" s="264"/>
      <c r="GKA7" s="264"/>
      <c r="GKB7" s="264"/>
      <c r="GKC7" s="264"/>
      <c r="GKD7" s="264"/>
      <c r="GKE7" s="264"/>
      <c r="GKF7" s="264"/>
      <c r="GKG7" s="264"/>
      <c r="GKH7" s="264"/>
      <c r="GKI7" s="264"/>
      <c r="GKJ7" s="264"/>
      <c r="GKK7" s="264"/>
      <c r="GKL7" s="264"/>
      <c r="GKM7" s="264"/>
      <c r="GKN7" s="264"/>
      <c r="GKO7" s="264"/>
      <c r="GKP7" s="264"/>
      <c r="GKQ7" s="264"/>
      <c r="GKR7" s="264"/>
      <c r="GKS7" s="264"/>
      <c r="GKT7" s="264"/>
      <c r="GKU7" s="264"/>
      <c r="GKV7" s="264"/>
      <c r="GKW7" s="264"/>
      <c r="GKX7" s="264"/>
      <c r="GKY7" s="264"/>
      <c r="GKZ7" s="264"/>
      <c r="GLA7" s="264"/>
      <c r="GLB7" s="264"/>
      <c r="GLC7" s="264"/>
      <c r="GLD7" s="264"/>
      <c r="GLE7" s="264"/>
      <c r="GLF7" s="264"/>
      <c r="GLG7" s="264"/>
      <c r="GLH7" s="264"/>
      <c r="GLI7" s="264"/>
      <c r="GLJ7" s="264"/>
      <c r="GLK7" s="264"/>
      <c r="GLL7" s="264"/>
      <c r="GLM7" s="264"/>
      <c r="GLN7" s="264"/>
      <c r="GLO7" s="264"/>
      <c r="GLP7" s="264"/>
      <c r="GLQ7" s="264"/>
      <c r="GLR7" s="264"/>
      <c r="GLS7" s="264"/>
      <c r="GLT7" s="264"/>
      <c r="GLU7" s="264"/>
      <c r="GLV7" s="264"/>
      <c r="GLW7" s="264"/>
      <c r="GLX7" s="264"/>
      <c r="GLY7" s="264"/>
      <c r="GLZ7" s="264"/>
      <c r="GMA7" s="264"/>
      <c r="GMB7" s="264"/>
      <c r="GMC7" s="264"/>
      <c r="GMD7" s="264"/>
      <c r="GME7" s="264"/>
      <c r="GMF7" s="264"/>
      <c r="GMG7" s="264"/>
      <c r="GMH7" s="264"/>
      <c r="GMI7" s="264"/>
      <c r="GMJ7" s="264"/>
      <c r="GMK7" s="264"/>
      <c r="GML7" s="264"/>
      <c r="GMM7" s="264"/>
      <c r="GMN7" s="264"/>
      <c r="GMO7" s="264"/>
      <c r="GMP7" s="264"/>
      <c r="GMQ7" s="264"/>
      <c r="GMR7" s="264"/>
      <c r="GMS7" s="264"/>
      <c r="GMT7" s="264"/>
      <c r="GMU7" s="264"/>
      <c r="GMV7" s="264"/>
      <c r="GMW7" s="264"/>
      <c r="GMX7" s="264"/>
      <c r="GMY7" s="264"/>
      <c r="GMZ7" s="264"/>
      <c r="GNA7" s="264"/>
      <c r="GNB7" s="264"/>
      <c r="GNC7" s="264"/>
      <c r="GND7" s="264"/>
      <c r="GNE7" s="264"/>
      <c r="GNF7" s="264"/>
      <c r="GNG7" s="264"/>
      <c r="GNH7" s="264"/>
      <c r="GNI7" s="264"/>
      <c r="GNJ7" s="264"/>
      <c r="GNK7" s="264"/>
      <c r="GNL7" s="264"/>
      <c r="GNM7" s="264"/>
      <c r="GNN7" s="264"/>
      <c r="GNO7" s="264"/>
      <c r="GNP7" s="264"/>
      <c r="GNQ7" s="264"/>
      <c r="GNR7" s="264"/>
      <c r="GNS7" s="264"/>
      <c r="GNT7" s="264"/>
      <c r="GNU7" s="264"/>
      <c r="GNV7" s="264"/>
      <c r="GNW7" s="264"/>
      <c r="GNX7" s="264"/>
      <c r="GNY7" s="264"/>
      <c r="GNZ7" s="264"/>
      <c r="GOA7" s="264"/>
      <c r="GOB7" s="264"/>
      <c r="GOC7" s="264"/>
      <c r="GOD7" s="264"/>
      <c r="GOE7" s="264"/>
      <c r="GOF7" s="264"/>
      <c r="GOG7" s="264"/>
      <c r="GOH7" s="264"/>
      <c r="GOI7" s="264"/>
      <c r="GOJ7" s="264"/>
      <c r="GOK7" s="264"/>
      <c r="GOL7" s="264"/>
      <c r="GOM7" s="264"/>
      <c r="GON7" s="264"/>
      <c r="GOO7" s="264"/>
      <c r="GOP7" s="264"/>
      <c r="GOQ7" s="264"/>
      <c r="GOR7" s="264"/>
      <c r="GOS7" s="264"/>
      <c r="GOT7" s="264"/>
      <c r="GOU7" s="264"/>
      <c r="GOV7" s="264"/>
      <c r="GOW7" s="264"/>
      <c r="GOX7" s="264"/>
      <c r="GOY7" s="264"/>
      <c r="GOZ7" s="264"/>
      <c r="GPA7" s="264"/>
      <c r="GPB7" s="264"/>
      <c r="GPC7" s="264"/>
      <c r="GPD7" s="264"/>
      <c r="GPE7" s="264"/>
      <c r="GPF7" s="264"/>
      <c r="GPG7" s="264"/>
      <c r="GPH7" s="264"/>
      <c r="GPI7" s="264"/>
      <c r="GPJ7" s="264"/>
      <c r="GPK7" s="264"/>
      <c r="GPL7" s="264"/>
      <c r="GPM7" s="264"/>
      <c r="GPN7" s="264"/>
      <c r="GPO7" s="264"/>
      <c r="GPP7" s="264"/>
      <c r="GPQ7" s="264"/>
      <c r="GPR7" s="264"/>
      <c r="GPS7" s="264"/>
      <c r="GPT7" s="264"/>
      <c r="GPU7" s="264"/>
      <c r="GPV7" s="264"/>
      <c r="GPW7" s="264"/>
      <c r="GPX7" s="264"/>
      <c r="GPY7" s="264"/>
      <c r="GPZ7" s="264"/>
      <c r="GQA7" s="264"/>
      <c r="GQB7" s="264"/>
      <c r="GQC7" s="264"/>
      <c r="GQD7" s="264"/>
      <c r="GQE7" s="264"/>
      <c r="GQF7" s="264"/>
      <c r="GQG7" s="264"/>
      <c r="GQH7" s="264"/>
      <c r="GQI7" s="264"/>
      <c r="GQJ7" s="264"/>
      <c r="GQK7" s="264"/>
      <c r="GQL7" s="264"/>
      <c r="GQM7" s="264"/>
      <c r="GQN7" s="264"/>
      <c r="GQO7" s="264"/>
      <c r="GQP7" s="264"/>
      <c r="GQQ7" s="264"/>
      <c r="GQR7" s="264"/>
      <c r="GQS7" s="264"/>
      <c r="GQT7" s="264"/>
      <c r="GQU7" s="264"/>
      <c r="GQV7" s="264"/>
      <c r="GQW7" s="264"/>
      <c r="GQX7" s="264"/>
      <c r="GQY7" s="264"/>
      <c r="GQZ7" s="264"/>
      <c r="GRA7" s="264"/>
      <c r="GRB7" s="264"/>
      <c r="GRC7" s="264"/>
      <c r="GRD7" s="264"/>
      <c r="GRE7" s="264"/>
      <c r="GRF7" s="264"/>
      <c r="GRG7" s="264"/>
      <c r="GRH7" s="264"/>
      <c r="GRI7" s="264"/>
      <c r="GRJ7" s="264"/>
      <c r="GRK7" s="264"/>
      <c r="GRL7" s="264"/>
      <c r="GRM7" s="264"/>
      <c r="GRN7" s="264"/>
      <c r="GRO7" s="264"/>
      <c r="GRP7" s="264"/>
      <c r="GRQ7" s="264"/>
      <c r="GRR7" s="264"/>
      <c r="GRS7" s="264"/>
      <c r="GRT7" s="264"/>
      <c r="GRU7" s="264"/>
      <c r="GRV7" s="264"/>
      <c r="GRW7" s="264"/>
      <c r="GRX7" s="264"/>
      <c r="GRY7" s="264"/>
      <c r="GRZ7" s="264"/>
      <c r="GSA7" s="264"/>
      <c r="GSB7" s="264"/>
      <c r="GSC7" s="264"/>
      <c r="GSD7" s="264"/>
      <c r="GSE7" s="264"/>
      <c r="GSF7" s="264"/>
      <c r="GSG7" s="264"/>
      <c r="GSH7" s="264"/>
      <c r="GSI7" s="264"/>
      <c r="GSJ7" s="264"/>
      <c r="GSK7" s="264"/>
      <c r="GSL7" s="264"/>
      <c r="GSM7" s="264"/>
      <c r="GSN7" s="264"/>
      <c r="GSO7" s="264"/>
      <c r="GSP7" s="264"/>
      <c r="GSQ7" s="264"/>
      <c r="GSR7" s="264"/>
      <c r="GSS7" s="264"/>
      <c r="GST7" s="264"/>
      <c r="GSU7" s="264"/>
      <c r="GSV7" s="264"/>
      <c r="GSW7" s="264"/>
      <c r="GSX7" s="264"/>
      <c r="GSY7" s="264"/>
      <c r="GSZ7" s="264"/>
      <c r="GTA7" s="264"/>
      <c r="GTB7" s="264"/>
      <c r="GTC7" s="264"/>
      <c r="GTD7" s="264"/>
      <c r="GTE7" s="264"/>
      <c r="GTF7" s="264"/>
      <c r="GTG7" s="264"/>
      <c r="GTH7" s="264"/>
      <c r="GTI7" s="264"/>
      <c r="GTJ7" s="264"/>
      <c r="GTK7" s="264"/>
      <c r="GTL7" s="264"/>
      <c r="GTM7" s="264"/>
      <c r="GTN7" s="264"/>
      <c r="GTO7" s="264"/>
      <c r="GTP7" s="264"/>
      <c r="GTQ7" s="264"/>
      <c r="GTR7" s="264"/>
      <c r="GTS7" s="264"/>
      <c r="GTT7" s="264"/>
      <c r="GTU7" s="264"/>
      <c r="GTV7" s="264"/>
      <c r="GTW7" s="264"/>
      <c r="GTX7" s="264"/>
      <c r="GTY7" s="264"/>
      <c r="GTZ7" s="264"/>
      <c r="GUA7" s="264"/>
      <c r="GUB7" s="264"/>
      <c r="GUC7" s="264"/>
      <c r="GUD7" s="264"/>
      <c r="GUE7" s="264"/>
      <c r="GUF7" s="264"/>
      <c r="GUG7" s="264"/>
      <c r="GUH7" s="264"/>
      <c r="GUI7" s="264"/>
      <c r="GUJ7" s="264"/>
      <c r="GUK7" s="264"/>
      <c r="GUL7" s="264"/>
      <c r="GUM7" s="264"/>
      <c r="GUN7" s="264"/>
      <c r="GUO7" s="264"/>
      <c r="GUP7" s="264"/>
      <c r="GUQ7" s="264"/>
      <c r="GUR7" s="264"/>
      <c r="GUS7" s="264"/>
      <c r="GUT7" s="264"/>
      <c r="GUU7" s="264"/>
      <c r="GUV7" s="264"/>
      <c r="GUW7" s="264"/>
      <c r="GUX7" s="264"/>
      <c r="GUY7" s="264"/>
      <c r="GUZ7" s="264"/>
      <c r="GVA7" s="264"/>
      <c r="GVB7" s="264"/>
      <c r="GVC7" s="264"/>
      <c r="GVD7" s="264"/>
      <c r="GVE7" s="264"/>
      <c r="GVF7" s="264"/>
      <c r="GVG7" s="264"/>
      <c r="GVH7" s="264"/>
      <c r="GVI7" s="264"/>
      <c r="GVJ7" s="264"/>
      <c r="GVK7" s="264"/>
      <c r="GVL7" s="264"/>
      <c r="GVM7" s="264"/>
      <c r="GVN7" s="264"/>
      <c r="GVO7" s="264"/>
      <c r="GVP7" s="264"/>
      <c r="GVQ7" s="264"/>
      <c r="GVR7" s="264"/>
      <c r="GVS7" s="264"/>
      <c r="GVT7" s="264"/>
      <c r="GVU7" s="264"/>
      <c r="GVV7" s="264"/>
      <c r="GVW7" s="264"/>
      <c r="GVX7" s="264"/>
      <c r="GVY7" s="264"/>
      <c r="GVZ7" s="264"/>
      <c r="GWA7" s="264"/>
      <c r="GWB7" s="264"/>
      <c r="GWC7" s="264"/>
      <c r="GWD7" s="264"/>
      <c r="GWE7" s="264"/>
      <c r="GWF7" s="264"/>
      <c r="GWG7" s="264"/>
      <c r="GWH7" s="264"/>
      <c r="GWI7" s="264"/>
      <c r="GWJ7" s="264"/>
      <c r="GWK7" s="264"/>
      <c r="GWL7" s="264"/>
      <c r="GWM7" s="264"/>
      <c r="GWN7" s="264"/>
      <c r="GWO7" s="264"/>
      <c r="GWP7" s="264"/>
      <c r="GWQ7" s="264"/>
      <c r="GWR7" s="264"/>
      <c r="GWS7" s="264"/>
      <c r="GWT7" s="264"/>
      <c r="GWU7" s="264"/>
      <c r="GWV7" s="264"/>
      <c r="GWW7" s="264"/>
      <c r="GWX7" s="264"/>
      <c r="GWY7" s="264"/>
      <c r="GWZ7" s="264"/>
      <c r="GXA7" s="264"/>
      <c r="GXB7" s="264"/>
      <c r="GXC7" s="264"/>
      <c r="GXD7" s="264"/>
      <c r="GXE7" s="264"/>
      <c r="GXF7" s="264"/>
      <c r="GXG7" s="264"/>
      <c r="GXH7" s="264"/>
      <c r="GXI7" s="264"/>
      <c r="GXJ7" s="264"/>
      <c r="GXK7" s="264"/>
      <c r="GXL7" s="264"/>
      <c r="GXM7" s="264"/>
      <c r="GXN7" s="264"/>
      <c r="GXO7" s="264"/>
      <c r="GXP7" s="264"/>
      <c r="GXQ7" s="264"/>
      <c r="GXR7" s="264"/>
      <c r="GXS7" s="264"/>
      <c r="GXT7" s="264"/>
      <c r="GXU7" s="264"/>
      <c r="GXV7" s="264"/>
      <c r="GXW7" s="264"/>
      <c r="GXX7" s="264"/>
      <c r="GXY7" s="264"/>
      <c r="GXZ7" s="264"/>
      <c r="GYA7" s="264"/>
      <c r="GYB7" s="264"/>
      <c r="GYC7" s="264"/>
      <c r="GYD7" s="264"/>
      <c r="GYE7" s="264"/>
      <c r="GYF7" s="264"/>
      <c r="GYG7" s="264"/>
      <c r="GYH7" s="264"/>
      <c r="GYI7" s="264"/>
      <c r="GYJ7" s="264"/>
      <c r="GYK7" s="264"/>
      <c r="GYL7" s="264"/>
      <c r="GYM7" s="264"/>
      <c r="GYN7" s="264"/>
      <c r="GYO7" s="264"/>
      <c r="GYP7" s="264"/>
      <c r="GYQ7" s="264"/>
      <c r="GYR7" s="264"/>
      <c r="GYS7" s="264"/>
      <c r="GYT7" s="264"/>
      <c r="GYU7" s="264"/>
      <c r="GYV7" s="264"/>
      <c r="GYW7" s="264"/>
      <c r="GYX7" s="264"/>
      <c r="GYY7" s="264"/>
      <c r="GYZ7" s="264"/>
      <c r="GZA7" s="264"/>
      <c r="GZB7" s="264"/>
      <c r="GZC7" s="264"/>
      <c r="GZD7" s="264"/>
      <c r="GZE7" s="264"/>
      <c r="GZF7" s="264"/>
      <c r="GZG7" s="264"/>
      <c r="GZH7" s="264"/>
      <c r="GZI7" s="264"/>
      <c r="GZJ7" s="264"/>
      <c r="GZK7" s="264"/>
      <c r="GZL7" s="264"/>
      <c r="GZM7" s="264"/>
      <c r="GZN7" s="264"/>
      <c r="GZO7" s="264"/>
      <c r="GZP7" s="264"/>
      <c r="GZQ7" s="264"/>
      <c r="GZR7" s="264"/>
      <c r="GZS7" s="264"/>
      <c r="GZT7" s="264"/>
      <c r="GZU7" s="264"/>
      <c r="GZV7" s="264"/>
      <c r="GZW7" s="264"/>
      <c r="GZX7" s="264"/>
      <c r="GZY7" s="264"/>
      <c r="GZZ7" s="264"/>
      <c r="HAA7" s="264"/>
      <c r="HAB7" s="264"/>
      <c r="HAC7" s="264"/>
      <c r="HAD7" s="264"/>
      <c r="HAE7" s="264"/>
      <c r="HAF7" s="264"/>
      <c r="HAG7" s="264"/>
      <c r="HAH7" s="264"/>
      <c r="HAI7" s="264"/>
      <c r="HAJ7" s="264"/>
      <c r="HAK7" s="264"/>
      <c r="HAL7" s="264"/>
      <c r="HAM7" s="264"/>
      <c r="HAN7" s="264"/>
      <c r="HAO7" s="264"/>
      <c r="HAP7" s="264"/>
      <c r="HAQ7" s="264"/>
      <c r="HAR7" s="264"/>
      <c r="HAS7" s="264"/>
      <c r="HAT7" s="264"/>
      <c r="HAU7" s="264"/>
      <c r="HAV7" s="264"/>
      <c r="HAW7" s="264"/>
      <c r="HAX7" s="264"/>
      <c r="HAY7" s="264"/>
      <c r="HAZ7" s="264"/>
      <c r="HBA7" s="264"/>
      <c r="HBB7" s="264"/>
      <c r="HBC7" s="264"/>
      <c r="HBD7" s="264"/>
      <c r="HBE7" s="264"/>
      <c r="HBF7" s="264"/>
      <c r="HBG7" s="264"/>
      <c r="HBH7" s="264"/>
      <c r="HBI7" s="264"/>
      <c r="HBJ7" s="264"/>
      <c r="HBK7" s="264"/>
      <c r="HBL7" s="264"/>
      <c r="HBM7" s="264"/>
      <c r="HBN7" s="264"/>
      <c r="HBO7" s="264"/>
      <c r="HBP7" s="264"/>
      <c r="HBQ7" s="264"/>
      <c r="HBR7" s="264"/>
      <c r="HBS7" s="264"/>
      <c r="HBT7" s="264"/>
      <c r="HBU7" s="264"/>
      <c r="HBV7" s="264"/>
      <c r="HBW7" s="264"/>
      <c r="HBX7" s="264"/>
      <c r="HBY7" s="264"/>
      <c r="HBZ7" s="264"/>
      <c r="HCA7" s="264"/>
      <c r="HCB7" s="264"/>
      <c r="HCC7" s="264"/>
      <c r="HCD7" s="264"/>
      <c r="HCE7" s="264"/>
      <c r="HCF7" s="264"/>
      <c r="HCG7" s="264"/>
      <c r="HCH7" s="264"/>
      <c r="HCI7" s="264"/>
      <c r="HCJ7" s="264"/>
      <c r="HCK7" s="264"/>
      <c r="HCL7" s="264"/>
      <c r="HCM7" s="264"/>
      <c r="HCN7" s="264"/>
      <c r="HCO7" s="264"/>
      <c r="HCP7" s="264"/>
      <c r="HCQ7" s="264"/>
      <c r="HCR7" s="264"/>
      <c r="HCS7" s="264"/>
      <c r="HCT7" s="264"/>
      <c r="HCU7" s="264"/>
      <c r="HCV7" s="264"/>
      <c r="HCW7" s="264"/>
      <c r="HCX7" s="264"/>
      <c r="HCY7" s="264"/>
      <c r="HCZ7" s="264"/>
      <c r="HDA7" s="264"/>
      <c r="HDB7" s="264"/>
      <c r="HDC7" s="264"/>
      <c r="HDD7" s="264"/>
      <c r="HDE7" s="264"/>
      <c r="HDF7" s="264"/>
      <c r="HDG7" s="264"/>
      <c r="HDH7" s="264"/>
      <c r="HDI7" s="264"/>
      <c r="HDJ7" s="264"/>
      <c r="HDK7" s="264"/>
      <c r="HDL7" s="264"/>
      <c r="HDM7" s="264"/>
      <c r="HDN7" s="264"/>
      <c r="HDO7" s="264"/>
      <c r="HDP7" s="264"/>
      <c r="HDQ7" s="264"/>
      <c r="HDR7" s="264"/>
      <c r="HDS7" s="264"/>
      <c r="HDT7" s="264"/>
      <c r="HDU7" s="264"/>
      <c r="HDV7" s="264"/>
      <c r="HDW7" s="264"/>
      <c r="HDX7" s="264"/>
      <c r="HDY7" s="264"/>
      <c r="HDZ7" s="264"/>
      <c r="HEA7" s="264"/>
      <c r="HEB7" s="264"/>
      <c r="HEC7" s="264"/>
      <c r="HED7" s="264"/>
      <c r="HEE7" s="264"/>
      <c r="HEF7" s="264"/>
      <c r="HEG7" s="264"/>
      <c r="HEH7" s="264"/>
      <c r="HEI7" s="264"/>
      <c r="HEJ7" s="264"/>
      <c r="HEK7" s="264"/>
      <c r="HEL7" s="264"/>
      <c r="HEM7" s="264"/>
      <c r="HEN7" s="264"/>
      <c r="HEO7" s="264"/>
      <c r="HEP7" s="264"/>
      <c r="HEQ7" s="264"/>
      <c r="HER7" s="264"/>
      <c r="HES7" s="264"/>
      <c r="HET7" s="264"/>
      <c r="HEU7" s="264"/>
      <c r="HEV7" s="264"/>
      <c r="HEW7" s="264"/>
      <c r="HEX7" s="264"/>
      <c r="HEY7" s="264"/>
      <c r="HEZ7" s="264"/>
      <c r="HFA7" s="264"/>
      <c r="HFB7" s="264"/>
      <c r="HFC7" s="264"/>
      <c r="HFD7" s="264"/>
      <c r="HFE7" s="264"/>
      <c r="HFF7" s="264"/>
      <c r="HFG7" s="264"/>
      <c r="HFH7" s="264"/>
      <c r="HFI7" s="264"/>
      <c r="HFJ7" s="264"/>
      <c r="HFK7" s="264"/>
      <c r="HFL7" s="264"/>
      <c r="HFM7" s="264"/>
      <c r="HFN7" s="264"/>
      <c r="HFO7" s="264"/>
      <c r="HFP7" s="264"/>
      <c r="HFQ7" s="264"/>
      <c r="HFR7" s="264"/>
      <c r="HFS7" s="264"/>
      <c r="HFT7" s="264"/>
      <c r="HFU7" s="264"/>
      <c r="HFV7" s="264"/>
      <c r="HFW7" s="264"/>
      <c r="HFX7" s="264"/>
      <c r="HFY7" s="264"/>
      <c r="HFZ7" s="264"/>
      <c r="HGA7" s="264"/>
      <c r="HGB7" s="264"/>
      <c r="HGC7" s="264"/>
      <c r="HGD7" s="264"/>
      <c r="HGE7" s="264"/>
      <c r="HGF7" s="264"/>
      <c r="HGG7" s="264"/>
      <c r="HGH7" s="264"/>
      <c r="HGI7" s="264"/>
      <c r="HGJ7" s="264"/>
      <c r="HGK7" s="264"/>
      <c r="HGL7" s="264"/>
      <c r="HGM7" s="264"/>
      <c r="HGN7" s="264"/>
      <c r="HGO7" s="264"/>
      <c r="HGP7" s="264"/>
      <c r="HGQ7" s="264"/>
      <c r="HGR7" s="264"/>
      <c r="HGS7" s="264"/>
      <c r="HGT7" s="264"/>
      <c r="HGU7" s="264"/>
      <c r="HGV7" s="264"/>
      <c r="HGW7" s="264"/>
      <c r="HGX7" s="264"/>
      <c r="HGY7" s="264"/>
      <c r="HGZ7" s="264"/>
      <c r="HHA7" s="264"/>
      <c r="HHB7" s="264"/>
      <c r="HHC7" s="264"/>
      <c r="HHD7" s="264"/>
      <c r="HHE7" s="264"/>
      <c r="HHF7" s="264"/>
      <c r="HHG7" s="264"/>
      <c r="HHH7" s="264"/>
      <c r="HHI7" s="264"/>
      <c r="HHJ7" s="264"/>
      <c r="HHK7" s="264"/>
      <c r="HHL7" s="264"/>
      <c r="HHM7" s="264"/>
      <c r="HHN7" s="264"/>
      <c r="HHO7" s="264"/>
      <c r="HHP7" s="264"/>
      <c r="HHQ7" s="264"/>
      <c r="HHR7" s="264"/>
      <c r="HHS7" s="264"/>
      <c r="HHT7" s="264"/>
      <c r="HHU7" s="264"/>
      <c r="HHV7" s="264"/>
      <c r="HHW7" s="264"/>
      <c r="HHX7" s="264"/>
      <c r="HHY7" s="264"/>
      <c r="HHZ7" s="264"/>
      <c r="HIA7" s="264"/>
      <c r="HIB7" s="264"/>
      <c r="HIC7" s="264"/>
      <c r="HID7" s="264"/>
      <c r="HIE7" s="264"/>
      <c r="HIF7" s="264"/>
      <c r="HIG7" s="264"/>
      <c r="HIH7" s="264"/>
      <c r="HII7" s="264"/>
      <c r="HIJ7" s="264"/>
      <c r="HIK7" s="264"/>
      <c r="HIL7" s="264"/>
      <c r="HIM7" s="264"/>
      <c r="HIN7" s="264"/>
      <c r="HIO7" s="264"/>
      <c r="HIP7" s="264"/>
      <c r="HIQ7" s="264"/>
      <c r="HIR7" s="264"/>
      <c r="HIS7" s="264"/>
      <c r="HIT7" s="264"/>
      <c r="HIU7" s="264"/>
      <c r="HIV7" s="264"/>
      <c r="HIW7" s="264"/>
      <c r="HIX7" s="264"/>
      <c r="HIY7" s="264"/>
      <c r="HIZ7" s="264"/>
      <c r="HJA7" s="264"/>
      <c r="HJB7" s="264"/>
      <c r="HJC7" s="264"/>
      <c r="HJD7" s="264"/>
      <c r="HJE7" s="264"/>
      <c r="HJF7" s="264"/>
      <c r="HJG7" s="264"/>
      <c r="HJH7" s="264"/>
      <c r="HJI7" s="264"/>
      <c r="HJJ7" s="264"/>
      <c r="HJK7" s="264"/>
      <c r="HJL7" s="264"/>
      <c r="HJM7" s="264"/>
      <c r="HJN7" s="264"/>
      <c r="HJO7" s="264"/>
      <c r="HJP7" s="264"/>
      <c r="HJQ7" s="264"/>
      <c r="HJR7" s="264"/>
      <c r="HJS7" s="264"/>
      <c r="HJT7" s="264"/>
      <c r="HJU7" s="264"/>
      <c r="HJV7" s="264"/>
      <c r="HJW7" s="264"/>
      <c r="HJX7" s="264"/>
      <c r="HJY7" s="264"/>
      <c r="HJZ7" s="264"/>
      <c r="HKA7" s="264"/>
      <c r="HKB7" s="264"/>
      <c r="HKC7" s="264"/>
      <c r="HKD7" s="264"/>
      <c r="HKE7" s="264"/>
      <c r="HKF7" s="264"/>
      <c r="HKG7" s="264"/>
      <c r="HKH7" s="264"/>
      <c r="HKI7" s="264"/>
      <c r="HKJ7" s="264"/>
      <c r="HKK7" s="264"/>
      <c r="HKL7" s="264"/>
      <c r="HKM7" s="264"/>
      <c r="HKN7" s="264"/>
      <c r="HKO7" s="264"/>
      <c r="HKP7" s="264"/>
      <c r="HKQ7" s="264"/>
      <c r="HKR7" s="264"/>
      <c r="HKS7" s="264"/>
      <c r="HKT7" s="264"/>
      <c r="HKU7" s="264"/>
      <c r="HKV7" s="264"/>
      <c r="HKW7" s="264"/>
      <c r="HKX7" s="264"/>
      <c r="HKY7" s="264"/>
      <c r="HKZ7" s="264"/>
      <c r="HLA7" s="264"/>
      <c r="HLB7" s="264"/>
      <c r="HLC7" s="264"/>
      <c r="HLD7" s="264"/>
      <c r="HLE7" s="264"/>
      <c r="HLF7" s="264"/>
      <c r="HLG7" s="264"/>
      <c r="HLH7" s="264"/>
      <c r="HLI7" s="264"/>
      <c r="HLJ7" s="264"/>
      <c r="HLK7" s="264"/>
      <c r="HLL7" s="264"/>
      <c r="HLM7" s="264"/>
      <c r="HLN7" s="264"/>
      <c r="HLO7" s="264"/>
      <c r="HLP7" s="264"/>
      <c r="HLQ7" s="264"/>
      <c r="HLR7" s="264"/>
      <c r="HLS7" s="264"/>
      <c r="HLT7" s="264"/>
      <c r="HLU7" s="264"/>
      <c r="HLV7" s="264"/>
      <c r="HLW7" s="264"/>
      <c r="HLX7" s="264"/>
      <c r="HLY7" s="264"/>
      <c r="HLZ7" s="264"/>
      <c r="HMA7" s="264"/>
      <c r="HMB7" s="264"/>
      <c r="HMC7" s="264"/>
      <c r="HMD7" s="264"/>
      <c r="HME7" s="264"/>
      <c r="HMF7" s="264"/>
      <c r="HMG7" s="264"/>
      <c r="HMH7" s="264"/>
      <c r="HMI7" s="264"/>
      <c r="HMJ7" s="264"/>
      <c r="HMK7" s="264"/>
      <c r="HML7" s="264"/>
      <c r="HMM7" s="264"/>
      <c r="HMN7" s="264"/>
      <c r="HMO7" s="264"/>
      <c r="HMP7" s="264"/>
      <c r="HMQ7" s="264"/>
      <c r="HMR7" s="264"/>
      <c r="HMS7" s="264"/>
      <c r="HMT7" s="264"/>
      <c r="HMU7" s="264"/>
      <c r="HMV7" s="264"/>
      <c r="HMW7" s="264"/>
      <c r="HMX7" s="264"/>
      <c r="HMY7" s="264"/>
      <c r="HMZ7" s="264"/>
      <c r="HNA7" s="264"/>
      <c r="HNB7" s="264"/>
      <c r="HNC7" s="264"/>
      <c r="HND7" s="264"/>
      <c r="HNE7" s="264"/>
      <c r="HNF7" s="264"/>
      <c r="HNG7" s="264"/>
      <c r="HNH7" s="264"/>
      <c r="HNI7" s="264"/>
      <c r="HNJ7" s="264"/>
      <c r="HNK7" s="264"/>
      <c r="HNL7" s="264"/>
      <c r="HNM7" s="264"/>
      <c r="HNN7" s="264"/>
      <c r="HNO7" s="264"/>
      <c r="HNP7" s="264"/>
      <c r="HNQ7" s="264"/>
      <c r="HNR7" s="264"/>
      <c r="HNS7" s="264"/>
      <c r="HNT7" s="264"/>
      <c r="HNU7" s="264"/>
      <c r="HNV7" s="264"/>
      <c r="HNW7" s="264"/>
      <c r="HNX7" s="264"/>
      <c r="HNY7" s="264"/>
      <c r="HNZ7" s="264"/>
      <c r="HOA7" s="264"/>
      <c r="HOB7" s="264"/>
      <c r="HOC7" s="264"/>
      <c r="HOD7" s="264"/>
      <c r="HOE7" s="264"/>
      <c r="HOF7" s="264"/>
      <c r="HOG7" s="264"/>
      <c r="HOH7" s="264"/>
      <c r="HOI7" s="264"/>
      <c r="HOJ7" s="264"/>
      <c r="HOK7" s="264"/>
      <c r="HOL7" s="264"/>
      <c r="HOM7" s="264"/>
      <c r="HON7" s="264"/>
      <c r="HOO7" s="264"/>
      <c r="HOP7" s="264"/>
      <c r="HOQ7" s="264"/>
      <c r="HOR7" s="264"/>
      <c r="HOS7" s="264"/>
      <c r="HOT7" s="264"/>
      <c r="HOU7" s="264"/>
      <c r="HOV7" s="264"/>
      <c r="HOW7" s="264"/>
      <c r="HOX7" s="264"/>
      <c r="HOY7" s="264"/>
      <c r="HOZ7" s="264"/>
      <c r="HPA7" s="264"/>
      <c r="HPB7" s="264"/>
      <c r="HPC7" s="264"/>
      <c r="HPD7" s="264"/>
      <c r="HPE7" s="264"/>
      <c r="HPF7" s="264"/>
      <c r="HPG7" s="264"/>
      <c r="HPH7" s="264"/>
      <c r="HPI7" s="264"/>
      <c r="HPJ7" s="264"/>
      <c r="HPK7" s="264"/>
      <c r="HPL7" s="264"/>
      <c r="HPM7" s="264"/>
      <c r="HPN7" s="264"/>
      <c r="HPO7" s="264"/>
      <c r="HPP7" s="264"/>
      <c r="HPQ7" s="264"/>
      <c r="HPR7" s="264"/>
      <c r="HPS7" s="264"/>
      <c r="HPT7" s="264"/>
      <c r="HPU7" s="264"/>
      <c r="HPV7" s="264"/>
      <c r="HPW7" s="264"/>
      <c r="HPX7" s="264"/>
      <c r="HPY7" s="264"/>
      <c r="HPZ7" s="264"/>
      <c r="HQA7" s="264"/>
      <c r="HQB7" s="264"/>
      <c r="HQC7" s="264"/>
      <c r="HQD7" s="264"/>
      <c r="HQE7" s="264"/>
      <c r="HQF7" s="264"/>
      <c r="HQG7" s="264"/>
      <c r="HQH7" s="264"/>
      <c r="HQI7" s="264"/>
      <c r="HQJ7" s="264"/>
      <c r="HQK7" s="264"/>
      <c r="HQL7" s="264"/>
      <c r="HQM7" s="264"/>
      <c r="HQN7" s="264"/>
      <c r="HQO7" s="264"/>
      <c r="HQP7" s="264"/>
      <c r="HQQ7" s="264"/>
      <c r="HQR7" s="264"/>
      <c r="HQS7" s="264"/>
      <c r="HQT7" s="264"/>
      <c r="HQU7" s="264"/>
      <c r="HQV7" s="264"/>
      <c r="HQW7" s="264"/>
      <c r="HQX7" s="264"/>
      <c r="HQY7" s="264"/>
      <c r="HQZ7" s="264"/>
      <c r="HRA7" s="264"/>
      <c r="HRB7" s="264"/>
      <c r="HRC7" s="264"/>
      <c r="HRD7" s="264"/>
      <c r="HRE7" s="264"/>
      <c r="HRF7" s="264"/>
      <c r="HRG7" s="264"/>
      <c r="HRH7" s="264"/>
      <c r="HRI7" s="264"/>
      <c r="HRJ7" s="264"/>
      <c r="HRK7" s="264"/>
      <c r="HRL7" s="264"/>
      <c r="HRM7" s="264"/>
      <c r="HRN7" s="264"/>
      <c r="HRO7" s="264"/>
      <c r="HRP7" s="264"/>
      <c r="HRQ7" s="264"/>
      <c r="HRR7" s="264"/>
      <c r="HRS7" s="264"/>
      <c r="HRT7" s="264"/>
      <c r="HRU7" s="264"/>
      <c r="HRV7" s="264"/>
      <c r="HRW7" s="264"/>
      <c r="HRX7" s="264"/>
      <c r="HRY7" s="264"/>
      <c r="HRZ7" s="264"/>
      <c r="HSA7" s="264"/>
      <c r="HSB7" s="264"/>
      <c r="HSC7" s="264"/>
      <c r="HSD7" s="264"/>
      <c r="HSE7" s="264"/>
      <c r="HSF7" s="264"/>
      <c r="HSG7" s="264"/>
      <c r="HSH7" s="264"/>
      <c r="HSI7" s="264"/>
      <c r="HSJ7" s="264"/>
      <c r="HSK7" s="264"/>
      <c r="HSL7" s="264"/>
      <c r="HSM7" s="264"/>
      <c r="HSN7" s="264"/>
      <c r="HSO7" s="264"/>
      <c r="HSP7" s="264"/>
      <c r="HSQ7" s="264"/>
      <c r="HSR7" s="264"/>
      <c r="HSS7" s="264"/>
      <c r="HST7" s="264"/>
      <c r="HSU7" s="264"/>
      <c r="HSV7" s="264"/>
      <c r="HSW7" s="264"/>
      <c r="HSX7" s="264"/>
      <c r="HSY7" s="264"/>
      <c r="HSZ7" s="264"/>
      <c r="HTA7" s="264"/>
      <c r="HTB7" s="264"/>
      <c r="HTC7" s="264"/>
      <c r="HTD7" s="264"/>
      <c r="HTE7" s="264"/>
      <c r="HTF7" s="264"/>
      <c r="HTG7" s="264"/>
      <c r="HTH7" s="264"/>
      <c r="HTI7" s="264"/>
      <c r="HTJ7" s="264"/>
      <c r="HTK7" s="264"/>
      <c r="HTL7" s="264"/>
      <c r="HTM7" s="264"/>
      <c r="HTN7" s="264"/>
      <c r="HTO7" s="264"/>
      <c r="HTP7" s="264"/>
      <c r="HTQ7" s="264"/>
      <c r="HTR7" s="264"/>
      <c r="HTS7" s="264"/>
      <c r="HTT7" s="264"/>
      <c r="HTU7" s="264"/>
      <c r="HTV7" s="264"/>
      <c r="HTW7" s="264"/>
      <c r="HTX7" s="264"/>
      <c r="HTY7" s="264"/>
      <c r="HTZ7" s="264"/>
      <c r="HUA7" s="264"/>
      <c r="HUB7" s="264"/>
      <c r="HUC7" s="264"/>
      <c r="HUD7" s="264"/>
      <c r="HUE7" s="264"/>
      <c r="HUF7" s="264"/>
      <c r="HUG7" s="264"/>
      <c r="HUH7" s="264"/>
      <c r="HUI7" s="264"/>
      <c r="HUJ7" s="264"/>
      <c r="HUK7" s="264"/>
      <c r="HUL7" s="264"/>
      <c r="HUM7" s="264"/>
      <c r="HUN7" s="264"/>
      <c r="HUO7" s="264"/>
      <c r="HUP7" s="264"/>
      <c r="HUQ7" s="264"/>
      <c r="HUR7" s="264"/>
      <c r="HUS7" s="264"/>
      <c r="HUT7" s="264"/>
      <c r="HUU7" s="264"/>
      <c r="HUV7" s="264"/>
      <c r="HUW7" s="264"/>
      <c r="HUX7" s="264"/>
      <c r="HUY7" s="264"/>
      <c r="HUZ7" s="264"/>
      <c r="HVA7" s="264"/>
      <c r="HVB7" s="264"/>
      <c r="HVC7" s="264"/>
      <c r="HVD7" s="264"/>
      <c r="HVE7" s="264"/>
      <c r="HVF7" s="264"/>
      <c r="HVG7" s="264"/>
      <c r="HVH7" s="264"/>
      <c r="HVI7" s="264"/>
      <c r="HVJ7" s="264"/>
      <c r="HVK7" s="264"/>
      <c r="HVL7" s="264"/>
      <c r="HVM7" s="264"/>
      <c r="HVN7" s="264"/>
      <c r="HVO7" s="264"/>
      <c r="HVP7" s="264"/>
      <c r="HVQ7" s="264"/>
      <c r="HVR7" s="264"/>
      <c r="HVS7" s="264"/>
      <c r="HVT7" s="264"/>
      <c r="HVU7" s="264"/>
      <c r="HVV7" s="264"/>
      <c r="HVW7" s="264"/>
      <c r="HVX7" s="264"/>
      <c r="HVY7" s="264"/>
      <c r="HVZ7" s="264"/>
      <c r="HWA7" s="264"/>
      <c r="HWB7" s="264"/>
      <c r="HWC7" s="264"/>
      <c r="HWD7" s="264"/>
      <c r="HWE7" s="264"/>
      <c r="HWF7" s="264"/>
      <c r="HWG7" s="264"/>
      <c r="HWH7" s="264"/>
      <c r="HWI7" s="264"/>
      <c r="HWJ7" s="264"/>
      <c r="HWK7" s="264"/>
      <c r="HWL7" s="264"/>
      <c r="HWM7" s="264"/>
      <c r="HWN7" s="264"/>
      <c r="HWO7" s="264"/>
      <c r="HWP7" s="264"/>
      <c r="HWQ7" s="264"/>
      <c r="HWR7" s="264"/>
      <c r="HWS7" s="264"/>
      <c r="HWT7" s="264"/>
      <c r="HWU7" s="264"/>
      <c r="HWV7" s="264"/>
      <c r="HWW7" s="264"/>
      <c r="HWX7" s="264"/>
      <c r="HWY7" s="264"/>
      <c r="HWZ7" s="264"/>
      <c r="HXA7" s="264"/>
      <c r="HXB7" s="264"/>
      <c r="HXC7" s="264"/>
      <c r="HXD7" s="264"/>
      <c r="HXE7" s="264"/>
      <c r="HXF7" s="264"/>
      <c r="HXG7" s="264"/>
      <c r="HXH7" s="264"/>
      <c r="HXI7" s="264"/>
      <c r="HXJ7" s="264"/>
      <c r="HXK7" s="264"/>
      <c r="HXL7" s="264"/>
      <c r="HXM7" s="264"/>
      <c r="HXN7" s="264"/>
      <c r="HXO7" s="264"/>
      <c r="HXP7" s="264"/>
      <c r="HXQ7" s="264"/>
      <c r="HXR7" s="264"/>
      <c r="HXS7" s="264"/>
      <c r="HXT7" s="264"/>
      <c r="HXU7" s="264"/>
      <c r="HXV7" s="264"/>
      <c r="HXW7" s="264"/>
      <c r="HXX7" s="264"/>
      <c r="HXY7" s="264"/>
      <c r="HXZ7" s="264"/>
      <c r="HYA7" s="264"/>
      <c r="HYB7" s="264"/>
      <c r="HYC7" s="264"/>
      <c r="HYD7" s="264"/>
      <c r="HYE7" s="264"/>
      <c r="HYF7" s="264"/>
      <c r="HYG7" s="264"/>
      <c r="HYH7" s="264"/>
      <c r="HYI7" s="264"/>
      <c r="HYJ7" s="264"/>
      <c r="HYK7" s="264"/>
      <c r="HYL7" s="264"/>
      <c r="HYM7" s="264"/>
      <c r="HYN7" s="264"/>
      <c r="HYO7" s="264"/>
      <c r="HYP7" s="264"/>
      <c r="HYQ7" s="264"/>
      <c r="HYR7" s="264"/>
      <c r="HYS7" s="264"/>
      <c r="HYT7" s="264"/>
      <c r="HYU7" s="264"/>
      <c r="HYV7" s="264"/>
      <c r="HYW7" s="264"/>
      <c r="HYX7" s="264"/>
      <c r="HYY7" s="264"/>
      <c r="HYZ7" s="264"/>
      <c r="HZA7" s="264"/>
      <c r="HZB7" s="264"/>
      <c r="HZC7" s="264"/>
      <c r="HZD7" s="264"/>
      <c r="HZE7" s="264"/>
      <c r="HZF7" s="264"/>
      <c r="HZG7" s="264"/>
      <c r="HZH7" s="264"/>
      <c r="HZI7" s="264"/>
      <c r="HZJ7" s="264"/>
      <c r="HZK7" s="264"/>
      <c r="HZL7" s="264"/>
      <c r="HZM7" s="264"/>
      <c r="HZN7" s="264"/>
      <c r="HZO7" s="264"/>
      <c r="HZP7" s="264"/>
      <c r="HZQ7" s="264"/>
      <c r="HZR7" s="264"/>
      <c r="HZS7" s="264"/>
      <c r="HZT7" s="264"/>
      <c r="HZU7" s="264"/>
      <c r="HZV7" s="264"/>
      <c r="HZW7" s="264"/>
      <c r="HZX7" s="264"/>
      <c r="HZY7" s="264"/>
      <c r="HZZ7" s="264"/>
      <c r="IAA7" s="264"/>
      <c r="IAB7" s="264"/>
      <c r="IAC7" s="264"/>
      <c r="IAD7" s="264"/>
      <c r="IAE7" s="264"/>
      <c r="IAF7" s="264"/>
      <c r="IAG7" s="264"/>
      <c r="IAH7" s="264"/>
      <c r="IAI7" s="264"/>
      <c r="IAJ7" s="264"/>
      <c r="IAK7" s="264"/>
      <c r="IAL7" s="264"/>
      <c r="IAM7" s="264"/>
      <c r="IAN7" s="264"/>
      <c r="IAO7" s="264"/>
      <c r="IAP7" s="264"/>
      <c r="IAQ7" s="264"/>
      <c r="IAR7" s="264"/>
      <c r="IAS7" s="264"/>
      <c r="IAT7" s="264"/>
      <c r="IAU7" s="264"/>
      <c r="IAV7" s="264"/>
      <c r="IAW7" s="264"/>
      <c r="IAX7" s="264"/>
      <c r="IAY7" s="264"/>
      <c r="IAZ7" s="264"/>
      <c r="IBA7" s="264"/>
      <c r="IBB7" s="264"/>
      <c r="IBC7" s="264"/>
      <c r="IBD7" s="264"/>
      <c r="IBE7" s="264"/>
      <c r="IBF7" s="264"/>
      <c r="IBG7" s="264"/>
      <c r="IBH7" s="264"/>
      <c r="IBI7" s="264"/>
      <c r="IBJ7" s="264"/>
      <c r="IBK7" s="264"/>
      <c r="IBL7" s="264"/>
      <c r="IBM7" s="264"/>
      <c r="IBN7" s="264"/>
      <c r="IBO7" s="264"/>
      <c r="IBP7" s="264"/>
      <c r="IBQ7" s="264"/>
      <c r="IBR7" s="264"/>
      <c r="IBS7" s="264"/>
      <c r="IBT7" s="264"/>
      <c r="IBU7" s="264"/>
      <c r="IBV7" s="264"/>
      <c r="IBW7" s="264"/>
      <c r="IBX7" s="264"/>
      <c r="IBY7" s="264"/>
      <c r="IBZ7" s="264"/>
      <c r="ICA7" s="264"/>
      <c r="ICB7" s="264"/>
      <c r="ICC7" s="264"/>
      <c r="ICD7" s="264"/>
      <c r="ICE7" s="264"/>
      <c r="ICF7" s="264"/>
      <c r="ICG7" s="264"/>
      <c r="ICH7" s="264"/>
      <c r="ICI7" s="264"/>
      <c r="ICJ7" s="264"/>
      <c r="ICK7" s="264"/>
      <c r="ICL7" s="264"/>
      <c r="ICM7" s="264"/>
      <c r="ICN7" s="264"/>
      <c r="ICO7" s="264"/>
      <c r="ICP7" s="264"/>
      <c r="ICQ7" s="264"/>
      <c r="ICR7" s="264"/>
      <c r="ICS7" s="264"/>
      <c r="ICT7" s="264"/>
      <c r="ICU7" s="264"/>
      <c r="ICV7" s="264"/>
      <c r="ICW7" s="264"/>
      <c r="ICX7" s="264"/>
      <c r="ICY7" s="264"/>
      <c r="ICZ7" s="264"/>
      <c r="IDA7" s="264"/>
      <c r="IDB7" s="264"/>
      <c r="IDC7" s="264"/>
      <c r="IDD7" s="264"/>
      <c r="IDE7" s="264"/>
      <c r="IDF7" s="264"/>
      <c r="IDG7" s="264"/>
      <c r="IDH7" s="264"/>
      <c r="IDI7" s="264"/>
      <c r="IDJ7" s="264"/>
      <c r="IDK7" s="264"/>
      <c r="IDL7" s="264"/>
      <c r="IDM7" s="264"/>
      <c r="IDN7" s="264"/>
      <c r="IDO7" s="264"/>
      <c r="IDP7" s="264"/>
      <c r="IDQ7" s="264"/>
      <c r="IDR7" s="264"/>
      <c r="IDS7" s="264"/>
      <c r="IDT7" s="264"/>
      <c r="IDU7" s="264"/>
      <c r="IDV7" s="264"/>
      <c r="IDW7" s="264"/>
      <c r="IDX7" s="264"/>
      <c r="IDY7" s="264"/>
      <c r="IDZ7" s="264"/>
      <c r="IEA7" s="264"/>
      <c r="IEB7" s="264"/>
      <c r="IEC7" s="264"/>
      <c r="IED7" s="264"/>
      <c r="IEE7" s="264"/>
      <c r="IEF7" s="264"/>
      <c r="IEG7" s="264"/>
      <c r="IEH7" s="264"/>
      <c r="IEI7" s="264"/>
      <c r="IEJ7" s="264"/>
      <c r="IEK7" s="264"/>
      <c r="IEL7" s="264"/>
      <c r="IEM7" s="264"/>
      <c r="IEN7" s="264"/>
      <c r="IEO7" s="264"/>
      <c r="IEP7" s="264"/>
      <c r="IEQ7" s="264"/>
      <c r="IER7" s="264"/>
      <c r="IES7" s="264"/>
      <c r="IET7" s="264"/>
      <c r="IEU7" s="264"/>
      <c r="IEV7" s="264"/>
      <c r="IEW7" s="264"/>
      <c r="IEX7" s="264"/>
      <c r="IEY7" s="264"/>
      <c r="IEZ7" s="264"/>
      <c r="IFA7" s="264"/>
      <c r="IFB7" s="264"/>
      <c r="IFC7" s="264"/>
      <c r="IFD7" s="264"/>
      <c r="IFE7" s="264"/>
      <c r="IFF7" s="264"/>
      <c r="IFG7" s="264"/>
      <c r="IFH7" s="264"/>
      <c r="IFI7" s="264"/>
      <c r="IFJ7" s="264"/>
      <c r="IFK7" s="264"/>
      <c r="IFL7" s="264"/>
      <c r="IFM7" s="264"/>
      <c r="IFN7" s="264"/>
      <c r="IFO7" s="264"/>
      <c r="IFP7" s="264"/>
      <c r="IFQ7" s="264"/>
      <c r="IFR7" s="264"/>
      <c r="IFS7" s="264"/>
      <c r="IFT7" s="264"/>
      <c r="IFU7" s="264"/>
      <c r="IFV7" s="264"/>
      <c r="IFW7" s="264"/>
      <c r="IFX7" s="264"/>
      <c r="IFY7" s="264"/>
      <c r="IFZ7" s="264"/>
      <c r="IGA7" s="264"/>
      <c r="IGB7" s="264"/>
      <c r="IGC7" s="264"/>
      <c r="IGD7" s="264"/>
      <c r="IGE7" s="264"/>
      <c r="IGF7" s="264"/>
      <c r="IGG7" s="264"/>
      <c r="IGH7" s="264"/>
      <c r="IGI7" s="264"/>
      <c r="IGJ7" s="264"/>
      <c r="IGK7" s="264"/>
      <c r="IGL7" s="264"/>
      <c r="IGM7" s="264"/>
      <c r="IGN7" s="264"/>
      <c r="IGO7" s="264"/>
      <c r="IGP7" s="264"/>
      <c r="IGQ7" s="264"/>
      <c r="IGR7" s="264"/>
      <c r="IGS7" s="264"/>
      <c r="IGT7" s="264"/>
      <c r="IGU7" s="264"/>
      <c r="IGV7" s="264"/>
      <c r="IGW7" s="264"/>
      <c r="IGX7" s="264"/>
      <c r="IGY7" s="264"/>
      <c r="IGZ7" s="264"/>
      <c r="IHA7" s="264"/>
      <c r="IHB7" s="264"/>
      <c r="IHC7" s="264"/>
      <c r="IHD7" s="264"/>
      <c r="IHE7" s="264"/>
      <c r="IHF7" s="264"/>
      <c r="IHG7" s="264"/>
      <c r="IHH7" s="264"/>
      <c r="IHI7" s="264"/>
      <c r="IHJ7" s="264"/>
      <c r="IHK7" s="264"/>
      <c r="IHL7" s="264"/>
      <c r="IHM7" s="264"/>
      <c r="IHN7" s="264"/>
      <c r="IHO7" s="264"/>
      <c r="IHP7" s="264"/>
      <c r="IHQ7" s="264"/>
      <c r="IHR7" s="264"/>
      <c r="IHS7" s="264"/>
      <c r="IHT7" s="264"/>
      <c r="IHU7" s="264"/>
      <c r="IHV7" s="264"/>
      <c r="IHW7" s="264"/>
      <c r="IHX7" s="264"/>
      <c r="IHY7" s="264"/>
      <c r="IHZ7" s="264"/>
      <c r="IIA7" s="264"/>
      <c r="IIB7" s="264"/>
      <c r="IIC7" s="264"/>
      <c r="IID7" s="264"/>
      <c r="IIE7" s="264"/>
      <c r="IIF7" s="264"/>
      <c r="IIG7" s="264"/>
      <c r="IIH7" s="264"/>
      <c r="III7" s="264"/>
      <c r="IIJ7" s="264"/>
      <c r="IIK7" s="264"/>
      <c r="IIL7" s="264"/>
      <c r="IIM7" s="264"/>
      <c r="IIN7" s="264"/>
      <c r="IIO7" s="264"/>
      <c r="IIP7" s="264"/>
      <c r="IIQ7" s="264"/>
      <c r="IIR7" s="264"/>
      <c r="IIS7" s="264"/>
      <c r="IIT7" s="264"/>
      <c r="IIU7" s="264"/>
      <c r="IIV7" s="264"/>
      <c r="IIW7" s="264"/>
      <c r="IIX7" s="264"/>
      <c r="IIY7" s="264"/>
      <c r="IIZ7" s="264"/>
      <c r="IJA7" s="264"/>
      <c r="IJB7" s="264"/>
      <c r="IJC7" s="264"/>
      <c r="IJD7" s="264"/>
      <c r="IJE7" s="264"/>
      <c r="IJF7" s="264"/>
      <c r="IJG7" s="264"/>
      <c r="IJH7" s="264"/>
      <c r="IJI7" s="264"/>
      <c r="IJJ7" s="264"/>
      <c r="IJK7" s="264"/>
      <c r="IJL7" s="264"/>
      <c r="IJM7" s="264"/>
      <c r="IJN7" s="264"/>
      <c r="IJO7" s="264"/>
      <c r="IJP7" s="264"/>
      <c r="IJQ7" s="264"/>
      <c r="IJR7" s="264"/>
      <c r="IJS7" s="264"/>
      <c r="IJT7" s="264"/>
      <c r="IJU7" s="264"/>
      <c r="IJV7" s="264"/>
      <c r="IJW7" s="264"/>
      <c r="IJX7" s="264"/>
      <c r="IJY7" s="264"/>
      <c r="IJZ7" s="264"/>
      <c r="IKA7" s="264"/>
      <c r="IKB7" s="264"/>
      <c r="IKC7" s="264"/>
      <c r="IKD7" s="264"/>
      <c r="IKE7" s="264"/>
      <c r="IKF7" s="264"/>
      <c r="IKG7" s="264"/>
      <c r="IKH7" s="264"/>
      <c r="IKI7" s="264"/>
      <c r="IKJ7" s="264"/>
      <c r="IKK7" s="264"/>
      <c r="IKL7" s="264"/>
      <c r="IKM7" s="264"/>
      <c r="IKN7" s="264"/>
      <c r="IKO7" s="264"/>
      <c r="IKP7" s="264"/>
      <c r="IKQ7" s="264"/>
      <c r="IKR7" s="264"/>
      <c r="IKS7" s="264"/>
      <c r="IKT7" s="264"/>
      <c r="IKU7" s="264"/>
      <c r="IKV7" s="264"/>
      <c r="IKW7" s="264"/>
      <c r="IKX7" s="264"/>
      <c r="IKY7" s="264"/>
      <c r="IKZ7" s="264"/>
      <c r="ILA7" s="264"/>
      <c r="ILB7" s="264"/>
      <c r="ILC7" s="264"/>
      <c r="ILD7" s="264"/>
      <c r="ILE7" s="264"/>
      <c r="ILF7" s="264"/>
      <c r="ILG7" s="264"/>
      <c r="ILH7" s="264"/>
      <c r="ILI7" s="264"/>
      <c r="ILJ7" s="264"/>
      <c r="ILK7" s="264"/>
      <c r="ILL7" s="264"/>
      <c r="ILM7" s="264"/>
      <c r="ILN7" s="264"/>
      <c r="ILO7" s="264"/>
      <c r="ILP7" s="264"/>
      <c r="ILQ7" s="264"/>
      <c r="ILR7" s="264"/>
      <c r="ILS7" s="264"/>
      <c r="ILT7" s="264"/>
      <c r="ILU7" s="264"/>
      <c r="ILV7" s="264"/>
      <c r="ILW7" s="264"/>
      <c r="ILX7" s="264"/>
      <c r="ILY7" s="264"/>
      <c r="ILZ7" s="264"/>
      <c r="IMA7" s="264"/>
      <c r="IMB7" s="264"/>
      <c r="IMC7" s="264"/>
      <c r="IMD7" s="264"/>
      <c r="IME7" s="264"/>
      <c r="IMF7" s="264"/>
      <c r="IMG7" s="264"/>
      <c r="IMH7" s="264"/>
      <c r="IMI7" s="264"/>
      <c r="IMJ7" s="264"/>
      <c r="IMK7" s="264"/>
      <c r="IML7" s="264"/>
      <c r="IMM7" s="264"/>
      <c r="IMN7" s="264"/>
      <c r="IMO7" s="264"/>
      <c r="IMP7" s="264"/>
      <c r="IMQ7" s="264"/>
      <c r="IMR7" s="264"/>
      <c r="IMS7" s="264"/>
      <c r="IMT7" s="264"/>
      <c r="IMU7" s="264"/>
      <c r="IMV7" s="264"/>
      <c r="IMW7" s="264"/>
      <c r="IMX7" s="264"/>
      <c r="IMY7" s="264"/>
      <c r="IMZ7" s="264"/>
      <c r="INA7" s="264"/>
      <c r="INB7" s="264"/>
      <c r="INC7" s="264"/>
      <c r="IND7" s="264"/>
      <c r="INE7" s="264"/>
      <c r="INF7" s="264"/>
      <c r="ING7" s="264"/>
      <c r="INH7" s="264"/>
      <c r="INI7" s="264"/>
      <c r="INJ7" s="264"/>
      <c r="INK7" s="264"/>
      <c r="INL7" s="264"/>
      <c r="INM7" s="264"/>
      <c r="INN7" s="264"/>
      <c r="INO7" s="264"/>
      <c r="INP7" s="264"/>
      <c r="INQ7" s="264"/>
      <c r="INR7" s="264"/>
      <c r="INS7" s="264"/>
      <c r="INT7" s="264"/>
      <c r="INU7" s="264"/>
      <c r="INV7" s="264"/>
      <c r="INW7" s="264"/>
      <c r="INX7" s="264"/>
      <c r="INY7" s="264"/>
      <c r="INZ7" s="264"/>
      <c r="IOA7" s="264"/>
      <c r="IOB7" s="264"/>
      <c r="IOC7" s="264"/>
      <c r="IOD7" s="264"/>
      <c r="IOE7" s="264"/>
      <c r="IOF7" s="264"/>
      <c r="IOG7" s="264"/>
      <c r="IOH7" s="264"/>
      <c r="IOI7" s="264"/>
      <c r="IOJ7" s="264"/>
      <c r="IOK7" s="264"/>
      <c r="IOL7" s="264"/>
      <c r="IOM7" s="264"/>
      <c r="ION7" s="264"/>
      <c r="IOO7" s="264"/>
      <c r="IOP7" s="264"/>
      <c r="IOQ7" s="264"/>
      <c r="IOR7" s="264"/>
      <c r="IOS7" s="264"/>
      <c r="IOT7" s="264"/>
      <c r="IOU7" s="264"/>
      <c r="IOV7" s="264"/>
      <c r="IOW7" s="264"/>
      <c r="IOX7" s="264"/>
      <c r="IOY7" s="264"/>
      <c r="IOZ7" s="264"/>
      <c r="IPA7" s="264"/>
      <c r="IPB7" s="264"/>
      <c r="IPC7" s="264"/>
      <c r="IPD7" s="264"/>
      <c r="IPE7" s="264"/>
      <c r="IPF7" s="264"/>
      <c r="IPG7" s="264"/>
      <c r="IPH7" s="264"/>
      <c r="IPI7" s="264"/>
      <c r="IPJ7" s="264"/>
      <c r="IPK7" s="264"/>
      <c r="IPL7" s="264"/>
      <c r="IPM7" s="264"/>
      <c r="IPN7" s="264"/>
      <c r="IPO7" s="264"/>
      <c r="IPP7" s="264"/>
      <c r="IPQ7" s="264"/>
      <c r="IPR7" s="264"/>
      <c r="IPS7" s="264"/>
      <c r="IPT7" s="264"/>
      <c r="IPU7" s="264"/>
      <c r="IPV7" s="264"/>
      <c r="IPW7" s="264"/>
      <c r="IPX7" s="264"/>
      <c r="IPY7" s="264"/>
      <c r="IPZ7" s="264"/>
      <c r="IQA7" s="264"/>
      <c r="IQB7" s="264"/>
      <c r="IQC7" s="264"/>
      <c r="IQD7" s="264"/>
      <c r="IQE7" s="264"/>
      <c r="IQF7" s="264"/>
      <c r="IQG7" s="264"/>
      <c r="IQH7" s="264"/>
      <c r="IQI7" s="264"/>
      <c r="IQJ7" s="264"/>
      <c r="IQK7" s="264"/>
      <c r="IQL7" s="264"/>
      <c r="IQM7" s="264"/>
      <c r="IQN7" s="264"/>
      <c r="IQO7" s="264"/>
      <c r="IQP7" s="264"/>
      <c r="IQQ7" s="264"/>
      <c r="IQR7" s="264"/>
      <c r="IQS7" s="264"/>
      <c r="IQT7" s="264"/>
      <c r="IQU7" s="264"/>
      <c r="IQV7" s="264"/>
      <c r="IQW7" s="264"/>
      <c r="IQX7" s="264"/>
      <c r="IQY7" s="264"/>
      <c r="IQZ7" s="264"/>
      <c r="IRA7" s="264"/>
      <c r="IRB7" s="264"/>
      <c r="IRC7" s="264"/>
      <c r="IRD7" s="264"/>
      <c r="IRE7" s="264"/>
      <c r="IRF7" s="264"/>
      <c r="IRG7" s="264"/>
      <c r="IRH7" s="264"/>
      <c r="IRI7" s="264"/>
      <c r="IRJ7" s="264"/>
      <c r="IRK7" s="264"/>
      <c r="IRL7" s="264"/>
      <c r="IRM7" s="264"/>
      <c r="IRN7" s="264"/>
      <c r="IRO7" s="264"/>
      <c r="IRP7" s="264"/>
      <c r="IRQ7" s="264"/>
      <c r="IRR7" s="264"/>
      <c r="IRS7" s="264"/>
      <c r="IRT7" s="264"/>
      <c r="IRU7" s="264"/>
      <c r="IRV7" s="264"/>
      <c r="IRW7" s="264"/>
      <c r="IRX7" s="264"/>
      <c r="IRY7" s="264"/>
      <c r="IRZ7" s="264"/>
      <c r="ISA7" s="264"/>
      <c r="ISB7" s="264"/>
      <c r="ISC7" s="264"/>
      <c r="ISD7" s="264"/>
      <c r="ISE7" s="264"/>
      <c r="ISF7" s="264"/>
      <c r="ISG7" s="264"/>
      <c r="ISH7" s="264"/>
      <c r="ISI7" s="264"/>
      <c r="ISJ7" s="264"/>
      <c r="ISK7" s="264"/>
      <c r="ISL7" s="264"/>
      <c r="ISM7" s="264"/>
      <c r="ISN7" s="264"/>
      <c r="ISO7" s="264"/>
      <c r="ISP7" s="264"/>
      <c r="ISQ7" s="264"/>
      <c r="ISR7" s="264"/>
      <c r="ISS7" s="264"/>
      <c r="IST7" s="264"/>
      <c r="ISU7" s="264"/>
      <c r="ISV7" s="264"/>
      <c r="ISW7" s="264"/>
      <c r="ISX7" s="264"/>
      <c r="ISY7" s="264"/>
      <c r="ISZ7" s="264"/>
      <c r="ITA7" s="264"/>
      <c r="ITB7" s="264"/>
      <c r="ITC7" s="264"/>
      <c r="ITD7" s="264"/>
      <c r="ITE7" s="264"/>
      <c r="ITF7" s="264"/>
      <c r="ITG7" s="264"/>
      <c r="ITH7" s="264"/>
      <c r="ITI7" s="264"/>
      <c r="ITJ7" s="264"/>
      <c r="ITK7" s="264"/>
      <c r="ITL7" s="264"/>
      <c r="ITM7" s="264"/>
      <c r="ITN7" s="264"/>
      <c r="ITO7" s="264"/>
      <c r="ITP7" s="264"/>
      <c r="ITQ7" s="264"/>
      <c r="ITR7" s="264"/>
      <c r="ITS7" s="264"/>
      <c r="ITT7" s="264"/>
      <c r="ITU7" s="264"/>
      <c r="ITV7" s="264"/>
      <c r="ITW7" s="264"/>
      <c r="ITX7" s="264"/>
      <c r="ITY7" s="264"/>
      <c r="ITZ7" s="264"/>
      <c r="IUA7" s="264"/>
      <c r="IUB7" s="264"/>
      <c r="IUC7" s="264"/>
      <c r="IUD7" s="264"/>
      <c r="IUE7" s="264"/>
      <c r="IUF7" s="264"/>
      <c r="IUG7" s="264"/>
      <c r="IUH7" s="264"/>
      <c r="IUI7" s="264"/>
      <c r="IUJ7" s="264"/>
      <c r="IUK7" s="264"/>
      <c r="IUL7" s="264"/>
      <c r="IUM7" s="264"/>
      <c r="IUN7" s="264"/>
      <c r="IUO7" s="264"/>
      <c r="IUP7" s="264"/>
      <c r="IUQ7" s="264"/>
      <c r="IUR7" s="264"/>
      <c r="IUS7" s="264"/>
      <c r="IUT7" s="264"/>
      <c r="IUU7" s="264"/>
      <c r="IUV7" s="264"/>
      <c r="IUW7" s="264"/>
      <c r="IUX7" s="264"/>
      <c r="IUY7" s="264"/>
      <c r="IUZ7" s="264"/>
      <c r="IVA7" s="264"/>
      <c r="IVB7" s="264"/>
      <c r="IVC7" s="264"/>
      <c r="IVD7" s="264"/>
      <c r="IVE7" s="264"/>
      <c r="IVF7" s="264"/>
      <c r="IVG7" s="264"/>
      <c r="IVH7" s="264"/>
      <c r="IVI7" s="264"/>
      <c r="IVJ7" s="264"/>
      <c r="IVK7" s="264"/>
      <c r="IVL7" s="264"/>
      <c r="IVM7" s="264"/>
      <c r="IVN7" s="264"/>
      <c r="IVO7" s="264"/>
      <c r="IVP7" s="264"/>
      <c r="IVQ7" s="264"/>
      <c r="IVR7" s="264"/>
      <c r="IVS7" s="264"/>
      <c r="IVT7" s="264"/>
      <c r="IVU7" s="264"/>
      <c r="IVV7" s="264"/>
      <c r="IVW7" s="264"/>
      <c r="IVX7" s="264"/>
      <c r="IVY7" s="264"/>
      <c r="IVZ7" s="264"/>
      <c r="IWA7" s="264"/>
      <c r="IWB7" s="264"/>
      <c r="IWC7" s="264"/>
      <c r="IWD7" s="264"/>
      <c r="IWE7" s="264"/>
      <c r="IWF7" s="264"/>
      <c r="IWG7" s="264"/>
      <c r="IWH7" s="264"/>
      <c r="IWI7" s="264"/>
      <c r="IWJ7" s="264"/>
      <c r="IWK7" s="264"/>
      <c r="IWL7" s="264"/>
      <c r="IWM7" s="264"/>
      <c r="IWN7" s="264"/>
      <c r="IWO7" s="264"/>
      <c r="IWP7" s="264"/>
      <c r="IWQ7" s="264"/>
      <c r="IWR7" s="264"/>
      <c r="IWS7" s="264"/>
      <c r="IWT7" s="264"/>
      <c r="IWU7" s="264"/>
      <c r="IWV7" s="264"/>
      <c r="IWW7" s="264"/>
      <c r="IWX7" s="264"/>
      <c r="IWY7" s="264"/>
      <c r="IWZ7" s="264"/>
      <c r="IXA7" s="264"/>
      <c r="IXB7" s="264"/>
      <c r="IXC7" s="264"/>
      <c r="IXD7" s="264"/>
      <c r="IXE7" s="264"/>
      <c r="IXF7" s="264"/>
      <c r="IXG7" s="264"/>
      <c r="IXH7" s="264"/>
      <c r="IXI7" s="264"/>
      <c r="IXJ7" s="264"/>
      <c r="IXK7" s="264"/>
      <c r="IXL7" s="264"/>
      <c r="IXM7" s="264"/>
      <c r="IXN7" s="264"/>
      <c r="IXO7" s="264"/>
      <c r="IXP7" s="264"/>
      <c r="IXQ7" s="264"/>
      <c r="IXR7" s="264"/>
      <c r="IXS7" s="264"/>
      <c r="IXT7" s="264"/>
      <c r="IXU7" s="264"/>
      <c r="IXV7" s="264"/>
      <c r="IXW7" s="264"/>
      <c r="IXX7" s="264"/>
      <c r="IXY7" s="264"/>
      <c r="IXZ7" s="264"/>
      <c r="IYA7" s="264"/>
      <c r="IYB7" s="264"/>
      <c r="IYC7" s="264"/>
      <c r="IYD7" s="264"/>
      <c r="IYE7" s="264"/>
      <c r="IYF7" s="264"/>
      <c r="IYG7" s="264"/>
      <c r="IYH7" s="264"/>
      <c r="IYI7" s="264"/>
      <c r="IYJ7" s="264"/>
      <c r="IYK7" s="264"/>
      <c r="IYL7" s="264"/>
      <c r="IYM7" s="264"/>
      <c r="IYN7" s="264"/>
      <c r="IYO7" s="264"/>
      <c r="IYP7" s="264"/>
      <c r="IYQ7" s="264"/>
      <c r="IYR7" s="264"/>
      <c r="IYS7" s="264"/>
      <c r="IYT7" s="264"/>
      <c r="IYU7" s="264"/>
      <c r="IYV7" s="264"/>
      <c r="IYW7" s="264"/>
      <c r="IYX7" s="264"/>
      <c r="IYY7" s="264"/>
      <c r="IYZ7" s="264"/>
      <c r="IZA7" s="264"/>
      <c r="IZB7" s="264"/>
      <c r="IZC7" s="264"/>
      <c r="IZD7" s="264"/>
      <c r="IZE7" s="264"/>
      <c r="IZF7" s="264"/>
      <c r="IZG7" s="264"/>
      <c r="IZH7" s="264"/>
      <c r="IZI7" s="264"/>
      <c r="IZJ7" s="264"/>
      <c r="IZK7" s="264"/>
      <c r="IZL7" s="264"/>
      <c r="IZM7" s="264"/>
      <c r="IZN7" s="264"/>
      <c r="IZO7" s="264"/>
      <c r="IZP7" s="264"/>
      <c r="IZQ7" s="264"/>
      <c r="IZR7" s="264"/>
      <c r="IZS7" s="264"/>
      <c r="IZT7" s="264"/>
      <c r="IZU7" s="264"/>
      <c r="IZV7" s="264"/>
      <c r="IZW7" s="264"/>
      <c r="IZX7" s="264"/>
      <c r="IZY7" s="264"/>
      <c r="IZZ7" s="264"/>
      <c r="JAA7" s="264"/>
      <c r="JAB7" s="264"/>
      <c r="JAC7" s="264"/>
      <c r="JAD7" s="264"/>
      <c r="JAE7" s="264"/>
      <c r="JAF7" s="264"/>
      <c r="JAG7" s="264"/>
      <c r="JAH7" s="264"/>
      <c r="JAI7" s="264"/>
      <c r="JAJ7" s="264"/>
      <c r="JAK7" s="264"/>
      <c r="JAL7" s="264"/>
      <c r="JAM7" s="264"/>
      <c r="JAN7" s="264"/>
      <c r="JAO7" s="264"/>
      <c r="JAP7" s="264"/>
      <c r="JAQ7" s="264"/>
      <c r="JAR7" s="264"/>
      <c r="JAS7" s="264"/>
      <c r="JAT7" s="264"/>
      <c r="JAU7" s="264"/>
      <c r="JAV7" s="264"/>
      <c r="JAW7" s="264"/>
      <c r="JAX7" s="264"/>
      <c r="JAY7" s="264"/>
      <c r="JAZ7" s="264"/>
      <c r="JBA7" s="264"/>
      <c r="JBB7" s="264"/>
      <c r="JBC7" s="264"/>
      <c r="JBD7" s="264"/>
      <c r="JBE7" s="264"/>
      <c r="JBF7" s="264"/>
      <c r="JBG7" s="264"/>
      <c r="JBH7" s="264"/>
      <c r="JBI7" s="264"/>
      <c r="JBJ7" s="264"/>
      <c r="JBK7" s="264"/>
      <c r="JBL7" s="264"/>
      <c r="JBM7" s="264"/>
      <c r="JBN7" s="264"/>
      <c r="JBO7" s="264"/>
      <c r="JBP7" s="264"/>
      <c r="JBQ7" s="264"/>
      <c r="JBR7" s="264"/>
      <c r="JBS7" s="264"/>
      <c r="JBT7" s="264"/>
      <c r="JBU7" s="264"/>
      <c r="JBV7" s="264"/>
      <c r="JBW7" s="264"/>
      <c r="JBX7" s="264"/>
      <c r="JBY7" s="264"/>
      <c r="JBZ7" s="264"/>
      <c r="JCA7" s="264"/>
      <c r="JCB7" s="264"/>
      <c r="JCC7" s="264"/>
      <c r="JCD7" s="264"/>
      <c r="JCE7" s="264"/>
      <c r="JCF7" s="264"/>
      <c r="JCG7" s="264"/>
      <c r="JCH7" s="264"/>
      <c r="JCI7" s="264"/>
      <c r="JCJ7" s="264"/>
      <c r="JCK7" s="264"/>
      <c r="JCL7" s="264"/>
      <c r="JCM7" s="264"/>
      <c r="JCN7" s="264"/>
      <c r="JCO7" s="264"/>
      <c r="JCP7" s="264"/>
      <c r="JCQ7" s="264"/>
      <c r="JCR7" s="264"/>
      <c r="JCS7" s="264"/>
      <c r="JCT7" s="264"/>
      <c r="JCU7" s="264"/>
      <c r="JCV7" s="264"/>
      <c r="JCW7" s="264"/>
      <c r="JCX7" s="264"/>
      <c r="JCY7" s="264"/>
      <c r="JCZ7" s="264"/>
      <c r="JDA7" s="264"/>
      <c r="JDB7" s="264"/>
      <c r="JDC7" s="264"/>
      <c r="JDD7" s="264"/>
      <c r="JDE7" s="264"/>
      <c r="JDF7" s="264"/>
      <c r="JDG7" s="264"/>
      <c r="JDH7" s="264"/>
      <c r="JDI7" s="264"/>
      <c r="JDJ7" s="264"/>
      <c r="JDK7" s="264"/>
      <c r="JDL7" s="264"/>
      <c r="JDM7" s="264"/>
      <c r="JDN7" s="264"/>
      <c r="JDO7" s="264"/>
      <c r="JDP7" s="264"/>
      <c r="JDQ7" s="264"/>
      <c r="JDR7" s="264"/>
      <c r="JDS7" s="264"/>
      <c r="JDT7" s="264"/>
      <c r="JDU7" s="264"/>
      <c r="JDV7" s="264"/>
      <c r="JDW7" s="264"/>
      <c r="JDX7" s="264"/>
      <c r="JDY7" s="264"/>
      <c r="JDZ7" s="264"/>
      <c r="JEA7" s="264"/>
      <c r="JEB7" s="264"/>
      <c r="JEC7" s="264"/>
      <c r="JED7" s="264"/>
      <c r="JEE7" s="264"/>
      <c r="JEF7" s="264"/>
      <c r="JEG7" s="264"/>
      <c r="JEH7" s="264"/>
      <c r="JEI7" s="264"/>
      <c r="JEJ7" s="264"/>
      <c r="JEK7" s="264"/>
      <c r="JEL7" s="264"/>
      <c r="JEM7" s="264"/>
      <c r="JEN7" s="264"/>
      <c r="JEO7" s="264"/>
      <c r="JEP7" s="264"/>
      <c r="JEQ7" s="264"/>
      <c r="JER7" s="264"/>
      <c r="JES7" s="264"/>
      <c r="JET7" s="264"/>
      <c r="JEU7" s="264"/>
      <c r="JEV7" s="264"/>
      <c r="JEW7" s="264"/>
      <c r="JEX7" s="264"/>
      <c r="JEY7" s="264"/>
      <c r="JEZ7" s="264"/>
      <c r="JFA7" s="264"/>
      <c r="JFB7" s="264"/>
      <c r="JFC7" s="264"/>
      <c r="JFD7" s="264"/>
      <c r="JFE7" s="264"/>
      <c r="JFF7" s="264"/>
      <c r="JFG7" s="264"/>
      <c r="JFH7" s="264"/>
      <c r="JFI7" s="264"/>
      <c r="JFJ7" s="264"/>
      <c r="JFK7" s="264"/>
      <c r="JFL7" s="264"/>
      <c r="JFM7" s="264"/>
      <c r="JFN7" s="264"/>
      <c r="JFO7" s="264"/>
      <c r="JFP7" s="264"/>
      <c r="JFQ7" s="264"/>
      <c r="JFR7" s="264"/>
      <c r="JFS7" s="264"/>
      <c r="JFT7" s="264"/>
      <c r="JFU7" s="264"/>
      <c r="JFV7" s="264"/>
      <c r="JFW7" s="264"/>
      <c r="JFX7" s="264"/>
      <c r="JFY7" s="264"/>
      <c r="JFZ7" s="264"/>
      <c r="JGA7" s="264"/>
      <c r="JGB7" s="264"/>
      <c r="JGC7" s="264"/>
      <c r="JGD7" s="264"/>
      <c r="JGE7" s="264"/>
      <c r="JGF7" s="264"/>
      <c r="JGG7" s="264"/>
      <c r="JGH7" s="264"/>
      <c r="JGI7" s="264"/>
      <c r="JGJ7" s="264"/>
      <c r="JGK7" s="264"/>
      <c r="JGL7" s="264"/>
      <c r="JGM7" s="264"/>
      <c r="JGN7" s="264"/>
      <c r="JGO7" s="264"/>
      <c r="JGP7" s="264"/>
      <c r="JGQ7" s="264"/>
      <c r="JGR7" s="264"/>
      <c r="JGS7" s="264"/>
      <c r="JGT7" s="264"/>
      <c r="JGU7" s="264"/>
      <c r="JGV7" s="264"/>
      <c r="JGW7" s="264"/>
      <c r="JGX7" s="264"/>
      <c r="JGY7" s="264"/>
      <c r="JGZ7" s="264"/>
      <c r="JHA7" s="264"/>
      <c r="JHB7" s="264"/>
      <c r="JHC7" s="264"/>
      <c r="JHD7" s="264"/>
      <c r="JHE7" s="264"/>
      <c r="JHF7" s="264"/>
      <c r="JHG7" s="264"/>
      <c r="JHH7" s="264"/>
      <c r="JHI7" s="264"/>
      <c r="JHJ7" s="264"/>
      <c r="JHK7" s="264"/>
      <c r="JHL7" s="264"/>
      <c r="JHM7" s="264"/>
      <c r="JHN7" s="264"/>
      <c r="JHO7" s="264"/>
      <c r="JHP7" s="264"/>
      <c r="JHQ7" s="264"/>
      <c r="JHR7" s="264"/>
      <c r="JHS7" s="264"/>
      <c r="JHT7" s="264"/>
      <c r="JHU7" s="264"/>
      <c r="JHV7" s="264"/>
      <c r="JHW7" s="264"/>
      <c r="JHX7" s="264"/>
      <c r="JHY7" s="264"/>
      <c r="JHZ7" s="264"/>
      <c r="JIA7" s="264"/>
      <c r="JIB7" s="264"/>
      <c r="JIC7" s="264"/>
      <c r="JID7" s="264"/>
      <c r="JIE7" s="264"/>
      <c r="JIF7" s="264"/>
      <c r="JIG7" s="264"/>
      <c r="JIH7" s="264"/>
      <c r="JII7" s="264"/>
      <c r="JIJ7" s="264"/>
      <c r="JIK7" s="264"/>
      <c r="JIL7" s="264"/>
      <c r="JIM7" s="264"/>
      <c r="JIN7" s="264"/>
      <c r="JIO7" s="264"/>
      <c r="JIP7" s="264"/>
      <c r="JIQ7" s="264"/>
      <c r="JIR7" s="264"/>
      <c r="JIS7" s="264"/>
      <c r="JIT7" s="264"/>
      <c r="JIU7" s="264"/>
      <c r="JIV7" s="264"/>
      <c r="JIW7" s="264"/>
      <c r="JIX7" s="264"/>
      <c r="JIY7" s="264"/>
      <c r="JIZ7" s="264"/>
      <c r="JJA7" s="264"/>
      <c r="JJB7" s="264"/>
      <c r="JJC7" s="264"/>
      <c r="JJD7" s="264"/>
      <c r="JJE7" s="264"/>
      <c r="JJF7" s="264"/>
      <c r="JJG7" s="264"/>
      <c r="JJH7" s="264"/>
      <c r="JJI7" s="264"/>
      <c r="JJJ7" s="264"/>
      <c r="JJK7" s="264"/>
      <c r="JJL7" s="264"/>
      <c r="JJM7" s="264"/>
      <c r="JJN7" s="264"/>
      <c r="JJO7" s="264"/>
      <c r="JJP7" s="264"/>
      <c r="JJQ7" s="264"/>
      <c r="JJR7" s="264"/>
      <c r="JJS7" s="264"/>
      <c r="JJT7" s="264"/>
      <c r="JJU7" s="264"/>
      <c r="JJV7" s="264"/>
      <c r="JJW7" s="264"/>
      <c r="JJX7" s="264"/>
      <c r="JJY7" s="264"/>
      <c r="JJZ7" s="264"/>
      <c r="JKA7" s="264"/>
      <c r="JKB7" s="264"/>
      <c r="JKC7" s="264"/>
      <c r="JKD7" s="264"/>
      <c r="JKE7" s="264"/>
      <c r="JKF7" s="264"/>
      <c r="JKG7" s="264"/>
      <c r="JKH7" s="264"/>
      <c r="JKI7" s="264"/>
      <c r="JKJ7" s="264"/>
      <c r="JKK7" s="264"/>
      <c r="JKL7" s="264"/>
      <c r="JKM7" s="264"/>
      <c r="JKN7" s="264"/>
      <c r="JKO7" s="264"/>
      <c r="JKP7" s="264"/>
      <c r="JKQ7" s="264"/>
      <c r="JKR7" s="264"/>
      <c r="JKS7" s="264"/>
      <c r="JKT7" s="264"/>
      <c r="JKU7" s="264"/>
      <c r="JKV7" s="264"/>
      <c r="JKW7" s="264"/>
      <c r="JKX7" s="264"/>
      <c r="JKY7" s="264"/>
      <c r="JKZ7" s="264"/>
      <c r="JLA7" s="264"/>
      <c r="JLB7" s="264"/>
      <c r="JLC7" s="264"/>
      <c r="JLD7" s="264"/>
      <c r="JLE7" s="264"/>
      <c r="JLF7" s="264"/>
      <c r="JLG7" s="264"/>
      <c r="JLH7" s="264"/>
      <c r="JLI7" s="264"/>
      <c r="JLJ7" s="264"/>
      <c r="JLK7" s="264"/>
      <c r="JLL7" s="264"/>
      <c r="JLM7" s="264"/>
      <c r="JLN7" s="264"/>
      <c r="JLO7" s="264"/>
      <c r="JLP7" s="264"/>
      <c r="JLQ7" s="264"/>
      <c r="JLR7" s="264"/>
      <c r="JLS7" s="264"/>
      <c r="JLT7" s="264"/>
      <c r="JLU7" s="264"/>
      <c r="JLV7" s="264"/>
      <c r="JLW7" s="264"/>
      <c r="JLX7" s="264"/>
      <c r="JLY7" s="264"/>
      <c r="JLZ7" s="264"/>
      <c r="JMA7" s="264"/>
      <c r="JMB7" s="264"/>
      <c r="JMC7" s="264"/>
      <c r="JMD7" s="264"/>
      <c r="JME7" s="264"/>
      <c r="JMF7" s="264"/>
      <c r="JMG7" s="264"/>
      <c r="JMH7" s="264"/>
      <c r="JMI7" s="264"/>
      <c r="JMJ7" s="264"/>
      <c r="JMK7" s="264"/>
      <c r="JML7" s="264"/>
      <c r="JMM7" s="264"/>
      <c r="JMN7" s="264"/>
      <c r="JMO7" s="264"/>
      <c r="JMP7" s="264"/>
      <c r="JMQ7" s="264"/>
      <c r="JMR7" s="264"/>
      <c r="JMS7" s="264"/>
      <c r="JMT7" s="264"/>
      <c r="JMU7" s="264"/>
      <c r="JMV7" s="264"/>
      <c r="JMW7" s="264"/>
      <c r="JMX7" s="264"/>
      <c r="JMY7" s="264"/>
      <c r="JMZ7" s="264"/>
      <c r="JNA7" s="264"/>
      <c r="JNB7" s="264"/>
      <c r="JNC7" s="264"/>
      <c r="JND7" s="264"/>
      <c r="JNE7" s="264"/>
      <c r="JNF7" s="264"/>
      <c r="JNG7" s="264"/>
      <c r="JNH7" s="264"/>
      <c r="JNI7" s="264"/>
      <c r="JNJ7" s="264"/>
      <c r="JNK7" s="264"/>
      <c r="JNL7" s="264"/>
      <c r="JNM7" s="264"/>
      <c r="JNN7" s="264"/>
      <c r="JNO7" s="264"/>
      <c r="JNP7" s="264"/>
      <c r="JNQ7" s="264"/>
      <c r="JNR7" s="264"/>
      <c r="JNS7" s="264"/>
      <c r="JNT7" s="264"/>
      <c r="JNU7" s="264"/>
      <c r="JNV7" s="264"/>
      <c r="JNW7" s="264"/>
      <c r="JNX7" s="264"/>
      <c r="JNY7" s="264"/>
      <c r="JNZ7" s="264"/>
      <c r="JOA7" s="264"/>
      <c r="JOB7" s="264"/>
      <c r="JOC7" s="264"/>
      <c r="JOD7" s="264"/>
      <c r="JOE7" s="264"/>
      <c r="JOF7" s="264"/>
      <c r="JOG7" s="264"/>
      <c r="JOH7" s="264"/>
      <c r="JOI7" s="264"/>
      <c r="JOJ7" s="264"/>
      <c r="JOK7" s="264"/>
      <c r="JOL7" s="264"/>
      <c r="JOM7" s="264"/>
      <c r="JON7" s="264"/>
      <c r="JOO7" s="264"/>
      <c r="JOP7" s="264"/>
      <c r="JOQ7" s="264"/>
      <c r="JOR7" s="264"/>
      <c r="JOS7" s="264"/>
      <c r="JOT7" s="264"/>
      <c r="JOU7" s="264"/>
      <c r="JOV7" s="264"/>
      <c r="JOW7" s="264"/>
      <c r="JOX7" s="264"/>
      <c r="JOY7" s="264"/>
      <c r="JOZ7" s="264"/>
      <c r="JPA7" s="264"/>
      <c r="JPB7" s="264"/>
      <c r="JPC7" s="264"/>
      <c r="JPD7" s="264"/>
      <c r="JPE7" s="264"/>
      <c r="JPF7" s="264"/>
      <c r="JPG7" s="264"/>
      <c r="JPH7" s="264"/>
      <c r="JPI7" s="264"/>
      <c r="JPJ7" s="264"/>
      <c r="JPK7" s="264"/>
      <c r="JPL7" s="264"/>
      <c r="JPM7" s="264"/>
      <c r="JPN7" s="264"/>
      <c r="JPO7" s="264"/>
      <c r="JPP7" s="264"/>
      <c r="JPQ7" s="264"/>
      <c r="JPR7" s="264"/>
      <c r="JPS7" s="264"/>
      <c r="JPT7" s="264"/>
      <c r="JPU7" s="264"/>
      <c r="JPV7" s="264"/>
      <c r="JPW7" s="264"/>
      <c r="JPX7" s="264"/>
      <c r="JPY7" s="264"/>
      <c r="JPZ7" s="264"/>
      <c r="JQA7" s="264"/>
      <c r="JQB7" s="264"/>
      <c r="JQC7" s="264"/>
      <c r="JQD7" s="264"/>
      <c r="JQE7" s="264"/>
      <c r="JQF7" s="264"/>
      <c r="JQG7" s="264"/>
      <c r="JQH7" s="264"/>
      <c r="JQI7" s="264"/>
      <c r="JQJ7" s="264"/>
      <c r="JQK7" s="264"/>
      <c r="JQL7" s="264"/>
      <c r="JQM7" s="264"/>
      <c r="JQN7" s="264"/>
      <c r="JQO7" s="264"/>
      <c r="JQP7" s="264"/>
      <c r="JQQ7" s="264"/>
      <c r="JQR7" s="264"/>
      <c r="JQS7" s="264"/>
      <c r="JQT7" s="264"/>
      <c r="JQU7" s="264"/>
      <c r="JQV7" s="264"/>
      <c r="JQW7" s="264"/>
      <c r="JQX7" s="264"/>
      <c r="JQY7" s="264"/>
      <c r="JQZ7" s="264"/>
      <c r="JRA7" s="264"/>
      <c r="JRB7" s="264"/>
      <c r="JRC7" s="264"/>
      <c r="JRD7" s="264"/>
      <c r="JRE7" s="264"/>
      <c r="JRF7" s="264"/>
      <c r="JRG7" s="264"/>
      <c r="JRH7" s="264"/>
      <c r="JRI7" s="264"/>
      <c r="JRJ7" s="264"/>
      <c r="JRK7" s="264"/>
      <c r="JRL7" s="264"/>
      <c r="JRM7" s="264"/>
      <c r="JRN7" s="264"/>
      <c r="JRO7" s="264"/>
      <c r="JRP7" s="264"/>
      <c r="JRQ7" s="264"/>
      <c r="JRR7" s="264"/>
      <c r="JRS7" s="264"/>
      <c r="JRT7" s="264"/>
      <c r="JRU7" s="264"/>
      <c r="JRV7" s="264"/>
      <c r="JRW7" s="264"/>
      <c r="JRX7" s="264"/>
      <c r="JRY7" s="264"/>
      <c r="JRZ7" s="264"/>
      <c r="JSA7" s="264"/>
      <c r="JSB7" s="264"/>
      <c r="JSC7" s="264"/>
      <c r="JSD7" s="264"/>
      <c r="JSE7" s="264"/>
      <c r="JSF7" s="264"/>
      <c r="JSG7" s="264"/>
      <c r="JSH7" s="264"/>
      <c r="JSI7" s="264"/>
      <c r="JSJ7" s="264"/>
      <c r="JSK7" s="264"/>
      <c r="JSL7" s="264"/>
      <c r="JSM7" s="264"/>
      <c r="JSN7" s="264"/>
      <c r="JSO7" s="264"/>
      <c r="JSP7" s="264"/>
      <c r="JSQ7" s="264"/>
      <c r="JSR7" s="264"/>
      <c r="JSS7" s="264"/>
      <c r="JST7" s="264"/>
      <c r="JSU7" s="264"/>
      <c r="JSV7" s="264"/>
      <c r="JSW7" s="264"/>
      <c r="JSX7" s="264"/>
      <c r="JSY7" s="264"/>
      <c r="JSZ7" s="264"/>
      <c r="JTA7" s="264"/>
      <c r="JTB7" s="264"/>
      <c r="JTC7" s="264"/>
      <c r="JTD7" s="264"/>
      <c r="JTE7" s="264"/>
      <c r="JTF7" s="264"/>
      <c r="JTG7" s="264"/>
      <c r="JTH7" s="264"/>
      <c r="JTI7" s="264"/>
      <c r="JTJ7" s="264"/>
      <c r="JTK7" s="264"/>
      <c r="JTL7" s="264"/>
      <c r="JTM7" s="264"/>
      <c r="JTN7" s="264"/>
      <c r="JTO7" s="264"/>
      <c r="JTP7" s="264"/>
      <c r="JTQ7" s="264"/>
      <c r="JTR7" s="264"/>
      <c r="JTS7" s="264"/>
      <c r="JTT7" s="264"/>
      <c r="JTU7" s="264"/>
      <c r="JTV7" s="264"/>
      <c r="JTW7" s="264"/>
      <c r="JTX7" s="264"/>
      <c r="JTY7" s="264"/>
      <c r="JTZ7" s="264"/>
      <c r="JUA7" s="264"/>
      <c r="JUB7" s="264"/>
      <c r="JUC7" s="264"/>
      <c r="JUD7" s="264"/>
      <c r="JUE7" s="264"/>
      <c r="JUF7" s="264"/>
      <c r="JUG7" s="264"/>
      <c r="JUH7" s="264"/>
      <c r="JUI7" s="264"/>
      <c r="JUJ7" s="264"/>
      <c r="JUK7" s="264"/>
      <c r="JUL7" s="264"/>
      <c r="JUM7" s="264"/>
      <c r="JUN7" s="264"/>
      <c r="JUO7" s="264"/>
      <c r="JUP7" s="264"/>
      <c r="JUQ7" s="264"/>
      <c r="JUR7" s="264"/>
      <c r="JUS7" s="264"/>
      <c r="JUT7" s="264"/>
      <c r="JUU7" s="264"/>
      <c r="JUV7" s="264"/>
      <c r="JUW7" s="264"/>
      <c r="JUX7" s="264"/>
      <c r="JUY7" s="264"/>
      <c r="JUZ7" s="264"/>
      <c r="JVA7" s="264"/>
      <c r="JVB7" s="264"/>
      <c r="JVC7" s="264"/>
      <c r="JVD7" s="264"/>
      <c r="JVE7" s="264"/>
      <c r="JVF7" s="264"/>
      <c r="JVG7" s="264"/>
      <c r="JVH7" s="264"/>
      <c r="JVI7" s="264"/>
      <c r="JVJ7" s="264"/>
      <c r="JVK7" s="264"/>
      <c r="JVL7" s="264"/>
      <c r="JVM7" s="264"/>
      <c r="JVN7" s="264"/>
      <c r="JVO7" s="264"/>
      <c r="JVP7" s="264"/>
      <c r="JVQ7" s="264"/>
      <c r="JVR7" s="264"/>
      <c r="JVS7" s="264"/>
      <c r="JVT7" s="264"/>
      <c r="JVU7" s="264"/>
      <c r="JVV7" s="264"/>
      <c r="JVW7" s="264"/>
      <c r="JVX7" s="264"/>
      <c r="JVY7" s="264"/>
      <c r="JVZ7" s="264"/>
      <c r="JWA7" s="264"/>
      <c r="JWB7" s="264"/>
      <c r="JWC7" s="264"/>
      <c r="JWD7" s="264"/>
      <c r="JWE7" s="264"/>
      <c r="JWF7" s="264"/>
      <c r="JWG7" s="264"/>
      <c r="JWH7" s="264"/>
      <c r="JWI7" s="264"/>
      <c r="JWJ7" s="264"/>
      <c r="JWK7" s="264"/>
      <c r="JWL7" s="264"/>
      <c r="JWM7" s="264"/>
      <c r="JWN7" s="264"/>
      <c r="JWO7" s="264"/>
      <c r="JWP7" s="264"/>
      <c r="JWQ7" s="264"/>
      <c r="JWR7" s="264"/>
      <c r="JWS7" s="264"/>
      <c r="JWT7" s="264"/>
      <c r="JWU7" s="264"/>
      <c r="JWV7" s="264"/>
      <c r="JWW7" s="264"/>
      <c r="JWX7" s="264"/>
      <c r="JWY7" s="264"/>
      <c r="JWZ7" s="264"/>
      <c r="JXA7" s="264"/>
      <c r="JXB7" s="264"/>
      <c r="JXC7" s="264"/>
      <c r="JXD7" s="264"/>
      <c r="JXE7" s="264"/>
      <c r="JXF7" s="264"/>
      <c r="JXG7" s="264"/>
      <c r="JXH7" s="264"/>
      <c r="JXI7" s="264"/>
      <c r="JXJ7" s="264"/>
      <c r="JXK7" s="264"/>
      <c r="JXL7" s="264"/>
      <c r="JXM7" s="264"/>
      <c r="JXN7" s="264"/>
      <c r="JXO7" s="264"/>
      <c r="JXP7" s="264"/>
      <c r="JXQ7" s="264"/>
      <c r="JXR7" s="264"/>
      <c r="JXS7" s="264"/>
      <c r="JXT7" s="264"/>
      <c r="JXU7" s="264"/>
      <c r="JXV7" s="264"/>
      <c r="JXW7" s="264"/>
      <c r="JXX7" s="264"/>
      <c r="JXY7" s="264"/>
      <c r="JXZ7" s="264"/>
      <c r="JYA7" s="264"/>
      <c r="JYB7" s="264"/>
      <c r="JYC7" s="264"/>
      <c r="JYD7" s="264"/>
      <c r="JYE7" s="264"/>
      <c r="JYF7" s="264"/>
      <c r="JYG7" s="264"/>
      <c r="JYH7" s="264"/>
      <c r="JYI7" s="264"/>
      <c r="JYJ7" s="264"/>
      <c r="JYK7" s="264"/>
      <c r="JYL7" s="264"/>
      <c r="JYM7" s="264"/>
      <c r="JYN7" s="264"/>
      <c r="JYO7" s="264"/>
      <c r="JYP7" s="264"/>
      <c r="JYQ7" s="264"/>
      <c r="JYR7" s="264"/>
      <c r="JYS7" s="264"/>
      <c r="JYT7" s="264"/>
      <c r="JYU7" s="264"/>
      <c r="JYV7" s="264"/>
      <c r="JYW7" s="264"/>
      <c r="JYX7" s="264"/>
      <c r="JYY7" s="264"/>
      <c r="JYZ7" s="264"/>
      <c r="JZA7" s="264"/>
      <c r="JZB7" s="264"/>
      <c r="JZC7" s="264"/>
      <c r="JZD7" s="264"/>
      <c r="JZE7" s="264"/>
      <c r="JZF7" s="264"/>
      <c r="JZG7" s="264"/>
      <c r="JZH7" s="264"/>
      <c r="JZI7" s="264"/>
      <c r="JZJ7" s="264"/>
      <c r="JZK7" s="264"/>
      <c r="JZL7" s="264"/>
      <c r="JZM7" s="264"/>
      <c r="JZN7" s="264"/>
      <c r="JZO7" s="264"/>
      <c r="JZP7" s="264"/>
      <c r="JZQ7" s="264"/>
      <c r="JZR7" s="264"/>
      <c r="JZS7" s="264"/>
      <c r="JZT7" s="264"/>
      <c r="JZU7" s="264"/>
      <c r="JZV7" s="264"/>
      <c r="JZW7" s="264"/>
      <c r="JZX7" s="264"/>
      <c r="JZY7" s="264"/>
      <c r="JZZ7" s="264"/>
      <c r="KAA7" s="264"/>
      <c r="KAB7" s="264"/>
      <c r="KAC7" s="264"/>
      <c r="KAD7" s="264"/>
      <c r="KAE7" s="264"/>
      <c r="KAF7" s="264"/>
      <c r="KAG7" s="264"/>
      <c r="KAH7" s="264"/>
      <c r="KAI7" s="264"/>
      <c r="KAJ7" s="264"/>
      <c r="KAK7" s="264"/>
      <c r="KAL7" s="264"/>
      <c r="KAM7" s="264"/>
      <c r="KAN7" s="264"/>
      <c r="KAO7" s="264"/>
      <c r="KAP7" s="264"/>
      <c r="KAQ7" s="264"/>
      <c r="KAR7" s="264"/>
      <c r="KAS7" s="264"/>
      <c r="KAT7" s="264"/>
      <c r="KAU7" s="264"/>
      <c r="KAV7" s="264"/>
      <c r="KAW7" s="264"/>
      <c r="KAX7" s="264"/>
      <c r="KAY7" s="264"/>
      <c r="KAZ7" s="264"/>
      <c r="KBA7" s="264"/>
      <c r="KBB7" s="264"/>
      <c r="KBC7" s="264"/>
      <c r="KBD7" s="264"/>
      <c r="KBE7" s="264"/>
      <c r="KBF7" s="264"/>
      <c r="KBG7" s="264"/>
      <c r="KBH7" s="264"/>
      <c r="KBI7" s="264"/>
      <c r="KBJ7" s="264"/>
      <c r="KBK7" s="264"/>
      <c r="KBL7" s="264"/>
      <c r="KBM7" s="264"/>
      <c r="KBN7" s="264"/>
      <c r="KBO7" s="264"/>
      <c r="KBP7" s="264"/>
      <c r="KBQ7" s="264"/>
      <c r="KBR7" s="264"/>
      <c r="KBS7" s="264"/>
      <c r="KBT7" s="264"/>
      <c r="KBU7" s="264"/>
      <c r="KBV7" s="264"/>
      <c r="KBW7" s="264"/>
      <c r="KBX7" s="264"/>
      <c r="KBY7" s="264"/>
      <c r="KBZ7" s="264"/>
      <c r="KCA7" s="264"/>
      <c r="KCB7" s="264"/>
      <c r="KCC7" s="264"/>
      <c r="KCD7" s="264"/>
      <c r="KCE7" s="264"/>
      <c r="KCF7" s="264"/>
      <c r="KCG7" s="264"/>
      <c r="KCH7" s="264"/>
      <c r="KCI7" s="264"/>
      <c r="KCJ7" s="264"/>
      <c r="KCK7" s="264"/>
      <c r="KCL7" s="264"/>
      <c r="KCM7" s="264"/>
      <c r="KCN7" s="264"/>
      <c r="KCO7" s="264"/>
      <c r="KCP7" s="264"/>
      <c r="KCQ7" s="264"/>
      <c r="KCR7" s="264"/>
      <c r="KCS7" s="264"/>
      <c r="KCT7" s="264"/>
      <c r="KCU7" s="264"/>
      <c r="KCV7" s="264"/>
      <c r="KCW7" s="264"/>
      <c r="KCX7" s="264"/>
      <c r="KCY7" s="264"/>
      <c r="KCZ7" s="264"/>
      <c r="KDA7" s="264"/>
      <c r="KDB7" s="264"/>
      <c r="KDC7" s="264"/>
      <c r="KDD7" s="264"/>
      <c r="KDE7" s="264"/>
      <c r="KDF7" s="264"/>
      <c r="KDG7" s="264"/>
      <c r="KDH7" s="264"/>
      <c r="KDI7" s="264"/>
      <c r="KDJ7" s="264"/>
      <c r="KDK7" s="264"/>
      <c r="KDL7" s="264"/>
      <c r="KDM7" s="264"/>
      <c r="KDN7" s="264"/>
      <c r="KDO7" s="264"/>
      <c r="KDP7" s="264"/>
      <c r="KDQ7" s="264"/>
      <c r="KDR7" s="264"/>
      <c r="KDS7" s="264"/>
      <c r="KDT7" s="264"/>
      <c r="KDU7" s="264"/>
      <c r="KDV7" s="264"/>
      <c r="KDW7" s="264"/>
      <c r="KDX7" s="264"/>
      <c r="KDY7" s="264"/>
      <c r="KDZ7" s="264"/>
      <c r="KEA7" s="264"/>
      <c r="KEB7" s="264"/>
      <c r="KEC7" s="264"/>
      <c r="KED7" s="264"/>
      <c r="KEE7" s="264"/>
      <c r="KEF7" s="264"/>
      <c r="KEG7" s="264"/>
      <c r="KEH7" s="264"/>
      <c r="KEI7" s="264"/>
      <c r="KEJ7" s="264"/>
      <c r="KEK7" s="264"/>
      <c r="KEL7" s="264"/>
      <c r="KEM7" s="264"/>
      <c r="KEN7" s="264"/>
      <c r="KEO7" s="264"/>
      <c r="KEP7" s="264"/>
      <c r="KEQ7" s="264"/>
      <c r="KER7" s="264"/>
      <c r="KES7" s="264"/>
      <c r="KET7" s="264"/>
      <c r="KEU7" s="264"/>
      <c r="KEV7" s="264"/>
      <c r="KEW7" s="264"/>
      <c r="KEX7" s="264"/>
      <c r="KEY7" s="264"/>
      <c r="KEZ7" s="264"/>
      <c r="KFA7" s="264"/>
      <c r="KFB7" s="264"/>
      <c r="KFC7" s="264"/>
      <c r="KFD7" s="264"/>
      <c r="KFE7" s="264"/>
      <c r="KFF7" s="264"/>
      <c r="KFG7" s="264"/>
      <c r="KFH7" s="264"/>
      <c r="KFI7" s="264"/>
      <c r="KFJ7" s="264"/>
      <c r="KFK7" s="264"/>
      <c r="KFL7" s="264"/>
      <c r="KFM7" s="264"/>
      <c r="KFN7" s="264"/>
      <c r="KFO7" s="264"/>
      <c r="KFP7" s="264"/>
      <c r="KFQ7" s="264"/>
      <c r="KFR7" s="264"/>
      <c r="KFS7" s="264"/>
      <c r="KFT7" s="264"/>
      <c r="KFU7" s="264"/>
      <c r="KFV7" s="264"/>
      <c r="KFW7" s="264"/>
      <c r="KFX7" s="264"/>
      <c r="KFY7" s="264"/>
      <c r="KFZ7" s="264"/>
      <c r="KGA7" s="264"/>
      <c r="KGB7" s="264"/>
      <c r="KGC7" s="264"/>
      <c r="KGD7" s="264"/>
      <c r="KGE7" s="264"/>
      <c r="KGF7" s="264"/>
      <c r="KGG7" s="264"/>
      <c r="KGH7" s="264"/>
      <c r="KGI7" s="264"/>
      <c r="KGJ7" s="264"/>
      <c r="KGK7" s="264"/>
      <c r="KGL7" s="264"/>
      <c r="KGM7" s="264"/>
      <c r="KGN7" s="264"/>
      <c r="KGO7" s="264"/>
      <c r="KGP7" s="264"/>
      <c r="KGQ7" s="264"/>
      <c r="KGR7" s="264"/>
      <c r="KGS7" s="264"/>
      <c r="KGT7" s="264"/>
      <c r="KGU7" s="264"/>
      <c r="KGV7" s="264"/>
      <c r="KGW7" s="264"/>
      <c r="KGX7" s="264"/>
      <c r="KGY7" s="264"/>
      <c r="KGZ7" s="264"/>
      <c r="KHA7" s="264"/>
      <c r="KHB7" s="264"/>
      <c r="KHC7" s="264"/>
      <c r="KHD7" s="264"/>
      <c r="KHE7" s="264"/>
      <c r="KHF7" s="264"/>
      <c r="KHG7" s="264"/>
      <c r="KHH7" s="264"/>
      <c r="KHI7" s="264"/>
      <c r="KHJ7" s="264"/>
      <c r="KHK7" s="264"/>
      <c r="KHL7" s="264"/>
      <c r="KHM7" s="264"/>
      <c r="KHN7" s="264"/>
      <c r="KHO7" s="264"/>
      <c r="KHP7" s="264"/>
      <c r="KHQ7" s="264"/>
      <c r="KHR7" s="264"/>
      <c r="KHS7" s="264"/>
      <c r="KHT7" s="264"/>
      <c r="KHU7" s="264"/>
      <c r="KHV7" s="264"/>
      <c r="KHW7" s="264"/>
      <c r="KHX7" s="264"/>
      <c r="KHY7" s="264"/>
      <c r="KHZ7" s="264"/>
      <c r="KIA7" s="264"/>
      <c r="KIB7" s="264"/>
      <c r="KIC7" s="264"/>
      <c r="KID7" s="264"/>
      <c r="KIE7" s="264"/>
      <c r="KIF7" s="264"/>
      <c r="KIG7" s="264"/>
      <c r="KIH7" s="264"/>
      <c r="KII7" s="264"/>
      <c r="KIJ7" s="264"/>
      <c r="KIK7" s="264"/>
      <c r="KIL7" s="264"/>
      <c r="KIM7" s="264"/>
      <c r="KIN7" s="264"/>
      <c r="KIO7" s="264"/>
      <c r="KIP7" s="264"/>
      <c r="KIQ7" s="264"/>
      <c r="KIR7" s="264"/>
      <c r="KIS7" s="264"/>
      <c r="KIT7" s="264"/>
      <c r="KIU7" s="264"/>
      <c r="KIV7" s="264"/>
      <c r="KIW7" s="264"/>
      <c r="KIX7" s="264"/>
      <c r="KIY7" s="264"/>
      <c r="KIZ7" s="264"/>
      <c r="KJA7" s="264"/>
      <c r="KJB7" s="264"/>
      <c r="KJC7" s="264"/>
      <c r="KJD7" s="264"/>
      <c r="KJE7" s="264"/>
      <c r="KJF7" s="264"/>
      <c r="KJG7" s="264"/>
      <c r="KJH7" s="264"/>
      <c r="KJI7" s="264"/>
      <c r="KJJ7" s="264"/>
      <c r="KJK7" s="264"/>
      <c r="KJL7" s="264"/>
      <c r="KJM7" s="264"/>
      <c r="KJN7" s="264"/>
      <c r="KJO7" s="264"/>
      <c r="KJP7" s="264"/>
      <c r="KJQ7" s="264"/>
      <c r="KJR7" s="264"/>
      <c r="KJS7" s="264"/>
      <c r="KJT7" s="264"/>
      <c r="KJU7" s="264"/>
      <c r="KJV7" s="264"/>
      <c r="KJW7" s="264"/>
      <c r="KJX7" s="264"/>
      <c r="KJY7" s="264"/>
      <c r="KJZ7" s="264"/>
      <c r="KKA7" s="264"/>
      <c r="KKB7" s="264"/>
      <c r="KKC7" s="264"/>
      <c r="KKD7" s="264"/>
      <c r="KKE7" s="264"/>
      <c r="KKF7" s="264"/>
      <c r="KKG7" s="264"/>
      <c r="KKH7" s="264"/>
      <c r="KKI7" s="264"/>
      <c r="KKJ7" s="264"/>
      <c r="KKK7" s="264"/>
      <c r="KKL7" s="264"/>
      <c r="KKM7" s="264"/>
      <c r="KKN7" s="264"/>
      <c r="KKO7" s="264"/>
      <c r="KKP7" s="264"/>
      <c r="KKQ7" s="264"/>
      <c r="KKR7" s="264"/>
      <c r="KKS7" s="264"/>
      <c r="KKT7" s="264"/>
      <c r="KKU7" s="264"/>
      <c r="KKV7" s="264"/>
      <c r="KKW7" s="264"/>
      <c r="KKX7" s="264"/>
      <c r="KKY7" s="264"/>
      <c r="KKZ7" s="264"/>
      <c r="KLA7" s="264"/>
      <c r="KLB7" s="264"/>
      <c r="KLC7" s="264"/>
      <c r="KLD7" s="264"/>
      <c r="KLE7" s="264"/>
      <c r="KLF7" s="264"/>
      <c r="KLG7" s="264"/>
      <c r="KLH7" s="264"/>
      <c r="KLI7" s="264"/>
      <c r="KLJ7" s="264"/>
      <c r="KLK7" s="264"/>
      <c r="KLL7" s="264"/>
      <c r="KLM7" s="264"/>
      <c r="KLN7" s="264"/>
      <c r="KLO7" s="264"/>
      <c r="KLP7" s="264"/>
      <c r="KLQ7" s="264"/>
      <c r="KLR7" s="264"/>
      <c r="KLS7" s="264"/>
      <c r="KLT7" s="264"/>
      <c r="KLU7" s="264"/>
      <c r="KLV7" s="264"/>
      <c r="KLW7" s="264"/>
      <c r="KLX7" s="264"/>
      <c r="KLY7" s="264"/>
      <c r="KLZ7" s="264"/>
      <c r="KMA7" s="264"/>
      <c r="KMB7" s="264"/>
      <c r="KMC7" s="264"/>
      <c r="KMD7" s="264"/>
      <c r="KME7" s="264"/>
      <c r="KMF7" s="264"/>
      <c r="KMG7" s="264"/>
      <c r="KMH7" s="264"/>
      <c r="KMI7" s="264"/>
      <c r="KMJ7" s="264"/>
      <c r="KMK7" s="264"/>
      <c r="KML7" s="264"/>
      <c r="KMM7" s="264"/>
      <c r="KMN7" s="264"/>
      <c r="KMO7" s="264"/>
      <c r="KMP7" s="264"/>
      <c r="KMQ7" s="264"/>
      <c r="KMR7" s="264"/>
      <c r="KMS7" s="264"/>
      <c r="KMT7" s="264"/>
      <c r="KMU7" s="264"/>
      <c r="KMV7" s="264"/>
      <c r="KMW7" s="264"/>
      <c r="KMX7" s="264"/>
      <c r="KMY7" s="264"/>
      <c r="KMZ7" s="264"/>
      <c r="KNA7" s="264"/>
      <c r="KNB7" s="264"/>
      <c r="KNC7" s="264"/>
      <c r="KND7" s="264"/>
      <c r="KNE7" s="264"/>
      <c r="KNF7" s="264"/>
      <c r="KNG7" s="264"/>
      <c r="KNH7" s="264"/>
      <c r="KNI7" s="264"/>
      <c r="KNJ7" s="264"/>
      <c r="KNK7" s="264"/>
      <c r="KNL7" s="264"/>
      <c r="KNM7" s="264"/>
      <c r="KNN7" s="264"/>
      <c r="KNO7" s="264"/>
      <c r="KNP7" s="264"/>
      <c r="KNQ7" s="264"/>
      <c r="KNR7" s="264"/>
      <c r="KNS7" s="264"/>
      <c r="KNT7" s="264"/>
      <c r="KNU7" s="264"/>
      <c r="KNV7" s="264"/>
      <c r="KNW7" s="264"/>
      <c r="KNX7" s="264"/>
      <c r="KNY7" s="264"/>
      <c r="KNZ7" s="264"/>
      <c r="KOA7" s="264"/>
      <c r="KOB7" s="264"/>
      <c r="KOC7" s="264"/>
      <c r="KOD7" s="264"/>
      <c r="KOE7" s="264"/>
      <c r="KOF7" s="264"/>
      <c r="KOG7" s="264"/>
      <c r="KOH7" s="264"/>
      <c r="KOI7" s="264"/>
      <c r="KOJ7" s="264"/>
      <c r="KOK7" s="264"/>
      <c r="KOL7" s="264"/>
      <c r="KOM7" s="264"/>
      <c r="KON7" s="264"/>
      <c r="KOO7" s="264"/>
      <c r="KOP7" s="264"/>
      <c r="KOQ7" s="264"/>
      <c r="KOR7" s="264"/>
      <c r="KOS7" s="264"/>
      <c r="KOT7" s="264"/>
      <c r="KOU7" s="264"/>
      <c r="KOV7" s="264"/>
      <c r="KOW7" s="264"/>
      <c r="KOX7" s="264"/>
      <c r="KOY7" s="264"/>
      <c r="KOZ7" s="264"/>
      <c r="KPA7" s="264"/>
      <c r="KPB7" s="264"/>
      <c r="KPC7" s="264"/>
      <c r="KPD7" s="264"/>
      <c r="KPE7" s="264"/>
      <c r="KPF7" s="264"/>
      <c r="KPG7" s="264"/>
      <c r="KPH7" s="264"/>
      <c r="KPI7" s="264"/>
      <c r="KPJ7" s="264"/>
      <c r="KPK7" s="264"/>
      <c r="KPL7" s="264"/>
      <c r="KPM7" s="264"/>
      <c r="KPN7" s="264"/>
      <c r="KPO7" s="264"/>
      <c r="KPP7" s="264"/>
      <c r="KPQ7" s="264"/>
      <c r="KPR7" s="264"/>
      <c r="KPS7" s="264"/>
      <c r="KPT7" s="264"/>
      <c r="KPU7" s="264"/>
      <c r="KPV7" s="264"/>
      <c r="KPW7" s="264"/>
      <c r="KPX7" s="264"/>
      <c r="KPY7" s="264"/>
      <c r="KPZ7" s="264"/>
      <c r="KQA7" s="264"/>
      <c r="KQB7" s="264"/>
      <c r="KQC7" s="264"/>
      <c r="KQD7" s="264"/>
      <c r="KQE7" s="264"/>
      <c r="KQF7" s="264"/>
      <c r="KQG7" s="264"/>
      <c r="KQH7" s="264"/>
      <c r="KQI7" s="264"/>
      <c r="KQJ7" s="264"/>
      <c r="KQK7" s="264"/>
      <c r="KQL7" s="264"/>
      <c r="KQM7" s="264"/>
      <c r="KQN7" s="264"/>
      <c r="KQO7" s="264"/>
      <c r="KQP7" s="264"/>
      <c r="KQQ7" s="264"/>
      <c r="KQR7" s="264"/>
      <c r="KQS7" s="264"/>
      <c r="KQT7" s="264"/>
      <c r="KQU7" s="264"/>
      <c r="KQV7" s="264"/>
      <c r="KQW7" s="264"/>
      <c r="KQX7" s="264"/>
      <c r="KQY7" s="264"/>
      <c r="KQZ7" s="264"/>
      <c r="KRA7" s="264"/>
      <c r="KRB7" s="264"/>
      <c r="KRC7" s="264"/>
      <c r="KRD7" s="264"/>
      <c r="KRE7" s="264"/>
      <c r="KRF7" s="264"/>
      <c r="KRG7" s="264"/>
      <c r="KRH7" s="264"/>
      <c r="KRI7" s="264"/>
      <c r="KRJ7" s="264"/>
      <c r="KRK7" s="264"/>
      <c r="KRL7" s="264"/>
      <c r="KRM7" s="264"/>
      <c r="KRN7" s="264"/>
      <c r="KRO7" s="264"/>
      <c r="KRP7" s="264"/>
      <c r="KRQ7" s="264"/>
      <c r="KRR7" s="264"/>
      <c r="KRS7" s="264"/>
      <c r="KRT7" s="264"/>
      <c r="KRU7" s="264"/>
      <c r="KRV7" s="264"/>
      <c r="KRW7" s="264"/>
      <c r="KRX7" s="264"/>
      <c r="KRY7" s="264"/>
      <c r="KRZ7" s="264"/>
      <c r="KSA7" s="264"/>
      <c r="KSB7" s="264"/>
      <c r="KSC7" s="264"/>
      <c r="KSD7" s="264"/>
      <c r="KSE7" s="264"/>
      <c r="KSF7" s="264"/>
      <c r="KSG7" s="264"/>
      <c r="KSH7" s="264"/>
      <c r="KSI7" s="264"/>
      <c r="KSJ7" s="264"/>
      <c r="KSK7" s="264"/>
      <c r="KSL7" s="264"/>
      <c r="KSM7" s="264"/>
      <c r="KSN7" s="264"/>
      <c r="KSO7" s="264"/>
      <c r="KSP7" s="264"/>
      <c r="KSQ7" s="264"/>
      <c r="KSR7" s="264"/>
      <c r="KSS7" s="264"/>
      <c r="KST7" s="264"/>
      <c r="KSU7" s="264"/>
      <c r="KSV7" s="264"/>
      <c r="KSW7" s="264"/>
      <c r="KSX7" s="264"/>
      <c r="KSY7" s="264"/>
      <c r="KSZ7" s="264"/>
      <c r="KTA7" s="264"/>
      <c r="KTB7" s="264"/>
      <c r="KTC7" s="264"/>
      <c r="KTD7" s="264"/>
      <c r="KTE7" s="264"/>
      <c r="KTF7" s="264"/>
      <c r="KTG7" s="264"/>
      <c r="KTH7" s="264"/>
      <c r="KTI7" s="264"/>
      <c r="KTJ7" s="264"/>
      <c r="KTK7" s="264"/>
      <c r="KTL7" s="264"/>
      <c r="KTM7" s="264"/>
      <c r="KTN7" s="264"/>
      <c r="KTO7" s="264"/>
      <c r="KTP7" s="264"/>
      <c r="KTQ7" s="264"/>
      <c r="KTR7" s="264"/>
      <c r="KTS7" s="264"/>
      <c r="KTT7" s="264"/>
      <c r="KTU7" s="264"/>
      <c r="KTV7" s="264"/>
      <c r="KTW7" s="264"/>
      <c r="KTX7" s="264"/>
      <c r="KTY7" s="264"/>
      <c r="KTZ7" s="264"/>
      <c r="KUA7" s="264"/>
      <c r="KUB7" s="264"/>
      <c r="KUC7" s="264"/>
      <c r="KUD7" s="264"/>
      <c r="KUE7" s="264"/>
      <c r="KUF7" s="264"/>
      <c r="KUG7" s="264"/>
      <c r="KUH7" s="264"/>
      <c r="KUI7" s="264"/>
      <c r="KUJ7" s="264"/>
      <c r="KUK7" s="264"/>
      <c r="KUL7" s="264"/>
      <c r="KUM7" s="264"/>
      <c r="KUN7" s="264"/>
      <c r="KUO7" s="264"/>
      <c r="KUP7" s="264"/>
      <c r="KUQ7" s="264"/>
      <c r="KUR7" s="264"/>
      <c r="KUS7" s="264"/>
      <c r="KUT7" s="264"/>
      <c r="KUU7" s="264"/>
      <c r="KUV7" s="264"/>
      <c r="KUW7" s="264"/>
      <c r="KUX7" s="264"/>
      <c r="KUY7" s="264"/>
      <c r="KUZ7" s="264"/>
      <c r="KVA7" s="264"/>
      <c r="KVB7" s="264"/>
      <c r="KVC7" s="264"/>
      <c r="KVD7" s="264"/>
      <c r="KVE7" s="264"/>
      <c r="KVF7" s="264"/>
      <c r="KVG7" s="264"/>
      <c r="KVH7" s="264"/>
      <c r="KVI7" s="264"/>
      <c r="KVJ7" s="264"/>
      <c r="KVK7" s="264"/>
      <c r="KVL7" s="264"/>
      <c r="KVM7" s="264"/>
      <c r="KVN7" s="264"/>
      <c r="KVO7" s="264"/>
      <c r="KVP7" s="264"/>
      <c r="KVQ7" s="264"/>
      <c r="KVR7" s="264"/>
      <c r="KVS7" s="264"/>
      <c r="KVT7" s="264"/>
      <c r="KVU7" s="264"/>
      <c r="KVV7" s="264"/>
      <c r="KVW7" s="264"/>
      <c r="KVX7" s="264"/>
      <c r="KVY7" s="264"/>
      <c r="KVZ7" s="264"/>
      <c r="KWA7" s="264"/>
      <c r="KWB7" s="264"/>
      <c r="KWC7" s="264"/>
      <c r="KWD7" s="264"/>
      <c r="KWE7" s="264"/>
      <c r="KWF7" s="264"/>
      <c r="KWG7" s="264"/>
      <c r="KWH7" s="264"/>
      <c r="KWI7" s="264"/>
      <c r="KWJ7" s="264"/>
      <c r="KWK7" s="264"/>
      <c r="KWL7" s="264"/>
      <c r="KWM7" s="264"/>
      <c r="KWN7" s="264"/>
      <c r="KWO7" s="264"/>
      <c r="KWP7" s="264"/>
      <c r="KWQ7" s="264"/>
      <c r="KWR7" s="264"/>
      <c r="KWS7" s="264"/>
      <c r="KWT7" s="264"/>
      <c r="KWU7" s="264"/>
      <c r="KWV7" s="264"/>
      <c r="KWW7" s="264"/>
      <c r="KWX7" s="264"/>
      <c r="KWY7" s="264"/>
      <c r="KWZ7" s="264"/>
      <c r="KXA7" s="264"/>
      <c r="KXB7" s="264"/>
      <c r="KXC7" s="264"/>
      <c r="KXD7" s="264"/>
      <c r="KXE7" s="264"/>
      <c r="KXF7" s="264"/>
      <c r="KXG7" s="264"/>
      <c r="KXH7" s="264"/>
      <c r="KXI7" s="264"/>
      <c r="KXJ7" s="264"/>
      <c r="KXK7" s="264"/>
      <c r="KXL7" s="264"/>
      <c r="KXM7" s="264"/>
      <c r="KXN7" s="264"/>
      <c r="KXO7" s="264"/>
      <c r="KXP7" s="264"/>
      <c r="KXQ7" s="264"/>
      <c r="KXR7" s="264"/>
      <c r="KXS7" s="264"/>
      <c r="KXT7" s="264"/>
      <c r="KXU7" s="264"/>
      <c r="KXV7" s="264"/>
      <c r="KXW7" s="264"/>
      <c r="KXX7" s="264"/>
      <c r="KXY7" s="264"/>
      <c r="KXZ7" s="264"/>
      <c r="KYA7" s="264"/>
      <c r="KYB7" s="264"/>
      <c r="KYC7" s="264"/>
      <c r="KYD7" s="264"/>
      <c r="KYE7" s="264"/>
      <c r="KYF7" s="264"/>
      <c r="KYG7" s="264"/>
      <c r="KYH7" s="264"/>
      <c r="KYI7" s="264"/>
      <c r="KYJ7" s="264"/>
      <c r="KYK7" s="264"/>
      <c r="KYL7" s="264"/>
      <c r="KYM7" s="264"/>
      <c r="KYN7" s="264"/>
      <c r="KYO7" s="264"/>
      <c r="KYP7" s="264"/>
      <c r="KYQ7" s="264"/>
      <c r="KYR7" s="264"/>
      <c r="KYS7" s="264"/>
      <c r="KYT7" s="264"/>
      <c r="KYU7" s="264"/>
      <c r="KYV7" s="264"/>
      <c r="KYW7" s="264"/>
      <c r="KYX7" s="264"/>
      <c r="KYY7" s="264"/>
      <c r="KYZ7" s="264"/>
      <c r="KZA7" s="264"/>
      <c r="KZB7" s="264"/>
      <c r="KZC7" s="264"/>
      <c r="KZD7" s="264"/>
      <c r="KZE7" s="264"/>
      <c r="KZF7" s="264"/>
      <c r="KZG7" s="264"/>
      <c r="KZH7" s="264"/>
      <c r="KZI7" s="264"/>
      <c r="KZJ7" s="264"/>
      <c r="KZK7" s="264"/>
      <c r="KZL7" s="264"/>
      <c r="KZM7" s="264"/>
      <c r="KZN7" s="264"/>
      <c r="KZO7" s="264"/>
      <c r="KZP7" s="264"/>
      <c r="KZQ7" s="264"/>
      <c r="KZR7" s="264"/>
      <c r="KZS7" s="264"/>
      <c r="KZT7" s="264"/>
      <c r="KZU7" s="264"/>
      <c r="KZV7" s="264"/>
      <c r="KZW7" s="264"/>
      <c r="KZX7" s="264"/>
      <c r="KZY7" s="264"/>
      <c r="KZZ7" s="264"/>
      <c r="LAA7" s="264"/>
      <c r="LAB7" s="264"/>
      <c r="LAC7" s="264"/>
      <c r="LAD7" s="264"/>
      <c r="LAE7" s="264"/>
      <c r="LAF7" s="264"/>
      <c r="LAG7" s="264"/>
      <c r="LAH7" s="264"/>
      <c r="LAI7" s="264"/>
      <c r="LAJ7" s="264"/>
      <c r="LAK7" s="264"/>
      <c r="LAL7" s="264"/>
      <c r="LAM7" s="264"/>
      <c r="LAN7" s="264"/>
      <c r="LAO7" s="264"/>
      <c r="LAP7" s="264"/>
      <c r="LAQ7" s="264"/>
      <c r="LAR7" s="264"/>
      <c r="LAS7" s="264"/>
      <c r="LAT7" s="264"/>
      <c r="LAU7" s="264"/>
      <c r="LAV7" s="264"/>
      <c r="LAW7" s="264"/>
      <c r="LAX7" s="264"/>
      <c r="LAY7" s="264"/>
      <c r="LAZ7" s="264"/>
      <c r="LBA7" s="264"/>
      <c r="LBB7" s="264"/>
      <c r="LBC7" s="264"/>
      <c r="LBD7" s="264"/>
      <c r="LBE7" s="264"/>
      <c r="LBF7" s="264"/>
      <c r="LBG7" s="264"/>
      <c r="LBH7" s="264"/>
      <c r="LBI7" s="264"/>
      <c r="LBJ7" s="264"/>
      <c r="LBK7" s="264"/>
      <c r="LBL7" s="264"/>
      <c r="LBM7" s="264"/>
      <c r="LBN7" s="264"/>
      <c r="LBO7" s="264"/>
      <c r="LBP7" s="264"/>
      <c r="LBQ7" s="264"/>
      <c r="LBR7" s="264"/>
      <c r="LBS7" s="264"/>
      <c r="LBT7" s="264"/>
      <c r="LBU7" s="264"/>
      <c r="LBV7" s="264"/>
      <c r="LBW7" s="264"/>
      <c r="LBX7" s="264"/>
      <c r="LBY7" s="264"/>
      <c r="LBZ7" s="264"/>
      <c r="LCA7" s="264"/>
      <c r="LCB7" s="264"/>
      <c r="LCC7" s="264"/>
      <c r="LCD7" s="264"/>
      <c r="LCE7" s="264"/>
      <c r="LCF7" s="264"/>
      <c r="LCG7" s="264"/>
      <c r="LCH7" s="264"/>
      <c r="LCI7" s="264"/>
      <c r="LCJ7" s="264"/>
      <c r="LCK7" s="264"/>
      <c r="LCL7" s="264"/>
      <c r="LCM7" s="264"/>
      <c r="LCN7" s="264"/>
      <c r="LCO7" s="264"/>
      <c r="LCP7" s="264"/>
      <c r="LCQ7" s="264"/>
      <c r="LCR7" s="264"/>
      <c r="LCS7" s="264"/>
      <c r="LCT7" s="264"/>
      <c r="LCU7" s="264"/>
      <c r="LCV7" s="264"/>
      <c r="LCW7" s="264"/>
      <c r="LCX7" s="264"/>
      <c r="LCY7" s="264"/>
      <c r="LCZ7" s="264"/>
      <c r="LDA7" s="264"/>
      <c r="LDB7" s="264"/>
      <c r="LDC7" s="264"/>
      <c r="LDD7" s="264"/>
      <c r="LDE7" s="264"/>
      <c r="LDF7" s="264"/>
      <c r="LDG7" s="264"/>
      <c r="LDH7" s="264"/>
      <c r="LDI7" s="264"/>
      <c r="LDJ7" s="264"/>
      <c r="LDK7" s="264"/>
      <c r="LDL7" s="264"/>
      <c r="LDM7" s="264"/>
      <c r="LDN7" s="264"/>
      <c r="LDO7" s="264"/>
      <c r="LDP7" s="264"/>
      <c r="LDQ7" s="264"/>
      <c r="LDR7" s="264"/>
      <c r="LDS7" s="264"/>
      <c r="LDT7" s="264"/>
      <c r="LDU7" s="264"/>
      <c r="LDV7" s="264"/>
      <c r="LDW7" s="264"/>
      <c r="LDX7" s="264"/>
      <c r="LDY7" s="264"/>
      <c r="LDZ7" s="264"/>
      <c r="LEA7" s="264"/>
      <c r="LEB7" s="264"/>
      <c r="LEC7" s="264"/>
      <c r="LED7" s="264"/>
      <c r="LEE7" s="264"/>
      <c r="LEF7" s="264"/>
      <c r="LEG7" s="264"/>
      <c r="LEH7" s="264"/>
      <c r="LEI7" s="264"/>
      <c r="LEJ7" s="264"/>
      <c r="LEK7" s="264"/>
      <c r="LEL7" s="264"/>
      <c r="LEM7" s="264"/>
      <c r="LEN7" s="264"/>
      <c r="LEO7" s="264"/>
      <c r="LEP7" s="264"/>
      <c r="LEQ7" s="264"/>
      <c r="LER7" s="264"/>
      <c r="LES7" s="264"/>
      <c r="LET7" s="264"/>
      <c r="LEU7" s="264"/>
      <c r="LEV7" s="264"/>
      <c r="LEW7" s="264"/>
      <c r="LEX7" s="264"/>
      <c r="LEY7" s="264"/>
      <c r="LEZ7" s="264"/>
      <c r="LFA7" s="264"/>
      <c r="LFB7" s="264"/>
      <c r="LFC7" s="264"/>
      <c r="LFD7" s="264"/>
      <c r="LFE7" s="264"/>
      <c r="LFF7" s="264"/>
      <c r="LFG7" s="264"/>
      <c r="LFH7" s="264"/>
      <c r="LFI7" s="264"/>
      <c r="LFJ7" s="264"/>
      <c r="LFK7" s="264"/>
      <c r="LFL7" s="264"/>
      <c r="LFM7" s="264"/>
      <c r="LFN7" s="264"/>
      <c r="LFO7" s="264"/>
      <c r="LFP7" s="264"/>
      <c r="LFQ7" s="264"/>
      <c r="LFR7" s="264"/>
      <c r="LFS7" s="264"/>
      <c r="LFT7" s="264"/>
      <c r="LFU7" s="264"/>
      <c r="LFV7" s="264"/>
      <c r="LFW7" s="264"/>
      <c r="LFX7" s="264"/>
      <c r="LFY7" s="264"/>
      <c r="LFZ7" s="264"/>
      <c r="LGA7" s="264"/>
      <c r="LGB7" s="264"/>
      <c r="LGC7" s="264"/>
      <c r="LGD7" s="264"/>
      <c r="LGE7" s="264"/>
      <c r="LGF7" s="264"/>
      <c r="LGG7" s="264"/>
      <c r="LGH7" s="264"/>
      <c r="LGI7" s="264"/>
      <c r="LGJ7" s="264"/>
      <c r="LGK7" s="264"/>
      <c r="LGL7" s="264"/>
      <c r="LGM7" s="264"/>
      <c r="LGN7" s="264"/>
      <c r="LGO7" s="264"/>
      <c r="LGP7" s="264"/>
      <c r="LGQ7" s="264"/>
      <c r="LGR7" s="264"/>
      <c r="LGS7" s="264"/>
      <c r="LGT7" s="264"/>
      <c r="LGU7" s="264"/>
      <c r="LGV7" s="264"/>
      <c r="LGW7" s="264"/>
      <c r="LGX7" s="264"/>
      <c r="LGY7" s="264"/>
      <c r="LGZ7" s="264"/>
      <c r="LHA7" s="264"/>
      <c r="LHB7" s="264"/>
      <c r="LHC7" s="264"/>
      <c r="LHD7" s="264"/>
      <c r="LHE7" s="264"/>
      <c r="LHF7" s="264"/>
      <c r="LHG7" s="264"/>
      <c r="LHH7" s="264"/>
      <c r="LHI7" s="264"/>
      <c r="LHJ7" s="264"/>
      <c r="LHK7" s="264"/>
      <c r="LHL7" s="264"/>
      <c r="LHM7" s="264"/>
      <c r="LHN7" s="264"/>
      <c r="LHO7" s="264"/>
      <c r="LHP7" s="264"/>
      <c r="LHQ7" s="264"/>
      <c r="LHR7" s="264"/>
      <c r="LHS7" s="264"/>
      <c r="LHT7" s="264"/>
      <c r="LHU7" s="264"/>
      <c r="LHV7" s="264"/>
      <c r="LHW7" s="264"/>
      <c r="LHX7" s="264"/>
      <c r="LHY7" s="264"/>
      <c r="LHZ7" s="264"/>
      <c r="LIA7" s="264"/>
      <c r="LIB7" s="264"/>
      <c r="LIC7" s="264"/>
      <c r="LID7" s="264"/>
      <c r="LIE7" s="264"/>
      <c r="LIF7" s="264"/>
      <c r="LIG7" s="264"/>
      <c r="LIH7" s="264"/>
      <c r="LII7" s="264"/>
      <c r="LIJ7" s="264"/>
      <c r="LIK7" s="264"/>
      <c r="LIL7" s="264"/>
      <c r="LIM7" s="264"/>
      <c r="LIN7" s="264"/>
      <c r="LIO7" s="264"/>
      <c r="LIP7" s="264"/>
      <c r="LIQ7" s="264"/>
      <c r="LIR7" s="264"/>
      <c r="LIS7" s="264"/>
      <c r="LIT7" s="264"/>
      <c r="LIU7" s="264"/>
      <c r="LIV7" s="264"/>
      <c r="LIW7" s="264"/>
      <c r="LIX7" s="264"/>
      <c r="LIY7" s="264"/>
      <c r="LIZ7" s="264"/>
      <c r="LJA7" s="264"/>
      <c r="LJB7" s="264"/>
      <c r="LJC7" s="264"/>
      <c r="LJD7" s="264"/>
      <c r="LJE7" s="264"/>
      <c r="LJF7" s="264"/>
      <c r="LJG7" s="264"/>
      <c r="LJH7" s="264"/>
      <c r="LJI7" s="264"/>
      <c r="LJJ7" s="264"/>
      <c r="LJK7" s="264"/>
      <c r="LJL7" s="264"/>
      <c r="LJM7" s="264"/>
      <c r="LJN7" s="264"/>
      <c r="LJO7" s="264"/>
      <c r="LJP7" s="264"/>
      <c r="LJQ7" s="264"/>
      <c r="LJR7" s="264"/>
      <c r="LJS7" s="264"/>
      <c r="LJT7" s="264"/>
      <c r="LJU7" s="264"/>
      <c r="LJV7" s="264"/>
      <c r="LJW7" s="264"/>
      <c r="LJX7" s="264"/>
      <c r="LJY7" s="264"/>
      <c r="LJZ7" s="264"/>
      <c r="LKA7" s="264"/>
      <c r="LKB7" s="264"/>
      <c r="LKC7" s="264"/>
      <c r="LKD7" s="264"/>
      <c r="LKE7" s="264"/>
      <c r="LKF7" s="264"/>
      <c r="LKG7" s="264"/>
      <c r="LKH7" s="264"/>
      <c r="LKI7" s="264"/>
      <c r="LKJ7" s="264"/>
      <c r="LKK7" s="264"/>
      <c r="LKL7" s="264"/>
      <c r="LKM7" s="264"/>
      <c r="LKN7" s="264"/>
      <c r="LKO7" s="264"/>
      <c r="LKP7" s="264"/>
      <c r="LKQ7" s="264"/>
      <c r="LKR7" s="264"/>
      <c r="LKS7" s="264"/>
      <c r="LKT7" s="264"/>
      <c r="LKU7" s="264"/>
      <c r="LKV7" s="264"/>
      <c r="LKW7" s="264"/>
      <c r="LKX7" s="264"/>
      <c r="LKY7" s="264"/>
      <c r="LKZ7" s="264"/>
      <c r="LLA7" s="264"/>
      <c r="LLB7" s="264"/>
      <c r="LLC7" s="264"/>
      <c r="LLD7" s="264"/>
      <c r="LLE7" s="264"/>
      <c r="LLF7" s="264"/>
      <c r="LLG7" s="264"/>
      <c r="LLH7" s="264"/>
      <c r="LLI7" s="264"/>
      <c r="LLJ7" s="264"/>
      <c r="LLK7" s="264"/>
      <c r="LLL7" s="264"/>
      <c r="LLM7" s="264"/>
      <c r="LLN7" s="264"/>
      <c r="LLO7" s="264"/>
      <c r="LLP7" s="264"/>
      <c r="LLQ7" s="264"/>
      <c r="LLR7" s="264"/>
      <c r="LLS7" s="264"/>
      <c r="LLT7" s="264"/>
      <c r="LLU7" s="264"/>
      <c r="LLV7" s="264"/>
      <c r="LLW7" s="264"/>
      <c r="LLX7" s="264"/>
      <c r="LLY7" s="264"/>
      <c r="LLZ7" s="264"/>
      <c r="LMA7" s="264"/>
      <c r="LMB7" s="264"/>
      <c r="LMC7" s="264"/>
      <c r="LMD7" s="264"/>
      <c r="LME7" s="264"/>
      <c r="LMF7" s="264"/>
      <c r="LMG7" s="264"/>
      <c r="LMH7" s="264"/>
      <c r="LMI7" s="264"/>
      <c r="LMJ7" s="264"/>
      <c r="LMK7" s="264"/>
      <c r="LML7" s="264"/>
      <c r="LMM7" s="264"/>
      <c r="LMN7" s="264"/>
      <c r="LMO7" s="264"/>
      <c r="LMP7" s="264"/>
      <c r="LMQ7" s="264"/>
      <c r="LMR7" s="264"/>
      <c r="LMS7" s="264"/>
      <c r="LMT7" s="264"/>
      <c r="LMU7" s="264"/>
      <c r="LMV7" s="264"/>
      <c r="LMW7" s="264"/>
      <c r="LMX7" s="264"/>
      <c r="LMY7" s="264"/>
      <c r="LMZ7" s="264"/>
      <c r="LNA7" s="264"/>
      <c r="LNB7" s="264"/>
      <c r="LNC7" s="264"/>
      <c r="LND7" s="264"/>
      <c r="LNE7" s="264"/>
      <c r="LNF7" s="264"/>
      <c r="LNG7" s="264"/>
      <c r="LNH7" s="264"/>
      <c r="LNI7" s="264"/>
      <c r="LNJ7" s="264"/>
      <c r="LNK7" s="264"/>
      <c r="LNL7" s="264"/>
      <c r="LNM7" s="264"/>
      <c r="LNN7" s="264"/>
      <c r="LNO7" s="264"/>
      <c r="LNP7" s="264"/>
      <c r="LNQ7" s="264"/>
      <c r="LNR7" s="264"/>
      <c r="LNS7" s="264"/>
      <c r="LNT7" s="264"/>
      <c r="LNU7" s="264"/>
      <c r="LNV7" s="264"/>
      <c r="LNW7" s="264"/>
      <c r="LNX7" s="264"/>
      <c r="LNY7" s="264"/>
      <c r="LNZ7" s="264"/>
      <c r="LOA7" s="264"/>
      <c r="LOB7" s="264"/>
      <c r="LOC7" s="264"/>
      <c r="LOD7" s="264"/>
      <c r="LOE7" s="264"/>
      <c r="LOF7" s="264"/>
      <c r="LOG7" s="264"/>
      <c r="LOH7" s="264"/>
      <c r="LOI7" s="264"/>
      <c r="LOJ7" s="264"/>
      <c r="LOK7" s="264"/>
      <c r="LOL7" s="264"/>
      <c r="LOM7" s="264"/>
      <c r="LON7" s="264"/>
      <c r="LOO7" s="264"/>
      <c r="LOP7" s="264"/>
      <c r="LOQ7" s="264"/>
      <c r="LOR7" s="264"/>
      <c r="LOS7" s="264"/>
      <c r="LOT7" s="264"/>
      <c r="LOU7" s="264"/>
      <c r="LOV7" s="264"/>
      <c r="LOW7" s="264"/>
      <c r="LOX7" s="264"/>
      <c r="LOY7" s="264"/>
      <c r="LOZ7" s="264"/>
      <c r="LPA7" s="264"/>
      <c r="LPB7" s="264"/>
      <c r="LPC7" s="264"/>
      <c r="LPD7" s="264"/>
      <c r="LPE7" s="264"/>
      <c r="LPF7" s="264"/>
      <c r="LPG7" s="264"/>
      <c r="LPH7" s="264"/>
      <c r="LPI7" s="264"/>
      <c r="LPJ7" s="264"/>
      <c r="LPK7" s="264"/>
      <c r="LPL7" s="264"/>
      <c r="LPM7" s="264"/>
      <c r="LPN7" s="264"/>
      <c r="LPO7" s="264"/>
      <c r="LPP7" s="264"/>
      <c r="LPQ7" s="264"/>
      <c r="LPR7" s="264"/>
      <c r="LPS7" s="264"/>
      <c r="LPT7" s="264"/>
      <c r="LPU7" s="264"/>
      <c r="LPV7" s="264"/>
      <c r="LPW7" s="264"/>
      <c r="LPX7" s="264"/>
      <c r="LPY7" s="264"/>
      <c r="LPZ7" s="264"/>
      <c r="LQA7" s="264"/>
      <c r="LQB7" s="264"/>
      <c r="LQC7" s="264"/>
      <c r="LQD7" s="264"/>
      <c r="LQE7" s="264"/>
      <c r="LQF7" s="264"/>
      <c r="LQG7" s="264"/>
      <c r="LQH7" s="264"/>
      <c r="LQI7" s="264"/>
      <c r="LQJ7" s="264"/>
      <c r="LQK7" s="264"/>
      <c r="LQL7" s="264"/>
      <c r="LQM7" s="264"/>
      <c r="LQN7" s="264"/>
      <c r="LQO7" s="264"/>
      <c r="LQP7" s="264"/>
      <c r="LQQ7" s="264"/>
      <c r="LQR7" s="264"/>
      <c r="LQS7" s="264"/>
      <c r="LQT7" s="264"/>
      <c r="LQU7" s="264"/>
      <c r="LQV7" s="264"/>
      <c r="LQW7" s="264"/>
      <c r="LQX7" s="264"/>
      <c r="LQY7" s="264"/>
      <c r="LQZ7" s="264"/>
      <c r="LRA7" s="264"/>
      <c r="LRB7" s="264"/>
      <c r="LRC7" s="264"/>
      <c r="LRD7" s="264"/>
      <c r="LRE7" s="264"/>
      <c r="LRF7" s="264"/>
      <c r="LRG7" s="264"/>
      <c r="LRH7" s="264"/>
      <c r="LRI7" s="264"/>
      <c r="LRJ7" s="264"/>
      <c r="LRK7" s="264"/>
      <c r="LRL7" s="264"/>
      <c r="LRM7" s="264"/>
      <c r="LRN7" s="264"/>
      <c r="LRO7" s="264"/>
      <c r="LRP7" s="264"/>
      <c r="LRQ7" s="264"/>
      <c r="LRR7" s="264"/>
      <c r="LRS7" s="264"/>
      <c r="LRT7" s="264"/>
      <c r="LRU7" s="264"/>
      <c r="LRV7" s="264"/>
      <c r="LRW7" s="264"/>
      <c r="LRX7" s="264"/>
      <c r="LRY7" s="264"/>
      <c r="LRZ7" s="264"/>
      <c r="LSA7" s="264"/>
      <c r="LSB7" s="264"/>
      <c r="LSC7" s="264"/>
      <c r="LSD7" s="264"/>
      <c r="LSE7" s="264"/>
      <c r="LSF7" s="264"/>
      <c r="LSG7" s="264"/>
      <c r="LSH7" s="264"/>
      <c r="LSI7" s="264"/>
      <c r="LSJ7" s="264"/>
      <c r="LSK7" s="264"/>
      <c r="LSL7" s="264"/>
      <c r="LSM7" s="264"/>
      <c r="LSN7" s="264"/>
      <c r="LSO7" s="264"/>
      <c r="LSP7" s="264"/>
      <c r="LSQ7" s="264"/>
      <c r="LSR7" s="264"/>
      <c r="LSS7" s="264"/>
      <c r="LST7" s="264"/>
      <c r="LSU7" s="264"/>
      <c r="LSV7" s="264"/>
      <c r="LSW7" s="264"/>
      <c r="LSX7" s="264"/>
      <c r="LSY7" s="264"/>
      <c r="LSZ7" s="264"/>
      <c r="LTA7" s="264"/>
      <c r="LTB7" s="264"/>
      <c r="LTC7" s="264"/>
      <c r="LTD7" s="264"/>
      <c r="LTE7" s="264"/>
      <c r="LTF7" s="264"/>
      <c r="LTG7" s="264"/>
      <c r="LTH7" s="264"/>
      <c r="LTI7" s="264"/>
      <c r="LTJ7" s="264"/>
      <c r="LTK7" s="264"/>
      <c r="LTL7" s="264"/>
      <c r="LTM7" s="264"/>
      <c r="LTN7" s="264"/>
      <c r="LTO7" s="264"/>
      <c r="LTP7" s="264"/>
      <c r="LTQ7" s="264"/>
      <c r="LTR7" s="264"/>
      <c r="LTS7" s="264"/>
      <c r="LTT7" s="264"/>
      <c r="LTU7" s="264"/>
      <c r="LTV7" s="264"/>
      <c r="LTW7" s="264"/>
      <c r="LTX7" s="264"/>
      <c r="LTY7" s="264"/>
      <c r="LTZ7" s="264"/>
      <c r="LUA7" s="264"/>
      <c r="LUB7" s="264"/>
      <c r="LUC7" s="264"/>
      <c r="LUD7" s="264"/>
      <c r="LUE7" s="264"/>
      <c r="LUF7" s="264"/>
      <c r="LUG7" s="264"/>
      <c r="LUH7" s="264"/>
      <c r="LUI7" s="264"/>
      <c r="LUJ7" s="264"/>
      <c r="LUK7" s="264"/>
      <c r="LUL7" s="264"/>
      <c r="LUM7" s="264"/>
      <c r="LUN7" s="264"/>
      <c r="LUO7" s="264"/>
      <c r="LUP7" s="264"/>
      <c r="LUQ7" s="264"/>
      <c r="LUR7" s="264"/>
      <c r="LUS7" s="264"/>
      <c r="LUT7" s="264"/>
      <c r="LUU7" s="264"/>
      <c r="LUV7" s="264"/>
      <c r="LUW7" s="264"/>
      <c r="LUX7" s="264"/>
      <c r="LUY7" s="264"/>
      <c r="LUZ7" s="264"/>
      <c r="LVA7" s="264"/>
      <c r="LVB7" s="264"/>
      <c r="LVC7" s="264"/>
      <c r="LVD7" s="264"/>
      <c r="LVE7" s="264"/>
      <c r="LVF7" s="264"/>
      <c r="LVG7" s="264"/>
      <c r="LVH7" s="264"/>
      <c r="LVI7" s="264"/>
      <c r="LVJ7" s="264"/>
      <c r="LVK7" s="264"/>
      <c r="LVL7" s="264"/>
      <c r="LVM7" s="264"/>
      <c r="LVN7" s="264"/>
      <c r="LVO7" s="264"/>
      <c r="LVP7" s="264"/>
      <c r="LVQ7" s="264"/>
      <c r="LVR7" s="264"/>
      <c r="LVS7" s="264"/>
      <c r="LVT7" s="264"/>
      <c r="LVU7" s="264"/>
      <c r="LVV7" s="264"/>
      <c r="LVW7" s="264"/>
      <c r="LVX7" s="264"/>
      <c r="LVY7" s="264"/>
      <c r="LVZ7" s="264"/>
      <c r="LWA7" s="264"/>
      <c r="LWB7" s="264"/>
      <c r="LWC7" s="264"/>
      <c r="LWD7" s="264"/>
      <c r="LWE7" s="264"/>
      <c r="LWF7" s="264"/>
      <c r="LWG7" s="264"/>
      <c r="LWH7" s="264"/>
      <c r="LWI7" s="264"/>
      <c r="LWJ7" s="264"/>
      <c r="LWK7" s="264"/>
      <c r="LWL7" s="264"/>
      <c r="LWM7" s="264"/>
      <c r="LWN7" s="264"/>
      <c r="LWO7" s="264"/>
      <c r="LWP7" s="264"/>
      <c r="LWQ7" s="264"/>
      <c r="LWR7" s="264"/>
      <c r="LWS7" s="264"/>
      <c r="LWT7" s="264"/>
      <c r="LWU7" s="264"/>
      <c r="LWV7" s="264"/>
      <c r="LWW7" s="264"/>
      <c r="LWX7" s="264"/>
      <c r="LWY7" s="264"/>
      <c r="LWZ7" s="264"/>
      <c r="LXA7" s="264"/>
      <c r="LXB7" s="264"/>
      <c r="LXC7" s="264"/>
      <c r="LXD7" s="264"/>
      <c r="LXE7" s="264"/>
      <c r="LXF7" s="264"/>
      <c r="LXG7" s="264"/>
      <c r="LXH7" s="264"/>
      <c r="LXI7" s="264"/>
      <c r="LXJ7" s="264"/>
      <c r="LXK7" s="264"/>
      <c r="LXL7" s="264"/>
      <c r="LXM7" s="264"/>
      <c r="LXN7" s="264"/>
      <c r="LXO7" s="264"/>
      <c r="LXP7" s="264"/>
      <c r="LXQ7" s="264"/>
      <c r="LXR7" s="264"/>
      <c r="LXS7" s="264"/>
      <c r="LXT7" s="264"/>
      <c r="LXU7" s="264"/>
      <c r="LXV7" s="264"/>
      <c r="LXW7" s="264"/>
      <c r="LXX7" s="264"/>
      <c r="LXY7" s="264"/>
      <c r="LXZ7" s="264"/>
      <c r="LYA7" s="264"/>
      <c r="LYB7" s="264"/>
      <c r="LYC7" s="264"/>
      <c r="LYD7" s="264"/>
      <c r="LYE7" s="264"/>
      <c r="LYF7" s="264"/>
      <c r="LYG7" s="264"/>
      <c r="LYH7" s="264"/>
      <c r="LYI7" s="264"/>
      <c r="LYJ7" s="264"/>
      <c r="LYK7" s="264"/>
      <c r="LYL7" s="264"/>
      <c r="LYM7" s="264"/>
      <c r="LYN7" s="264"/>
      <c r="LYO7" s="264"/>
      <c r="LYP7" s="264"/>
      <c r="LYQ7" s="264"/>
      <c r="LYR7" s="264"/>
      <c r="LYS7" s="264"/>
      <c r="LYT7" s="264"/>
      <c r="LYU7" s="264"/>
      <c r="LYV7" s="264"/>
      <c r="LYW7" s="264"/>
      <c r="LYX7" s="264"/>
      <c r="LYY7" s="264"/>
      <c r="LYZ7" s="264"/>
      <c r="LZA7" s="264"/>
      <c r="LZB7" s="264"/>
      <c r="LZC7" s="264"/>
      <c r="LZD7" s="264"/>
      <c r="LZE7" s="264"/>
      <c r="LZF7" s="264"/>
      <c r="LZG7" s="264"/>
      <c r="LZH7" s="264"/>
      <c r="LZI7" s="264"/>
      <c r="LZJ7" s="264"/>
      <c r="LZK7" s="264"/>
      <c r="LZL7" s="264"/>
      <c r="LZM7" s="264"/>
      <c r="LZN7" s="264"/>
      <c r="LZO7" s="264"/>
      <c r="LZP7" s="264"/>
      <c r="LZQ7" s="264"/>
      <c r="LZR7" s="264"/>
      <c r="LZS7" s="264"/>
      <c r="LZT7" s="264"/>
      <c r="LZU7" s="264"/>
      <c r="LZV7" s="264"/>
      <c r="LZW7" s="264"/>
      <c r="LZX7" s="264"/>
      <c r="LZY7" s="264"/>
      <c r="LZZ7" s="264"/>
      <c r="MAA7" s="264"/>
      <c r="MAB7" s="264"/>
      <c r="MAC7" s="264"/>
      <c r="MAD7" s="264"/>
      <c r="MAE7" s="264"/>
      <c r="MAF7" s="264"/>
      <c r="MAG7" s="264"/>
      <c r="MAH7" s="264"/>
      <c r="MAI7" s="264"/>
      <c r="MAJ7" s="264"/>
      <c r="MAK7" s="264"/>
      <c r="MAL7" s="264"/>
      <c r="MAM7" s="264"/>
      <c r="MAN7" s="264"/>
      <c r="MAO7" s="264"/>
      <c r="MAP7" s="264"/>
      <c r="MAQ7" s="264"/>
      <c r="MAR7" s="264"/>
      <c r="MAS7" s="264"/>
      <c r="MAT7" s="264"/>
      <c r="MAU7" s="264"/>
      <c r="MAV7" s="264"/>
      <c r="MAW7" s="264"/>
      <c r="MAX7" s="264"/>
      <c r="MAY7" s="264"/>
      <c r="MAZ7" s="264"/>
      <c r="MBA7" s="264"/>
      <c r="MBB7" s="264"/>
      <c r="MBC7" s="264"/>
      <c r="MBD7" s="264"/>
      <c r="MBE7" s="264"/>
      <c r="MBF7" s="264"/>
      <c r="MBG7" s="264"/>
      <c r="MBH7" s="264"/>
      <c r="MBI7" s="264"/>
      <c r="MBJ7" s="264"/>
      <c r="MBK7" s="264"/>
      <c r="MBL7" s="264"/>
      <c r="MBM7" s="264"/>
      <c r="MBN7" s="264"/>
      <c r="MBO7" s="264"/>
      <c r="MBP7" s="264"/>
      <c r="MBQ7" s="264"/>
      <c r="MBR7" s="264"/>
      <c r="MBS7" s="264"/>
      <c r="MBT7" s="264"/>
      <c r="MBU7" s="264"/>
      <c r="MBV7" s="264"/>
      <c r="MBW7" s="264"/>
      <c r="MBX7" s="264"/>
      <c r="MBY7" s="264"/>
      <c r="MBZ7" s="264"/>
      <c r="MCA7" s="264"/>
      <c r="MCB7" s="264"/>
      <c r="MCC7" s="264"/>
      <c r="MCD7" s="264"/>
      <c r="MCE7" s="264"/>
      <c r="MCF7" s="264"/>
      <c r="MCG7" s="264"/>
      <c r="MCH7" s="264"/>
      <c r="MCI7" s="264"/>
      <c r="MCJ7" s="264"/>
      <c r="MCK7" s="264"/>
      <c r="MCL7" s="264"/>
      <c r="MCM7" s="264"/>
      <c r="MCN7" s="264"/>
      <c r="MCO7" s="264"/>
      <c r="MCP7" s="264"/>
      <c r="MCQ7" s="264"/>
      <c r="MCR7" s="264"/>
      <c r="MCS7" s="264"/>
      <c r="MCT7" s="264"/>
      <c r="MCU7" s="264"/>
      <c r="MCV7" s="264"/>
      <c r="MCW7" s="264"/>
      <c r="MCX7" s="264"/>
      <c r="MCY7" s="264"/>
      <c r="MCZ7" s="264"/>
      <c r="MDA7" s="264"/>
      <c r="MDB7" s="264"/>
      <c r="MDC7" s="264"/>
      <c r="MDD7" s="264"/>
      <c r="MDE7" s="264"/>
      <c r="MDF7" s="264"/>
      <c r="MDG7" s="264"/>
      <c r="MDH7" s="264"/>
      <c r="MDI7" s="264"/>
      <c r="MDJ7" s="264"/>
      <c r="MDK7" s="264"/>
      <c r="MDL7" s="264"/>
      <c r="MDM7" s="264"/>
      <c r="MDN7" s="264"/>
      <c r="MDO7" s="264"/>
      <c r="MDP7" s="264"/>
      <c r="MDQ7" s="264"/>
      <c r="MDR7" s="264"/>
      <c r="MDS7" s="264"/>
      <c r="MDT7" s="264"/>
      <c r="MDU7" s="264"/>
      <c r="MDV7" s="264"/>
      <c r="MDW7" s="264"/>
      <c r="MDX7" s="264"/>
      <c r="MDY7" s="264"/>
      <c r="MDZ7" s="264"/>
      <c r="MEA7" s="264"/>
      <c r="MEB7" s="264"/>
      <c r="MEC7" s="264"/>
      <c r="MED7" s="264"/>
      <c r="MEE7" s="264"/>
      <c r="MEF7" s="264"/>
      <c r="MEG7" s="264"/>
      <c r="MEH7" s="264"/>
      <c r="MEI7" s="264"/>
      <c r="MEJ7" s="264"/>
      <c r="MEK7" s="264"/>
      <c r="MEL7" s="264"/>
      <c r="MEM7" s="264"/>
      <c r="MEN7" s="264"/>
      <c r="MEO7" s="264"/>
      <c r="MEP7" s="264"/>
      <c r="MEQ7" s="264"/>
      <c r="MER7" s="264"/>
      <c r="MES7" s="264"/>
      <c r="MET7" s="264"/>
      <c r="MEU7" s="264"/>
      <c r="MEV7" s="264"/>
      <c r="MEW7" s="264"/>
      <c r="MEX7" s="264"/>
      <c r="MEY7" s="264"/>
      <c r="MEZ7" s="264"/>
      <c r="MFA7" s="264"/>
      <c r="MFB7" s="264"/>
      <c r="MFC7" s="264"/>
      <c r="MFD7" s="264"/>
      <c r="MFE7" s="264"/>
      <c r="MFF7" s="264"/>
      <c r="MFG7" s="264"/>
      <c r="MFH7" s="264"/>
      <c r="MFI7" s="264"/>
      <c r="MFJ7" s="264"/>
      <c r="MFK7" s="264"/>
      <c r="MFL7" s="264"/>
      <c r="MFM7" s="264"/>
      <c r="MFN7" s="264"/>
      <c r="MFO7" s="264"/>
      <c r="MFP7" s="264"/>
      <c r="MFQ7" s="264"/>
      <c r="MFR7" s="264"/>
      <c r="MFS7" s="264"/>
      <c r="MFT7" s="264"/>
      <c r="MFU7" s="264"/>
      <c r="MFV7" s="264"/>
      <c r="MFW7" s="264"/>
      <c r="MFX7" s="264"/>
      <c r="MFY7" s="264"/>
      <c r="MFZ7" s="264"/>
      <c r="MGA7" s="264"/>
      <c r="MGB7" s="264"/>
      <c r="MGC7" s="264"/>
      <c r="MGD7" s="264"/>
      <c r="MGE7" s="264"/>
      <c r="MGF7" s="264"/>
      <c r="MGG7" s="264"/>
      <c r="MGH7" s="264"/>
      <c r="MGI7" s="264"/>
      <c r="MGJ7" s="264"/>
      <c r="MGK7" s="264"/>
      <c r="MGL7" s="264"/>
      <c r="MGM7" s="264"/>
      <c r="MGN7" s="264"/>
      <c r="MGO7" s="264"/>
      <c r="MGP7" s="264"/>
      <c r="MGQ7" s="264"/>
      <c r="MGR7" s="264"/>
      <c r="MGS7" s="264"/>
      <c r="MGT7" s="264"/>
      <c r="MGU7" s="264"/>
      <c r="MGV7" s="264"/>
      <c r="MGW7" s="264"/>
      <c r="MGX7" s="264"/>
      <c r="MGY7" s="264"/>
      <c r="MGZ7" s="264"/>
      <c r="MHA7" s="264"/>
      <c r="MHB7" s="264"/>
      <c r="MHC7" s="264"/>
      <c r="MHD7" s="264"/>
      <c r="MHE7" s="264"/>
      <c r="MHF7" s="264"/>
      <c r="MHG7" s="264"/>
      <c r="MHH7" s="264"/>
      <c r="MHI7" s="264"/>
      <c r="MHJ7" s="264"/>
      <c r="MHK7" s="264"/>
      <c r="MHL7" s="264"/>
      <c r="MHM7" s="264"/>
      <c r="MHN7" s="264"/>
      <c r="MHO7" s="264"/>
      <c r="MHP7" s="264"/>
      <c r="MHQ7" s="264"/>
      <c r="MHR7" s="264"/>
      <c r="MHS7" s="264"/>
      <c r="MHT7" s="264"/>
      <c r="MHU7" s="264"/>
      <c r="MHV7" s="264"/>
      <c r="MHW7" s="264"/>
      <c r="MHX7" s="264"/>
      <c r="MHY7" s="264"/>
      <c r="MHZ7" s="264"/>
      <c r="MIA7" s="264"/>
      <c r="MIB7" s="264"/>
      <c r="MIC7" s="264"/>
      <c r="MID7" s="264"/>
      <c r="MIE7" s="264"/>
      <c r="MIF7" s="264"/>
      <c r="MIG7" s="264"/>
      <c r="MIH7" s="264"/>
      <c r="MII7" s="264"/>
      <c r="MIJ7" s="264"/>
      <c r="MIK7" s="264"/>
      <c r="MIL7" s="264"/>
      <c r="MIM7" s="264"/>
      <c r="MIN7" s="264"/>
      <c r="MIO7" s="264"/>
      <c r="MIP7" s="264"/>
      <c r="MIQ7" s="264"/>
      <c r="MIR7" s="264"/>
      <c r="MIS7" s="264"/>
      <c r="MIT7" s="264"/>
      <c r="MIU7" s="264"/>
      <c r="MIV7" s="264"/>
      <c r="MIW7" s="264"/>
      <c r="MIX7" s="264"/>
      <c r="MIY7" s="264"/>
      <c r="MIZ7" s="264"/>
      <c r="MJA7" s="264"/>
      <c r="MJB7" s="264"/>
      <c r="MJC7" s="264"/>
      <c r="MJD7" s="264"/>
      <c r="MJE7" s="264"/>
      <c r="MJF7" s="264"/>
      <c r="MJG7" s="264"/>
      <c r="MJH7" s="264"/>
      <c r="MJI7" s="264"/>
      <c r="MJJ7" s="264"/>
      <c r="MJK7" s="264"/>
      <c r="MJL7" s="264"/>
      <c r="MJM7" s="264"/>
      <c r="MJN7" s="264"/>
      <c r="MJO7" s="264"/>
      <c r="MJP7" s="264"/>
      <c r="MJQ7" s="264"/>
      <c r="MJR7" s="264"/>
      <c r="MJS7" s="264"/>
      <c r="MJT7" s="264"/>
      <c r="MJU7" s="264"/>
      <c r="MJV7" s="264"/>
      <c r="MJW7" s="264"/>
      <c r="MJX7" s="264"/>
      <c r="MJY7" s="264"/>
      <c r="MJZ7" s="264"/>
      <c r="MKA7" s="264"/>
      <c r="MKB7" s="264"/>
      <c r="MKC7" s="264"/>
      <c r="MKD7" s="264"/>
      <c r="MKE7" s="264"/>
      <c r="MKF7" s="264"/>
      <c r="MKG7" s="264"/>
      <c r="MKH7" s="264"/>
      <c r="MKI7" s="264"/>
      <c r="MKJ7" s="264"/>
      <c r="MKK7" s="264"/>
      <c r="MKL7" s="264"/>
      <c r="MKM7" s="264"/>
      <c r="MKN7" s="264"/>
      <c r="MKO7" s="264"/>
      <c r="MKP7" s="264"/>
      <c r="MKQ7" s="264"/>
      <c r="MKR7" s="264"/>
      <c r="MKS7" s="264"/>
      <c r="MKT7" s="264"/>
      <c r="MKU7" s="264"/>
      <c r="MKV7" s="264"/>
      <c r="MKW7" s="264"/>
      <c r="MKX7" s="264"/>
      <c r="MKY7" s="264"/>
      <c r="MKZ7" s="264"/>
      <c r="MLA7" s="264"/>
      <c r="MLB7" s="264"/>
      <c r="MLC7" s="264"/>
      <c r="MLD7" s="264"/>
      <c r="MLE7" s="264"/>
      <c r="MLF7" s="264"/>
      <c r="MLG7" s="264"/>
      <c r="MLH7" s="264"/>
      <c r="MLI7" s="264"/>
      <c r="MLJ7" s="264"/>
      <c r="MLK7" s="264"/>
      <c r="MLL7" s="264"/>
      <c r="MLM7" s="264"/>
      <c r="MLN7" s="264"/>
      <c r="MLO7" s="264"/>
      <c r="MLP7" s="264"/>
      <c r="MLQ7" s="264"/>
      <c r="MLR7" s="264"/>
      <c r="MLS7" s="264"/>
      <c r="MLT7" s="264"/>
      <c r="MLU7" s="264"/>
      <c r="MLV7" s="264"/>
      <c r="MLW7" s="264"/>
      <c r="MLX7" s="264"/>
      <c r="MLY7" s="264"/>
      <c r="MLZ7" s="264"/>
      <c r="MMA7" s="264"/>
      <c r="MMB7" s="264"/>
      <c r="MMC7" s="264"/>
      <c r="MMD7" s="264"/>
      <c r="MME7" s="264"/>
      <c r="MMF7" s="264"/>
      <c r="MMG7" s="264"/>
      <c r="MMH7" s="264"/>
      <c r="MMI7" s="264"/>
      <c r="MMJ7" s="264"/>
      <c r="MMK7" s="264"/>
      <c r="MML7" s="264"/>
      <c r="MMM7" s="264"/>
      <c r="MMN7" s="264"/>
      <c r="MMO7" s="264"/>
      <c r="MMP7" s="264"/>
      <c r="MMQ7" s="264"/>
      <c r="MMR7" s="264"/>
      <c r="MMS7" s="264"/>
      <c r="MMT7" s="264"/>
      <c r="MMU7" s="264"/>
      <c r="MMV7" s="264"/>
      <c r="MMW7" s="264"/>
      <c r="MMX7" s="264"/>
      <c r="MMY7" s="264"/>
      <c r="MMZ7" s="264"/>
      <c r="MNA7" s="264"/>
      <c r="MNB7" s="264"/>
      <c r="MNC7" s="264"/>
      <c r="MND7" s="264"/>
      <c r="MNE7" s="264"/>
      <c r="MNF7" s="264"/>
      <c r="MNG7" s="264"/>
      <c r="MNH7" s="264"/>
      <c r="MNI7" s="264"/>
      <c r="MNJ7" s="264"/>
      <c r="MNK7" s="264"/>
      <c r="MNL7" s="264"/>
      <c r="MNM7" s="264"/>
      <c r="MNN7" s="264"/>
      <c r="MNO7" s="264"/>
      <c r="MNP7" s="264"/>
      <c r="MNQ7" s="264"/>
      <c r="MNR7" s="264"/>
      <c r="MNS7" s="264"/>
      <c r="MNT7" s="264"/>
      <c r="MNU7" s="264"/>
      <c r="MNV7" s="264"/>
      <c r="MNW7" s="264"/>
      <c r="MNX7" s="264"/>
      <c r="MNY7" s="264"/>
      <c r="MNZ7" s="264"/>
      <c r="MOA7" s="264"/>
      <c r="MOB7" s="264"/>
      <c r="MOC7" s="264"/>
      <c r="MOD7" s="264"/>
      <c r="MOE7" s="264"/>
      <c r="MOF7" s="264"/>
      <c r="MOG7" s="264"/>
      <c r="MOH7" s="264"/>
      <c r="MOI7" s="264"/>
      <c r="MOJ7" s="264"/>
      <c r="MOK7" s="264"/>
      <c r="MOL7" s="264"/>
      <c r="MOM7" s="264"/>
      <c r="MON7" s="264"/>
      <c r="MOO7" s="264"/>
      <c r="MOP7" s="264"/>
      <c r="MOQ7" s="264"/>
      <c r="MOR7" s="264"/>
      <c r="MOS7" s="264"/>
      <c r="MOT7" s="264"/>
      <c r="MOU7" s="264"/>
      <c r="MOV7" s="264"/>
      <c r="MOW7" s="264"/>
      <c r="MOX7" s="264"/>
      <c r="MOY7" s="264"/>
      <c r="MOZ7" s="264"/>
      <c r="MPA7" s="264"/>
      <c r="MPB7" s="264"/>
      <c r="MPC7" s="264"/>
      <c r="MPD7" s="264"/>
      <c r="MPE7" s="264"/>
      <c r="MPF7" s="264"/>
      <c r="MPG7" s="264"/>
      <c r="MPH7" s="264"/>
      <c r="MPI7" s="264"/>
      <c r="MPJ7" s="264"/>
      <c r="MPK7" s="264"/>
      <c r="MPL7" s="264"/>
      <c r="MPM7" s="264"/>
      <c r="MPN7" s="264"/>
      <c r="MPO7" s="264"/>
      <c r="MPP7" s="264"/>
      <c r="MPQ7" s="264"/>
      <c r="MPR7" s="264"/>
      <c r="MPS7" s="264"/>
      <c r="MPT7" s="264"/>
      <c r="MPU7" s="264"/>
      <c r="MPV7" s="264"/>
      <c r="MPW7" s="264"/>
      <c r="MPX7" s="264"/>
      <c r="MPY7" s="264"/>
      <c r="MPZ7" s="264"/>
      <c r="MQA7" s="264"/>
      <c r="MQB7" s="264"/>
      <c r="MQC7" s="264"/>
      <c r="MQD7" s="264"/>
      <c r="MQE7" s="264"/>
      <c r="MQF7" s="264"/>
      <c r="MQG7" s="264"/>
      <c r="MQH7" s="264"/>
      <c r="MQI7" s="264"/>
      <c r="MQJ7" s="264"/>
      <c r="MQK7" s="264"/>
      <c r="MQL7" s="264"/>
      <c r="MQM7" s="264"/>
      <c r="MQN7" s="264"/>
      <c r="MQO7" s="264"/>
      <c r="MQP7" s="264"/>
      <c r="MQQ7" s="264"/>
      <c r="MQR7" s="264"/>
      <c r="MQS7" s="264"/>
      <c r="MQT7" s="264"/>
      <c r="MQU7" s="264"/>
      <c r="MQV7" s="264"/>
      <c r="MQW7" s="264"/>
      <c r="MQX7" s="264"/>
      <c r="MQY7" s="264"/>
      <c r="MQZ7" s="264"/>
      <c r="MRA7" s="264"/>
      <c r="MRB7" s="264"/>
      <c r="MRC7" s="264"/>
      <c r="MRD7" s="264"/>
      <c r="MRE7" s="264"/>
      <c r="MRF7" s="264"/>
      <c r="MRG7" s="264"/>
      <c r="MRH7" s="264"/>
      <c r="MRI7" s="264"/>
      <c r="MRJ7" s="264"/>
      <c r="MRK7" s="264"/>
      <c r="MRL7" s="264"/>
      <c r="MRM7" s="264"/>
      <c r="MRN7" s="264"/>
      <c r="MRO7" s="264"/>
      <c r="MRP7" s="264"/>
      <c r="MRQ7" s="264"/>
      <c r="MRR7" s="264"/>
      <c r="MRS7" s="264"/>
      <c r="MRT7" s="264"/>
      <c r="MRU7" s="264"/>
      <c r="MRV7" s="264"/>
      <c r="MRW7" s="264"/>
      <c r="MRX7" s="264"/>
      <c r="MRY7" s="264"/>
      <c r="MRZ7" s="264"/>
      <c r="MSA7" s="264"/>
      <c r="MSB7" s="264"/>
      <c r="MSC7" s="264"/>
      <c r="MSD7" s="264"/>
      <c r="MSE7" s="264"/>
      <c r="MSF7" s="264"/>
      <c r="MSG7" s="264"/>
      <c r="MSH7" s="264"/>
      <c r="MSI7" s="264"/>
      <c r="MSJ7" s="264"/>
      <c r="MSK7" s="264"/>
      <c r="MSL7" s="264"/>
      <c r="MSM7" s="264"/>
      <c r="MSN7" s="264"/>
      <c r="MSO7" s="264"/>
      <c r="MSP7" s="264"/>
      <c r="MSQ7" s="264"/>
      <c r="MSR7" s="264"/>
      <c r="MSS7" s="264"/>
      <c r="MST7" s="264"/>
      <c r="MSU7" s="264"/>
      <c r="MSV7" s="264"/>
      <c r="MSW7" s="264"/>
      <c r="MSX7" s="264"/>
      <c r="MSY7" s="264"/>
      <c r="MSZ7" s="264"/>
      <c r="MTA7" s="264"/>
      <c r="MTB7" s="264"/>
      <c r="MTC7" s="264"/>
      <c r="MTD7" s="264"/>
      <c r="MTE7" s="264"/>
      <c r="MTF7" s="264"/>
      <c r="MTG7" s="264"/>
      <c r="MTH7" s="264"/>
      <c r="MTI7" s="264"/>
      <c r="MTJ7" s="264"/>
      <c r="MTK7" s="264"/>
      <c r="MTL7" s="264"/>
      <c r="MTM7" s="264"/>
      <c r="MTN7" s="264"/>
      <c r="MTO7" s="264"/>
      <c r="MTP7" s="264"/>
      <c r="MTQ7" s="264"/>
      <c r="MTR7" s="264"/>
      <c r="MTS7" s="264"/>
      <c r="MTT7" s="264"/>
      <c r="MTU7" s="264"/>
      <c r="MTV7" s="264"/>
      <c r="MTW7" s="264"/>
      <c r="MTX7" s="264"/>
      <c r="MTY7" s="264"/>
      <c r="MTZ7" s="264"/>
      <c r="MUA7" s="264"/>
      <c r="MUB7" s="264"/>
      <c r="MUC7" s="264"/>
      <c r="MUD7" s="264"/>
      <c r="MUE7" s="264"/>
      <c r="MUF7" s="264"/>
      <c r="MUG7" s="264"/>
      <c r="MUH7" s="264"/>
      <c r="MUI7" s="264"/>
      <c r="MUJ7" s="264"/>
      <c r="MUK7" s="264"/>
      <c r="MUL7" s="264"/>
      <c r="MUM7" s="264"/>
      <c r="MUN7" s="264"/>
      <c r="MUO7" s="264"/>
      <c r="MUP7" s="264"/>
      <c r="MUQ7" s="264"/>
      <c r="MUR7" s="264"/>
      <c r="MUS7" s="264"/>
      <c r="MUT7" s="264"/>
      <c r="MUU7" s="264"/>
      <c r="MUV7" s="264"/>
      <c r="MUW7" s="264"/>
      <c r="MUX7" s="264"/>
      <c r="MUY7" s="264"/>
      <c r="MUZ7" s="264"/>
      <c r="MVA7" s="264"/>
      <c r="MVB7" s="264"/>
      <c r="MVC7" s="264"/>
      <c r="MVD7" s="264"/>
      <c r="MVE7" s="264"/>
      <c r="MVF7" s="264"/>
      <c r="MVG7" s="264"/>
      <c r="MVH7" s="264"/>
      <c r="MVI7" s="264"/>
      <c r="MVJ7" s="264"/>
      <c r="MVK7" s="264"/>
      <c r="MVL7" s="264"/>
      <c r="MVM7" s="264"/>
      <c r="MVN7" s="264"/>
      <c r="MVO7" s="264"/>
      <c r="MVP7" s="264"/>
      <c r="MVQ7" s="264"/>
      <c r="MVR7" s="264"/>
      <c r="MVS7" s="264"/>
      <c r="MVT7" s="264"/>
      <c r="MVU7" s="264"/>
      <c r="MVV7" s="264"/>
      <c r="MVW7" s="264"/>
      <c r="MVX7" s="264"/>
      <c r="MVY7" s="264"/>
      <c r="MVZ7" s="264"/>
      <c r="MWA7" s="264"/>
      <c r="MWB7" s="264"/>
      <c r="MWC7" s="264"/>
      <c r="MWD7" s="264"/>
      <c r="MWE7" s="264"/>
      <c r="MWF7" s="264"/>
      <c r="MWG7" s="264"/>
      <c r="MWH7" s="264"/>
      <c r="MWI7" s="264"/>
      <c r="MWJ7" s="264"/>
      <c r="MWK7" s="264"/>
      <c r="MWL7" s="264"/>
      <c r="MWM7" s="264"/>
      <c r="MWN7" s="264"/>
      <c r="MWO7" s="264"/>
      <c r="MWP7" s="264"/>
      <c r="MWQ7" s="264"/>
      <c r="MWR7" s="264"/>
      <c r="MWS7" s="264"/>
      <c r="MWT7" s="264"/>
      <c r="MWU7" s="264"/>
      <c r="MWV7" s="264"/>
      <c r="MWW7" s="264"/>
      <c r="MWX7" s="264"/>
      <c r="MWY7" s="264"/>
      <c r="MWZ7" s="264"/>
      <c r="MXA7" s="264"/>
      <c r="MXB7" s="264"/>
      <c r="MXC7" s="264"/>
      <c r="MXD7" s="264"/>
      <c r="MXE7" s="264"/>
      <c r="MXF7" s="264"/>
      <c r="MXG7" s="264"/>
      <c r="MXH7" s="264"/>
      <c r="MXI7" s="264"/>
      <c r="MXJ7" s="264"/>
      <c r="MXK7" s="264"/>
      <c r="MXL7" s="264"/>
      <c r="MXM7" s="264"/>
      <c r="MXN7" s="264"/>
      <c r="MXO7" s="264"/>
      <c r="MXP7" s="264"/>
      <c r="MXQ7" s="264"/>
      <c r="MXR7" s="264"/>
      <c r="MXS7" s="264"/>
      <c r="MXT7" s="264"/>
      <c r="MXU7" s="264"/>
      <c r="MXV7" s="264"/>
      <c r="MXW7" s="264"/>
      <c r="MXX7" s="264"/>
      <c r="MXY7" s="264"/>
      <c r="MXZ7" s="264"/>
      <c r="MYA7" s="264"/>
      <c r="MYB7" s="264"/>
      <c r="MYC7" s="264"/>
      <c r="MYD7" s="264"/>
      <c r="MYE7" s="264"/>
      <c r="MYF7" s="264"/>
      <c r="MYG7" s="264"/>
      <c r="MYH7" s="264"/>
      <c r="MYI7" s="264"/>
      <c r="MYJ7" s="264"/>
      <c r="MYK7" s="264"/>
      <c r="MYL7" s="264"/>
      <c r="MYM7" s="264"/>
      <c r="MYN7" s="264"/>
      <c r="MYO7" s="264"/>
      <c r="MYP7" s="264"/>
      <c r="MYQ7" s="264"/>
      <c r="MYR7" s="264"/>
      <c r="MYS7" s="264"/>
      <c r="MYT7" s="264"/>
      <c r="MYU7" s="264"/>
      <c r="MYV7" s="264"/>
      <c r="MYW7" s="264"/>
      <c r="MYX7" s="264"/>
      <c r="MYY7" s="264"/>
      <c r="MYZ7" s="264"/>
      <c r="MZA7" s="264"/>
      <c r="MZB7" s="264"/>
      <c r="MZC7" s="264"/>
      <c r="MZD7" s="264"/>
      <c r="MZE7" s="264"/>
      <c r="MZF7" s="264"/>
      <c r="MZG7" s="264"/>
      <c r="MZH7" s="264"/>
      <c r="MZI7" s="264"/>
      <c r="MZJ7" s="264"/>
      <c r="MZK7" s="264"/>
      <c r="MZL7" s="264"/>
      <c r="MZM7" s="264"/>
      <c r="MZN7" s="264"/>
      <c r="MZO7" s="264"/>
      <c r="MZP7" s="264"/>
      <c r="MZQ7" s="264"/>
      <c r="MZR7" s="264"/>
      <c r="MZS7" s="264"/>
      <c r="MZT7" s="264"/>
      <c r="MZU7" s="264"/>
      <c r="MZV7" s="264"/>
      <c r="MZW7" s="264"/>
      <c r="MZX7" s="264"/>
      <c r="MZY7" s="264"/>
      <c r="MZZ7" s="264"/>
      <c r="NAA7" s="264"/>
      <c r="NAB7" s="264"/>
      <c r="NAC7" s="264"/>
      <c r="NAD7" s="264"/>
      <c r="NAE7" s="264"/>
      <c r="NAF7" s="264"/>
      <c r="NAG7" s="264"/>
      <c r="NAH7" s="264"/>
      <c r="NAI7" s="264"/>
      <c r="NAJ7" s="264"/>
      <c r="NAK7" s="264"/>
      <c r="NAL7" s="264"/>
      <c r="NAM7" s="264"/>
      <c r="NAN7" s="264"/>
      <c r="NAO7" s="264"/>
      <c r="NAP7" s="264"/>
      <c r="NAQ7" s="264"/>
      <c r="NAR7" s="264"/>
      <c r="NAS7" s="264"/>
      <c r="NAT7" s="264"/>
      <c r="NAU7" s="264"/>
      <c r="NAV7" s="264"/>
      <c r="NAW7" s="264"/>
      <c r="NAX7" s="264"/>
      <c r="NAY7" s="264"/>
      <c r="NAZ7" s="264"/>
      <c r="NBA7" s="264"/>
      <c r="NBB7" s="264"/>
      <c r="NBC7" s="264"/>
      <c r="NBD7" s="264"/>
      <c r="NBE7" s="264"/>
      <c r="NBF7" s="264"/>
      <c r="NBG7" s="264"/>
      <c r="NBH7" s="264"/>
      <c r="NBI7" s="264"/>
      <c r="NBJ7" s="264"/>
      <c r="NBK7" s="264"/>
      <c r="NBL7" s="264"/>
      <c r="NBM7" s="264"/>
      <c r="NBN7" s="264"/>
      <c r="NBO7" s="264"/>
      <c r="NBP7" s="264"/>
      <c r="NBQ7" s="264"/>
      <c r="NBR7" s="264"/>
      <c r="NBS7" s="264"/>
      <c r="NBT7" s="264"/>
      <c r="NBU7" s="264"/>
      <c r="NBV7" s="264"/>
      <c r="NBW7" s="264"/>
      <c r="NBX7" s="264"/>
      <c r="NBY7" s="264"/>
      <c r="NBZ7" s="264"/>
      <c r="NCA7" s="264"/>
      <c r="NCB7" s="264"/>
      <c r="NCC7" s="264"/>
      <c r="NCD7" s="264"/>
      <c r="NCE7" s="264"/>
      <c r="NCF7" s="264"/>
      <c r="NCG7" s="264"/>
      <c r="NCH7" s="264"/>
      <c r="NCI7" s="264"/>
      <c r="NCJ7" s="264"/>
      <c r="NCK7" s="264"/>
      <c r="NCL7" s="264"/>
      <c r="NCM7" s="264"/>
      <c r="NCN7" s="264"/>
      <c r="NCO7" s="264"/>
      <c r="NCP7" s="264"/>
      <c r="NCQ7" s="264"/>
      <c r="NCR7" s="264"/>
      <c r="NCS7" s="264"/>
      <c r="NCT7" s="264"/>
      <c r="NCU7" s="264"/>
      <c r="NCV7" s="264"/>
      <c r="NCW7" s="264"/>
      <c r="NCX7" s="264"/>
      <c r="NCY7" s="264"/>
      <c r="NCZ7" s="264"/>
      <c r="NDA7" s="264"/>
      <c r="NDB7" s="264"/>
      <c r="NDC7" s="264"/>
      <c r="NDD7" s="264"/>
      <c r="NDE7" s="264"/>
      <c r="NDF7" s="264"/>
      <c r="NDG7" s="264"/>
      <c r="NDH7" s="264"/>
      <c r="NDI7" s="264"/>
      <c r="NDJ7" s="264"/>
      <c r="NDK7" s="264"/>
      <c r="NDL7" s="264"/>
      <c r="NDM7" s="264"/>
      <c r="NDN7" s="264"/>
      <c r="NDO7" s="264"/>
      <c r="NDP7" s="264"/>
      <c r="NDQ7" s="264"/>
      <c r="NDR7" s="264"/>
      <c r="NDS7" s="264"/>
      <c r="NDT7" s="264"/>
      <c r="NDU7" s="264"/>
      <c r="NDV7" s="264"/>
      <c r="NDW7" s="264"/>
      <c r="NDX7" s="264"/>
      <c r="NDY7" s="264"/>
      <c r="NDZ7" s="264"/>
      <c r="NEA7" s="264"/>
      <c r="NEB7" s="264"/>
      <c r="NEC7" s="264"/>
      <c r="NED7" s="264"/>
      <c r="NEE7" s="264"/>
      <c r="NEF7" s="264"/>
      <c r="NEG7" s="264"/>
      <c r="NEH7" s="264"/>
      <c r="NEI7" s="264"/>
      <c r="NEJ7" s="264"/>
      <c r="NEK7" s="264"/>
      <c r="NEL7" s="264"/>
      <c r="NEM7" s="264"/>
      <c r="NEN7" s="264"/>
      <c r="NEO7" s="264"/>
      <c r="NEP7" s="264"/>
      <c r="NEQ7" s="264"/>
      <c r="NER7" s="264"/>
      <c r="NES7" s="264"/>
      <c r="NET7" s="264"/>
      <c r="NEU7" s="264"/>
      <c r="NEV7" s="264"/>
      <c r="NEW7" s="264"/>
      <c r="NEX7" s="264"/>
      <c r="NEY7" s="264"/>
      <c r="NEZ7" s="264"/>
      <c r="NFA7" s="264"/>
      <c r="NFB7" s="264"/>
      <c r="NFC7" s="264"/>
      <c r="NFD7" s="264"/>
      <c r="NFE7" s="264"/>
      <c r="NFF7" s="264"/>
      <c r="NFG7" s="264"/>
      <c r="NFH7" s="264"/>
      <c r="NFI7" s="264"/>
      <c r="NFJ7" s="264"/>
      <c r="NFK7" s="264"/>
      <c r="NFL7" s="264"/>
      <c r="NFM7" s="264"/>
      <c r="NFN7" s="264"/>
      <c r="NFO7" s="264"/>
      <c r="NFP7" s="264"/>
      <c r="NFQ7" s="264"/>
      <c r="NFR7" s="264"/>
      <c r="NFS7" s="264"/>
      <c r="NFT7" s="264"/>
      <c r="NFU7" s="264"/>
      <c r="NFV7" s="264"/>
      <c r="NFW7" s="264"/>
      <c r="NFX7" s="264"/>
      <c r="NFY7" s="264"/>
      <c r="NFZ7" s="264"/>
      <c r="NGA7" s="264"/>
      <c r="NGB7" s="264"/>
      <c r="NGC7" s="264"/>
      <c r="NGD7" s="264"/>
      <c r="NGE7" s="264"/>
      <c r="NGF7" s="264"/>
      <c r="NGG7" s="264"/>
      <c r="NGH7" s="264"/>
      <c r="NGI7" s="264"/>
      <c r="NGJ7" s="264"/>
      <c r="NGK7" s="264"/>
      <c r="NGL7" s="264"/>
      <c r="NGM7" s="264"/>
      <c r="NGN7" s="264"/>
      <c r="NGO7" s="264"/>
      <c r="NGP7" s="264"/>
      <c r="NGQ7" s="264"/>
      <c r="NGR7" s="264"/>
      <c r="NGS7" s="264"/>
      <c r="NGT7" s="264"/>
      <c r="NGU7" s="264"/>
      <c r="NGV7" s="264"/>
      <c r="NGW7" s="264"/>
      <c r="NGX7" s="264"/>
      <c r="NGY7" s="264"/>
      <c r="NGZ7" s="264"/>
      <c r="NHA7" s="264"/>
      <c r="NHB7" s="264"/>
      <c r="NHC7" s="264"/>
      <c r="NHD7" s="264"/>
      <c r="NHE7" s="264"/>
      <c r="NHF7" s="264"/>
      <c r="NHG7" s="264"/>
      <c r="NHH7" s="264"/>
      <c r="NHI7" s="264"/>
      <c r="NHJ7" s="264"/>
      <c r="NHK7" s="264"/>
      <c r="NHL7" s="264"/>
      <c r="NHM7" s="264"/>
      <c r="NHN7" s="264"/>
      <c r="NHO7" s="264"/>
      <c r="NHP7" s="264"/>
      <c r="NHQ7" s="264"/>
      <c r="NHR7" s="264"/>
      <c r="NHS7" s="264"/>
      <c r="NHT7" s="264"/>
      <c r="NHU7" s="264"/>
      <c r="NHV7" s="264"/>
      <c r="NHW7" s="264"/>
      <c r="NHX7" s="264"/>
      <c r="NHY7" s="264"/>
      <c r="NHZ7" s="264"/>
      <c r="NIA7" s="264"/>
      <c r="NIB7" s="264"/>
      <c r="NIC7" s="264"/>
      <c r="NID7" s="264"/>
      <c r="NIE7" s="264"/>
      <c r="NIF7" s="264"/>
      <c r="NIG7" s="264"/>
      <c r="NIH7" s="264"/>
      <c r="NII7" s="264"/>
      <c r="NIJ7" s="264"/>
      <c r="NIK7" s="264"/>
      <c r="NIL7" s="264"/>
      <c r="NIM7" s="264"/>
      <c r="NIN7" s="264"/>
      <c r="NIO7" s="264"/>
      <c r="NIP7" s="264"/>
      <c r="NIQ7" s="264"/>
      <c r="NIR7" s="264"/>
      <c r="NIS7" s="264"/>
      <c r="NIT7" s="264"/>
      <c r="NIU7" s="264"/>
      <c r="NIV7" s="264"/>
      <c r="NIW7" s="264"/>
      <c r="NIX7" s="264"/>
      <c r="NIY7" s="264"/>
      <c r="NIZ7" s="264"/>
      <c r="NJA7" s="264"/>
      <c r="NJB7" s="264"/>
      <c r="NJC7" s="264"/>
      <c r="NJD7" s="264"/>
      <c r="NJE7" s="264"/>
      <c r="NJF7" s="264"/>
      <c r="NJG7" s="264"/>
      <c r="NJH7" s="264"/>
      <c r="NJI7" s="264"/>
      <c r="NJJ7" s="264"/>
      <c r="NJK7" s="264"/>
      <c r="NJL7" s="264"/>
      <c r="NJM7" s="264"/>
      <c r="NJN7" s="264"/>
      <c r="NJO7" s="264"/>
      <c r="NJP7" s="264"/>
      <c r="NJQ7" s="264"/>
      <c r="NJR7" s="264"/>
      <c r="NJS7" s="264"/>
      <c r="NJT7" s="264"/>
      <c r="NJU7" s="264"/>
      <c r="NJV7" s="264"/>
      <c r="NJW7" s="264"/>
      <c r="NJX7" s="264"/>
      <c r="NJY7" s="264"/>
      <c r="NJZ7" s="264"/>
      <c r="NKA7" s="264"/>
      <c r="NKB7" s="264"/>
      <c r="NKC7" s="264"/>
      <c r="NKD7" s="264"/>
      <c r="NKE7" s="264"/>
      <c r="NKF7" s="264"/>
      <c r="NKG7" s="264"/>
      <c r="NKH7" s="264"/>
      <c r="NKI7" s="264"/>
      <c r="NKJ7" s="264"/>
      <c r="NKK7" s="264"/>
      <c r="NKL7" s="264"/>
      <c r="NKM7" s="264"/>
      <c r="NKN7" s="264"/>
      <c r="NKO7" s="264"/>
      <c r="NKP7" s="264"/>
      <c r="NKQ7" s="264"/>
      <c r="NKR7" s="264"/>
      <c r="NKS7" s="264"/>
      <c r="NKT7" s="264"/>
      <c r="NKU7" s="264"/>
      <c r="NKV7" s="264"/>
      <c r="NKW7" s="264"/>
      <c r="NKX7" s="264"/>
      <c r="NKY7" s="264"/>
      <c r="NKZ7" s="264"/>
      <c r="NLA7" s="264"/>
      <c r="NLB7" s="264"/>
      <c r="NLC7" s="264"/>
      <c r="NLD7" s="264"/>
      <c r="NLE7" s="264"/>
      <c r="NLF7" s="264"/>
      <c r="NLG7" s="264"/>
      <c r="NLH7" s="264"/>
      <c r="NLI7" s="264"/>
      <c r="NLJ7" s="264"/>
      <c r="NLK7" s="264"/>
      <c r="NLL7" s="264"/>
      <c r="NLM7" s="264"/>
      <c r="NLN7" s="264"/>
      <c r="NLO7" s="264"/>
      <c r="NLP7" s="264"/>
      <c r="NLQ7" s="264"/>
      <c r="NLR7" s="264"/>
      <c r="NLS7" s="264"/>
      <c r="NLT7" s="264"/>
      <c r="NLU7" s="264"/>
      <c r="NLV7" s="264"/>
      <c r="NLW7" s="264"/>
      <c r="NLX7" s="264"/>
      <c r="NLY7" s="264"/>
      <c r="NLZ7" s="264"/>
      <c r="NMA7" s="264"/>
      <c r="NMB7" s="264"/>
      <c r="NMC7" s="264"/>
      <c r="NMD7" s="264"/>
      <c r="NME7" s="264"/>
      <c r="NMF7" s="264"/>
      <c r="NMG7" s="264"/>
      <c r="NMH7" s="264"/>
      <c r="NMI7" s="264"/>
      <c r="NMJ7" s="264"/>
      <c r="NMK7" s="264"/>
      <c r="NML7" s="264"/>
      <c r="NMM7" s="264"/>
      <c r="NMN7" s="264"/>
      <c r="NMO7" s="264"/>
      <c r="NMP7" s="264"/>
      <c r="NMQ7" s="264"/>
      <c r="NMR7" s="264"/>
      <c r="NMS7" s="264"/>
      <c r="NMT7" s="264"/>
      <c r="NMU7" s="264"/>
      <c r="NMV7" s="264"/>
      <c r="NMW7" s="264"/>
      <c r="NMX7" s="264"/>
      <c r="NMY7" s="264"/>
      <c r="NMZ7" s="264"/>
      <c r="NNA7" s="264"/>
      <c r="NNB7" s="264"/>
      <c r="NNC7" s="264"/>
      <c r="NND7" s="264"/>
      <c r="NNE7" s="264"/>
      <c r="NNF7" s="264"/>
      <c r="NNG7" s="264"/>
      <c r="NNH7" s="264"/>
      <c r="NNI7" s="264"/>
      <c r="NNJ7" s="264"/>
      <c r="NNK7" s="264"/>
      <c r="NNL7" s="264"/>
      <c r="NNM7" s="264"/>
      <c r="NNN7" s="264"/>
      <c r="NNO7" s="264"/>
      <c r="NNP7" s="264"/>
      <c r="NNQ7" s="264"/>
      <c r="NNR7" s="264"/>
      <c r="NNS7" s="264"/>
      <c r="NNT7" s="264"/>
      <c r="NNU7" s="264"/>
      <c r="NNV7" s="264"/>
      <c r="NNW7" s="264"/>
      <c r="NNX7" s="264"/>
      <c r="NNY7" s="264"/>
      <c r="NNZ7" s="264"/>
      <c r="NOA7" s="264"/>
      <c r="NOB7" s="264"/>
      <c r="NOC7" s="264"/>
      <c r="NOD7" s="264"/>
      <c r="NOE7" s="264"/>
      <c r="NOF7" s="264"/>
      <c r="NOG7" s="264"/>
      <c r="NOH7" s="264"/>
      <c r="NOI7" s="264"/>
      <c r="NOJ7" s="264"/>
      <c r="NOK7" s="264"/>
      <c r="NOL7" s="264"/>
      <c r="NOM7" s="264"/>
      <c r="NON7" s="264"/>
      <c r="NOO7" s="264"/>
      <c r="NOP7" s="264"/>
      <c r="NOQ7" s="264"/>
      <c r="NOR7" s="264"/>
      <c r="NOS7" s="264"/>
      <c r="NOT7" s="264"/>
      <c r="NOU7" s="264"/>
      <c r="NOV7" s="264"/>
      <c r="NOW7" s="264"/>
      <c r="NOX7" s="264"/>
      <c r="NOY7" s="264"/>
      <c r="NOZ7" s="264"/>
      <c r="NPA7" s="264"/>
      <c r="NPB7" s="264"/>
      <c r="NPC7" s="264"/>
      <c r="NPD7" s="264"/>
      <c r="NPE7" s="264"/>
      <c r="NPF7" s="264"/>
      <c r="NPG7" s="264"/>
      <c r="NPH7" s="264"/>
      <c r="NPI7" s="264"/>
      <c r="NPJ7" s="264"/>
      <c r="NPK7" s="264"/>
      <c r="NPL7" s="264"/>
      <c r="NPM7" s="264"/>
      <c r="NPN7" s="264"/>
      <c r="NPO7" s="264"/>
      <c r="NPP7" s="264"/>
      <c r="NPQ7" s="264"/>
      <c r="NPR7" s="264"/>
      <c r="NPS7" s="264"/>
      <c r="NPT7" s="264"/>
      <c r="NPU7" s="264"/>
      <c r="NPV7" s="264"/>
      <c r="NPW7" s="264"/>
      <c r="NPX7" s="264"/>
      <c r="NPY7" s="264"/>
      <c r="NPZ7" s="264"/>
      <c r="NQA7" s="264"/>
      <c r="NQB7" s="264"/>
      <c r="NQC7" s="264"/>
      <c r="NQD7" s="264"/>
      <c r="NQE7" s="264"/>
      <c r="NQF7" s="264"/>
      <c r="NQG7" s="264"/>
      <c r="NQH7" s="264"/>
      <c r="NQI7" s="264"/>
      <c r="NQJ7" s="264"/>
      <c r="NQK7" s="264"/>
      <c r="NQL7" s="264"/>
      <c r="NQM7" s="264"/>
      <c r="NQN7" s="264"/>
      <c r="NQO7" s="264"/>
      <c r="NQP7" s="264"/>
      <c r="NQQ7" s="264"/>
      <c r="NQR7" s="264"/>
      <c r="NQS7" s="264"/>
      <c r="NQT7" s="264"/>
      <c r="NQU7" s="264"/>
      <c r="NQV7" s="264"/>
      <c r="NQW7" s="264"/>
      <c r="NQX7" s="264"/>
      <c r="NQY7" s="264"/>
      <c r="NQZ7" s="264"/>
      <c r="NRA7" s="264"/>
      <c r="NRB7" s="264"/>
      <c r="NRC7" s="264"/>
      <c r="NRD7" s="264"/>
      <c r="NRE7" s="264"/>
      <c r="NRF7" s="264"/>
      <c r="NRG7" s="264"/>
      <c r="NRH7" s="264"/>
      <c r="NRI7" s="264"/>
      <c r="NRJ7" s="264"/>
      <c r="NRK7" s="264"/>
      <c r="NRL7" s="264"/>
      <c r="NRM7" s="264"/>
      <c r="NRN7" s="264"/>
      <c r="NRO7" s="264"/>
      <c r="NRP7" s="264"/>
      <c r="NRQ7" s="264"/>
      <c r="NRR7" s="264"/>
      <c r="NRS7" s="264"/>
      <c r="NRT7" s="264"/>
      <c r="NRU7" s="264"/>
      <c r="NRV7" s="264"/>
      <c r="NRW7" s="264"/>
      <c r="NRX7" s="264"/>
      <c r="NRY7" s="264"/>
      <c r="NRZ7" s="264"/>
      <c r="NSA7" s="264"/>
      <c r="NSB7" s="264"/>
      <c r="NSC7" s="264"/>
      <c r="NSD7" s="264"/>
      <c r="NSE7" s="264"/>
      <c r="NSF7" s="264"/>
      <c r="NSG7" s="264"/>
      <c r="NSH7" s="264"/>
      <c r="NSI7" s="264"/>
      <c r="NSJ7" s="264"/>
      <c r="NSK7" s="264"/>
      <c r="NSL7" s="264"/>
      <c r="NSM7" s="264"/>
      <c r="NSN7" s="264"/>
      <c r="NSO7" s="264"/>
      <c r="NSP7" s="264"/>
      <c r="NSQ7" s="264"/>
      <c r="NSR7" s="264"/>
      <c r="NSS7" s="264"/>
      <c r="NST7" s="264"/>
      <c r="NSU7" s="264"/>
      <c r="NSV7" s="264"/>
      <c r="NSW7" s="264"/>
      <c r="NSX7" s="264"/>
      <c r="NSY7" s="264"/>
      <c r="NSZ7" s="264"/>
      <c r="NTA7" s="264"/>
      <c r="NTB7" s="264"/>
      <c r="NTC7" s="264"/>
      <c r="NTD7" s="264"/>
      <c r="NTE7" s="264"/>
      <c r="NTF7" s="264"/>
      <c r="NTG7" s="264"/>
      <c r="NTH7" s="264"/>
      <c r="NTI7" s="264"/>
      <c r="NTJ7" s="264"/>
      <c r="NTK7" s="264"/>
      <c r="NTL7" s="264"/>
      <c r="NTM7" s="264"/>
      <c r="NTN7" s="264"/>
      <c r="NTO7" s="264"/>
      <c r="NTP7" s="264"/>
      <c r="NTQ7" s="264"/>
      <c r="NTR7" s="264"/>
      <c r="NTS7" s="264"/>
      <c r="NTT7" s="264"/>
      <c r="NTU7" s="264"/>
      <c r="NTV7" s="264"/>
      <c r="NTW7" s="264"/>
      <c r="NTX7" s="264"/>
      <c r="NTY7" s="264"/>
      <c r="NTZ7" s="264"/>
      <c r="NUA7" s="264"/>
      <c r="NUB7" s="264"/>
      <c r="NUC7" s="264"/>
      <c r="NUD7" s="264"/>
      <c r="NUE7" s="264"/>
      <c r="NUF7" s="264"/>
      <c r="NUG7" s="264"/>
      <c r="NUH7" s="264"/>
      <c r="NUI7" s="264"/>
      <c r="NUJ7" s="264"/>
      <c r="NUK7" s="264"/>
      <c r="NUL7" s="264"/>
      <c r="NUM7" s="264"/>
      <c r="NUN7" s="264"/>
      <c r="NUO7" s="264"/>
      <c r="NUP7" s="264"/>
      <c r="NUQ7" s="264"/>
      <c r="NUR7" s="264"/>
      <c r="NUS7" s="264"/>
      <c r="NUT7" s="264"/>
      <c r="NUU7" s="264"/>
      <c r="NUV7" s="264"/>
      <c r="NUW7" s="264"/>
      <c r="NUX7" s="264"/>
      <c r="NUY7" s="264"/>
      <c r="NUZ7" s="264"/>
      <c r="NVA7" s="264"/>
      <c r="NVB7" s="264"/>
      <c r="NVC7" s="264"/>
      <c r="NVD7" s="264"/>
      <c r="NVE7" s="264"/>
      <c r="NVF7" s="264"/>
      <c r="NVG7" s="264"/>
      <c r="NVH7" s="264"/>
      <c r="NVI7" s="264"/>
      <c r="NVJ7" s="264"/>
      <c r="NVK7" s="264"/>
      <c r="NVL7" s="264"/>
      <c r="NVM7" s="264"/>
      <c r="NVN7" s="264"/>
      <c r="NVO7" s="264"/>
      <c r="NVP7" s="264"/>
      <c r="NVQ7" s="264"/>
      <c r="NVR7" s="264"/>
      <c r="NVS7" s="264"/>
      <c r="NVT7" s="264"/>
      <c r="NVU7" s="264"/>
      <c r="NVV7" s="264"/>
      <c r="NVW7" s="264"/>
      <c r="NVX7" s="264"/>
      <c r="NVY7" s="264"/>
      <c r="NVZ7" s="264"/>
      <c r="NWA7" s="264"/>
      <c r="NWB7" s="264"/>
      <c r="NWC7" s="264"/>
      <c r="NWD7" s="264"/>
      <c r="NWE7" s="264"/>
      <c r="NWF7" s="264"/>
      <c r="NWG7" s="264"/>
      <c r="NWH7" s="264"/>
      <c r="NWI7" s="264"/>
      <c r="NWJ7" s="264"/>
      <c r="NWK7" s="264"/>
      <c r="NWL7" s="264"/>
      <c r="NWM7" s="264"/>
      <c r="NWN7" s="264"/>
      <c r="NWO7" s="264"/>
      <c r="NWP7" s="264"/>
      <c r="NWQ7" s="264"/>
      <c r="NWR7" s="264"/>
      <c r="NWS7" s="264"/>
      <c r="NWT7" s="264"/>
      <c r="NWU7" s="264"/>
      <c r="NWV7" s="264"/>
      <c r="NWW7" s="264"/>
      <c r="NWX7" s="264"/>
      <c r="NWY7" s="264"/>
      <c r="NWZ7" s="264"/>
      <c r="NXA7" s="264"/>
      <c r="NXB7" s="264"/>
      <c r="NXC7" s="264"/>
      <c r="NXD7" s="264"/>
      <c r="NXE7" s="264"/>
      <c r="NXF7" s="264"/>
      <c r="NXG7" s="264"/>
      <c r="NXH7" s="264"/>
      <c r="NXI7" s="264"/>
      <c r="NXJ7" s="264"/>
      <c r="NXK7" s="264"/>
      <c r="NXL7" s="264"/>
      <c r="NXM7" s="264"/>
      <c r="NXN7" s="264"/>
      <c r="NXO7" s="264"/>
      <c r="NXP7" s="264"/>
      <c r="NXQ7" s="264"/>
      <c r="NXR7" s="264"/>
      <c r="NXS7" s="264"/>
      <c r="NXT7" s="264"/>
      <c r="NXU7" s="264"/>
      <c r="NXV7" s="264"/>
      <c r="NXW7" s="264"/>
      <c r="NXX7" s="264"/>
      <c r="NXY7" s="264"/>
      <c r="NXZ7" s="264"/>
      <c r="NYA7" s="264"/>
      <c r="NYB7" s="264"/>
      <c r="NYC7" s="264"/>
      <c r="NYD7" s="264"/>
      <c r="NYE7" s="264"/>
      <c r="NYF7" s="264"/>
      <c r="NYG7" s="264"/>
      <c r="NYH7" s="264"/>
      <c r="NYI7" s="264"/>
      <c r="NYJ7" s="264"/>
      <c r="NYK7" s="264"/>
      <c r="NYL7" s="264"/>
      <c r="NYM7" s="264"/>
      <c r="NYN7" s="264"/>
      <c r="NYO7" s="264"/>
      <c r="NYP7" s="264"/>
      <c r="NYQ7" s="264"/>
      <c r="NYR7" s="264"/>
      <c r="NYS7" s="264"/>
      <c r="NYT7" s="264"/>
      <c r="NYU7" s="264"/>
      <c r="NYV7" s="264"/>
      <c r="NYW7" s="264"/>
      <c r="NYX7" s="264"/>
      <c r="NYY7" s="264"/>
      <c r="NYZ7" s="264"/>
      <c r="NZA7" s="264"/>
      <c r="NZB7" s="264"/>
      <c r="NZC7" s="264"/>
      <c r="NZD7" s="264"/>
      <c r="NZE7" s="264"/>
      <c r="NZF7" s="264"/>
      <c r="NZG7" s="264"/>
      <c r="NZH7" s="264"/>
      <c r="NZI7" s="264"/>
      <c r="NZJ7" s="264"/>
      <c r="NZK7" s="264"/>
      <c r="NZL7" s="264"/>
      <c r="NZM7" s="264"/>
      <c r="NZN7" s="264"/>
      <c r="NZO7" s="264"/>
      <c r="NZP7" s="264"/>
      <c r="NZQ7" s="264"/>
      <c r="NZR7" s="264"/>
      <c r="NZS7" s="264"/>
      <c r="NZT7" s="264"/>
      <c r="NZU7" s="264"/>
      <c r="NZV7" s="264"/>
      <c r="NZW7" s="264"/>
      <c r="NZX7" s="264"/>
      <c r="NZY7" s="264"/>
      <c r="NZZ7" s="264"/>
      <c r="OAA7" s="264"/>
      <c r="OAB7" s="264"/>
      <c r="OAC7" s="264"/>
      <c r="OAD7" s="264"/>
      <c r="OAE7" s="264"/>
      <c r="OAF7" s="264"/>
      <c r="OAG7" s="264"/>
      <c r="OAH7" s="264"/>
      <c r="OAI7" s="264"/>
      <c r="OAJ7" s="264"/>
      <c r="OAK7" s="264"/>
      <c r="OAL7" s="264"/>
      <c r="OAM7" s="264"/>
      <c r="OAN7" s="264"/>
      <c r="OAO7" s="264"/>
      <c r="OAP7" s="264"/>
      <c r="OAQ7" s="264"/>
      <c r="OAR7" s="264"/>
      <c r="OAS7" s="264"/>
      <c r="OAT7" s="264"/>
      <c r="OAU7" s="264"/>
      <c r="OAV7" s="264"/>
      <c r="OAW7" s="264"/>
      <c r="OAX7" s="264"/>
      <c r="OAY7" s="264"/>
      <c r="OAZ7" s="264"/>
      <c r="OBA7" s="264"/>
      <c r="OBB7" s="264"/>
      <c r="OBC7" s="264"/>
      <c r="OBD7" s="264"/>
      <c r="OBE7" s="264"/>
      <c r="OBF7" s="264"/>
      <c r="OBG7" s="264"/>
      <c r="OBH7" s="264"/>
      <c r="OBI7" s="264"/>
      <c r="OBJ7" s="264"/>
      <c r="OBK7" s="264"/>
      <c r="OBL7" s="264"/>
      <c r="OBM7" s="264"/>
      <c r="OBN7" s="264"/>
      <c r="OBO7" s="264"/>
      <c r="OBP7" s="264"/>
      <c r="OBQ7" s="264"/>
      <c r="OBR7" s="264"/>
      <c r="OBS7" s="264"/>
      <c r="OBT7" s="264"/>
      <c r="OBU7" s="264"/>
      <c r="OBV7" s="264"/>
      <c r="OBW7" s="264"/>
      <c r="OBX7" s="264"/>
      <c r="OBY7" s="264"/>
      <c r="OBZ7" s="264"/>
      <c r="OCA7" s="264"/>
      <c r="OCB7" s="264"/>
      <c r="OCC7" s="264"/>
      <c r="OCD7" s="264"/>
      <c r="OCE7" s="264"/>
      <c r="OCF7" s="264"/>
      <c r="OCG7" s="264"/>
      <c r="OCH7" s="264"/>
      <c r="OCI7" s="264"/>
      <c r="OCJ7" s="264"/>
      <c r="OCK7" s="264"/>
      <c r="OCL7" s="264"/>
      <c r="OCM7" s="264"/>
      <c r="OCN7" s="264"/>
      <c r="OCO7" s="264"/>
      <c r="OCP7" s="264"/>
      <c r="OCQ7" s="264"/>
      <c r="OCR7" s="264"/>
      <c r="OCS7" s="264"/>
      <c r="OCT7" s="264"/>
      <c r="OCU7" s="264"/>
      <c r="OCV7" s="264"/>
      <c r="OCW7" s="264"/>
      <c r="OCX7" s="264"/>
      <c r="OCY7" s="264"/>
      <c r="OCZ7" s="264"/>
      <c r="ODA7" s="264"/>
      <c r="ODB7" s="264"/>
      <c r="ODC7" s="264"/>
      <c r="ODD7" s="264"/>
      <c r="ODE7" s="264"/>
      <c r="ODF7" s="264"/>
      <c r="ODG7" s="264"/>
      <c r="ODH7" s="264"/>
      <c r="ODI7" s="264"/>
      <c r="ODJ7" s="264"/>
      <c r="ODK7" s="264"/>
      <c r="ODL7" s="264"/>
      <c r="ODM7" s="264"/>
      <c r="ODN7" s="264"/>
      <c r="ODO7" s="264"/>
      <c r="ODP7" s="264"/>
      <c r="ODQ7" s="264"/>
      <c r="ODR7" s="264"/>
      <c r="ODS7" s="264"/>
      <c r="ODT7" s="264"/>
      <c r="ODU7" s="264"/>
      <c r="ODV7" s="264"/>
      <c r="ODW7" s="264"/>
      <c r="ODX7" s="264"/>
      <c r="ODY7" s="264"/>
      <c r="ODZ7" s="264"/>
      <c r="OEA7" s="264"/>
      <c r="OEB7" s="264"/>
      <c r="OEC7" s="264"/>
      <c r="OED7" s="264"/>
      <c r="OEE7" s="264"/>
      <c r="OEF7" s="264"/>
      <c r="OEG7" s="264"/>
      <c r="OEH7" s="264"/>
      <c r="OEI7" s="264"/>
      <c r="OEJ7" s="264"/>
      <c r="OEK7" s="264"/>
      <c r="OEL7" s="264"/>
      <c r="OEM7" s="264"/>
      <c r="OEN7" s="264"/>
      <c r="OEO7" s="264"/>
      <c r="OEP7" s="264"/>
      <c r="OEQ7" s="264"/>
      <c r="OER7" s="264"/>
      <c r="OES7" s="264"/>
      <c r="OET7" s="264"/>
      <c r="OEU7" s="264"/>
      <c r="OEV7" s="264"/>
      <c r="OEW7" s="264"/>
      <c r="OEX7" s="264"/>
      <c r="OEY7" s="264"/>
      <c r="OEZ7" s="264"/>
      <c r="OFA7" s="264"/>
      <c r="OFB7" s="264"/>
      <c r="OFC7" s="264"/>
      <c r="OFD7" s="264"/>
      <c r="OFE7" s="264"/>
      <c r="OFF7" s="264"/>
      <c r="OFG7" s="264"/>
      <c r="OFH7" s="264"/>
      <c r="OFI7" s="264"/>
      <c r="OFJ7" s="264"/>
      <c r="OFK7" s="264"/>
      <c r="OFL7" s="264"/>
      <c r="OFM7" s="264"/>
      <c r="OFN7" s="264"/>
      <c r="OFO7" s="264"/>
      <c r="OFP7" s="264"/>
      <c r="OFQ7" s="264"/>
      <c r="OFR7" s="264"/>
      <c r="OFS7" s="264"/>
      <c r="OFT7" s="264"/>
      <c r="OFU7" s="264"/>
      <c r="OFV7" s="264"/>
      <c r="OFW7" s="264"/>
      <c r="OFX7" s="264"/>
      <c r="OFY7" s="264"/>
      <c r="OFZ7" s="264"/>
      <c r="OGA7" s="264"/>
      <c r="OGB7" s="264"/>
      <c r="OGC7" s="264"/>
      <c r="OGD7" s="264"/>
      <c r="OGE7" s="264"/>
      <c r="OGF7" s="264"/>
      <c r="OGG7" s="264"/>
      <c r="OGH7" s="264"/>
      <c r="OGI7" s="264"/>
      <c r="OGJ7" s="264"/>
      <c r="OGK7" s="264"/>
      <c r="OGL7" s="264"/>
      <c r="OGM7" s="264"/>
      <c r="OGN7" s="264"/>
      <c r="OGO7" s="264"/>
      <c r="OGP7" s="264"/>
      <c r="OGQ7" s="264"/>
      <c r="OGR7" s="264"/>
      <c r="OGS7" s="264"/>
      <c r="OGT7" s="264"/>
      <c r="OGU7" s="264"/>
      <c r="OGV7" s="264"/>
      <c r="OGW7" s="264"/>
      <c r="OGX7" s="264"/>
      <c r="OGY7" s="264"/>
      <c r="OGZ7" s="264"/>
      <c r="OHA7" s="264"/>
      <c r="OHB7" s="264"/>
      <c r="OHC7" s="264"/>
      <c r="OHD7" s="264"/>
      <c r="OHE7" s="264"/>
      <c r="OHF7" s="264"/>
      <c r="OHG7" s="264"/>
      <c r="OHH7" s="264"/>
      <c r="OHI7" s="264"/>
      <c r="OHJ7" s="264"/>
      <c r="OHK7" s="264"/>
      <c r="OHL7" s="264"/>
      <c r="OHM7" s="264"/>
      <c r="OHN7" s="264"/>
      <c r="OHO7" s="264"/>
      <c r="OHP7" s="264"/>
      <c r="OHQ7" s="264"/>
      <c r="OHR7" s="264"/>
      <c r="OHS7" s="264"/>
      <c r="OHT7" s="264"/>
      <c r="OHU7" s="264"/>
      <c r="OHV7" s="264"/>
      <c r="OHW7" s="264"/>
      <c r="OHX7" s="264"/>
      <c r="OHY7" s="264"/>
      <c r="OHZ7" s="264"/>
      <c r="OIA7" s="264"/>
      <c r="OIB7" s="264"/>
      <c r="OIC7" s="264"/>
      <c r="OID7" s="264"/>
      <c r="OIE7" s="264"/>
      <c r="OIF7" s="264"/>
      <c r="OIG7" s="264"/>
      <c r="OIH7" s="264"/>
      <c r="OII7" s="264"/>
      <c r="OIJ7" s="264"/>
      <c r="OIK7" s="264"/>
      <c r="OIL7" s="264"/>
      <c r="OIM7" s="264"/>
      <c r="OIN7" s="264"/>
      <c r="OIO7" s="264"/>
      <c r="OIP7" s="264"/>
      <c r="OIQ7" s="264"/>
      <c r="OIR7" s="264"/>
      <c r="OIS7" s="264"/>
      <c r="OIT7" s="264"/>
      <c r="OIU7" s="264"/>
      <c r="OIV7" s="264"/>
      <c r="OIW7" s="264"/>
      <c r="OIX7" s="264"/>
      <c r="OIY7" s="264"/>
      <c r="OIZ7" s="264"/>
      <c r="OJA7" s="264"/>
      <c r="OJB7" s="264"/>
      <c r="OJC7" s="264"/>
      <c r="OJD7" s="264"/>
      <c r="OJE7" s="264"/>
      <c r="OJF7" s="264"/>
      <c r="OJG7" s="264"/>
      <c r="OJH7" s="264"/>
      <c r="OJI7" s="264"/>
      <c r="OJJ7" s="264"/>
      <c r="OJK7" s="264"/>
      <c r="OJL7" s="264"/>
      <c r="OJM7" s="264"/>
      <c r="OJN7" s="264"/>
      <c r="OJO7" s="264"/>
      <c r="OJP7" s="264"/>
      <c r="OJQ7" s="264"/>
      <c r="OJR7" s="264"/>
      <c r="OJS7" s="264"/>
      <c r="OJT7" s="264"/>
      <c r="OJU7" s="264"/>
      <c r="OJV7" s="264"/>
      <c r="OJW7" s="264"/>
      <c r="OJX7" s="264"/>
      <c r="OJY7" s="264"/>
      <c r="OJZ7" s="264"/>
      <c r="OKA7" s="264"/>
      <c r="OKB7" s="264"/>
      <c r="OKC7" s="264"/>
      <c r="OKD7" s="264"/>
      <c r="OKE7" s="264"/>
      <c r="OKF7" s="264"/>
      <c r="OKG7" s="264"/>
      <c r="OKH7" s="264"/>
      <c r="OKI7" s="264"/>
      <c r="OKJ7" s="264"/>
      <c r="OKK7" s="264"/>
      <c r="OKL7" s="264"/>
      <c r="OKM7" s="264"/>
      <c r="OKN7" s="264"/>
      <c r="OKO7" s="264"/>
      <c r="OKP7" s="264"/>
      <c r="OKQ7" s="264"/>
      <c r="OKR7" s="264"/>
      <c r="OKS7" s="264"/>
      <c r="OKT7" s="264"/>
      <c r="OKU7" s="264"/>
      <c r="OKV7" s="264"/>
      <c r="OKW7" s="264"/>
      <c r="OKX7" s="264"/>
      <c r="OKY7" s="264"/>
      <c r="OKZ7" s="264"/>
      <c r="OLA7" s="264"/>
      <c r="OLB7" s="264"/>
      <c r="OLC7" s="264"/>
      <c r="OLD7" s="264"/>
      <c r="OLE7" s="264"/>
      <c r="OLF7" s="264"/>
      <c r="OLG7" s="264"/>
      <c r="OLH7" s="264"/>
      <c r="OLI7" s="264"/>
      <c r="OLJ7" s="264"/>
      <c r="OLK7" s="264"/>
      <c r="OLL7" s="264"/>
      <c r="OLM7" s="264"/>
      <c r="OLN7" s="264"/>
      <c r="OLO7" s="264"/>
      <c r="OLP7" s="264"/>
      <c r="OLQ7" s="264"/>
      <c r="OLR7" s="264"/>
      <c r="OLS7" s="264"/>
      <c r="OLT7" s="264"/>
      <c r="OLU7" s="264"/>
      <c r="OLV7" s="264"/>
      <c r="OLW7" s="264"/>
      <c r="OLX7" s="264"/>
      <c r="OLY7" s="264"/>
      <c r="OLZ7" s="264"/>
      <c r="OMA7" s="264"/>
      <c r="OMB7" s="264"/>
      <c r="OMC7" s="264"/>
      <c r="OMD7" s="264"/>
      <c r="OME7" s="264"/>
      <c r="OMF7" s="264"/>
      <c r="OMG7" s="264"/>
      <c r="OMH7" s="264"/>
      <c r="OMI7" s="264"/>
      <c r="OMJ7" s="264"/>
      <c r="OMK7" s="264"/>
      <c r="OML7" s="264"/>
      <c r="OMM7" s="264"/>
      <c r="OMN7" s="264"/>
      <c r="OMO7" s="264"/>
      <c r="OMP7" s="264"/>
      <c r="OMQ7" s="264"/>
      <c r="OMR7" s="264"/>
      <c r="OMS7" s="264"/>
      <c r="OMT7" s="264"/>
      <c r="OMU7" s="264"/>
      <c r="OMV7" s="264"/>
      <c r="OMW7" s="264"/>
      <c r="OMX7" s="264"/>
      <c r="OMY7" s="264"/>
      <c r="OMZ7" s="264"/>
      <c r="ONA7" s="264"/>
      <c r="ONB7" s="264"/>
      <c r="ONC7" s="264"/>
      <c r="OND7" s="264"/>
      <c r="ONE7" s="264"/>
      <c r="ONF7" s="264"/>
      <c r="ONG7" s="264"/>
      <c r="ONH7" s="264"/>
      <c r="ONI7" s="264"/>
      <c r="ONJ7" s="264"/>
      <c r="ONK7" s="264"/>
      <c r="ONL7" s="264"/>
      <c r="ONM7" s="264"/>
      <c r="ONN7" s="264"/>
      <c r="ONO7" s="264"/>
      <c r="ONP7" s="264"/>
      <c r="ONQ7" s="264"/>
      <c r="ONR7" s="264"/>
      <c r="ONS7" s="264"/>
      <c r="ONT7" s="264"/>
      <c r="ONU7" s="264"/>
      <c r="ONV7" s="264"/>
      <c r="ONW7" s="264"/>
      <c r="ONX7" s="264"/>
      <c r="ONY7" s="264"/>
      <c r="ONZ7" s="264"/>
      <c r="OOA7" s="264"/>
      <c r="OOB7" s="264"/>
      <c r="OOC7" s="264"/>
      <c r="OOD7" s="264"/>
      <c r="OOE7" s="264"/>
      <c r="OOF7" s="264"/>
      <c r="OOG7" s="264"/>
      <c r="OOH7" s="264"/>
      <c r="OOI7" s="264"/>
      <c r="OOJ7" s="264"/>
      <c r="OOK7" s="264"/>
      <c r="OOL7" s="264"/>
      <c r="OOM7" s="264"/>
      <c r="OON7" s="264"/>
      <c r="OOO7" s="264"/>
      <c r="OOP7" s="264"/>
      <c r="OOQ7" s="264"/>
      <c r="OOR7" s="264"/>
      <c r="OOS7" s="264"/>
      <c r="OOT7" s="264"/>
      <c r="OOU7" s="264"/>
      <c r="OOV7" s="264"/>
      <c r="OOW7" s="264"/>
      <c r="OOX7" s="264"/>
      <c r="OOY7" s="264"/>
      <c r="OOZ7" s="264"/>
      <c r="OPA7" s="264"/>
      <c r="OPB7" s="264"/>
      <c r="OPC7" s="264"/>
      <c r="OPD7" s="264"/>
      <c r="OPE7" s="264"/>
      <c r="OPF7" s="264"/>
      <c r="OPG7" s="264"/>
      <c r="OPH7" s="264"/>
      <c r="OPI7" s="264"/>
      <c r="OPJ7" s="264"/>
      <c r="OPK7" s="264"/>
      <c r="OPL7" s="264"/>
      <c r="OPM7" s="264"/>
      <c r="OPN7" s="264"/>
      <c r="OPO7" s="264"/>
      <c r="OPP7" s="264"/>
      <c r="OPQ7" s="264"/>
      <c r="OPR7" s="264"/>
      <c r="OPS7" s="264"/>
      <c r="OPT7" s="264"/>
      <c r="OPU7" s="264"/>
      <c r="OPV7" s="264"/>
      <c r="OPW7" s="264"/>
      <c r="OPX7" s="264"/>
      <c r="OPY7" s="264"/>
      <c r="OPZ7" s="264"/>
      <c r="OQA7" s="264"/>
      <c r="OQB7" s="264"/>
      <c r="OQC7" s="264"/>
      <c r="OQD7" s="264"/>
      <c r="OQE7" s="264"/>
      <c r="OQF7" s="264"/>
      <c r="OQG7" s="264"/>
      <c r="OQH7" s="264"/>
      <c r="OQI7" s="264"/>
      <c r="OQJ7" s="264"/>
      <c r="OQK7" s="264"/>
      <c r="OQL7" s="264"/>
      <c r="OQM7" s="264"/>
      <c r="OQN7" s="264"/>
      <c r="OQO7" s="264"/>
      <c r="OQP7" s="264"/>
      <c r="OQQ7" s="264"/>
      <c r="OQR7" s="264"/>
      <c r="OQS7" s="264"/>
      <c r="OQT7" s="264"/>
      <c r="OQU7" s="264"/>
      <c r="OQV7" s="264"/>
      <c r="OQW7" s="264"/>
      <c r="OQX7" s="264"/>
      <c r="OQY7" s="264"/>
      <c r="OQZ7" s="264"/>
      <c r="ORA7" s="264"/>
      <c r="ORB7" s="264"/>
      <c r="ORC7" s="264"/>
      <c r="ORD7" s="264"/>
      <c r="ORE7" s="264"/>
      <c r="ORF7" s="264"/>
      <c r="ORG7" s="264"/>
      <c r="ORH7" s="264"/>
      <c r="ORI7" s="264"/>
      <c r="ORJ7" s="264"/>
      <c r="ORK7" s="264"/>
      <c r="ORL7" s="264"/>
      <c r="ORM7" s="264"/>
      <c r="ORN7" s="264"/>
      <c r="ORO7" s="264"/>
      <c r="ORP7" s="264"/>
      <c r="ORQ7" s="264"/>
      <c r="ORR7" s="264"/>
      <c r="ORS7" s="264"/>
      <c r="ORT7" s="264"/>
      <c r="ORU7" s="264"/>
      <c r="ORV7" s="264"/>
      <c r="ORW7" s="264"/>
      <c r="ORX7" s="264"/>
      <c r="ORY7" s="264"/>
      <c r="ORZ7" s="264"/>
      <c r="OSA7" s="264"/>
      <c r="OSB7" s="264"/>
      <c r="OSC7" s="264"/>
      <c r="OSD7" s="264"/>
      <c r="OSE7" s="264"/>
      <c r="OSF7" s="264"/>
      <c r="OSG7" s="264"/>
      <c r="OSH7" s="264"/>
      <c r="OSI7" s="264"/>
      <c r="OSJ7" s="264"/>
      <c r="OSK7" s="264"/>
      <c r="OSL7" s="264"/>
      <c r="OSM7" s="264"/>
      <c r="OSN7" s="264"/>
      <c r="OSO7" s="264"/>
      <c r="OSP7" s="264"/>
      <c r="OSQ7" s="264"/>
      <c r="OSR7" s="264"/>
      <c r="OSS7" s="264"/>
      <c r="OST7" s="264"/>
      <c r="OSU7" s="264"/>
      <c r="OSV7" s="264"/>
      <c r="OSW7" s="264"/>
      <c r="OSX7" s="264"/>
      <c r="OSY7" s="264"/>
      <c r="OSZ7" s="264"/>
      <c r="OTA7" s="264"/>
      <c r="OTB7" s="264"/>
      <c r="OTC7" s="264"/>
      <c r="OTD7" s="264"/>
      <c r="OTE7" s="264"/>
      <c r="OTF7" s="264"/>
      <c r="OTG7" s="264"/>
      <c r="OTH7" s="264"/>
      <c r="OTI7" s="264"/>
      <c r="OTJ7" s="264"/>
      <c r="OTK7" s="264"/>
      <c r="OTL7" s="264"/>
      <c r="OTM7" s="264"/>
      <c r="OTN7" s="264"/>
      <c r="OTO7" s="264"/>
      <c r="OTP7" s="264"/>
      <c r="OTQ7" s="264"/>
      <c r="OTR7" s="264"/>
      <c r="OTS7" s="264"/>
      <c r="OTT7" s="264"/>
      <c r="OTU7" s="264"/>
      <c r="OTV7" s="264"/>
      <c r="OTW7" s="264"/>
      <c r="OTX7" s="264"/>
      <c r="OTY7" s="264"/>
      <c r="OTZ7" s="264"/>
      <c r="OUA7" s="264"/>
      <c r="OUB7" s="264"/>
      <c r="OUC7" s="264"/>
      <c r="OUD7" s="264"/>
      <c r="OUE7" s="264"/>
      <c r="OUF7" s="264"/>
      <c r="OUG7" s="264"/>
      <c r="OUH7" s="264"/>
      <c r="OUI7" s="264"/>
      <c r="OUJ7" s="264"/>
      <c r="OUK7" s="264"/>
      <c r="OUL7" s="264"/>
      <c r="OUM7" s="264"/>
      <c r="OUN7" s="264"/>
      <c r="OUO7" s="264"/>
      <c r="OUP7" s="264"/>
      <c r="OUQ7" s="264"/>
      <c r="OUR7" s="264"/>
      <c r="OUS7" s="264"/>
      <c r="OUT7" s="264"/>
      <c r="OUU7" s="264"/>
      <c r="OUV7" s="264"/>
      <c r="OUW7" s="264"/>
      <c r="OUX7" s="264"/>
      <c r="OUY7" s="264"/>
      <c r="OUZ7" s="264"/>
      <c r="OVA7" s="264"/>
      <c r="OVB7" s="264"/>
      <c r="OVC7" s="264"/>
      <c r="OVD7" s="264"/>
      <c r="OVE7" s="264"/>
      <c r="OVF7" s="264"/>
      <c r="OVG7" s="264"/>
      <c r="OVH7" s="264"/>
      <c r="OVI7" s="264"/>
      <c r="OVJ7" s="264"/>
      <c r="OVK7" s="264"/>
      <c r="OVL7" s="264"/>
      <c r="OVM7" s="264"/>
      <c r="OVN7" s="264"/>
      <c r="OVO7" s="264"/>
      <c r="OVP7" s="264"/>
      <c r="OVQ7" s="264"/>
      <c r="OVR7" s="264"/>
      <c r="OVS7" s="264"/>
      <c r="OVT7" s="264"/>
      <c r="OVU7" s="264"/>
      <c r="OVV7" s="264"/>
      <c r="OVW7" s="264"/>
      <c r="OVX7" s="264"/>
      <c r="OVY7" s="264"/>
      <c r="OVZ7" s="264"/>
      <c r="OWA7" s="264"/>
      <c r="OWB7" s="264"/>
      <c r="OWC7" s="264"/>
      <c r="OWD7" s="264"/>
      <c r="OWE7" s="264"/>
      <c r="OWF7" s="264"/>
      <c r="OWG7" s="264"/>
      <c r="OWH7" s="264"/>
      <c r="OWI7" s="264"/>
      <c r="OWJ7" s="264"/>
      <c r="OWK7" s="264"/>
      <c r="OWL7" s="264"/>
      <c r="OWM7" s="264"/>
      <c r="OWN7" s="264"/>
      <c r="OWO7" s="264"/>
      <c r="OWP7" s="264"/>
      <c r="OWQ7" s="264"/>
      <c r="OWR7" s="264"/>
      <c r="OWS7" s="264"/>
      <c r="OWT7" s="264"/>
      <c r="OWU7" s="264"/>
      <c r="OWV7" s="264"/>
      <c r="OWW7" s="264"/>
      <c r="OWX7" s="264"/>
      <c r="OWY7" s="264"/>
      <c r="OWZ7" s="264"/>
      <c r="OXA7" s="264"/>
      <c r="OXB7" s="264"/>
      <c r="OXC7" s="264"/>
      <c r="OXD7" s="264"/>
      <c r="OXE7" s="264"/>
      <c r="OXF7" s="264"/>
      <c r="OXG7" s="264"/>
      <c r="OXH7" s="264"/>
      <c r="OXI7" s="264"/>
      <c r="OXJ7" s="264"/>
      <c r="OXK7" s="264"/>
      <c r="OXL7" s="264"/>
      <c r="OXM7" s="264"/>
      <c r="OXN7" s="264"/>
      <c r="OXO7" s="264"/>
      <c r="OXP7" s="264"/>
      <c r="OXQ7" s="264"/>
      <c r="OXR7" s="264"/>
      <c r="OXS7" s="264"/>
      <c r="OXT7" s="264"/>
      <c r="OXU7" s="264"/>
      <c r="OXV7" s="264"/>
      <c r="OXW7" s="264"/>
      <c r="OXX7" s="264"/>
      <c r="OXY7" s="264"/>
      <c r="OXZ7" s="264"/>
      <c r="OYA7" s="264"/>
      <c r="OYB7" s="264"/>
      <c r="OYC7" s="264"/>
      <c r="OYD7" s="264"/>
      <c r="OYE7" s="264"/>
      <c r="OYF7" s="264"/>
      <c r="OYG7" s="264"/>
      <c r="OYH7" s="264"/>
      <c r="OYI7" s="264"/>
      <c r="OYJ7" s="264"/>
      <c r="OYK7" s="264"/>
      <c r="OYL7" s="264"/>
      <c r="OYM7" s="264"/>
      <c r="OYN7" s="264"/>
      <c r="OYO7" s="264"/>
      <c r="OYP7" s="264"/>
      <c r="OYQ7" s="264"/>
      <c r="OYR7" s="264"/>
      <c r="OYS7" s="264"/>
      <c r="OYT7" s="264"/>
      <c r="OYU7" s="264"/>
      <c r="OYV7" s="264"/>
      <c r="OYW7" s="264"/>
      <c r="OYX7" s="264"/>
      <c r="OYY7" s="264"/>
      <c r="OYZ7" s="264"/>
      <c r="OZA7" s="264"/>
      <c r="OZB7" s="264"/>
      <c r="OZC7" s="264"/>
      <c r="OZD7" s="264"/>
      <c r="OZE7" s="264"/>
      <c r="OZF7" s="264"/>
      <c r="OZG7" s="264"/>
      <c r="OZH7" s="264"/>
      <c r="OZI7" s="264"/>
      <c r="OZJ7" s="264"/>
      <c r="OZK7" s="264"/>
      <c r="OZL7" s="264"/>
      <c r="OZM7" s="264"/>
      <c r="OZN7" s="264"/>
      <c r="OZO7" s="264"/>
      <c r="OZP7" s="264"/>
      <c r="OZQ7" s="264"/>
      <c r="OZR7" s="264"/>
      <c r="OZS7" s="264"/>
      <c r="OZT7" s="264"/>
      <c r="OZU7" s="264"/>
      <c r="OZV7" s="264"/>
      <c r="OZW7" s="264"/>
      <c r="OZX7" s="264"/>
      <c r="OZY7" s="264"/>
      <c r="OZZ7" s="264"/>
      <c r="PAA7" s="264"/>
      <c r="PAB7" s="264"/>
      <c r="PAC7" s="264"/>
      <c r="PAD7" s="264"/>
      <c r="PAE7" s="264"/>
      <c r="PAF7" s="264"/>
      <c r="PAG7" s="264"/>
      <c r="PAH7" s="264"/>
      <c r="PAI7" s="264"/>
      <c r="PAJ7" s="264"/>
      <c r="PAK7" s="264"/>
      <c r="PAL7" s="264"/>
      <c r="PAM7" s="264"/>
      <c r="PAN7" s="264"/>
      <c r="PAO7" s="264"/>
      <c r="PAP7" s="264"/>
      <c r="PAQ7" s="264"/>
      <c r="PAR7" s="264"/>
      <c r="PAS7" s="264"/>
      <c r="PAT7" s="264"/>
      <c r="PAU7" s="264"/>
      <c r="PAV7" s="264"/>
      <c r="PAW7" s="264"/>
      <c r="PAX7" s="264"/>
      <c r="PAY7" s="264"/>
      <c r="PAZ7" s="264"/>
      <c r="PBA7" s="264"/>
      <c r="PBB7" s="264"/>
      <c r="PBC7" s="264"/>
      <c r="PBD7" s="264"/>
      <c r="PBE7" s="264"/>
      <c r="PBF7" s="264"/>
      <c r="PBG7" s="264"/>
      <c r="PBH7" s="264"/>
      <c r="PBI7" s="264"/>
      <c r="PBJ7" s="264"/>
      <c r="PBK7" s="264"/>
      <c r="PBL7" s="264"/>
      <c r="PBM7" s="264"/>
      <c r="PBN7" s="264"/>
      <c r="PBO7" s="264"/>
      <c r="PBP7" s="264"/>
      <c r="PBQ7" s="264"/>
      <c r="PBR7" s="264"/>
      <c r="PBS7" s="264"/>
      <c r="PBT7" s="264"/>
      <c r="PBU7" s="264"/>
      <c r="PBV7" s="264"/>
      <c r="PBW7" s="264"/>
      <c r="PBX7" s="264"/>
      <c r="PBY7" s="264"/>
      <c r="PBZ7" s="264"/>
      <c r="PCA7" s="264"/>
      <c r="PCB7" s="264"/>
      <c r="PCC7" s="264"/>
      <c r="PCD7" s="264"/>
      <c r="PCE7" s="264"/>
      <c r="PCF7" s="264"/>
      <c r="PCG7" s="264"/>
      <c r="PCH7" s="264"/>
      <c r="PCI7" s="264"/>
      <c r="PCJ7" s="264"/>
      <c r="PCK7" s="264"/>
      <c r="PCL7" s="264"/>
      <c r="PCM7" s="264"/>
      <c r="PCN7" s="264"/>
      <c r="PCO7" s="264"/>
      <c r="PCP7" s="264"/>
      <c r="PCQ7" s="264"/>
      <c r="PCR7" s="264"/>
      <c r="PCS7" s="264"/>
      <c r="PCT7" s="264"/>
      <c r="PCU7" s="264"/>
      <c r="PCV7" s="264"/>
      <c r="PCW7" s="264"/>
      <c r="PCX7" s="264"/>
      <c r="PCY7" s="264"/>
      <c r="PCZ7" s="264"/>
      <c r="PDA7" s="264"/>
      <c r="PDB7" s="264"/>
      <c r="PDC7" s="264"/>
      <c r="PDD7" s="264"/>
      <c r="PDE7" s="264"/>
      <c r="PDF7" s="264"/>
      <c r="PDG7" s="264"/>
      <c r="PDH7" s="264"/>
      <c r="PDI7" s="264"/>
      <c r="PDJ7" s="264"/>
      <c r="PDK7" s="264"/>
      <c r="PDL7" s="264"/>
      <c r="PDM7" s="264"/>
      <c r="PDN7" s="264"/>
      <c r="PDO7" s="264"/>
      <c r="PDP7" s="264"/>
      <c r="PDQ7" s="264"/>
      <c r="PDR7" s="264"/>
      <c r="PDS7" s="264"/>
      <c r="PDT7" s="264"/>
      <c r="PDU7" s="264"/>
      <c r="PDV7" s="264"/>
      <c r="PDW7" s="264"/>
      <c r="PDX7" s="264"/>
      <c r="PDY7" s="264"/>
      <c r="PDZ7" s="264"/>
      <c r="PEA7" s="264"/>
      <c r="PEB7" s="264"/>
      <c r="PEC7" s="264"/>
      <c r="PED7" s="264"/>
      <c r="PEE7" s="264"/>
      <c r="PEF7" s="264"/>
      <c r="PEG7" s="264"/>
      <c r="PEH7" s="264"/>
      <c r="PEI7" s="264"/>
      <c r="PEJ7" s="264"/>
      <c r="PEK7" s="264"/>
      <c r="PEL7" s="264"/>
      <c r="PEM7" s="264"/>
      <c r="PEN7" s="264"/>
      <c r="PEO7" s="264"/>
      <c r="PEP7" s="264"/>
      <c r="PEQ7" s="264"/>
      <c r="PER7" s="264"/>
      <c r="PES7" s="264"/>
      <c r="PET7" s="264"/>
      <c r="PEU7" s="264"/>
      <c r="PEV7" s="264"/>
      <c r="PEW7" s="264"/>
      <c r="PEX7" s="264"/>
      <c r="PEY7" s="264"/>
      <c r="PEZ7" s="264"/>
      <c r="PFA7" s="264"/>
      <c r="PFB7" s="264"/>
      <c r="PFC7" s="264"/>
      <c r="PFD7" s="264"/>
      <c r="PFE7" s="264"/>
      <c r="PFF7" s="264"/>
      <c r="PFG7" s="264"/>
      <c r="PFH7" s="264"/>
      <c r="PFI7" s="264"/>
      <c r="PFJ7" s="264"/>
      <c r="PFK7" s="264"/>
      <c r="PFL7" s="264"/>
      <c r="PFM7" s="264"/>
      <c r="PFN7" s="264"/>
      <c r="PFO7" s="264"/>
      <c r="PFP7" s="264"/>
      <c r="PFQ7" s="264"/>
      <c r="PFR7" s="264"/>
      <c r="PFS7" s="264"/>
      <c r="PFT7" s="264"/>
      <c r="PFU7" s="264"/>
      <c r="PFV7" s="264"/>
      <c r="PFW7" s="264"/>
      <c r="PFX7" s="264"/>
      <c r="PFY7" s="264"/>
      <c r="PFZ7" s="264"/>
      <c r="PGA7" s="264"/>
      <c r="PGB7" s="264"/>
      <c r="PGC7" s="264"/>
      <c r="PGD7" s="264"/>
      <c r="PGE7" s="264"/>
      <c r="PGF7" s="264"/>
      <c r="PGG7" s="264"/>
      <c r="PGH7" s="264"/>
      <c r="PGI7" s="264"/>
      <c r="PGJ7" s="264"/>
      <c r="PGK7" s="264"/>
      <c r="PGL7" s="264"/>
      <c r="PGM7" s="264"/>
      <c r="PGN7" s="264"/>
      <c r="PGO7" s="264"/>
      <c r="PGP7" s="264"/>
      <c r="PGQ7" s="264"/>
      <c r="PGR7" s="264"/>
      <c r="PGS7" s="264"/>
      <c r="PGT7" s="264"/>
      <c r="PGU7" s="264"/>
      <c r="PGV7" s="264"/>
      <c r="PGW7" s="264"/>
      <c r="PGX7" s="264"/>
      <c r="PGY7" s="264"/>
      <c r="PGZ7" s="264"/>
      <c r="PHA7" s="264"/>
      <c r="PHB7" s="264"/>
      <c r="PHC7" s="264"/>
      <c r="PHD7" s="264"/>
      <c r="PHE7" s="264"/>
      <c r="PHF7" s="264"/>
      <c r="PHG7" s="264"/>
      <c r="PHH7" s="264"/>
      <c r="PHI7" s="264"/>
      <c r="PHJ7" s="264"/>
      <c r="PHK7" s="264"/>
      <c r="PHL7" s="264"/>
      <c r="PHM7" s="264"/>
      <c r="PHN7" s="264"/>
      <c r="PHO7" s="264"/>
      <c r="PHP7" s="264"/>
      <c r="PHQ7" s="264"/>
      <c r="PHR7" s="264"/>
      <c r="PHS7" s="264"/>
      <c r="PHT7" s="264"/>
      <c r="PHU7" s="264"/>
      <c r="PHV7" s="264"/>
      <c r="PHW7" s="264"/>
      <c r="PHX7" s="264"/>
      <c r="PHY7" s="264"/>
      <c r="PHZ7" s="264"/>
      <c r="PIA7" s="264"/>
      <c r="PIB7" s="264"/>
      <c r="PIC7" s="264"/>
      <c r="PID7" s="264"/>
      <c r="PIE7" s="264"/>
      <c r="PIF7" s="264"/>
      <c r="PIG7" s="264"/>
      <c r="PIH7" s="264"/>
      <c r="PII7" s="264"/>
      <c r="PIJ7" s="264"/>
      <c r="PIK7" s="264"/>
      <c r="PIL7" s="264"/>
      <c r="PIM7" s="264"/>
      <c r="PIN7" s="264"/>
      <c r="PIO7" s="264"/>
      <c r="PIP7" s="264"/>
      <c r="PIQ7" s="264"/>
      <c r="PIR7" s="264"/>
      <c r="PIS7" s="264"/>
      <c r="PIT7" s="264"/>
      <c r="PIU7" s="264"/>
      <c r="PIV7" s="264"/>
      <c r="PIW7" s="264"/>
      <c r="PIX7" s="264"/>
      <c r="PIY7" s="264"/>
      <c r="PIZ7" s="264"/>
      <c r="PJA7" s="264"/>
      <c r="PJB7" s="264"/>
      <c r="PJC7" s="264"/>
      <c r="PJD7" s="264"/>
      <c r="PJE7" s="264"/>
      <c r="PJF7" s="264"/>
      <c r="PJG7" s="264"/>
      <c r="PJH7" s="264"/>
      <c r="PJI7" s="264"/>
      <c r="PJJ7" s="264"/>
      <c r="PJK7" s="264"/>
      <c r="PJL7" s="264"/>
      <c r="PJM7" s="264"/>
      <c r="PJN7" s="264"/>
      <c r="PJO7" s="264"/>
      <c r="PJP7" s="264"/>
      <c r="PJQ7" s="264"/>
      <c r="PJR7" s="264"/>
      <c r="PJS7" s="264"/>
      <c r="PJT7" s="264"/>
      <c r="PJU7" s="264"/>
      <c r="PJV7" s="264"/>
      <c r="PJW7" s="264"/>
      <c r="PJX7" s="264"/>
      <c r="PJY7" s="264"/>
      <c r="PJZ7" s="264"/>
      <c r="PKA7" s="264"/>
      <c r="PKB7" s="264"/>
      <c r="PKC7" s="264"/>
      <c r="PKD7" s="264"/>
      <c r="PKE7" s="264"/>
      <c r="PKF7" s="264"/>
      <c r="PKG7" s="264"/>
      <c r="PKH7" s="264"/>
      <c r="PKI7" s="264"/>
      <c r="PKJ7" s="264"/>
      <c r="PKK7" s="264"/>
      <c r="PKL7" s="264"/>
      <c r="PKM7" s="264"/>
      <c r="PKN7" s="264"/>
      <c r="PKO7" s="264"/>
      <c r="PKP7" s="264"/>
      <c r="PKQ7" s="264"/>
      <c r="PKR7" s="264"/>
      <c r="PKS7" s="264"/>
      <c r="PKT7" s="264"/>
      <c r="PKU7" s="264"/>
      <c r="PKV7" s="264"/>
      <c r="PKW7" s="264"/>
      <c r="PKX7" s="264"/>
      <c r="PKY7" s="264"/>
      <c r="PKZ7" s="264"/>
      <c r="PLA7" s="264"/>
      <c r="PLB7" s="264"/>
      <c r="PLC7" s="264"/>
      <c r="PLD7" s="264"/>
      <c r="PLE7" s="264"/>
      <c r="PLF7" s="264"/>
      <c r="PLG7" s="264"/>
      <c r="PLH7" s="264"/>
      <c r="PLI7" s="264"/>
      <c r="PLJ7" s="264"/>
      <c r="PLK7" s="264"/>
      <c r="PLL7" s="264"/>
      <c r="PLM7" s="264"/>
      <c r="PLN7" s="264"/>
      <c r="PLO7" s="264"/>
      <c r="PLP7" s="264"/>
      <c r="PLQ7" s="264"/>
      <c r="PLR7" s="264"/>
      <c r="PLS7" s="264"/>
      <c r="PLT7" s="264"/>
      <c r="PLU7" s="264"/>
      <c r="PLV7" s="264"/>
      <c r="PLW7" s="264"/>
      <c r="PLX7" s="264"/>
      <c r="PLY7" s="264"/>
      <c r="PLZ7" s="264"/>
      <c r="PMA7" s="264"/>
      <c r="PMB7" s="264"/>
      <c r="PMC7" s="264"/>
      <c r="PMD7" s="264"/>
      <c r="PME7" s="264"/>
      <c r="PMF7" s="264"/>
      <c r="PMG7" s="264"/>
      <c r="PMH7" s="264"/>
      <c r="PMI7" s="264"/>
      <c r="PMJ7" s="264"/>
      <c r="PMK7" s="264"/>
      <c r="PML7" s="264"/>
      <c r="PMM7" s="264"/>
      <c r="PMN7" s="264"/>
      <c r="PMO7" s="264"/>
      <c r="PMP7" s="264"/>
      <c r="PMQ7" s="264"/>
      <c r="PMR7" s="264"/>
      <c r="PMS7" s="264"/>
      <c r="PMT7" s="264"/>
      <c r="PMU7" s="264"/>
      <c r="PMV7" s="264"/>
      <c r="PMW7" s="264"/>
      <c r="PMX7" s="264"/>
      <c r="PMY7" s="264"/>
      <c r="PMZ7" s="264"/>
      <c r="PNA7" s="264"/>
      <c r="PNB7" s="264"/>
      <c r="PNC7" s="264"/>
      <c r="PND7" s="264"/>
      <c r="PNE7" s="264"/>
      <c r="PNF7" s="264"/>
      <c r="PNG7" s="264"/>
      <c r="PNH7" s="264"/>
      <c r="PNI7" s="264"/>
      <c r="PNJ7" s="264"/>
      <c r="PNK7" s="264"/>
      <c r="PNL7" s="264"/>
      <c r="PNM7" s="264"/>
      <c r="PNN7" s="264"/>
      <c r="PNO7" s="264"/>
      <c r="PNP7" s="264"/>
      <c r="PNQ7" s="264"/>
      <c r="PNR7" s="264"/>
      <c r="PNS7" s="264"/>
      <c r="PNT7" s="264"/>
      <c r="PNU7" s="264"/>
      <c r="PNV7" s="264"/>
      <c r="PNW7" s="264"/>
      <c r="PNX7" s="264"/>
      <c r="PNY7" s="264"/>
      <c r="PNZ7" s="264"/>
      <c r="POA7" s="264"/>
      <c r="POB7" s="264"/>
      <c r="POC7" s="264"/>
      <c r="POD7" s="264"/>
      <c r="POE7" s="264"/>
      <c r="POF7" s="264"/>
      <c r="POG7" s="264"/>
      <c r="POH7" s="264"/>
      <c r="POI7" s="264"/>
      <c r="POJ7" s="264"/>
      <c r="POK7" s="264"/>
      <c r="POL7" s="264"/>
      <c r="POM7" s="264"/>
      <c r="PON7" s="264"/>
      <c r="POO7" s="264"/>
      <c r="POP7" s="264"/>
      <c r="POQ7" s="264"/>
      <c r="POR7" s="264"/>
      <c r="POS7" s="264"/>
      <c r="POT7" s="264"/>
      <c r="POU7" s="264"/>
      <c r="POV7" s="264"/>
      <c r="POW7" s="264"/>
      <c r="POX7" s="264"/>
      <c r="POY7" s="264"/>
      <c r="POZ7" s="264"/>
      <c r="PPA7" s="264"/>
      <c r="PPB7" s="264"/>
      <c r="PPC7" s="264"/>
      <c r="PPD7" s="264"/>
      <c r="PPE7" s="264"/>
      <c r="PPF7" s="264"/>
      <c r="PPG7" s="264"/>
      <c r="PPH7" s="264"/>
      <c r="PPI7" s="264"/>
      <c r="PPJ7" s="264"/>
      <c r="PPK7" s="264"/>
      <c r="PPL7" s="264"/>
      <c r="PPM7" s="264"/>
      <c r="PPN7" s="264"/>
      <c r="PPO7" s="264"/>
      <c r="PPP7" s="264"/>
      <c r="PPQ7" s="264"/>
      <c r="PPR7" s="264"/>
      <c r="PPS7" s="264"/>
      <c r="PPT7" s="264"/>
      <c r="PPU7" s="264"/>
      <c r="PPV7" s="264"/>
      <c r="PPW7" s="264"/>
      <c r="PPX7" s="264"/>
      <c r="PPY7" s="264"/>
      <c r="PPZ7" s="264"/>
      <c r="PQA7" s="264"/>
      <c r="PQB7" s="264"/>
      <c r="PQC7" s="264"/>
      <c r="PQD7" s="264"/>
      <c r="PQE7" s="264"/>
      <c r="PQF7" s="264"/>
      <c r="PQG7" s="264"/>
      <c r="PQH7" s="264"/>
      <c r="PQI7" s="264"/>
      <c r="PQJ7" s="264"/>
      <c r="PQK7" s="264"/>
      <c r="PQL7" s="264"/>
      <c r="PQM7" s="264"/>
      <c r="PQN7" s="264"/>
      <c r="PQO7" s="264"/>
      <c r="PQP7" s="264"/>
      <c r="PQQ7" s="264"/>
      <c r="PQR7" s="264"/>
      <c r="PQS7" s="264"/>
      <c r="PQT7" s="264"/>
      <c r="PQU7" s="264"/>
      <c r="PQV7" s="264"/>
      <c r="PQW7" s="264"/>
      <c r="PQX7" s="264"/>
      <c r="PQY7" s="264"/>
      <c r="PQZ7" s="264"/>
      <c r="PRA7" s="264"/>
      <c r="PRB7" s="264"/>
      <c r="PRC7" s="264"/>
      <c r="PRD7" s="264"/>
      <c r="PRE7" s="264"/>
      <c r="PRF7" s="264"/>
      <c r="PRG7" s="264"/>
      <c r="PRH7" s="264"/>
      <c r="PRI7" s="264"/>
      <c r="PRJ7" s="264"/>
      <c r="PRK7" s="264"/>
      <c r="PRL7" s="264"/>
      <c r="PRM7" s="264"/>
      <c r="PRN7" s="264"/>
      <c r="PRO7" s="264"/>
      <c r="PRP7" s="264"/>
      <c r="PRQ7" s="264"/>
      <c r="PRR7" s="264"/>
      <c r="PRS7" s="264"/>
      <c r="PRT7" s="264"/>
      <c r="PRU7" s="264"/>
      <c r="PRV7" s="264"/>
      <c r="PRW7" s="264"/>
      <c r="PRX7" s="264"/>
      <c r="PRY7" s="264"/>
      <c r="PRZ7" s="264"/>
      <c r="PSA7" s="264"/>
      <c r="PSB7" s="264"/>
      <c r="PSC7" s="264"/>
      <c r="PSD7" s="264"/>
      <c r="PSE7" s="264"/>
      <c r="PSF7" s="264"/>
      <c r="PSG7" s="264"/>
      <c r="PSH7" s="264"/>
      <c r="PSI7" s="264"/>
      <c r="PSJ7" s="264"/>
      <c r="PSK7" s="264"/>
      <c r="PSL7" s="264"/>
      <c r="PSM7" s="264"/>
      <c r="PSN7" s="264"/>
      <c r="PSO7" s="264"/>
      <c r="PSP7" s="264"/>
      <c r="PSQ7" s="264"/>
      <c r="PSR7" s="264"/>
      <c r="PSS7" s="264"/>
      <c r="PST7" s="264"/>
      <c r="PSU7" s="264"/>
      <c r="PSV7" s="264"/>
      <c r="PSW7" s="264"/>
      <c r="PSX7" s="264"/>
      <c r="PSY7" s="264"/>
      <c r="PSZ7" s="264"/>
      <c r="PTA7" s="264"/>
      <c r="PTB7" s="264"/>
      <c r="PTC7" s="264"/>
      <c r="PTD7" s="264"/>
      <c r="PTE7" s="264"/>
      <c r="PTF7" s="264"/>
      <c r="PTG7" s="264"/>
      <c r="PTH7" s="264"/>
      <c r="PTI7" s="264"/>
      <c r="PTJ7" s="264"/>
      <c r="PTK7" s="264"/>
      <c r="PTL7" s="264"/>
      <c r="PTM7" s="264"/>
      <c r="PTN7" s="264"/>
      <c r="PTO7" s="264"/>
      <c r="PTP7" s="264"/>
      <c r="PTQ7" s="264"/>
      <c r="PTR7" s="264"/>
      <c r="PTS7" s="264"/>
      <c r="PTT7" s="264"/>
      <c r="PTU7" s="264"/>
      <c r="PTV7" s="264"/>
      <c r="PTW7" s="264"/>
      <c r="PTX7" s="264"/>
      <c r="PTY7" s="264"/>
      <c r="PTZ7" s="264"/>
      <c r="PUA7" s="264"/>
      <c r="PUB7" s="264"/>
      <c r="PUC7" s="264"/>
      <c r="PUD7" s="264"/>
      <c r="PUE7" s="264"/>
      <c r="PUF7" s="264"/>
      <c r="PUG7" s="264"/>
      <c r="PUH7" s="264"/>
      <c r="PUI7" s="264"/>
      <c r="PUJ7" s="264"/>
      <c r="PUK7" s="264"/>
      <c r="PUL7" s="264"/>
      <c r="PUM7" s="264"/>
      <c r="PUN7" s="264"/>
      <c r="PUO7" s="264"/>
      <c r="PUP7" s="264"/>
      <c r="PUQ7" s="264"/>
      <c r="PUR7" s="264"/>
      <c r="PUS7" s="264"/>
      <c r="PUT7" s="264"/>
      <c r="PUU7" s="264"/>
      <c r="PUV7" s="264"/>
      <c r="PUW7" s="264"/>
      <c r="PUX7" s="264"/>
      <c r="PUY7" s="264"/>
      <c r="PUZ7" s="264"/>
      <c r="PVA7" s="264"/>
      <c r="PVB7" s="264"/>
      <c r="PVC7" s="264"/>
      <c r="PVD7" s="264"/>
      <c r="PVE7" s="264"/>
      <c r="PVF7" s="264"/>
      <c r="PVG7" s="264"/>
      <c r="PVH7" s="264"/>
      <c r="PVI7" s="264"/>
      <c r="PVJ7" s="264"/>
      <c r="PVK7" s="264"/>
      <c r="PVL7" s="264"/>
      <c r="PVM7" s="264"/>
      <c r="PVN7" s="264"/>
      <c r="PVO7" s="264"/>
      <c r="PVP7" s="264"/>
      <c r="PVQ7" s="264"/>
      <c r="PVR7" s="264"/>
      <c r="PVS7" s="264"/>
      <c r="PVT7" s="264"/>
      <c r="PVU7" s="264"/>
      <c r="PVV7" s="264"/>
      <c r="PVW7" s="264"/>
      <c r="PVX7" s="264"/>
      <c r="PVY7" s="264"/>
      <c r="PVZ7" s="264"/>
      <c r="PWA7" s="264"/>
      <c r="PWB7" s="264"/>
      <c r="PWC7" s="264"/>
      <c r="PWD7" s="264"/>
      <c r="PWE7" s="264"/>
      <c r="PWF7" s="264"/>
      <c r="PWG7" s="264"/>
      <c r="PWH7" s="264"/>
      <c r="PWI7" s="264"/>
      <c r="PWJ7" s="264"/>
      <c r="PWK7" s="264"/>
      <c r="PWL7" s="264"/>
      <c r="PWM7" s="264"/>
      <c r="PWN7" s="264"/>
      <c r="PWO7" s="264"/>
      <c r="PWP7" s="264"/>
      <c r="PWQ7" s="264"/>
      <c r="PWR7" s="264"/>
      <c r="PWS7" s="264"/>
      <c r="PWT7" s="264"/>
      <c r="PWU7" s="264"/>
      <c r="PWV7" s="264"/>
      <c r="PWW7" s="264"/>
      <c r="PWX7" s="264"/>
      <c r="PWY7" s="264"/>
      <c r="PWZ7" s="264"/>
      <c r="PXA7" s="264"/>
      <c r="PXB7" s="264"/>
      <c r="PXC7" s="264"/>
      <c r="PXD7" s="264"/>
      <c r="PXE7" s="264"/>
      <c r="PXF7" s="264"/>
      <c r="PXG7" s="264"/>
      <c r="PXH7" s="264"/>
      <c r="PXI7" s="264"/>
      <c r="PXJ7" s="264"/>
      <c r="PXK7" s="264"/>
      <c r="PXL7" s="264"/>
      <c r="PXM7" s="264"/>
      <c r="PXN7" s="264"/>
      <c r="PXO7" s="264"/>
      <c r="PXP7" s="264"/>
      <c r="PXQ7" s="264"/>
      <c r="PXR7" s="264"/>
      <c r="PXS7" s="264"/>
      <c r="PXT7" s="264"/>
      <c r="PXU7" s="264"/>
      <c r="PXV7" s="264"/>
      <c r="PXW7" s="264"/>
      <c r="PXX7" s="264"/>
      <c r="PXY7" s="264"/>
      <c r="PXZ7" s="264"/>
      <c r="PYA7" s="264"/>
      <c r="PYB7" s="264"/>
      <c r="PYC7" s="264"/>
      <c r="PYD7" s="264"/>
      <c r="PYE7" s="264"/>
      <c r="PYF7" s="264"/>
      <c r="PYG7" s="264"/>
      <c r="PYH7" s="264"/>
      <c r="PYI7" s="264"/>
      <c r="PYJ7" s="264"/>
      <c r="PYK7" s="264"/>
      <c r="PYL7" s="264"/>
      <c r="PYM7" s="264"/>
      <c r="PYN7" s="264"/>
      <c r="PYO7" s="264"/>
      <c r="PYP7" s="264"/>
      <c r="PYQ7" s="264"/>
      <c r="PYR7" s="264"/>
      <c r="PYS7" s="264"/>
      <c r="PYT7" s="264"/>
      <c r="PYU7" s="264"/>
      <c r="PYV7" s="264"/>
      <c r="PYW7" s="264"/>
      <c r="PYX7" s="264"/>
      <c r="PYY7" s="264"/>
      <c r="PYZ7" s="264"/>
      <c r="PZA7" s="264"/>
      <c r="PZB7" s="264"/>
      <c r="PZC7" s="264"/>
      <c r="PZD7" s="264"/>
      <c r="PZE7" s="264"/>
      <c r="PZF7" s="264"/>
      <c r="PZG7" s="264"/>
      <c r="PZH7" s="264"/>
      <c r="PZI7" s="264"/>
      <c r="PZJ7" s="264"/>
      <c r="PZK7" s="264"/>
      <c r="PZL7" s="264"/>
      <c r="PZM7" s="264"/>
      <c r="PZN7" s="264"/>
      <c r="PZO7" s="264"/>
      <c r="PZP7" s="264"/>
      <c r="PZQ7" s="264"/>
      <c r="PZR7" s="264"/>
      <c r="PZS7" s="264"/>
      <c r="PZT7" s="264"/>
      <c r="PZU7" s="264"/>
      <c r="PZV7" s="264"/>
      <c r="PZW7" s="264"/>
      <c r="PZX7" s="264"/>
      <c r="PZY7" s="264"/>
      <c r="PZZ7" s="264"/>
      <c r="QAA7" s="264"/>
      <c r="QAB7" s="264"/>
      <c r="QAC7" s="264"/>
      <c r="QAD7" s="264"/>
      <c r="QAE7" s="264"/>
      <c r="QAF7" s="264"/>
      <c r="QAG7" s="264"/>
      <c r="QAH7" s="264"/>
      <c r="QAI7" s="264"/>
      <c r="QAJ7" s="264"/>
      <c r="QAK7" s="264"/>
      <c r="QAL7" s="264"/>
      <c r="QAM7" s="264"/>
      <c r="QAN7" s="264"/>
      <c r="QAO7" s="264"/>
      <c r="QAP7" s="264"/>
      <c r="QAQ7" s="264"/>
      <c r="QAR7" s="264"/>
      <c r="QAS7" s="264"/>
      <c r="QAT7" s="264"/>
      <c r="QAU7" s="264"/>
      <c r="QAV7" s="264"/>
      <c r="QAW7" s="264"/>
      <c r="QAX7" s="264"/>
      <c r="QAY7" s="264"/>
      <c r="QAZ7" s="264"/>
      <c r="QBA7" s="264"/>
      <c r="QBB7" s="264"/>
      <c r="QBC7" s="264"/>
      <c r="QBD7" s="264"/>
      <c r="QBE7" s="264"/>
      <c r="QBF7" s="264"/>
      <c r="QBG7" s="264"/>
      <c r="QBH7" s="264"/>
      <c r="QBI7" s="264"/>
      <c r="QBJ7" s="264"/>
      <c r="QBK7" s="264"/>
      <c r="QBL7" s="264"/>
      <c r="QBM7" s="264"/>
      <c r="QBN7" s="264"/>
      <c r="QBO7" s="264"/>
      <c r="QBP7" s="264"/>
      <c r="QBQ7" s="264"/>
      <c r="QBR7" s="264"/>
      <c r="QBS7" s="264"/>
      <c r="QBT7" s="264"/>
      <c r="QBU7" s="264"/>
      <c r="QBV7" s="264"/>
      <c r="QBW7" s="264"/>
      <c r="QBX7" s="264"/>
      <c r="QBY7" s="264"/>
      <c r="QBZ7" s="264"/>
      <c r="QCA7" s="264"/>
      <c r="QCB7" s="264"/>
      <c r="QCC7" s="264"/>
      <c r="QCD7" s="264"/>
      <c r="QCE7" s="264"/>
      <c r="QCF7" s="264"/>
      <c r="QCG7" s="264"/>
      <c r="QCH7" s="264"/>
      <c r="QCI7" s="264"/>
      <c r="QCJ7" s="264"/>
      <c r="QCK7" s="264"/>
      <c r="QCL7" s="264"/>
      <c r="QCM7" s="264"/>
      <c r="QCN7" s="264"/>
      <c r="QCO7" s="264"/>
      <c r="QCP7" s="264"/>
      <c r="QCQ7" s="264"/>
      <c r="QCR7" s="264"/>
      <c r="QCS7" s="264"/>
      <c r="QCT7" s="264"/>
      <c r="QCU7" s="264"/>
      <c r="QCV7" s="264"/>
      <c r="QCW7" s="264"/>
      <c r="QCX7" s="264"/>
      <c r="QCY7" s="264"/>
      <c r="QCZ7" s="264"/>
      <c r="QDA7" s="264"/>
      <c r="QDB7" s="264"/>
      <c r="QDC7" s="264"/>
      <c r="QDD7" s="264"/>
      <c r="QDE7" s="264"/>
      <c r="QDF7" s="264"/>
      <c r="QDG7" s="264"/>
      <c r="QDH7" s="264"/>
      <c r="QDI7" s="264"/>
      <c r="QDJ7" s="264"/>
      <c r="QDK7" s="264"/>
      <c r="QDL7" s="264"/>
      <c r="QDM7" s="264"/>
      <c r="QDN7" s="264"/>
      <c r="QDO7" s="264"/>
      <c r="QDP7" s="264"/>
      <c r="QDQ7" s="264"/>
      <c r="QDR7" s="264"/>
      <c r="QDS7" s="264"/>
      <c r="QDT7" s="264"/>
      <c r="QDU7" s="264"/>
      <c r="QDV7" s="264"/>
      <c r="QDW7" s="264"/>
      <c r="QDX7" s="264"/>
      <c r="QDY7" s="264"/>
      <c r="QDZ7" s="264"/>
      <c r="QEA7" s="264"/>
      <c r="QEB7" s="264"/>
      <c r="QEC7" s="264"/>
      <c r="QED7" s="264"/>
      <c r="QEE7" s="264"/>
      <c r="QEF7" s="264"/>
      <c r="QEG7" s="264"/>
      <c r="QEH7" s="264"/>
      <c r="QEI7" s="264"/>
      <c r="QEJ7" s="264"/>
      <c r="QEK7" s="264"/>
      <c r="QEL7" s="264"/>
      <c r="QEM7" s="264"/>
      <c r="QEN7" s="264"/>
      <c r="QEO7" s="264"/>
      <c r="QEP7" s="264"/>
      <c r="QEQ7" s="264"/>
      <c r="QER7" s="264"/>
      <c r="QES7" s="264"/>
      <c r="QET7" s="264"/>
      <c r="QEU7" s="264"/>
      <c r="QEV7" s="264"/>
      <c r="QEW7" s="264"/>
      <c r="QEX7" s="264"/>
      <c r="QEY7" s="264"/>
      <c r="QEZ7" s="264"/>
      <c r="QFA7" s="264"/>
      <c r="QFB7" s="264"/>
      <c r="QFC7" s="264"/>
      <c r="QFD7" s="264"/>
      <c r="QFE7" s="264"/>
      <c r="QFF7" s="264"/>
      <c r="QFG7" s="264"/>
      <c r="QFH7" s="264"/>
      <c r="QFI7" s="264"/>
      <c r="QFJ7" s="264"/>
      <c r="QFK7" s="264"/>
      <c r="QFL7" s="264"/>
      <c r="QFM7" s="264"/>
      <c r="QFN7" s="264"/>
      <c r="QFO7" s="264"/>
      <c r="QFP7" s="264"/>
      <c r="QFQ7" s="264"/>
      <c r="QFR7" s="264"/>
      <c r="QFS7" s="264"/>
      <c r="QFT7" s="264"/>
      <c r="QFU7" s="264"/>
      <c r="QFV7" s="264"/>
      <c r="QFW7" s="264"/>
      <c r="QFX7" s="264"/>
      <c r="QFY7" s="264"/>
      <c r="QFZ7" s="264"/>
      <c r="QGA7" s="264"/>
      <c r="QGB7" s="264"/>
      <c r="QGC7" s="264"/>
      <c r="QGD7" s="264"/>
      <c r="QGE7" s="264"/>
      <c r="QGF7" s="264"/>
      <c r="QGG7" s="264"/>
      <c r="QGH7" s="264"/>
      <c r="QGI7" s="264"/>
      <c r="QGJ7" s="264"/>
      <c r="QGK7" s="264"/>
      <c r="QGL7" s="264"/>
      <c r="QGM7" s="264"/>
      <c r="QGN7" s="264"/>
      <c r="QGO7" s="264"/>
      <c r="QGP7" s="264"/>
      <c r="QGQ7" s="264"/>
      <c r="QGR7" s="264"/>
      <c r="QGS7" s="264"/>
      <c r="QGT7" s="264"/>
      <c r="QGU7" s="264"/>
      <c r="QGV7" s="264"/>
      <c r="QGW7" s="264"/>
      <c r="QGX7" s="264"/>
      <c r="QGY7" s="264"/>
      <c r="QGZ7" s="264"/>
      <c r="QHA7" s="264"/>
      <c r="QHB7" s="264"/>
      <c r="QHC7" s="264"/>
      <c r="QHD7" s="264"/>
      <c r="QHE7" s="264"/>
      <c r="QHF7" s="264"/>
      <c r="QHG7" s="264"/>
      <c r="QHH7" s="264"/>
      <c r="QHI7" s="264"/>
      <c r="QHJ7" s="264"/>
      <c r="QHK7" s="264"/>
      <c r="QHL7" s="264"/>
      <c r="QHM7" s="264"/>
      <c r="QHN7" s="264"/>
      <c r="QHO7" s="264"/>
      <c r="QHP7" s="264"/>
      <c r="QHQ7" s="264"/>
      <c r="QHR7" s="264"/>
      <c r="QHS7" s="264"/>
      <c r="QHT7" s="264"/>
      <c r="QHU7" s="264"/>
      <c r="QHV7" s="264"/>
      <c r="QHW7" s="264"/>
      <c r="QHX7" s="264"/>
      <c r="QHY7" s="264"/>
      <c r="QHZ7" s="264"/>
      <c r="QIA7" s="264"/>
      <c r="QIB7" s="264"/>
      <c r="QIC7" s="264"/>
      <c r="QID7" s="264"/>
      <c r="QIE7" s="264"/>
      <c r="QIF7" s="264"/>
      <c r="QIG7" s="264"/>
      <c r="QIH7" s="264"/>
      <c r="QII7" s="264"/>
      <c r="QIJ7" s="264"/>
      <c r="QIK7" s="264"/>
      <c r="QIL7" s="264"/>
      <c r="QIM7" s="264"/>
      <c r="QIN7" s="264"/>
      <c r="QIO7" s="264"/>
      <c r="QIP7" s="264"/>
      <c r="QIQ7" s="264"/>
      <c r="QIR7" s="264"/>
      <c r="QIS7" s="264"/>
      <c r="QIT7" s="264"/>
      <c r="QIU7" s="264"/>
      <c r="QIV7" s="264"/>
      <c r="QIW7" s="264"/>
      <c r="QIX7" s="264"/>
      <c r="QIY7" s="264"/>
      <c r="QIZ7" s="264"/>
      <c r="QJA7" s="264"/>
      <c r="QJB7" s="264"/>
      <c r="QJC7" s="264"/>
      <c r="QJD7" s="264"/>
      <c r="QJE7" s="264"/>
      <c r="QJF7" s="264"/>
      <c r="QJG7" s="264"/>
      <c r="QJH7" s="264"/>
      <c r="QJI7" s="264"/>
      <c r="QJJ7" s="264"/>
      <c r="QJK7" s="264"/>
      <c r="QJL7" s="264"/>
      <c r="QJM7" s="264"/>
      <c r="QJN7" s="264"/>
      <c r="QJO7" s="264"/>
      <c r="QJP7" s="264"/>
      <c r="QJQ7" s="264"/>
      <c r="QJR7" s="264"/>
      <c r="QJS7" s="264"/>
      <c r="QJT7" s="264"/>
      <c r="QJU7" s="264"/>
      <c r="QJV7" s="264"/>
      <c r="QJW7" s="264"/>
      <c r="QJX7" s="264"/>
      <c r="QJY7" s="264"/>
      <c r="QJZ7" s="264"/>
      <c r="QKA7" s="264"/>
      <c r="QKB7" s="264"/>
      <c r="QKC7" s="264"/>
      <c r="QKD7" s="264"/>
      <c r="QKE7" s="264"/>
      <c r="QKF7" s="264"/>
      <c r="QKG7" s="264"/>
      <c r="QKH7" s="264"/>
      <c r="QKI7" s="264"/>
      <c r="QKJ7" s="264"/>
      <c r="QKK7" s="264"/>
      <c r="QKL7" s="264"/>
      <c r="QKM7" s="264"/>
      <c r="QKN7" s="264"/>
      <c r="QKO7" s="264"/>
      <c r="QKP7" s="264"/>
      <c r="QKQ7" s="264"/>
      <c r="QKR7" s="264"/>
      <c r="QKS7" s="264"/>
      <c r="QKT7" s="264"/>
      <c r="QKU7" s="264"/>
      <c r="QKV7" s="264"/>
      <c r="QKW7" s="264"/>
      <c r="QKX7" s="264"/>
      <c r="QKY7" s="264"/>
      <c r="QKZ7" s="264"/>
      <c r="QLA7" s="264"/>
      <c r="QLB7" s="264"/>
      <c r="QLC7" s="264"/>
      <c r="QLD7" s="264"/>
      <c r="QLE7" s="264"/>
      <c r="QLF7" s="264"/>
      <c r="QLG7" s="264"/>
      <c r="QLH7" s="264"/>
      <c r="QLI7" s="264"/>
      <c r="QLJ7" s="264"/>
      <c r="QLK7" s="264"/>
      <c r="QLL7" s="264"/>
      <c r="QLM7" s="264"/>
      <c r="QLN7" s="264"/>
      <c r="QLO7" s="264"/>
      <c r="QLP7" s="264"/>
      <c r="QLQ7" s="264"/>
      <c r="QLR7" s="264"/>
      <c r="QLS7" s="264"/>
      <c r="QLT7" s="264"/>
      <c r="QLU7" s="264"/>
      <c r="QLV7" s="264"/>
      <c r="QLW7" s="264"/>
      <c r="QLX7" s="264"/>
      <c r="QLY7" s="264"/>
      <c r="QLZ7" s="264"/>
      <c r="QMA7" s="264"/>
      <c r="QMB7" s="264"/>
      <c r="QMC7" s="264"/>
      <c r="QMD7" s="264"/>
      <c r="QME7" s="264"/>
      <c r="QMF7" s="264"/>
      <c r="QMG7" s="264"/>
      <c r="QMH7" s="264"/>
      <c r="QMI7" s="264"/>
      <c r="QMJ7" s="264"/>
      <c r="QMK7" s="264"/>
      <c r="QML7" s="264"/>
      <c r="QMM7" s="264"/>
      <c r="QMN7" s="264"/>
      <c r="QMO7" s="264"/>
      <c r="QMP7" s="264"/>
      <c r="QMQ7" s="264"/>
      <c r="QMR7" s="264"/>
      <c r="QMS7" s="264"/>
      <c r="QMT7" s="264"/>
      <c r="QMU7" s="264"/>
      <c r="QMV7" s="264"/>
      <c r="QMW7" s="264"/>
      <c r="QMX7" s="264"/>
      <c r="QMY7" s="264"/>
      <c r="QMZ7" s="264"/>
      <c r="QNA7" s="264"/>
      <c r="QNB7" s="264"/>
      <c r="QNC7" s="264"/>
      <c r="QND7" s="264"/>
      <c r="QNE7" s="264"/>
      <c r="QNF7" s="264"/>
      <c r="QNG7" s="264"/>
      <c r="QNH7" s="264"/>
      <c r="QNI7" s="264"/>
      <c r="QNJ7" s="264"/>
      <c r="QNK7" s="264"/>
      <c r="QNL7" s="264"/>
      <c r="QNM7" s="264"/>
      <c r="QNN7" s="264"/>
      <c r="QNO7" s="264"/>
      <c r="QNP7" s="264"/>
      <c r="QNQ7" s="264"/>
      <c r="QNR7" s="264"/>
      <c r="QNS7" s="264"/>
      <c r="QNT7" s="264"/>
      <c r="QNU7" s="264"/>
      <c r="QNV7" s="264"/>
      <c r="QNW7" s="264"/>
      <c r="QNX7" s="264"/>
      <c r="QNY7" s="264"/>
      <c r="QNZ7" s="264"/>
      <c r="QOA7" s="264"/>
      <c r="QOB7" s="264"/>
      <c r="QOC7" s="264"/>
      <c r="QOD7" s="264"/>
      <c r="QOE7" s="264"/>
      <c r="QOF7" s="264"/>
      <c r="QOG7" s="264"/>
      <c r="QOH7" s="264"/>
      <c r="QOI7" s="264"/>
      <c r="QOJ7" s="264"/>
      <c r="QOK7" s="264"/>
      <c r="QOL7" s="264"/>
      <c r="QOM7" s="264"/>
      <c r="QON7" s="264"/>
      <c r="QOO7" s="264"/>
      <c r="QOP7" s="264"/>
      <c r="QOQ7" s="264"/>
      <c r="QOR7" s="264"/>
      <c r="QOS7" s="264"/>
      <c r="QOT7" s="264"/>
      <c r="QOU7" s="264"/>
      <c r="QOV7" s="264"/>
      <c r="QOW7" s="264"/>
      <c r="QOX7" s="264"/>
      <c r="QOY7" s="264"/>
      <c r="QOZ7" s="264"/>
      <c r="QPA7" s="264"/>
      <c r="QPB7" s="264"/>
      <c r="QPC7" s="264"/>
      <c r="QPD7" s="264"/>
      <c r="QPE7" s="264"/>
      <c r="QPF7" s="264"/>
      <c r="QPG7" s="264"/>
      <c r="QPH7" s="264"/>
      <c r="QPI7" s="264"/>
      <c r="QPJ7" s="264"/>
      <c r="QPK7" s="264"/>
      <c r="QPL7" s="264"/>
      <c r="QPM7" s="264"/>
      <c r="QPN7" s="264"/>
      <c r="QPO7" s="264"/>
      <c r="QPP7" s="264"/>
      <c r="QPQ7" s="264"/>
      <c r="QPR7" s="264"/>
      <c r="QPS7" s="264"/>
      <c r="QPT7" s="264"/>
      <c r="QPU7" s="264"/>
      <c r="QPV7" s="264"/>
      <c r="QPW7" s="264"/>
      <c r="QPX7" s="264"/>
      <c r="QPY7" s="264"/>
      <c r="QPZ7" s="264"/>
      <c r="QQA7" s="264"/>
      <c r="QQB7" s="264"/>
      <c r="QQC7" s="264"/>
      <c r="QQD7" s="264"/>
      <c r="QQE7" s="264"/>
      <c r="QQF7" s="264"/>
      <c r="QQG7" s="264"/>
      <c r="QQH7" s="264"/>
      <c r="QQI7" s="264"/>
      <c r="QQJ7" s="264"/>
      <c r="QQK7" s="264"/>
      <c r="QQL7" s="264"/>
      <c r="QQM7" s="264"/>
      <c r="QQN7" s="264"/>
      <c r="QQO7" s="264"/>
      <c r="QQP7" s="264"/>
      <c r="QQQ7" s="264"/>
      <c r="QQR7" s="264"/>
      <c r="QQS7" s="264"/>
      <c r="QQT7" s="264"/>
      <c r="QQU7" s="264"/>
      <c r="QQV7" s="264"/>
      <c r="QQW7" s="264"/>
      <c r="QQX7" s="264"/>
      <c r="QQY7" s="264"/>
      <c r="QQZ7" s="264"/>
      <c r="QRA7" s="264"/>
      <c r="QRB7" s="264"/>
      <c r="QRC7" s="264"/>
      <c r="QRD7" s="264"/>
      <c r="QRE7" s="264"/>
      <c r="QRF7" s="264"/>
      <c r="QRG7" s="264"/>
      <c r="QRH7" s="264"/>
      <c r="QRI7" s="264"/>
      <c r="QRJ7" s="264"/>
      <c r="QRK7" s="264"/>
      <c r="QRL7" s="264"/>
      <c r="QRM7" s="264"/>
      <c r="QRN7" s="264"/>
      <c r="QRO7" s="264"/>
      <c r="QRP7" s="264"/>
      <c r="QRQ7" s="264"/>
      <c r="QRR7" s="264"/>
      <c r="QRS7" s="264"/>
      <c r="QRT7" s="264"/>
      <c r="QRU7" s="264"/>
      <c r="QRV7" s="264"/>
      <c r="QRW7" s="264"/>
      <c r="QRX7" s="264"/>
      <c r="QRY7" s="264"/>
      <c r="QRZ7" s="264"/>
      <c r="QSA7" s="264"/>
      <c r="QSB7" s="264"/>
      <c r="QSC7" s="264"/>
      <c r="QSD7" s="264"/>
      <c r="QSE7" s="264"/>
      <c r="QSF7" s="264"/>
      <c r="QSG7" s="264"/>
      <c r="QSH7" s="264"/>
      <c r="QSI7" s="264"/>
      <c r="QSJ7" s="264"/>
      <c r="QSK7" s="264"/>
      <c r="QSL7" s="264"/>
      <c r="QSM7" s="264"/>
      <c r="QSN7" s="264"/>
      <c r="QSO7" s="264"/>
      <c r="QSP7" s="264"/>
      <c r="QSQ7" s="264"/>
      <c r="QSR7" s="264"/>
      <c r="QSS7" s="264"/>
      <c r="QST7" s="264"/>
      <c r="QSU7" s="264"/>
      <c r="QSV7" s="264"/>
      <c r="QSW7" s="264"/>
      <c r="QSX7" s="264"/>
      <c r="QSY7" s="264"/>
      <c r="QSZ7" s="264"/>
      <c r="QTA7" s="264"/>
      <c r="QTB7" s="264"/>
      <c r="QTC7" s="264"/>
      <c r="QTD7" s="264"/>
      <c r="QTE7" s="264"/>
      <c r="QTF7" s="264"/>
      <c r="QTG7" s="264"/>
      <c r="QTH7" s="264"/>
      <c r="QTI7" s="264"/>
      <c r="QTJ7" s="264"/>
      <c r="QTK7" s="264"/>
      <c r="QTL7" s="264"/>
      <c r="QTM7" s="264"/>
      <c r="QTN7" s="264"/>
      <c r="QTO7" s="264"/>
      <c r="QTP7" s="264"/>
      <c r="QTQ7" s="264"/>
      <c r="QTR7" s="264"/>
      <c r="QTS7" s="264"/>
      <c r="QTT7" s="264"/>
      <c r="QTU7" s="264"/>
      <c r="QTV7" s="264"/>
      <c r="QTW7" s="264"/>
      <c r="QTX7" s="264"/>
      <c r="QTY7" s="264"/>
      <c r="QTZ7" s="264"/>
      <c r="QUA7" s="264"/>
      <c r="QUB7" s="264"/>
      <c r="QUC7" s="264"/>
      <c r="QUD7" s="264"/>
      <c r="QUE7" s="264"/>
      <c r="QUF7" s="264"/>
      <c r="QUG7" s="264"/>
      <c r="QUH7" s="264"/>
      <c r="QUI7" s="264"/>
      <c r="QUJ7" s="264"/>
      <c r="QUK7" s="264"/>
      <c r="QUL7" s="264"/>
      <c r="QUM7" s="264"/>
      <c r="QUN7" s="264"/>
      <c r="QUO7" s="264"/>
      <c r="QUP7" s="264"/>
      <c r="QUQ7" s="264"/>
      <c r="QUR7" s="264"/>
      <c r="QUS7" s="264"/>
      <c r="QUT7" s="264"/>
      <c r="QUU7" s="264"/>
      <c r="QUV7" s="264"/>
      <c r="QUW7" s="264"/>
      <c r="QUX7" s="264"/>
      <c r="QUY7" s="264"/>
      <c r="QUZ7" s="264"/>
      <c r="QVA7" s="264"/>
      <c r="QVB7" s="264"/>
      <c r="QVC7" s="264"/>
      <c r="QVD7" s="264"/>
      <c r="QVE7" s="264"/>
      <c r="QVF7" s="264"/>
      <c r="QVG7" s="264"/>
      <c r="QVH7" s="264"/>
      <c r="QVI7" s="264"/>
      <c r="QVJ7" s="264"/>
      <c r="QVK7" s="264"/>
      <c r="QVL7" s="264"/>
      <c r="QVM7" s="264"/>
      <c r="QVN7" s="264"/>
      <c r="QVO7" s="264"/>
      <c r="QVP7" s="264"/>
      <c r="QVQ7" s="264"/>
      <c r="QVR7" s="264"/>
      <c r="QVS7" s="264"/>
      <c r="QVT7" s="264"/>
      <c r="QVU7" s="264"/>
      <c r="QVV7" s="264"/>
      <c r="QVW7" s="264"/>
      <c r="QVX7" s="264"/>
      <c r="QVY7" s="264"/>
      <c r="QVZ7" s="264"/>
      <c r="QWA7" s="264"/>
      <c r="QWB7" s="264"/>
      <c r="QWC7" s="264"/>
      <c r="QWD7" s="264"/>
      <c r="QWE7" s="264"/>
      <c r="QWF7" s="264"/>
      <c r="QWG7" s="264"/>
      <c r="QWH7" s="264"/>
      <c r="QWI7" s="264"/>
      <c r="QWJ7" s="264"/>
      <c r="QWK7" s="264"/>
      <c r="QWL7" s="264"/>
      <c r="QWM7" s="264"/>
      <c r="QWN7" s="264"/>
      <c r="QWO7" s="264"/>
      <c r="QWP7" s="264"/>
      <c r="QWQ7" s="264"/>
      <c r="QWR7" s="264"/>
      <c r="QWS7" s="264"/>
      <c r="QWT7" s="264"/>
      <c r="QWU7" s="264"/>
      <c r="QWV7" s="264"/>
      <c r="QWW7" s="264"/>
      <c r="QWX7" s="264"/>
      <c r="QWY7" s="264"/>
      <c r="QWZ7" s="264"/>
      <c r="QXA7" s="264"/>
      <c r="QXB7" s="264"/>
      <c r="QXC7" s="264"/>
      <c r="QXD7" s="264"/>
      <c r="QXE7" s="264"/>
      <c r="QXF7" s="264"/>
      <c r="QXG7" s="264"/>
      <c r="QXH7" s="264"/>
      <c r="QXI7" s="264"/>
      <c r="QXJ7" s="264"/>
      <c r="QXK7" s="264"/>
      <c r="QXL7" s="264"/>
      <c r="QXM7" s="264"/>
      <c r="QXN7" s="264"/>
      <c r="QXO7" s="264"/>
      <c r="QXP7" s="264"/>
      <c r="QXQ7" s="264"/>
      <c r="QXR7" s="264"/>
      <c r="QXS7" s="264"/>
      <c r="QXT7" s="264"/>
      <c r="QXU7" s="264"/>
      <c r="QXV7" s="264"/>
      <c r="QXW7" s="264"/>
      <c r="QXX7" s="264"/>
      <c r="QXY7" s="264"/>
      <c r="QXZ7" s="264"/>
      <c r="QYA7" s="264"/>
      <c r="QYB7" s="264"/>
      <c r="QYC7" s="264"/>
      <c r="QYD7" s="264"/>
      <c r="QYE7" s="264"/>
      <c r="QYF7" s="264"/>
      <c r="QYG7" s="264"/>
      <c r="QYH7" s="264"/>
      <c r="QYI7" s="264"/>
      <c r="QYJ7" s="264"/>
      <c r="QYK7" s="264"/>
      <c r="QYL7" s="264"/>
      <c r="QYM7" s="264"/>
      <c r="QYN7" s="264"/>
      <c r="QYO7" s="264"/>
      <c r="QYP7" s="264"/>
      <c r="QYQ7" s="264"/>
      <c r="QYR7" s="264"/>
      <c r="QYS7" s="264"/>
      <c r="QYT7" s="264"/>
      <c r="QYU7" s="264"/>
      <c r="QYV7" s="264"/>
      <c r="QYW7" s="264"/>
      <c r="QYX7" s="264"/>
      <c r="QYY7" s="264"/>
      <c r="QYZ7" s="264"/>
      <c r="QZA7" s="264"/>
      <c r="QZB7" s="264"/>
      <c r="QZC7" s="264"/>
      <c r="QZD7" s="264"/>
      <c r="QZE7" s="264"/>
      <c r="QZF7" s="264"/>
      <c r="QZG7" s="264"/>
      <c r="QZH7" s="264"/>
      <c r="QZI7" s="264"/>
      <c r="QZJ7" s="264"/>
      <c r="QZK7" s="264"/>
      <c r="QZL7" s="264"/>
      <c r="QZM7" s="264"/>
      <c r="QZN7" s="264"/>
      <c r="QZO7" s="264"/>
      <c r="QZP7" s="264"/>
      <c r="QZQ7" s="264"/>
      <c r="QZR7" s="264"/>
      <c r="QZS7" s="264"/>
      <c r="QZT7" s="264"/>
      <c r="QZU7" s="264"/>
      <c r="QZV7" s="264"/>
      <c r="QZW7" s="264"/>
      <c r="QZX7" s="264"/>
      <c r="QZY7" s="264"/>
      <c r="QZZ7" s="264"/>
      <c r="RAA7" s="264"/>
      <c r="RAB7" s="264"/>
      <c r="RAC7" s="264"/>
      <c r="RAD7" s="264"/>
      <c r="RAE7" s="264"/>
      <c r="RAF7" s="264"/>
      <c r="RAG7" s="264"/>
      <c r="RAH7" s="264"/>
      <c r="RAI7" s="264"/>
      <c r="RAJ7" s="264"/>
      <c r="RAK7" s="264"/>
      <c r="RAL7" s="264"/>
      <c r="RAM7" s="264"/>
      <c r="RAN7" s="264"/>
      <c r="RAO7" s="264"/>
      <c r="RAP7" s="264"/>
      <c r="RAQ7" s="264"/>
      <c r="RAR7" s="264"/>
      <c r="RAS7" s="264"/>
      <c r="RAT7" s="264"/>
      <c r="RAU7" s="264"/>
      <c r="RAV7" s="264"/>
      <c r="RAW7" s="264"/>
      <c r="RAX7" s="264"/>
      <c r="RAY7" s="264"/>
      <c r="RAZ7" s="264"/>
      <c r="RBA7" s="264"/>
      <c r="RBB7" s="264"/>
      <c r="RBC7" s="264"/>
      <c r="RBD7" s="264"/>
      <c r="RBE7" s="264"/>
      <c r="RBF7" s="264"/>
      <c r="RBG7" s="264"/>
      <c r="RBH7" s="264"/>
      <c r="RBI7" s="264"/>
      <c r="RBJ7" s="264"/>
      <c r="RBK7" s="264"/>
      <c r="RBL7" s="264"/>
      <c r="RBM7" s="264"/>
      <c r="RBN7" s="264"/>
      <c r="RBO7" s="264"/>
      <c r="RBP7" s="264"/>
      <c r="RBQ7" s="264"/>
      <c r="RBR7" s="264"/>
      <c r="RBS7" s="264"/>
      <c r="RBT7" s="264"/>
      <c r="RBU7" s="264"/>
      <c r="RBV7" s="264"/>
      <c r="RBW7" s="264"/>
      <c r="RBX7" s="264"/>
      <c r="RBY7" s="264"/>
      <c r="RBZ7" s="264"/>
      <c r="RCA7" s="264"/>
      <c r="RCB7" s="264"/>
      <c r="RCC7" s="264"/>
      <c r="RCD7" s="264"/>
      <c r="RCE7" s="264"/>
      <c r="RCF7" s="264"/>
      <c r="RCG7" s="264"/>
      <c r="RCH7" s="264"/>
      <c r="RCI7" s="264"/>
      <c r="RCJ7" s="264"/>
      <c r="RCK7" s="264"/>
      <c r="RCL7" s="264"/>
      <c r="RCM7" s="264"/>
      <c r="RCN7" s="264"/>
      <c r="RCO7" s="264"/>
      <c r="RCP7" s="264"/>
      <c r="RCQ7" s="264"/>
      <c r="RCR7" s="264"/>
      <c r="RCS7" s="264"/>
      <c r="RCT7" s="264"/>
      <c r="RCU7" s="264"/>
      <c r="RCV7" s="264"/>
      <c r="RCW7" s="264"/>
      <c r="RCX7" s="264"/>
      <c r="RCY7" s="264"/>
      <c r="RCZ7" s="264"/>
      <c r="RDA7" s="264"/>
      <c r="RDB7" s="264"/>
      <c r="RDC7" s="264"/>
      <c r="RDD7" s="264"/>
      <c r="RDE7" s="264"/>
      <c r="RDF7" s="264"/>
      <c r="RDG7" s="264"/>
      <c r="RDH7" s="264"/>
      <c r="RDI7" s="264"/>
      <c r="RDJ7" s="264"/>
      <c r="RDK7" s="264"/>
      <c r="RDL7" s="264"/>
      <c r="RDM7" s="264"/>
      <c r="RDN7" s="264"/>
      <c r="RDO7" s="264"/>
      <c r="RDP7" s="264"/>
      <c r="RDQ7" s="264"/>
      <c r="RDR7" s="264"/>
      <c r="RDS7" s="264"/>
      <c r="RDT7" s="264"/>
      <c r="RDU7" s="264"/>
      <c r="RDV7" s="264"/>
      <c r="RDW7" s="264"/>
      <c r="RDX7" s="264"/>
      <c r="RDY7" s="264"/>
      <c r="RDZ7" s="264"/>
      <c r="REA7" s="264"/>
      <c r="REB7" s="264"/>
      <c r="REC7" s="264"/>
      <c r="RED7" s="264"/>
      <c r="REE7" s="264"/>
      <c r="REF7" s="264"/>
      <c r="REG7" s="264"/>
      <c r="REH7" s="264"/>
      <c r="REI7" s="264"/>
      <c r="REJ7" s="264"/>
      <c r="REK7" s="264"/>
      <c r="REL7" s="264"/>
      <c r="REM7" s="264"/>
      <c r="REN7" s="264"/>
      <c r="REO7" s="264"/>
      <c r="REP7" s="264"/>
      <c r="REQ7" s="264"/>
      <c r="RER7" s="264"/>
      <c r="RES7" s="264"/>
      <c r="RET7" s="264"/>
      <c r="REU7" s="264"/>
      <c r="REV7" s="264"/>
      <c r="REW7" s="264"/>
      <c r="REX7" s="264"/>
      <c r="REY7" s="264"/>
      <c r="REZ7" s="264"/>
      <c r="RFA7" s="264"/>
      <c r="RFB7" s="264"/>
      <c r="RFC7" s="264"/>
      <c r="RFD7" s="264"/>
      <c r="RFE7" s="264"/>
      <c r="RFF7" s="264"/>
      <c r="RFG7" s="264"/>
      <c r="RFH7" s="264"/>
      <c r="RFI7" s="264"/>
      <c r="RFJ7" s="264"/>
      <c r="RFK7" s="264"/>
      <c r="RFL7" s="264"/>
      <c r="RFM7" s="264"/>
      <c r="RFN7" s="264"/>
      <c r="RFO7" s="264"/>
      <c r="RFP7" s="264"/>
      <c r="RFQ7" s="264"/>
      <c r="RFR7" s="264"/>
      <c r="RFS7" s="264"/>
      <c r="RFT7" s="264"/>
      <c r="RFU7" s="264"/>
      <c r="RFV7" s="264"/>
      <c r="RFW7" s="264"/>
      <c r="RFX7" s="264"/>
      <c r="RFY7" s="264"/>
      <c r="RFZ7" s="264"/>
      <c r="RGA7" s="264"/>
      <c r="RGB7" s="264"/>
      <c r="RGC7" s="264"/>
      <c r="RGD7" s="264"/>
      <c r="RGE7" s="264"/>
      <c r="RGF7" s="264"/>
      <c r="RGG7" s="264"/>
      <c r="RGH7" s="264"/>
      <c r="RGI7" s="264"/>
      <c r="RGJ7" s="264"/>
      <c r="RGK7" s="264"/>
      <c r="RGL7" s="264"/>
      <c r="RGM7" s="264"/>
      <c r="RGN7" s="264"/>
      <c r="RGO7" s="264"/>
      <c r="RGP7" s="264"/>
      <c r="RGQ7" s="264"/>
      <c r="RGR7" s="264"/>
      <c r="RGS7" s="264"/>
      <c r="RGT7" s="264"/>
      <c r="RGU7" s="264"/>
      <c r="RGV7" s="264"/>
      <c r="RGW7" s="264"/>
      <c r="RGX7" s="264"/>
      <c r="RGY7" s="264"/>
      <c r="RGZ7" s="264"/>
      <c r="RHA7" s="264"/>
      <c r="RHB7" s="264"/>
      <c r="RHC7" s="264"/>
      <c r="RHD7" s="264"/>
      <c r="RHE7" s="264"/>
      <c r="RHF7" s="264"/>
      <c r="RHG7" s="264"/>
      <c r="RHH7" s="264"/>
      <c r="RHI7" s="264"/>
      <c r="RHJ7" s="264"/>
      <c r="RHK7" s="264"/>
      <c r="RHL7" s="264"/>
      <c r="RHM7" s="264"/>
      <c r="RHN7" s="264"/>
      <c r="RHO7" s="264"/>
      <c r="RHP7" s="264"/>
      <c r="RHQ7" s="264"/>
      <c r="RHR7" s="264"/>
      <c r="RHS7" s="264"/>
      <c r="RHT7" s="264"/>
      <c r="RHU7" s="264"/>
      <c r="RHV7" s="264"/>
      <c r="RHW7" s="264"/>
      <c r="RHX7" s="264"/>
      <c r="RHY7" s="264"/>
      <c r="RHZ7" s="264"/>
      <c r="RIA7" s="264"/>
      <c r="RIB7" s="264"/>
      <c r="RIC7" s="264"/>
      <c r="RID7" s="264"/>
      <c r="RIE7" s="264"/>
      <c r="RIF7" s="264"/>
      <c r="RIG7" s="264"/>
      <c r="RIH7" s="264"/>
      <c r="RII7" s="264"/>
      <c r="RIJ7" s="264"/>
      <c r="RIK7" s="264"/>
      <c r="RIL7" s="264"/>
      <c r="RIM7" s="264"/>
      <c r="RIN7" s="264"/>
      <c r="RIO7" s="264"/>
      <c r="RIP7" s="264"/>
      <c r="RIQ7" s="264"/>
      <c r="RIR7" s="264"/>
      <c r="RIS7" s="264"/>
      <c r="RIT7" s="264"/>
      <c r="RIU7" s="264"/>
      <c r="RIV7" s="264"/>
      <c r="RIW7" s="264"/>
      <c r="RIX7" s="264"/>
      <c r="RIY7" s="264"/>
      <c r="RIZ7" s="264"/>
      <c r="RJA7" s="264"/>
      <c r="RJB7" s="264"/>
      <c r="RJC7" s="264"/>
      <c r="RJD7" s="264"/>
      <c r="RJE7" s="264"/>
      <c r="RJF7" s="264"/>
      <c r="RJG7" s="264"/>
      <c r="RJH7" s="264"/>
      <c r="RJI7" s="264"/>
      <c r="RJJ7" s="264"/>
      <c r="RJK7" s="264"/>
      <c r="RJL7" s="264"/>
      <c r="RJM7" s="264"/>
      <c r="RJN7" s="264"/>
      <c r="RJO7" s="264"/>
      <c r="RJP7" s="264"/>
      <c r="RJQ7" s="264"/>
      <c r="RJR7" s="264"/>
      <c r="RJS7" s="264"/>
      <c r="RJT7" s="264"/>
      <c r="RJU7" s="264"/>
      <c r="RJV7" s="264"/>
      <c r="RJW7" s="264"/>
      <c r="RJX7" s="264"/>
      <c r="RJY7" s="264"/>
      <c r="RJZ7" s="264"/>
      <c r="RKA7" s="264"/>
      <c r="RKB7" s="264"/>
      <c r="RKC7" s="264"/>
      <c r="RKD7" s="264"/>
      <c r="RKE7" s="264"/>
      <c r="RKF7" s="264"/>
      <c r="RKG7" s="264"/>
      <c r="RKH7" s="264"/>
      <c r="RKI7" s="264"/>
      <c r="RKJ7" s="264"/>
      <c r="RKK7" s="264"/>
      <c r="RKL7" s="264"/>
      <c r="RKM7" s="264"/>
      <c r="RKN7" s="264"/>
      <c r="RKO7" s="264"/>
      <c r="RKP7" s="264"/>
      <c r="RKQ7" s="264"/>
      <c r="RKR7" s="264"/>
      <c r="RKS7" s="264"/>
      <c r="RKT7" s="264"/>
      <c r="RKU7" s="264"/>
      <c r="RKV7" s="264"/>
      <c r="RKW7" s="264"/>
      <c r="RKX7" s="264"/>
      <c r="RKY7" s="264"/>
      <c r="RKZ7" s="264"/>
      <c r="RLA7" s="264"/>
      <c r="RLB7" s="264"/>
      <c r="RLC7" s="264"/>
      <c r="RLD7" s="264"/>
      <c r="RLE7" s="264"/>
      <c r="RLF7" s="264"/>
      <c r="RLG7" s="264"/>
      <c r="RLH7" s="264"/>
      <c r="RLI7" s="264"/>
      <c r="RLJ7" s="264"/>
      <c r="RLK7" s="264"/>
      <c r="RLL7" s="264"/>
      <c r="RLM7" s="264"/>
      <c r="RLN7" s="264"/>
      <c r="RLO7" s="264"/>
      <c r="RLP7" s="264"/>
      <c r="RLQ7" s="264"/>
      <c r="RLR7" s="264"/>
      <c r="RLS7" s="264"/>
      <c r="RLT7" s="264"/>
      <c r="RLU7" s="264"/>
      <c r="RLV7" s="264"/>
      <c r="RLW7" s="264"/>
      <c r="RLX7" s="264"/>
      <c r="RLY7" s="264"/>
      <c r="RLZ7" s="264"/>
      <c r="RMA7" s="264"/>
      <c r="RMB7" s="264"/>
      <c r="RMC7" s="264"/>
      <c r="RMD7" s="264"/>
      <c r="RME7" s="264"/>
      <c r="RMF7" s="264"/>
      <c r="RMG7" s="264"/>
      <c r="RMH7" s="264"/>
      <c r="RMI7" s="264"/>
      <c r="RMJ7" s="264"/>
      <c r="RMK7" s="264"/>
      <c r="RML7" s="264"/>
      <c r="RMM7" s="264"/>
      <c r="RMN7" s="264"/>
      <c r="RMO7" s="264"/>
      <c r="RMP7" s="264"/>
      <c r="RMQ7" s="264"/>
      <c r="RMR7" s="264"/>
      <c r="RMS7" s="264"/>
      <c r="RMT7" s="264"/>
      <c r="RMU7" s="264"/>
      <c r="RMV7" s="264"/>
      <c r="RMW7" s="264"/>
      <c r="RMX7" s="264"/>
      <c r="RMY7" s="264"/>
      <c r="RMZ7" s="264"/>
      <c r="RNA7" s="264"/>
      <c r="RNB7" s="264"/>
      <c r="RNC7" s="264"/>
      <c r="RND7" s="264"/>
      <c r="RNE7" s="264"/>
      <c r="RNF7" s="264"/>
      <c r="RNG7" s="264"/>
      <c r="RNH7" s="264"/>
      <c r="RNI7" s="264"/>
      <c r="RNJ7" s="264"/>
      <c r="RNK7" s="264"/>
      <c r="RNL7" s="264"/>
      <c r="RNM7" s="264"/>
      <c r="RNN7" s="264"/>
      <c r="RNO7" s="264"/>
      <c r="RNP7" s="264"/>
      <c r="RNQ7" s="264"/>
      <c r="RNR7" s="264"/>
      <c r="RNS7" s="264"/>
      <c r="RNT7" s="264"/>
      <c r="RNU7" s="264"/>
      <c r="RNV7" s="264"/>
      <c r="RNW7" s="264"/>
      <c r="RNX7" s="264"/>
      <c r="RNY7" s="264"/>
      <c r="RNZ7" s="264"/>
      <c r="ROA7" s="264"/>
      <c r="ROB7" s="264"/>
      <c r="ROC7" s="264"/>
      <c r="ROD7" s="264"/>
      <c r="ROE7" s="264"/>
      <c r="ROF7" s="264"/>
      <c r="ROG7" s="264"/>
      <c r="ROH7" s="264"/>
      <c r="ROI7" s="264"/>
      <c r="ROJ7" s="264"/>
      <c r="ROK7" s="264"/>
      <c r="ROL7" s="264"/>
      <c r="ROM7" s="264"/>
      <c r="RON7" s="264"/>
      <c r="ROO7" s="264"/>
      <c r="ROP7" s="264"/>
      <c r="ROQ7" s="264"/>
      <c r="ROR7" s="264"/>
      <c r="ROS7" s="264"/>
      <c r="ROT7" s="264"/>
      <c r="ROU7" s="264"/>
      <c r="ROV7" s="264"/>
      <c r="ROW7" s="264"/>
      <c r="ROX7" s="264"/>
      <c r="ROY7" s="264"/>
      <c r="ROZ7" s="264"/>
      <c r="RPA7" s="264"/>
      <c r="RPB7" s="264"/>
      <c r="RPC7" s="264"/>
      <c r="RPD7" s="264"/>
      <c r="RPE7" s="264"/>
      <c r="RPF7" s="264"/>
      <c r="RPG7" s="264"/>
      <c r="RPH7" s="264"/>
      <c r="RPI7" s="264"/>
      <c r="RPJ7" s="264"/>
      <c r="RPK7" s="264"/>
      <c r="RPL7" s="264"/>
      <c r="RPM7" s="264"/>
      <c r="RPN7" s="264"/>
      <c r="RPO7" s="264"/>
      <c r="RPP7" s="264"/>
      <c r="RPQ7" s="264"/>
      <c r="RPR7" s="264"/>
      <c r="RPS7" s="264"/>
      <c r="RPT7" s="264"/>
      <c r="RPU7" s="264"/>
      <c r="RPV7" s="264"/>
      <c r="RPW7" s="264"/>
      <c r="RPX7" s="264"/>
      <c r="RPY7" s="264"/>
      <c r="RPZ7" s="264"/>
      <c r="RQA7" s="264"/>
      <c r="RQB7" s="264"/>
      <c r="RQC7" s="264"/>
      <c r="RQD7" s="264"/>
      <c r="RQE7" s="264"/>
      <c r="RQF7" s="264"/>
      <c r="RQG7" s="264"/>
      <c r="RQH7" s="264"/>
      <c r="RQI7" s="264"/>
      <c r="RQJ7" s="264"/>
      <c r="RQK7" s="264"/>
      <c r="RQL7" s="264"/>
      <c r="RQM7" s="264"/>
      <c r="RQN7" s="264"/>
      <c r="RQO7" s="264"/>
      <c r="RQP7" s="264"/>
      <c r="RQQ7" s="264"/>
      <c r="RQR7" s="264"/>
      <c r="RQS7" s="264"/>
      <c r="RQT7" s="264"/>
      <c r="RQU7" s="264"/>
      <c r="RQV7" s="264"/>
      <c r="RQW7" s="264"/>
      <c r="RQX7" s="264"/>
      <c r="RQY7" s="264"/>
      <c r="RQZ7" s="264"/>
      <c r="RRA7" s="264"/>
      <c r="RRB7" s="264"/>
      <c r="RRC7" s="264"/>
      <c r="RRD7" s="264"/>
      <c r="RRE7" s="264"/>
      <c r="RRF7" s="264"/>
      <c r="RRG7" s="264"/>
      <c r="RRH7" s="264"/>
      <c r="RRI7" s="264"/>
      <c r="RRJ7" s="264"/>
      <c r="RRK7" s="264"/>
      <c r="RRL7" s="264"/>
      <c r="RRM7" s="264"/>
      <c r="RRN7" s="264"/>
      <c r="RRO7" s="264"/>
      <c r="RRP7" s="264"/>
      <c r="RRQ7" s="264"/>
      <c r="RRR7" s="264"/>
      <c r="RRS7" s="264"/>
      <c r="RRT7" s="264"/>
      <c r="RRU7" s="264"/>
      <c r="RRV7" s="264"/>
      <c r="RRW7" s="264"/>
      <c r="RRX7" s="264"/>
      <c r="RRY7" s="264"/>
      <c r="RRZ7" s="264"/>
      <c r="RSA7" s="264"/>
      <c r="RSB7" s="264"/>
      <c r="RSC7" s="264"/>
      <c r="RSD7" s="264"/>
      <c r="RSE7" s="264"/>
      <c r="RSF7" s="264"/>
      <c r="RSG7" s="264"/>
      <c r="RSH7" s="264"/>
      <c r="RSI7" s="264"/>
      <c r="RSJ7" s="264"/>
      <c r="RSK7" s="264"/>
      <c r="RSL7" s="264"/>
      <c r="RSM7" s="264"/>
      <c r="RSN7" s="264"/>
      <c r="RSO7" s="264"/>
      <c r="RSP7" s="264"/>
      <c r="RSQ7" s="264"/>
      <c r="RSR7" s="264"/>
      <c r="RSS7" s="264"/>
      <c r="RST7" s="264"/>
      <c r="RSU7" s="264"/>
      <c r="RSV7" s="264"/>
      <c r="RSW7" s="264"/>
      <c r="RSX7" s="264"/>
      <c r="RSY7" s="264"/>
      <c r="RSZ7" s="264"/>
      <c r="RTA7" s="264"/>
      <c r="RTB7" s="264"/>
      <c r="RTC7" s="264"/>
      <c r="RTD7" s="264"/>
      <c r="RTE7" s="264"/>
      <c r="RTF7" s="264"/>
      <c r="RTG7" s="264"/>
      <c r="RTH7" s="264"/>
      <c r="RTI7" s="264"/>
      <c r="RTJ7" s="264"/>
      <c r="RTK7" s="264"/>
      <c r="RTL7" s="264"/>
      <c r="RTM7" s="264"/>
      <c r="RTN7" s="264"/>
      <c r="RTO7" s="264"/>
      <c r="RTP7" s="264"/>
      <c r="RTQ7" s="264"/>
      <c r="RTR7" s="264"/>
      <c r="RTS7" s="264"/>
      <c r="RTT7" s="264"/>
      <c r="RTU7" s="264"/>
      <c r="RTV7" s="264"/>
      <c r="RTW7" s="264"/>
      <c r="RTX7" s="264"/>
      <c r="RTY7" s="264"/>
      <c r="RTZ7" s="264"/>
      <c r="RUA7" s="264"/>
      <c r="RUB7" s="264"/>
      <c r="RUC7" s="264"/>
      <c r="RUD7" s="264"/>
      <c r="RUE7" s="264"/>
      <c r="RUF7" s="264"/>
      <c r="RUG7" s="264"/>
      <c r="RUH7" s="264"/>
      <c r="RUI7" s="264"/>
      <c r="RUJ7" s="264"/>
      <c r="RUK7" s="264"/>
      <c r="RUL7" s="264"/>
      <c r="RUM7" s="264"/>
      <c r="RUN7" s="264"/>
      <c r="RUO7" s="264"/>
      <c r="RUP7" s="264"/>
      <c r="RUQ7" s="264"/>
      <c r="RUR7" s="264"/>
      <c r="RUS7" s="264"/>
      <c r="RUT7" s="264"/>
      <c r="RUU7" s="264"/>
      <c r="RUV7" s="264"/>
      <c r="RUW7" s="264"/>
      <c r="RUX7" s="264"/>
      <c r="RUY7" s="264"/>
      <c r="RUZ7" s="264"/>
      <c r="RVA7" s="264"/>
      <c r="RVB7" s="264"/>
      <c r="RVC7" s="264"/>
      <c r="RVD7" s="264"/>
      <c r="RVE7" s="264"/>
      <c r="RVF7" s="264"/>
      <c r="RVG7" s="264"/>
      <c r="RVH7" s="264"/>
      <c r="RVI7" s="264"/>
      <c r="RVJ7" s="264"/>
      <c r="RVK7" s="264"/>
      <c r="RVL7" s="264"/>
      <c r="RVM7" s="264"/>
      <c r="RVN7" s="264"/>
      <c r="RVO7" s="264"/>
      <c r="RVP7" s="264"/>
      <c r="RVQ7" s="264"/>
      <c r="RVR7" s="264"/>
      <c r="RVS7" s="264"/>
      <c r="RVT7" s="264"/>
      <c r="RVU7" s="264"/>
      <c r="RVV7" s="264"/>
      <c r="RVW7" s="264"/>
      <c r="RVX7" s="264"/>
      <c r="RVY7" s="264"/>
      <c r="RVZ7" s="264"/>
      <c r="RWA7" s="264"/>
      <c r="RWB7" s="264"/>
      <c r="RWC7" s="264"/>
      <c r="RWD7" s="264"/>
      <c r="RWE7" s="264"/>
      <c r="RWF7" s="264"/>
      <c r="RWG7" s="264"/>
      <c r="RWH7" s="264"/>
      <c r="RWI7" s="264"/>
      <c r="RWJ7" s="264"/>
      <c r="RWK7" s="264"/>
      <c r="RWL7" s="264"/>
      <c r="RWM7" s="264"/>
      <c r="RWN7" s="264"/>
      <c r="RWO7" s="264"/>
      <c r="RWP7" s="264"/>
      <c r="RWQ7" s="264"/>
      <c r="RWR7" s="264"/>
      <c r="RWS7" s="264"/>
      <c r="RWT7" s="264"/>
      <c r="RWU7" s="264"/>
      <c r="RWV7" s="264"/>
      <c r="RWW7" s="264"/>
      <c r="RWX7" s="264"/>
      <c r="RWY7" s="264"/>
      <c r="RWZ7" s="264"/>
      <c r="RXA7" s="264"/>
      <c r="RXB7" s="264"/>
      <c r="RXC7" s="264"/>
      <c r="RXD7" s="264"/>
      <c r="RXE7" s="264"/>
      <c r="RXF7" s="264"/>
      <c r="RXG7" s="264"/>
      <c r="RXH7" s="264"/>
      <c r="RXI7" s="264"/>
      <c r="RXJ7" s="264"/>
      <c r="RXK7" s="264"/>
      <c r="RXL7" s="264"/>
      <c r="RXM7" s="264"/>
      <c r="RXN7" s="264"/>
      <c r="RXO7" s="264"/>
      <c r="RXP7" s="264"/>
      <c r="RXQ7" s="264"/>
      <c r="RXR7" s="264"/>
      <c r="RXS7" s="264"/>
      <c r="RXT7" s="264"/>
      <c r="RXU7" s="264"/>
      <c r="RXV7" s="264"/>
      <c r="RXW7" s="264"/>
      <c r="RXX7" s="264"/>
      <c r="RXY7" s="264"/>
      <c r="RXZ7" s="264"/>
      <c r="RYA7" s="264"/>
      <c r="RYB7" s="264"/>
      <c r="RYC7" s="264"/>
      <c r="RYD7" s="264"/>
      <c r="RYE7" s="264"/>
      <c r="RYF7" s="264"/>
      <c r="RYG7" s="264"/>
      <c r="RYH7" s="264"/>
      <c r="RYI7" s="264"/>
      <c r="RYJ7" s="264"/>
      <c r="RYK7" s="264"/>
      <c r="RYL7" s="264"/>
      <c r="RYM7" s="264"/>
      <c r="RYN7" s="264"/>
      <c r="RYO7" s="264"/>
      <c r="RYP7" s="264"/>
      <c r="RYQ7" s="264"/>
      <c r="RYR7" s="264"/>
      <c r="RYS7" s="264"/>
      <c r="RYT7" s="264"/>
      <c r="RYU7" s="264"/>
      <c r="RYV7" s="264"/>
      <c r="RYW7" s="264"/>
      <c r="RYX7" s="264"/>
      <c r="RYY7" s="264"/>
      <c r="RYZ7" s="264"/>
      <c r="RZA7" s="264"/>
      <c r="RZB7" s="264"/>
      <c r="RZC7" s="264"/>
      <c r="RZD7" s="264"/>
      <c r="RZE7" s="264"/>
      <c r="RZF7" s="264"/>
      <c r="RZG7" s="264"/>
      <c r="RZH7" s="264"/>
      <c r="RZI7" s="264"/>
      <c r="RZJ7" s="264"/>
      <c r="RZK7" s="264"/>
      <c r="RZL7" s="264"/>
      <c r="RZM7" s="264"/>
      <c r="RZN7" s="264"/>
      <c r="RZO7" s="264"/>
      <c r="RZP7" s="264"/>
      <c r="RZQ7" s="264"/>
      <c r="RZR7" s="264"/>
      <c r="RZS7" s="264"/>
      <c r="RZT7" s="264"/>
      <c r="RZU7" s="264"/>
      <c r="RZV7" s="264"/>
      <c r="RZW7" s="264"/>
      <c r="RZX7" s="264"/>
      <c r="RZY7" s="264"/>
      <c r="RZZ7" s="264"/>
      <c r="SAA7" s="264"/>
      <c r="SAB7" s="264"/>
      <c r="SAC7" s="264"/>
      <c r="SAD7" s="264"/>
      <c r="SAE7" s="264"/>
      <c r="SAF7" s="264"/>
      <c r="SAG7" s="264"/>
      <c r="SAH7" s="264"/>
      <c r="SAI7" s="264"/>
      <c r="SAJ7" s="264"/>
      <c r="SAK7" s="264"/>
      <c r="SAL7" s="264"/>
      <c r="SAM7" s="264"/>
      <c r="SAN7" s="264"/>
      <c r="SAO7" s="264"/>
      <c r="SAP7" s="264"/>
      <c r="SAQ7" s="264"/>
      <c r="SAR7" s="264"/>
      <c r="SAS7" s="264"/>
      <c r="SAT7" s="264"/>
      <c r="SAU7" s="264"/>
      <c r="SAV7" s="264"/>
      <c r="SAW7" s="264"/>
      <c r="SAX7" s="264"/>
      <c r="SAY7" s="264"/>
      <c r="SAZ7" s="264"/>
      <c r="SBA7" s="264"/>
      <c r="SBB7" s="264"/>
      <c r="SBC7" s="264"/>
      <c r="SBD7" s="264"/>
      <c r="SBE7" s="264"/>
      <c r="SBF7" s="264"/>
      <c r="SBG7" s="264"/>
      <c r="SBH7" s="264"/>
      <c r="SBI7" s="264"/>
      <c r="SBJ7" s="264"/>
      <c r="SBK7" s="264"/>
      <c r="SBL7" s="264"/>
      <c r="SBM7" s="264"/>
      <c r="SBN7" s="264"/>
      <c r="SBO7" s="264"/>
      <c r="SBP7" s="264"/>
      <c r="SBQ7" s="264"/>
      <c r="SBR7" s="264"/>
      <c r="SBS7" s="264"/>
      <c r="SBT7" s="264"/>
      <c r="SBU7" s="264"/>
      <c r="SBV7" s="264"/>
      <c r="SBW7" s="264"/>
      <c r="SBX7" s="264"/>
      <c r="SBY7" s="264"/>
      <c r="SBZ7" s="264"/>
      <c r="SCA7" s="264"/>
      <c r="SCB7" s="264"/>
      <c r="SCC7" s="264"/>
      <c r="SCD7" s="264"/>
      <c r="SCE7" s="264"/>
      <c r="SCF7" s="264"/>
      <c r="SCG7" s="264"/>
      <c r="SCH7" s="264"/>
      <c r="SCI7" s="264"/>
      <c r="SCJ7" s="264"/>
      <c r="SCK7" s="264"/>
      <c r="SCL7" s="264"/>
      <c r="SCM7" s="264"/>
      <c r="SCN7" s="264"/>
      <c r="SCO7" s="264"/>
      <c r="SCP7" s="264"/>
      <c r="SCQ7" s="264"/>
      <c r="SCR7" s="264"/>
      <c r="SCS7" s="264"/>
      <c r="SCT7" s="264"/>
      <c r="SCU7" s="264"/>
      <c r="SCV7" s="264"/>
      <c r="SCW7" s="264"/>
      <c r="SCX7" s="264"/>
      <c r="SCY7" s="264"/>
      <c r="SCZ7" s="264"/>
      <c r="SDA7" s="264"/>
      <c r="SDB7" s="264"/>
      <c r="SDC7" s="264"/>
      <c r="SDD7" s="264"/>
      <c r="SDE7" s="264"/>
      <c r="SDF7" s="264"/>
      <c r="SDG7" s="264"/>
      <c r="SDH7" s="264"/>
      <c r="SDI7" s="264"/>
      <c r="SDJ7" s="264"/>
      <c r="SDK7" s="264"/>
      <c r="SDL7" s="264"/>
      <c r="SDM7" s="264"/>
      <c r="SDN7" s="264"/>
      <c r="SDO7" s="264"/>
      <c r="SDP7" s="264"/>
      <c r="SDQ7" s="264"/>
      <c r="SDR7" s="264"/>
      <c r="SDS7" s="264"/>
      <c r="SDT7" s="264"/>
      <c r="SDU7" s="264"/>
      <c r="SDV7" s="264"/>
      <c r="SDW7" s="264"/>
      <c r="SDX7" s="264"/>
      <c r="SDY7" s="264"/>
      <c r="SDZ7" s="264"/>
      <c r="SEA7" s="264"/>
      <c r="SEB7" s="264"/>
      <c r="SEC7" s="264"/>
      <c r="SED7" s="264"/>
      <c r="SEE7" s="264"/>
      <c r="SEF7" s="264"/>
      <c r="SEG7" s="264"/>
      <c r="SEH7" s="264"/>
      <c r="SEI7" s="264"/>
      <c r="SEJ7" s="264"/>
      <c r="SEK7" s="264"/>
      <c r="SEL7" s="264"/>
      <c r="SEM7" s="264"/>
      <c r="SEN7" s="264"/>
      <c r="SEO7" s="264"/>
      <c r="SEP7" s="264"/>
      <c r="SEQ7" s="264"/>
      <c r="SER7" s="264"/>
      <c r="SES7" s="264"/>
      <c r="SET7" s="264"/>
      <c r="SEU7" s="264"/>
      <c r="SEV7" s="264"/>
      <c r="SEW7" s="264"/>
      <c r="SEX7" s="264"/>
      <c r="SEY7" s="264"/>
      <c r="SEZ7" s="264"/>
      <c r="SFA7" s="264"/>
      <c r="SFB7" s="264"/>
      <c r="SFC7" s="264"/>
      <c r="SFD7" s="264"/>
      <c r="SFE7" s="264"/>
      <c r="SFF7" s="264"/>
      <c r="SFG7" s="264"/>
      <c r="SFH7" s="264"/>
      <c r="SFI7" s="264"/>
      <c r="SFJ7" s="264"/>
      <c r="SFK7" s="264"/>
      <c r="SFL7" s="264"/>
      <c r="SFM7" s="264"/>
      <c r="SFN7" s="264"/>
      <c r="SFO7" s="264"/>
      <c r="SFP7" s="264"/>
      <c r="SFQ7" s="264"/>
      <c r="SFR7" s="264"/>
      <c r="SFS7" s="264"/>
      <c r="SFT7" s="264"/>
      <c r="SFU7" s="264"/>
      <c r="SFV7" s="264"/>
      <c r="SFW7" s="264"/>
      <c r="SFX7" s="264"/>
      <c r="SFY7" s="264"/>
      <c r="SFZ7" s="264"/>
      <c r="SGA7" s="264"/>
      <c r="SGB7" s="264"/>
      <c r="SGC7" s="264"/>
      <c r="SGD7" s="264"/>
      <c r="SGE7" s="264"/>
      <c r="SGF7" s="264"/>
      <c r="SGG7" s="264"/>
      <c r="SGH7" s="264"/>
      <c r="SGI7" s="264"/>
      <c r="SGJ7" s="264"/>
      <c r="SGK7" s="264"/>
      <c r="SGL7" s="264"/>
      <c r="SGM7" s="264"/>
      <c r="SGN7" s="264"/>
      <c r="SGO7" s="264"/>
      <c r="SGP7" s="264"/>
      <c r="SGQ7" s="264"/>
      <c r="SGR7" s="264"/>
      <c r="SGS7" s="264"/>
      <c r="SGT7" s="264"/>
      <c r="SGU7" s="264"/>
      <c r="SGV7" s="264"/>
      <c r="SGW7" s="264"/>
      <c r="SGX7" s="264"/>
      <c r="SGY7" s="264"/>
      <c r="SGZ7" s="264"/>
      <c r="SHA7" s="264"/>
      <c r="SHB7" s="264"/>
      <c r="SHC7" s="264"/>
      <c r="SHD7" s="264"/>
      <c r="SHE7" s="264"/>
      <c r="SHF7" s="264"/>
      <c r="SHG7" s="264"/>
      <c r="SHH7" s="264"/>
      <c r="SHI7" s="264"/>
      <c r="SHJ7" s="264"/>
      <c r="SHK7" s="264"/>
      <c r="SHL7" s="264"/>
      <c r="SHM7" s="264"/>
      <c r="SHN7" s="264"/>
      <c r="SHO7" s="264"/>
      <c r="SHP7" s="264"/>
      <c r="SHQ7" s="264"/>
      <c r="SHR7" s="264"/>
      <c r="SHS7" s="264"/>
      <c r="SHT7" s="264"/>
      <c r="SHU7" s="264"/>
      <c r="SHV7" s="264"/>
      <c r="SHW7" s="264"/>
      <c r="SHX7" s="264"/>
      <c r="SHY7" s="264"/>
      <c r="SHZ7" s="264"/>
      <c r="SIA7" s="264"/>
      <c r="SIB7" s="264"/>
      <c r="SIC7" s="264"/>
      <c r="SID7" s="264"/>
      <c r="SIE7" s="264"/>
      <c r="SIF7" s="264"/>
      <c r="SIG7" s="264"/>
      <c r="SIH7" s="264"/>
      <c r="SII7" s="264"/>
      <c r="SIJ7" s="264"/>
      <c r="SIK7" s="264"/>
      <c r="SIL7" s="264"/>
      <c r="SIM7" s="264"/>
      <c r="SIN7" s="264"/>
      <c r="SIO7" s="264"/>
      <c r="SIP7" s="264"/>
      <c r="SIQ7" s="264"/>
      <c r="SIR7" s="264"/>
      <c r="SIS7" s="264"/>
      <c r="SIT7" s="264"/>
      <c r="SIU7" s="264"/>
      <c r="SIV7" s="264"/>
      <c r="SIW7" s="264"/>
      <c r="SIX7" s="264"/>
      <c r="SIY7" s="264"/>
      <c r="SIZ7" s="264"/>
      <c r="SJA7" s="264"/>
      <c r="SJB7" s="264"/>
      <c r="SJC7" s="264"/>
      <c r="SJD7" s="264"/>
      <c r="SJE7" s="264"/>
      <c r="SJF7" s="264"/>
      <c r="SJG7" s="264"/>
      <c r="SJH7" s="264"/>
      <c r="SJI7" s="264"/>
      <c r="SJJ7" s="264"/>
      <c r="SJK7" s="264"/>
      <c r="SJL7" s="264"/>
      <c r="SJM7" s="264"/>
      <c r="SJN7" s="264"/>
      <c r="SJO7" s="264"/>
      <c r="SJP7" s="264"/>
      <c r="SJQ7" s="264"/>
      <c r="SJR7" s="264"/>
      <c r="SJS7" s="264"/>
      <c r="SJT7" s="264"/>
      <c r="SJU7" s="264"/>
      <c r="SJV7" s="264"/>
      <c r="SJW7" s="264"/>
      <c r="SJX7" s="264"/>
      <c r="SJY7" s="264"/>
      <c r="SJZ7" s="264"/>
      <c r="SKA7" s="264"/>
      <c r="SKB7" s="264"/>
      <c r="SKC7" s="264"/>
      <c r="SKD7" s="264"/>
      <c r="SKE7" s="264"/>
      <c r="SKF7" s="264"/>
      <c r="SKG7" s="264"/>
      <c r="SKH7" s="264"/>
      <c r="SKI7" s="264"/>
      <c r="SKJ7" s="264"/>
      <c r="SKK7" s="264"/>
      <c r="SKL7" s="264"/>
      <c r="SKM7" s="264"/>
      <c r="SKN7" s="264"/>
      <c r="SKO7" s="264"/>
      <c r="SKP7" s="264"/>
      <c r="SKQ7" s="264"/>
      <c r="SKR7" s="264"/>
      <c r="SKS7" s="264"/>
      <c r="SKT7" s="264"/>
      <c r="SKU7" s="264"/>
      <c r="SKV7" s="264"/>
      <c r="SKW7" s="264"/>
      <c r="SKX7" s="264"/>
      <c r="SKY7" s="264"/>
      <c r="SKZ7" s="264"/>
      <c r="SLA7" s="264"/>
      <c r="SLB7" s="264"/>
      <c r="SLC7" s="264"/>
      <c r="SLD7" s="264"/>
      <c r="SLE7" s="264"/>
      <c r="SLF7" s="264"/>
      <c r="SLG7" s="264"/>
      <c r="SLH7" s="264"/>
      <c r="SLI7" s="264"/>
      <c r="SLJ7" s="264"/>
      <c r="SLK7" s="264"/>
      <c r="SLL7" s="264"/>
      <c r="SLM7" s="264"/>
      <c r="SLN7" s="264"/>
      <c r="SLO7" s="264"/>
      <c r="SLP7" s="264"/>
      <c r="SLQ7" s="264"/>
      <c r="SLR7" s="264"/>
      <c r="SLS7" s="264"/>
      <c r="SLT7" s="264"/>
      <c r="SLU7" s="264"/>
      <c r="SLV7" s="264"/>
      <c r="SLW7" s="264"/>
      <c r="SLX7" s="264"/>
      <c r="SLY7" s="264"/>
      <c r="SLZ7" s="264"/>
      <c r="SMA7" s="264"/>
      <c r="SMB7" s="264"/>
      <c r="SMC7" s="264"/>
      <c r="SMD7" s="264"/>
      <c r="SME7" s="264"/>
      <c r="SMF7" s="264"/>
      <c r="SMG7" s="264"/>
      <c r="SMH7" s="264"/>
      <c r="SMI7" s="264"/>
      <c r="SMJ7" s="264"/>
      <c r="SMK7" s="264"/>
      <c r="SML7" s="264"/>
      <c r="SMM7" s="264"/>
      <c r="SMN7" s="264"/>
      <c r="SMO7" s="264"/>
      <c r="SMP7" s="264"/>
      <c r="SMQ7" s="264"/>
      <c r="SMR7" s="264"/>
      <c r="SMS7" s="264"/>
      <c r="SMT7" s="264"/>
      <c r="SMU7" s="264"/>
      <c r="SMV7" s="264"/>
      <c r="SMW7" s="264"/>
      <c r="SMX7" s="264"/>
      <c r="SMY7" s="264"/>
      <c r="SMZ7" s="264"/>
      <c r="SNA7" s="264"/>
      <c r="SNB7" s="264"/>
      <c r="SNC7" s="264"/>
      <c r="SND7" s="264"/>
      <c r="SNE7" s="264"/>
      <c r="SNF7" s="264"/>
      <c r="SNG7" s="264"/>
      <c r="SNH7" s="264"/>
      <c r="SNI7" s="264"/>
      <c r="SNJ7" s="264"/>
      <c r="SNK7" s="264"/>
      <c r="SNL7" s="264"/>
      <c r="SNM7" s="264"/>
      <c r="SNN7" s="264"/>
      <c r="SNO7" s="264"/>
      <c r="SNP7" s="264"/>
      <c r="SNQ7" s="264"/>
      <c r="SNR7" s="264"/>
      <c r="SNS7" s="264"/>
      <c r="SNT7" s="264"/>
      <c r="SNU7" s="264"/>
      <c r="SNV7" s="264"/>
      <c r="SNW7" s="264"/>
      <c r="SNX7" s="264"/>
      <c r="SNY7" s="264"/>
      <c r="SNZ7" s="264"/>
      <c r="SOA7" s="264"/>
      <c r="SOB7" s="264"/>
      <c r="SOC7" s="264"/>
      <c r="SOD7" s="264"/>
      <c r="SOE7" s="264"/>
      <c r="SOF7" s="264"/>
      <c r="SOG7" s="264"/>
      <c r="SOH7" s="264"/>
      <c r="SOI7" s="264"/>
      <c r="SOJ7" s="264"/>
      <c r="SOK7" s="264"/>
      <c r="SOL7" s="264"/>
      <c r="SOM7" s="264"/>
      <c r="SON7" s="264"/>
      <c r="SOO7" s="264"/>
      <c r="SOP7" s="264"/>
      <c r="SOQ7" s="264"/>
      <c r="SOR7" s="264"/>
      <c r="SOS7" s="264"/>
      <c r="SOT7" s="264"/>
      <c r="SOU7" s="264"/>
      <c r="SOV7" s="264"/>
      <c r="SOW7" s="264"/>
      <c r="SOX7" s="264"/>
      <c r="SOY7" s="264"/>
      <c r="SOZ7" s="264"/>
      <c r="SPA7" s="264"/>
      <c r="SPB7" s="264"/>
      <c r="SPC7" s="264"/>
      <c r="SPD7" s="264"/>
      <c r="SPE7" s="264"/>
      <c r="SPF7" s="264"/>
      <c r="SPG7" s="264"/>
      <c r="SPH7" s="264"/>
      <c r="SPI7" s="264"/>
      <c r="SPJ7" s="264"/>
      <c r="SPK7" s="264"/>
      <c r="SPL7" s="264"/>
      <c r="SPM7" s="264"/>
      <c r="SPN7" s="264"/>
      <c r="SPO7" s="264"/>
      <c r="SPP7" s="264"/>
      <c r="SPQ7" s="264"/>
      <c r="SPR7" s="264"/>
      <c r="SPS7" s="264"/>
      <c r="SPT7" s="264"/>
      <c r="SPU7" s="264"/>
      <c r="SPV7" s="264"/>
      <c r="SPW7" s="264"/>
      <c r="SPX7" s="264"/>
      <c r="SPY7" s="264"/>
      <c r="SPZ7" s="264"/>
      <c r="SQA7" s="264"/>
      <c r="SQB7" s="264"/>
      <c r="SQC7" s="264"/>
      <c r="SQD7" s="264"/>
      <c r="SQE7" s="264"/>
      <c r="SQF7" s="264"/>
      <c r="SQG7" s="264"/>
      <c r="SQH7" s="264"/>
      <c r="SQI7" s="264"/>
      <c r="SQJ7" s="264"/>
      <c r="SQK7" s="264"/>
      <c r="SQL7" s="264"/>
      <c r="SQM7" s="264"/>
      <c r="SQN7" s="264"/>
      <c r="SQO7" s="264"/>
      <c r="SQP7" s="264"/>
      <c r="SQQ7" s="264"/>
      <c r="SQR7" s="264"/>
      <c r="SQS7" s="264"/>
      <c r="SQT7" s="264"/>
      <c r="SQU7" s="264"/>
      <c r="SQV7" s="264"/>
      <c r="SQW7" s="264"/>
      <c r="SQX7" s="264"/>
      <c r="SQY7" s="264"/>
      <c r="SQZ7" s="264"/>
      <c r="SRA7" s="264"/>
      <c r="SRB7" s="264"/>
      <c r="SRC7" s="264"/>
      <c r="SRD7" s="264"/>
      <c r="SRE7" s="264"/>
      <c r="SRF7" s="264"/>
      <c r="SRG7" s="264"/>
      <c r="SRH7" s="264"/>
      <c r="SRI7" s="264"/>
      <c r="SRJ7" s="264"/>
      <c r="SRK7" s="264"/>
      <c r="SRL7" s="264"/>
      <c r="SRM7" s="264"/>
      <c r="SRN7" s="264"/>
      <c r="SRO7" s="264"/>
      <c r="SRP7" s="264"/>
      <c r="SRQ7" s="264"/>
      <c r="SRR7" s="264"/>
      <c r="SRS7" s="264"/>
      <c r="SRT7" s="264"/>
      <c r="SRU7" s="264"/>
      <c r="SRV7" s="264"/>
      <c r="SRW7" s="264"/>
      <c r="SRX7" s="264"/>
      <c r="SRY7" s="264"/>
      <c r="SRZ7" s="264"/>
      <c r="SSA7" s="264"/>
      <c r="SSB7" s="264"/>
      <c r="SSC7" s="264"/>
      <c r="SSD7" s="264"/>
      <c r="SSE7" s="264"/>
      <c r="SSF7" s="264"/>
      <c r="SSG7" s="264"/>
      <c r="SSH7" s="264"/>
      <c r="SSI7" s="264"/>
      <c r="SSJ7" s="264"/>
      <c r="SSK7" s="264"/>
      <c r="SSL7" s="264"/>
      <c r="SSM7" s="264"/>
      <c r="SSN7" s="264"/>
      <c r="SSO7" s="264"/>
      <c r="SSP7" s="264"/>
      <c r="SSQ7" s="264"/>
      <c r="SSR7" s="264"/>
      <c r="SSS7" s="264"/>
      <c r="SST7" s="264"/>
      <c r="SSU7" s="264"/>
      <c r="SSV7" s="264"/>
      <c r="SSW7" s="264"/>
      <c r="SSX7" s="264"/>
      <c r="SSY7" s="264"/>
      <c r="SSZ7" s="264"/>
      <c r="STA7" s="264"/>
      <c r="STB7" s="264"/>
      <c r="STC7" s="264"/>
      <c r="STD7" s="264"/>
      <c r="STE7" s="264"/>
      <c r="STF7" s="264"/>
      <c r="STG7" s="264"/>
      <c r="STH7" s="264"/>
      <c r="STI7" s="264"/>
      <c r="STJ7" s="264"/>
      <c r="STK7" s="264"/>
      <c r="STL7" s="264"/>
      <c r="STM7" s="264"/>
      <c r="STN7" s="264"/>
      <c r="STO7" s="264"/>
      <c r="STP7" s="264"/>
      <c r="STQ7" s="264"/>
      <c r="STR7" s="264"/>
      <c r="STS7" s="264"/>
      <c r="STT7" s="264"/>
      <c r="STU7" s="264"/>
      <c r="STV7" s="264"/>
      <c r="STW7" s="264"/>
      <c r="STX7" s="264"/>
      <c r="STY7" s="264"/>
      <c r="STZ7" s="264"/>
      <c r="SUA7" s="264"/>
      <c r="SUB7" s="264"/>
      <c r="SUC7" s="264"/>
      <c r="SUD7" s="264"/>
      <c r="SUE7" s="264"/>
      <c r="SUF7" s="264"/>
      <c r="SUG7" s="264"/>
      <c r="SUH7" s="264"/>
      <c r="SUI7" s="264"/>
      <c r="SUJ7" s="264"/>
      <c r="SUK7" s="264"/>
      <c r="SUL7" s="264"/>
      <c r="SUM7" s="264"/>
      <c r="SUN7" s="264"/>
      <c r="SUO7" s="264"/>
      <c r="SUP7" s="264"/>
      <c r="SUQ7" s="264"/>
      <c r="SUR7" s="264"/>
      <c r="SUS7" s="264"/>
      <c r="SUT7" s="264"/>
      <c r="SUU7" s="264"/>
      <c r="SUV7" s="264"/>
      <c r="SUW7" s="264"/>
      <c r="SUX7" s="264"/>
      <c r="SUY7" s="264"/>
      <c r="SUZ7" s="264"/>
      <c r="SVA7" s="264"/>
      <c r="SVB7" s="264"/>
      <c r="SVC7" s="264"/>
      <c r="SVD7" s="264"/>
      <c r="SVE7" s="264"/>
      <c r="SVF7" s="264"/>
      <c r="SVG7" s="264"/>
      <c r="SVH7" s="264"/>
      <c r="SVI7" s="264"/>
      <c r="SVJ7" s="264"/>
      <c r="SVK7" s="264"/>
      <c r="SVL7" s="264"/>
      <c r="SVM7" s="264"/>
      <c r="SVN7" s="264"/>
      <c r="SVO7" s="264"/>
      <c r="SVP7" s="264"/>
      <c r="SVQ7" s="264"/>
      <c r="SVR7" s="264"/>
      <c r="SVS7" s="264"/>
      <c r="SVT7" s="264"/>
      <c r="SVU7" s="264"/>
      <c r="SVV7" s="264"/>
      <c r="SVW7" s="264"/>
      <c r="SVX7" s="264"/>
      <c r="SVY7" s="264"/>
      <c r="SVZ7" s="264"/>
      <c r="SWA7" s="264"/>
      <c r="SWB7" s="264"/>
      <c r="SWC7" s="264"/>
      <c r="SWD7" s="264"/>
      <c r="SWE7" s="264"/>
      <c r="SWF7" s="264"/>
      <c r="SWG7" s="264"/>
      <c r="SWH7" s="264"/>
      <c r="SWI7" s="264"/>
      <c r="SWJ7" s="264"/>
      <c r="SWK7" s="264"/>
      <c r="SWL7" s="264"/>
      <c r="SWM7" s="264"/>
      <c r="SWN7" s="264"/>
      <c r="SWO7" s="264"/>
      <c r="SWP7" s="264"/>
      <c r="SWQ7" s="264"/>
      <c r="SWR7" s="264"/>
      <c r="SWS7" s="264"/>
      <c r="SWT7" s="264"/>
      <c r="SWU7" s="264"/>
      <c r="SWV7" s="264"/>
      <c r="SWW7" s="264"/>
      <c r="SWX7" s="264"/>
      <c r="SWY7" s="264"/>
      <c r="SWZ7" s="264"/>
      <c r="SXA7" s="264"/>
      <c r="SXB7" s="264"/>
      <c r="SXC7" s="264"/>
      <c r="SXD7" s="264"/>
      <c r="SXE7" s="264"/>
      <c r="SXF7" s="264"/>
      <c r="SXG7" s="264"/>
      <c r="SXH7" s="264"/>
      <c r="SXI7" s="264"/>
      <c r="SXJ7" s="264"/>
      <c r="SXK7" s="264"/>
      <c r="SXL7" s="264"/>
      <c r="SXM7" s="264"/>
      <c r="SXN7" s="264"/>
      <c r="SXO7" s="264"/>
      <c r="SXP7" s="264"/>
      <c r="SXQ7" s="264"/>
      <c r="SXR7" s="264"/>
      <c r="SXS7" s="264"/>
      <c r="SXT7" s="264"/>
      <c r="SXU7" s="264"/>
      <c r="SXV7" s="264"/>
      <c r="SXW7" s="264"/>
      <c r="SXX7" s="264"/>
      <c r="SXY7" s="264"/>
      <c r="SXZ7" s="264"/>
      <c r="SYA7" s="264"/>
      <c r="SYB7" s="264"/>
      <c r="SYC7" s="264"/>
      <c r="SYD7" s="264"/>
      <c r="SYE7" s="264"/>
      <c r="SYF7" s="264"/>
      <c r="SYG7" s="264"/>
      <c r="SYH7" s="264"/>
      <c r="SYI7" s="264"/>
      <c r="SYJ7" s="264"/>
      <c r="SYK7" s="264"/>
      <c r="SYL7" s="264"/>
      <c r="SYM7" s="264"/>
      <c r="SYN7" s="264"/>
      <c r="SYO7" s="264"/>
      <c r="SYP7" s="264"/>
      <c r="SYQ7" s="264"/>
      <c r="SYR7" s="264"/>
      <c r="SYS7" s="264"/>
      <c r="SYT7" s="264"/>
      <c r="SYU7" s="264"/>
      <c r="SYV7" s="264"/>
      <c r="SYW7" s="264"/>
      <c r="SYX7" s="264"/>
      <c r="SYY7" s="264"/>
      <c r="SYZ7" s="264"/>
      <c r="SZA7" s="264"/>
      <c r="SZB7" s="264"/>
      <c r="SZC7" s="264"/>
      <c r="SZD7" s="264"/>
      <c r="SZE7" s="264"/>
      <c r="SZF7" s="264"/>
      <c r="SZG7" s="264"/>
      <c r="SZH7" s="264"/>
      <c r="SZI7" s="264"/>
      <c r="SZJ7" s="264"/>
      <c r="SZK7" s="264"/>
      <c r="SZL7" s="264"/>
      <c r="SZM7" s="264"/>
      <c r="SZN7" s="264"/>
      <c r="SZO7" s="264"/>
      <c r="SZP7" s="264"/>
      <c r="SZQ7" s="264"/>
      <c r="SZR7" s="264"/>
      <c r="SZS7" s="264"/>
      <c r="SZT7" s="264"/>
      <c r="SZU7" s="264"/>
      <c r="SZV7" s="264"/>
      <c r="SZW7" s="264"/>
      <c r="SZX7" s="264"/>
      <c r="SZY7" s="264"/>
      <c r="SZZ7" s="264"/>
      <c r="TAA7" s="264"/>
      <c r="TAB7" s="264"/>
      <c r="TAC7" s="264"/>
      <c r="TAD7" s="264"/>
      <c r="TAE7" s="264"/>
      <c r="TAF7" s="264"/>
      <c r="TAG7" s="264"/>
      <c r="TAH7" s="264"/>
      <c r="TAI7" s="264"/>
      <c r="TAJ7" s="264"/>
      <c r="TAK7" s="264"/>
      <c r="TAL7" s="264"/>
      <c r="TAM7" s="264"/>
      <c r="TAN7" s="264"/>
      <c r="TAO7" s="264"/>
      <c r="TAP7" s="264"/>
      <c r="TAQ7" s="264"/>
      <c r="TAR7" s="264"/>
      <c r="TAS7" s="264"/>
      <c r="TAT7" s="264"/>
      <c r="TAU7" s="264"/>
      <c r="TAV7" s="264"/>
      <c r="TAW7" s="264"/>
      <c r="TAX7" s="264"/>
      <c r="TAY7" s="264"/>
      <c r="TAZ7" s="264"/>
      <c r="TBA7" s="264"/>
      <c r="TBB7" s="264"/>
      <c r="TBC7" s="264"/>
      <c r="TBD7" s="264"/>
      <c r="TBE7" s="264"/>
      <c r="TBF7" s="264"/>
      <c r="TBG7" s="264"/>
      <c r="TBH7" s="264"/>
      <c r="TBI7" s="264"/>
      <c r="TBJ7" s="264"/>
      <c r="TBK7" s="264"/>
      <c r="TBL7" s="264"/>
      <c r="TBM7" s="264"/>
      <c r="TBN7" s="264"/>
      <c r="TBO7" s="264"/>
      <c r="TBP7" s="264"/>
      <c r="TBQ7" s="264"/>
      <c r="TBR7" s="264"/>
      <c r="TBS7" s="264"/>
      <c r="TBT7" s="264"/>
      <c r="TBU7" s="264"/>
      <c r="TBV7" s="264"/>
      <c r="TBW7" s="264"/>
      <c r="TBX7" s="264"/>
      <c r="TBY7" s="264"/>
      <c r="TBZ7" s="264"/>
      <c r="TCA7" s="264"/>
      <c r="TCB7" s="264"/>
      <c r="TCC7" s="264"/>
      <c r="TCD7" s="264"/>
      <c r="TCE7" s="264"/>
      <c r="TCF7" s="264"/>
      <c r="TCG7" s="264"/>
      <c r="TCH7" s="264"/>
      <c r="TCI7" s="264"/>
      <c r="TCJ7" s="264"/>
      <c r="TCK7" s="264"/>
      <c r="TCL7" s="264"/>
      <c r="TCM7" s="264"/>
      <c r="TCN7" s="264"/>
      <c r="TCO7" s="264"/>
      <c r="TCP7" s="264"/>
      <c r="TCQ7" s="264"/>
      <c r="TCR7" s="264"/>
      <c r="TCS7" s="264"/>
      <c r="TCT7" s="264"/>
      <c r="TCU7" s="264"/>
      <c r="TCV7" s="264"/>
      <c r="TCW7" s="264"/>
      <c r="TCX7" s="264"/>
      <c r="TCY7" s="264"/>
      <c r="TCZ7" s="264"/>
      <c r="TDA7" s="264"/>
      <c r="TDB7" s="264"/>
      <c r="TDC7" s="264"/>
      <c r="TDD7" s="264"/>
      <c r="TDE7" s="264"/>
      <c r="TDF7" s="264"/>
      <c r="TDG7" s="264"/>
      <c r="TDH7" s="264"/>
      <c r="TDI7" s="264"/>
      <c r="TDJ7" s="264"/>
      <c r="TDK7" s="264"/>
      <c r="TDL7" s="264"/>
      <c r="TDM7" s="264"/>
      <c r="TDN7" s="264"/>
      <c r="TDO7" s="264"/>
      <c r="TDP7" s="264"/>
      <c r="TDQ7" s="264"/>
      <c r="TDR7" s="264"/>
      <c r="TDS7" s="264"/>
      <c r="TDT7" s="264"/>
      <c r="TDU7" s="264"/>
      <c r="TDV7" s="264"/>
      <c r="TDW7" s="264"/>
      <c r="TDX7" s="264"/>
      <c r="TDY7" s="264"/>
      <c r="TDZ7" s="264"/>
      <c r="TEA7" s="264"/>
      <c r="TEB7" s="264"/>
      <c r="TEC7" s="264"/>
      <c r="TED7" s="264"/>
      <c r="TEE7" s="264"/>
      <c r="TEF7" s="264"/>
      <c r="TEG7" s="264"/>
      <c r="TEH7" s="264"/>
      <c r="TEI7" s="264"/>
      <c r="TEJ7" s="264"/>
      <c r="TEK7" s="264"/>
      <c r="TEL7" s="264"/>
      <c r="TEM7" s="264"/>
      <c r="TEN7" s="264"/>
      <c r="TEO7" s="264"/>
      <c r="TEP7" s="264"/>
      <c r="TEQ7" s="264"/>
      <c r="TER7" s="264"/>
      <c r="TES7" s="264"/>
      <c r="TET7" s="264"/>
      <c r="TEU7" s="264"/>
      <c r="TEV7" s="264"/>
      <c r="TEW7" s="264"/>
      <c r="TEX7" s="264"/>
      <c r="TEY7" s="264"/>
      <c r="TEZ7" s="264"/>
      <c r="TFA7" s="264"/>
      <c r="TFB7" s="264"/>
      <c r="TFC7" s="264"/>
      <c r="TFD7" s="264"/>
      <c r="TFE7" s="264"/>
      <c r="TFF7" s="264"/>
      <c r="TFG7" s="264"/>
      <c r="TFH7" s="264"/>
      <c r="TFI7" s="264"/>
      <c r="TFJ7" s="264"/>
      <c r="TFK7" s="264"/>
      <c r="TFL7" s="264"/>
      <c r="TFM7" s="264"/>
      <c r="TFN7" s="264"/>
      <c r="TFO7" s="264"/>
      <c r="TFP7" s="264"/>
      <c r="TFQ7" s="264"/>
      <c r="TFR7" s="264"/>
      <c r="TFS7" s="264"/>
      <c r="TFT7" s="264"/>
      <c r="TFU7" s="264"/>
      <c r="TFV7" s="264"/>
      <c r="TFW7" s="264"/>
      <c r="TFX7" s="264"/>
      <c r="TFY7" s="264"/>
      <c r="TFZ7" s="264"/>
      <c r="TGA7" s="264"/>
      <c r="TGB7" s="264"/>
      <c r="TGC7" s="264"/>
      <c r="TGD7" s="264"/>
      <c r="TGE7" s="264"/>
      <c r="TGF7" s="264"/>
      <c r="TGG7" s="264"/>
      <c r="TGH7" s="264"/>
      <c r="TGI7" s="264"/>
      <c r="TGJ7" s="264"/>
      <c r="TGK7" s="264"/>
      <c r="TGL7" s="264"/>
      <c r="TGM7" s="264"/>
      <c r="TGN7" s="264"/>
      <c r="TGO7" s="264"/>
      <c r="TGP7" s="264"/>
      <c r="TGQ7" s="264"/>
      <c r="TGR7" s="264"/>
      <c r="TGS7" s="264"/>
      <c r="TGT7" s="264"/>
      <c r="TGU7" s="264"/>
      <c r="TGV7" s="264"/>
      <c r="TGW7" s="264"/>
      <c r="TGX7" s="264"/>
      <c r="TGY7" s="264"/>
      <c r="TGZ7" s="264"/>
      <c r="THA7" s="264"/>
      <c r="THB7" s="264"/>
      <c r="THC7" s="264"/>
      <c r="THD7" s="264"/>
      <c r="THE7" s="264"/>
      <c r="THF7" s="264"/>
      <c r="THG7" s="264"/>
      <c r="THH7" s="264"/>
      <c r="THI7" s="264"/>
      <c r="THJ7" s="264"/>
      <c r="THK7" s="264"/>
      <c r="THL7" s="264"/>
      <c r="THM7" s="264"/>
      <c r="THN7" s="264"/>
      <c r="THO7" s="264"/>
      <c r="THP7" s="264"/>
      <c r="THQ7" s="264"/>
      <c r="THR7" s="264"/>
      <c r="THS7" s="264"/>
      <c r="THT7" s="264"/>
      <c r="THU7" s="264"/>
      <c r="THV7" s="264"/>
      <c r="THW7" s="264"/>
      <c r="THX7" s="264"/>
      <c r="THY7" s="264"/>
      <c r="THZ7" s="264"/>
      <c r="TIA7" s="264"/>
      <c r="TIB7" s="264"/>
      <c r="TIC7" s="264"/>
      <c r="TID7" s="264"/>
      <c r="TIE7" s="264"/>
      <c r="TIF7" s="264"/>
      <c r="TIG7" s="264"/>
      <c r="TIH7" s="264"/>
      <c r="TII7" s="264"/>
      <c r="TIJ7" s="264"/>
      <c r="TIK7" s="264"/>
      <c r="TIL7" s="264"/>
      <c r="TIM7" s="264"/>
      <c r="TIN7" s="264"/>
      <c r="TIO7" s="264"/>
      <c r="TIP7" s="264"/>
      <c r="TIQ7" s="264"/>
      <c r="TIR7" s="264"/>
      <c r="TIS7" s="264"/>
      <c r="TIT7" s="264"/>
      <c r="TIU7" s="264"/>
      <c r="TIV7" s="264"/>
      <c r="TIW7" s="264"/>
      <c r="TIX7" s="264"/>
      <c r="TIY7" s="264"/>
      <c r="TIZ7" s="264"/>
      <c r="TJA7" s="264"/>
      <c r="TJB7" s="264"/>
      <c r="TJC7" s="264"/>
      <c r="TJD7" s="264"/>
      <c r="TJE7" s="264"/>
      <c r="TJF7" s="264"/>
      <c r="TJG7" s="264"/>
      <c r="TJH7" s="264"/>
      <c r="TJI7" s="264"/>
      <c r="TJJ7" s="264"/>
      <c r="TJK7" s="264"/>
      <c r="TJL7" s="264"/>
      <c r="TJM7" s="264"/>
      <c r="TJN7" s="264"/>
      <c r="TJO7" s="264"/>
      <c r="TJP7" s="264"/>
      <c r="TJQ7" s="264"/>
      <c r="TJR7" s="264"/>
      <c r="TJS7" s="264"/>
      <c r="TJT7" s="264"/>
      <c r="TJU7" s="264"/>
      <c r="TJV7" s="264"/>
      <c r="TJW7" s="264"/>
      <c r="TJX7" s="264"/>
      <c r="TJY7" s="264"/>
      <c r="TJZ7" s="264"/>
      <c r="TKA7" s="264"/>
      <c r="TKB7" s="264"/>
      <c r="TKC7" s="264"/>
      <c r="TKD7" s="264"/>
      <c r="TKE7" s="264"/>
      <c r="TKF7" s="264"/>
      <c r="TKG7" s="264"/>
      <c r="TKH7" s="264"/>
      <c r="TKI7" s="264"/>
      <c r="TKJ7" s="264"/>
      <c r="TKK7" s="264"/>
      <c r="TKL7" s="264"/>
      <c r="TKM7" s="264"/>
      <c r="TKN7" s="264"/>
      <c r="TKO7" s="264"/>
      <c r="TKP7" s="264"/>
      <c r="TKQ7" s="264"/>
      <c r="TKR7" s="264"/>
      <c r="TKS7" s="264"/>
      <c r="TKT7" s="264"/>
      <c r="TKU7" s="264"/>
      <c r="TKV7" s="264"/>
      <c r="TKW7" s="264"/>
      <c r="TKX7" s="264"/>
      <c r="TKY7" s="264"/>
      <c r="TKZ7" s="264"/>
      <c r="TLA7" s="264"/>
      <c r="TLB7" s="264"/>
      <c r="TLC7" s="264"/>
      <c r="TLD7" s="264"/>
      <c r="TLE7" s="264"/>
      <c r="TLF7" s="264"/>
      <c r="TLG7" s="264"/>
      <c r="TLH7" s="264"/>
      <c r="TLI7" s="264"/>
      <c r="TLJ7" s="264"/>
      <c r="TLK7" s="264"/>
      <c r="TLL7" s="264"/>
      <c r="TLM7" s="264"/>
      <c r="TLN7" s="264"/>
      <c r="TLO7" s="264"/>
      <c r="TLP7" s="264"/>
      <c r="TLQ7" s="264"/>
      <c r="TLR7" s="264"/>
      <c r="TLS7" s="264"/>
      <c r="TLT7" s="264"/>
      <c r="TLU7" s="264"/>
      <c r="TLV7" s="264"/>
      <c r="TLW7" s="264"/>
      <c r="TLX7" s="264"/>
      <c r="TLY7" s="264"/>
      <c r="TLZ7" s="264"/>
      <c r="TMA7" s="264"/>
      <c r="TMB7" s="264"/>
      <c r="TMC7" s="264"/>
      <c r="TMD7" s="264"/>
      <c r="TME7" s="264"/>
      <c r="TMF7" s="264"/>
      <c r="TMG7" s="264"/>
      <c r="TMH7" s="264"/>
      <c r="TMI7" s="264"/>
      <c r="TMJ7" s="264"/>
      <c r="TMK7" s="264"/>
      <c r="TML7" s="264"/>
      <c r="TMM7" s="264"/>
      <c r="TMN7" s="264"/>
      <c r="TMO7" s="264"/>
      <c r="TMP7" s="264"/>
      <c r="TMQ7" s="264"/>
      <c r="TMR7" s="264"/>
      <c r="TMS7" s="264"/>
      <c r="TMT7" s="264"/>
      <c r="TMU7" s="264"/>
      <c r="TMV7" s="264"/>
      <c r="TMW7" s="264"/>
      <c r="TMX7" s="264"/>
      <c r="TMY7" s="264"/>
      <c r="TMZ7" s="264"/>
      <c r="TNA7" s="264"/>
      <c r="TNB7" s="264"/>
      <c r="TNC7" s="264"/>
      <c r="TND7" s="264"/>
      <c r="TNE7" s="264"/>
      <c r="TNF7" s="264"/>
      <c r="TNG7" s="264"/>
      <c r="TNH7" s="264"/>
      <c r="TNI7" s="264"/>
      <c r="TNJ7" s="264"/>
      <c r="TNK7" s="264"/>
      <c r="TNL7" s="264"/>
      <c r="TNM7" s="264"/>
      <c r="TNN7" s="264"/>
      <c r="TNO7" s="264"/>
      <c r="TNP7" s="264"/>
      <c r="TNQ7" s="264"/>
      <c r="TNR7" s="264"/>
      <c r="TNS7" s="264"/>
      <c r="TNT7" s="264"/>
      <c r="TNU7" s="264"/>
      <c r="TNV7" s="264"/>
      <c r="TNW7" s="264"/>
      <c r="TNX7" s="264"/>
      <c r="TNY7" s="264"/>
      <c r="TNZ7" s="264"/>
      <c r="TOA7" s="264"/>
      <c r="TOB7" s="264"/>
      <c r="TOC7" s="264"/>
      <c r="TOD7" s="264"/>
      <c r="TOE7" s="264"/>
      <c r="TOF7" s="264"/>
      <c r="TOG7" s="264"/>
      <c r="TOH7" s="264"/>
      <c r="TOI7" s="264"/>
      <c r="TOJ7" s="264"/>
      <c r="TOK7" s="264"/>
      <c r="TOL7" s="264"/>
      <c r="TOM7" s="264"/>
      <c r="TON7" s="264"/>
      <c r="TOO7" s="264"/>
      <c r="TOP7" s="264"/>
      <c r="TOQ7" s="264"/>
      <c r="TOR7" s="264"/>
      <c r="TOS7" s="264"/>
      <c r="TOT7" s="264"/>
      <c r="TOU7" s="264"/>
      <c r="TOV7" s="264"/>
      <c r="TOW7" s="264"/>
      <c r="TOX7" s="264"/>
      <c r="TOY7" s="264"/>
      <c r="TOZ7" s="264"/>
      <c r="TPA7" s="264"/>
      <c r="TPB7" s="264"/>
      <c r="TPC7" s="264"/>
      <c r="TPD7" s="264"/>
      <c r="TPE7" s="264"/>
      <c r="TPF7" s="264"/>
      <c r="TPG7" s="264"/>
      <c r="TPH7" s="264"/>
      <c r="TPI7" s="264"/>
      <c r="TPJ7" s="264"/>
      <c r="TPK7" s="264"/>
      <c r="TPL7" s="264"/>
      <c r="TPM7" s="264"/>
      <c r="TPN7" s="264"/>
      <c r="TPO7" s="264"/>
      <c r="TPP7" s="264"/>
      <c r="TPQ7" s="264"/>
      <c r="TPR7" s="264"/>
      <c r="TPS7" s="264"/>
      <c r="TPT7" s="264"/>
      <c r="TPU7" s="264"/>
      <c r="TPV7" s="264"/>
      <c r="TPW7" s="264"/>
      <c r="TPX7" s="264"/>
      <c r="TPY7" s="264"/>
      <c r="TPZ7" s="264"/>
      <c r="TQA7" s="264"/>
      <c r="TQB7" s="264"/>
      <c r="TQC7" s="264"/>
      <c r="TQD7" s="264"/>
      <c r="TQE7" s="264"/>
      <c r="TQF7" s="264"/>
      <c r="TQG7" s="264"/>
      <c r="TQH7" s="264"/>
      <c r="TQI7" s="264"/>
      <c r="TQJ7" s="264"/>
      <c r="TQK7" s="264"/>
      <c r="TQL7" s="264"/>
      <c r="TQM7" s="264"/>
      <c r="TQN7" s="264"/>
      <c r="TQO7" s="264"/>
      <c r="TQP7" s="264"/>
      <c r="TQQ7" s="264"/>
      <c r="TQR7" s="264"/>
      <c r="TQS7" s="264"/>
      <c r="TQT7" s="264"/>
      <c r="TQU7" s="264"/>
      <c r="TQV7" s="264"/>
      <c r="TQW7" s="264"/>
      <c r="TQX7" s="264"/>
      <c r="TQY7" s="264"/>
      <c r="TQZ7" s="264"/>
      <c r="TRA7" s="264"/>
      <c r="TRB7" s="264"/>
      <c r="TRC7" s="264"/>
      <c r="TRD7" s="264"/>
      <c r="TRE7" s="264"/>
      <c r="TRF7" s="264"/>
      <c r="TRG7" s="264"/>
      <c r="TRH7" s="264"/>
      <c r="TRI7" s="264"/>
      <c r="TRJ7" s="264"/>
      <c r="TRK7" s="264"/>
      <c r="TRL7" s="264"/>
      <c r="TRM7" s="264"/>
      <c r="TRN7" s="264"/>
      <c r="TRO7" s="264"/>
      <c r="TRP7" s="264"/>
      <c r="TRQ7" s="264"/>
      <c r="TRR7" s="264"/>
      <c r="TRS7" s="264"/>
      <c r="TRT7" s="264"/>
      <c r="TRU7" s="264"/>
      <c r="TRV7" s="264"/>
      <c r="TRW7" s="264"/>
      <c r="TRX7" s="264"/>
      <c r="TRY7" s="264"/>
      <c r="TRZ7" s="264"/>
      <c r="TSA7" s="264"/>
      <c r="TSB7" s="264"/>
      <c r="TSC7" s="264"/>
      <c r="TSD7" s="264"/>
      <c r="TSE7" s="264"/>
      <c r="TSF7" s="264"/>
      <c r="TSG7" s="264"/>
      <c r="TSH7" s="264"/>
      <c r="TSI7" s="264"/>
      <c r="TSJ7" s="264"/>
      <c r="TSK7" s="264"/>
      <c r="TSL7" s="264"/>
      <c r="TSM7" s="264"/>
      <c r="TSN7" s="264"/>
      <c r="TSO7" s="264"/>
      <c r="TSP7" s="264"/>
      <c r="TSQ7" s="264"/>
      <c r="TSR7" s="264"/>
      <c r="TSS7" s="264"/>
      <c r="TST7" s="264"/>
      <c r="TSU7" s="264"/>
      <c r="TSV7" s="264"/>
      <c r="TSW7" s="264"/>
      <c r="TSX7" s="264"/>
      <c r="TSY7" s="264"/>
      <c r="TSZ7" s="264"/>
      <c r="TTA7" s="264"/>
      <c r="TTB7" s="264"/>
      <c r="TTC7" s="264"/>
      <c r="TTD7" s="264"/>
      <c r="TTE7" s="264"/>
      <c r="TTF7" s="264"/>
      <c r="TTG7" s="264"/>
      <c r="TTH7" s="264"/>
      <c r="TTI7" s="264"/>
      <c r="TTJ7" s="264"/>
      <c r="TTK7" s="264"/>
      <c r="TTL7" s="264"/>
      <c r="TTM7" s="264"/>
      <c r="TTN7" s="264"/>
      <c r="TTO7" s="264"/>
      <c r="TTP7" s="264"/>
      <c r="TTQ7" s="264"/>
      <c r="TTR7" s="264"/>
      <c r="TTS7" s="264"/>
      <c r="TTT7" s="264"/>
      <c r="TTU7" s="264"/>
      <c r="TTV7" s="264"/>
      <c r="TTW7" s="264"/>
      <c r="TTX7" s="264"/>
      <c r="TTY7" s="264"/>
      <c r="TTZ7" s="264"/>
      <c r="TUA7" s="264"/>
      <c r="TUB7" s="264"/>
      <c r="TUC7" s="264"/>
      <c r="TUD7" s="264"/>
      <c r="TUE7" s="264"/>
      <c r="TUF7" s="264"/>
      <c r="TUG7" s="264"/>
      <c r="TUH7" s="264"/>
      <c r="TUI7" s="264"/>
      <c r="TUJ7" s="264"/>
      <c r="TUK7" s="264"/>
      <c r="TUL7" s="264"/>
      <c r="TUM7" s="264"/>
      <c r="TUN7" s="264"/>
      <c r="TUO7" s="264"/>
      <c r="TUP7" s="264"/>
      <c r="TUQ7" s="264"/>
      <c r="TUR7" s="264"/>
      <c r="TUS7" s="264"/>
      <c r="TUT7" s="264"/>
      <c r="TUU7" s="264"/>
      <c r="TUV7" s="264"/>
      <c r="TUW7" s="264"/>
      <c r="TUX7" s="264"/>
      <c r="TUY7" s="264"/>
      <c r="TUZ7" s="264"/>
      <c r="TVA7" s="264"/>
      <c r="TVB7" s="264"/>
      <c r="TVC7" s="264"/>
      <c r="TVD7" s="264"/>
      <c r="TVE7" s="264"/>
      <c r="TVF7" s="264"/>
      <c r="TVG7" s="264"/>
      <c r="TVH7" s="264"/>
      <c r="TVI7" s="264"/>
      <c r="TVJ7" s="264"/>
      <c r="TVK7" s="264"/>
      <c r="TVL7" s="264"/>
      <c r="TVM7" s="264"/>
      <c r="TVN7" s="264"/>
      <c r="TVO7" s="264"/>
      <c r="TVP7" s="264"/>
      <c r="TVQ7" s="264"/>
      <c r="TVR7" s="264"/>
      <c r="TVS7" s="264"/>
      <c r="TVT7" s="264"/>
      <c r="TVU7" s="264"/>
      <c r="TVV7" s="264"/>
      <c r="TVW7" s="264"/>
      <c r="TVX7" s="264"/>
      <c r="TVY7" s="264"/>
      <c r="TVZ7" s="264"/>
      <c r="TWA7" s="264"/>
      <c r="TWB7" s="264"/>
      <c r="TWC7" s="264"/>
      <c r="TWD7" s="264"/>
      <c r="TWE7" s="264"/>
      <c r="TWF7" s="264"/>
      <c r="TWG7" s="264"/>
      <c r="TWH7" s="264"/>
      <c r="TWI7" s="264"/>
      <c r="TWJ7" s="264"/>
      <c r="TWK7" s="264"/>
      <c r="TWL7" s="264"/>
      <c r="TWM7" s="264"/>
      <c r="TWN7" s="264"/>
      <c r="TWO7" s="264"/>
      <c r="TWP7" s="264"/>
      <c r="TWQ7" s="264"/>
      <c r="TWR7" s="264"/>
      <c r="TWS7" s="264"/>
      <c r="TWT7" s="264"/>
      <c r="TWU7" s="264"/>
      <c r="TWV7" s="264"/>
      <c r="TWW7" s="264"/>
      <c r="TWX7" s="264"/>
      <c r="TWY7" s="264"/>
      <c r="TWZ7" s="264"/>
      <c r="TXA7" s="264"/>
      <c r="TXB7" s="264"/>
      <c r="TXC7" s="264"/>
      <c r="TXD7" s="264"/>
      <c r="TXE7" s="264"/>
      <c r="TXF7" s="264"/>
      <c r="TXG7" s="264"/>
      <c r="TXH7" s="264"/>
      <c r="TXI7" s="264"/>
      <c r="TXJ7" s="264"/>
      <c r="TXK7" s="264"/>
      <c r="TXL7" s="264"/>
      <c r="TXM7" s="264"/>
      <c r="TXN7" s="264"/>
      <c r="TXO7" s="264"/>
      <c r="TXP7" s="264"/>
      <c r="TXQ7" s="264"/>
      <c r="TXR7" s="264"/>
      <c r="TXS7" s="264"/>
      <c r="TXT7" s="264"/>
      <c r="TXU7" s="264"/>
      <c r="TXV7" s="264"/>
      <c r="TXW7" s="264"/>
      <c r="TXX7" s="264"/>
      <c r="TXY7" s="264"/>
      <c r="TXZ7" s="264"/>
      <c r="TYA7" s="264"/>
      <c r="TYB7" s="264"/>
      <c r="TYC7" s="264"/>
      <c r="TYD7" s="264"/>
      <c r="TYE7" s="264"/>
      <c r="TYF7" s="264"/>
      <c r="TYG7" s="264"/>
      <c r="TYH7" s="264"/>
      <c r="TYI7" s="264"/>
      <c r="TYJ7" s="264"/>
      <c r="TYK7" s="264"/>
      <c r="TYL7" s="264"/>
      <c r="TYM7" s="264"/>
      <c r="TYN7" s="264"/>
      <c r="TYO7" s="264"/>
      <c r="TYP7" s="264"/>
      <c r="TYQ7" s="264"/>
      <c r="TYR7" s="264"/>
      <c r="TYS7" s="264"/>
      <c r="TYT7" s="264"/>
      <c r="TYU7" s="264"/>
      <c r="TYV7" s="264"/>
      <c r="TYW7" s="264"/>
      <c r="TYX7" s="264"/>
      <c r="TYY7" s="264"/>
      <c r="TYZ7" s="264"/>
      <c r="TZA7" s="264"/>
      <c r="TZB7" s="264"/>
      <c r="TZC7" s="264"/>
      <c r="TZD7" s="264"/>
      <c r="TZE7" s="264"/>
      <c r="TZF7" s="264"/>
      <c r="TZG7" s="264"/>
      <c r="TZH7" s="264"/>
      <c r="TZI7" s="264"/>
      <c r="TZJ7" s="264"/>
      <c r="TZK7" s="264"/>
      <c r="TZL7" s="264"/>
      <c r="TZM7" s="264"/>
      <c r="TZN7" s="264"/>
      <c r="TZO7" s="264"/>
      <c r="TZP7" s="264"/>
      <c r="TZQ7" s="264"/>
      <c r="TZR7" s="264"/>
      <c r="TZS7" s="264"/>
      <c r="TZT7" s="264"/>
      <c r="TZU7" s="264"/>
      <c r="TZV7" s="264"/>
      <c r="TZW7" s="264"/>
      <c r="TZX7" s="264"/>
      <c r="TZY7" s="264"/>
      <c r="TZZ7" s="264"/>
      <c r="UAA7" s="264"/>
      <c r="UAB7" s="264"/>
      <c r="UAC7" s="264"/>
      <c r="UAD7" s="264"/>
      <c r="UAE7" s="264"/>
      <c r="UAF7" s="264"/>
      <c r="UAG7" s="264"/>
      <c r="UAH7" s="264"/>
      <c r="UAI7" s="264"/>
      <c r="UAJ7" s="264"/>
      <c r="UAK7" s="264"/>
      <c r="UAL7" s="264"/>
      <c r="UAM7" s="264"/>
      <c r="UAN7" s="264"/>
      <c r="UAO7" s="264"/>
      <c r="UAP7" s="264"/>
      <c r="UAQ7" s="264"/>
      <c r="UAR7" s="264"/>
      <c r="UAS7" s="264"/>
      <c r="UAT7" s="264"/>
      <c r="UAU7" s="264"/>
      <c r="UAV7" s="264"/>
      <c r="UAW7" s="264"/>
      <c r="UAX7" s="264"/>
      <c r="UAY7" s="264"/>
      <c r="UAZ7" s="264"/>
      <c r="UBA7" s="264"/>
      <c r="UBB7" s="264"/>
      <c r="UBC7" s="264"/>
      <c r="UBD7" s="264"/>
      <c r="UBE7" s="264"/>
      <c r="UBF7" s="264"/>
      <c r="UBG7" s="264"/>
      <c r="UBH7" s="264"/>
      <c r="UBI7" s="264"/>
      <c r="UBJ7" s="264"/>
      <c r="UBK7" s="264"/>
      <c r="UBL7" s="264"/>
      <c r="UBM7" s="264"/>
      <c r="UBN7" s="264"/>
      <c r="UBO7" s="264"/>
      <c r="UBP7" s="264"/>
      <c r="UBQ7" s="264"/>
      <c r="UBR7" s="264"/>
      <c r="UBS7" s="264"/>
      <c r="UBT7" s="264"/>
      <c r="UBU7" s="264"/>
      <c r="UBV7" s="264"/>
      <c r="UBW7" s="264"/>
      <c r="UBX7" s="264"/>
      <c r="UBY7" s="264"/>
      <c r="UBZ7" s="264"/>
      <c r="UCA7" s="264"/>
      <c r="UCB7" s="264"/>
      <c r="UCC7" s="264"/>
      <c r="UCD7" s="264"/>
      <c r="UCE7" s="264"/>
      <c r="UCF7" s="264"/>
      <c r="UCG7" s="264"/>
      <c r="UCH7" s="264"/>
      <c r="UCI7" s="264"/>
      <c r="UCJ7" s="264"/>
      <c r="UCK7" s="264"/>
      <c r="UCL7" s="264"/>
      <c r="UCM7" s="264"/>
      <c r="UCN7" s="264"/>
      <c r="UCO7" s="264"/>
      <c r="UCP7" s="264"/>
      <c r="UCQ7" s="264"/>
      <c r="UCR7" s="264"/>
      <c r="UCS7" s="264"/>
      <c r="UCT7" s="264"/>
      <c r="UCU7" s="264"/>
      <c r="UCV7" s="264"/>
      <c r="UCW7" s="264"/>
      <c r="UCX7" s="264"/>
      <c r="UCY7" s="264"/>
      <c r="UCZ7" s="264"/>
      <c r="UDA7" s="264"/>
      <c r="UDB7" s="264"/>
      <c r="UDC7" s="264"/>
      <c r="UDD7" s="264"/>
      <c r="UDE7" s="264"/>
      <c r="UDF7" s="264"/>
      <c r="UDG7" s="264"/>
      <c r="UDH7" s="264"/>
      <c r="UDI7" s="264"/>
      <c r="UDJ7" s="264"/>
      <c r="UDK7" s="264"/>
      <c r="UDL7" s="264"/>
      <c r="UDM7" s="264"/>
      <c r="UDN7" s="264"/>
      <c r="UDO7" s="264"/>
      <c r="UDP7" s="264"/>
      <c r="UDQ7" s="264"/>
      <c r="UDR7" s="264"/>
      <c r="UDS7" s="264"/>
      <c r="UDT7" s="264"/>
      <c r="UDU7" s="264"/>
      <c r="UDV7" s="264"/>
      <c r="UDW7" s="264"/>
      <c r="UDX7" s="264"/>
      <c r="UDY7" s="264"/>
      <c r="UDZ7" s="264"/>
      <c r="UEA7" s="264"/>
      <c r="UEB7" s="264"/>
      <c r="UEC7" s="264"/>
      <c r="UED7" s="264"/>
      <c r="UEE7" s="264"/>
      <c r="UEF7" s="264"/>
      <c r="UEG7" s="264"/>
      <c r="UEH7" s="264"/>
      <c r="UEI7" s="264"/>
      <c r="UEJ7" s="264"/>
      <c r="UEK7" s="264"/>
      <c r="UEL7" s="264"/>
      <c r="UEM7" s="264"/>
      <c r="UEN7" s="264"/>
      <c r="UEO7" s="264"/>
      <c r="UEP7" s="264"/>
      <c r="UEQ7" s="264"/>
      <c r="UER7" s="264"/>
      <c r="UES7" s="264"/>
      <c r="UET7" s="264"/>
      <c r="UEU7" s="264"/>
      <c r="UEV7" s="264"/>
      <c r="UEW7" s="264"/>
      <c r="UEX7" s="264"/>
      <c r="UEY7" s="264"/>
      <c r="UEZ7" s="264"/>
      <c r="UFA7" s="264"/>
      <c r="UFB7" s="264"/>
      <c r="UFC7" s="264"/>
      <c r="UFD7" s="264"/>
      <c r="UFE7" s="264"/>
      <c r="UFF7" s="264"/>
      <c r="UFG7" s="264"/>
      <c r="UFH7" s="264"/>
      <c r="UFI7" s="264"/>
      <c r="UFJ7" s="264"/>
      <c r="UFK7" s="264"/>
      <c r="UFL7" s="264"/>
      <c r="UFM7" s="264"/>
      <c r="UFN7" s="264"/>
      <c r="UFO7" s="264"/>
      <c r="UFP7" s="264"/>
      <c r="UFQ7" s="264"/>
      <c r="UFR7" s="264"/>
      <c r="UFS7" s="264"/>
      <c r="UFT7" s="264"/>
      <c r="UFU7" s="264"/>
      <c r="UFV7" s="264"/>
      <c r="UFW7" s="264"/>
      <c r="UFX7" s="264"/>
      <c r="UFY7" s="264"/>
      <c r="UFZ7" s="264"/>
      <c r="UGA7" s="264"/>
      <c r="UGB7" s="264"/>
      <c r="UGC7" s="264"/>
      <c r="UGD7" s="264"/>
      <c r="UGE7" s="264"/>
      <c r="UGF7" s="264"/>
      <c r="UGG7" s="264"/>
      <c r="UGH7" s="264"/>
      <c r="UGI7" s="264"/>
      <c r="UGJ7" s="264"/>
      <c r="UGK7" s="264"/>
      <c r="UGL7" s="264"/>
      <c r="UGM7" s="264"/>
      <c r="UGN7" s="264"/>
      <c r="UGO7" s="264"/>
      <c r="UGP7" s="264"/>
      <c r="UGQ7" s="264"/>
      <c r="UGR7" s="264"/>
      <c r="UGS7" s="264"/>
      <c r="UGT7" s="264"/>
      <c r="UGU7" s="264"/>
      <c r="UGV7" s="264"/>
      <c r="UGW7" s="264"/>
      <c r="UGX7" s="264"/>
      <c r="UGY7" s="264"/>
      <c r="UGZ7" s="264"/>
      <c r="UHA7" s="264"/>
      <c r="UHB7" s="264"/>
      <c r="UHC7" s="264"/>
      <c r="UHD7" s="264"/>
      <c r="UHE7" s="264"/>
      <c r="UHF7" s="264"/>
      <c r="UHG7" s="264"/>
      <c r="UHH7" s="264"/>
      <c r="UHI7" s="264"/>
      <c r="UHJ7" s="264"/>
      <c r="UHK7" s="264"/>
      <c r="UHL7" s="264"/>
      <c r="UHM7" s="264"/>
      <c r="UHN7" s="264"/>
      <c r="UHO7" s="264"/>
      <c r="UHP7" s="264"/>
      <c r="UHQ7" s="264"/>
      <c r="UHR7" s="264"/>
      <c r="UHS7" s="264"/>
      <c r="UHT7" s="264"/>
      <c r="UHU7" s="264"/>
      <c r="UHV7" s="264"/>
      <c r="UHW7" s="264"/>
      <c r="UHX7" s="264"/>
      <c r="UHY7" s="264"/>
      <c r="UHZ7" s="264"/>
      <c r="UIA7" s="264"/>
      <c r="UIB7" s="264"/>
      <c r="UIC7" s="264"/>
      <c r="UID7" s="264"/>
      <c r="UIE7" s="264"/>
      <c r="UIF7" s="264"/>
      <c r="UIG7" s="264"/>
      <c r="UIH7" s="264"/>
      <c r="UII7" s="264"/>
      <c r="UIJ7" s="264"/>
      <c r="UIK7" s="264"/>
      <c r="UIL7" s="264"/>
      <c r="UIM7" s="264"/>
      <c r="UIN7" s="264"/>
      <c r="UIO7" s="264"/>
      <c r="UIP7" s="264"/>
      <c r="UIQ7" s="264"/>
      <c r="UIR7" s="264"/>
      <c r="UIS7" s="264"/>
      <c r="UIT7" s="264"/>
      <c r="UIU7" s="264"/>
      <c r="UIV7" s="264"/>
      <c r="UIW7" s="264"/>
      <c r="UIX7" s="264"/>
      <c r="UIY7" s="264"/>
      <c r="UIZ7" s="264"/>
      <c r="UJA7" s="264"/>
      <c r="UJB7" s="264"/>
      <c r="UJC7" s="264"/>
      <c r="UJD7" s="264"/>
      <c r="UJE7" s="264"/>
      <c r="UJF7" s="264"/>
      <c r="UJG7" s="264"/>
      <c r="UJH7" s="264"/>
      <c r="UJI7" s="264"/>
      <c r="UJJ7" s="264"/>
      <c r="UJK7" s="264"/>
      <c r="UJL7" s="264"/>
      <c r="UJM7" s="264"/>
      <c r="UJN7" s="264"/>
      <c r="UJO7" s="264"/>
      <c r="UJP7" s="264"/>
      <c r="UJQ7" s="264"/>
      <c r="UJR7" s="264"/>
      <c r="UJS7" s="264"/>
      <c r="UJT7" s="264"/>
      <c r="UJU7" s="264"/>
      <c r="UJV7" s="264"/>
      <c r="UJW7" s="264"/>
      <c r="UJX7" s="264"/>
      <c r="UJY7" s="264"/>
      <c r="UJZ7" s="264"/>
      <c r="UKA7" s="264"/>
      <c r="UKB7" s="264"/>
      <c r="UKC7" s="264"/>
      <c r="UKD7" s="264"/>
      <c r="UKE7" s="264"/>
      <c r="UKF7" s="264"/>
      <c r="UKG7" s="264"/>
      <c r="UKH7" s="264"/>
      <c r="UKI7" s="264"/>
      <c r="UKJ7" s="264"/>
      <c r="UKK7" s="264"/>
      <c r="UKL7" s="264"/>
      <c r="UKM7" s="264"/>
      <c r="UKN7" s="264"/>
      <c r="UKO7" s="264"/>
      <c r="UKP7" s="264"/>
      <c r="UKQ7" s="264"/>
      <c r="UKR7" s="264"/>
      <c r="UKS7" s="264"/>
      <c r="UKT7" s="264"/>
      <c r="UKU7" s="264"/>
      <c r="UKV7" s="264"/>
      <c r="UKW7" s="264"/>
      <c r="UKX7" s="264"/>
      <c r="UKY7" s="264"/>
      <c r="UKZ7" s="264"/>
      <c r="ULA7" s="264"/>
      <c r="ULB7" s="264"/>
      <c r="ULC7" s="264"/>
      <c r="ULD7" s="264"/>
      <c r="ULE7" s="264"/>
      <c r="ULF7" s="264"/>
      <c r="ULG7" s="264"/>
      <c r="ULH7" s="264"/>
      <c r="ULI7" s="264"/>
      <c r="ULJ7" s="264"/>
      <c r="ULK7" s="264"/>
      <c r="ULL7" s="264"/>
      <c r="ULM7" s="264"/>
      <c r="ULN7" s="264"/>
      <c r="ULO7" s="264"/>
      <c r="ULP7" s="264"/>
      <c r="ULQ7" s="264"/>
      <c r="ULR7" s="264"/>
      <c r="ULS7" s="264"/>
      <c r="ULT7" s="264"/>
      <c r="ULU7" s="264"/>
      <c r="ULV7" s="264"/>
      <c r="ULW7" s="264"/>
      <c r="ULX7" s="264"/>
      <c r="ULY7" s="264"/>
      <c r="ULZ7" s="264"/>
      <c r="UMA7" s="264"/>
      <c r="UMB7" s="264"/>
      <c r="UMC7" s="264"/>
      <c r="UMD7" s="264"/>
      <c r="UME7" s="264"/>
      <c r="UMF7" s="264"/>
      <c r="UMG7" s="264"/>
      <c r="UMH7" s="264"/>
      <c r="UMI7" s="264"/>
      <c r="UMJ7" s="264"/>
      <c r="UMK7" s="264"/>
      <c r="UML7" s="264"/>
      <c r="UMM7" s="264"/>
      <c r="UMN7" s="264"/>
      <c r="UMO7" s="264"/>
      <c r="UMP7" s="264"/>
      <c r="UMQ7" s="264"/>
      <c r="UMR7" s="264"/>
      <c r="UMS7" s="264"/>
      <c r="UMT7" s="264"/>
      <c r="UMU7" s="264"/>
      <c r="UMV7" s="264"/>
      <c r="UMW7" s="264"/>
      <c r="UMX7" s="264"/>
      <c r="UMY7" s="264"/>
      <c r="UMZ7" s="264"/>
      <c r="UNA7" s="264"/>
      <c r="UNB7" s="264"/>
      <c r="UNC7" s="264"/>
      <c r="UND7" s="264"/>
      <c r="UNE7" s="264"/>
      <c r="UNF7" s="264"/>
      <c r="UNG7" s="264"/>
      <c r="UNH7" s="264"/>
      <c r="UNI7" s="264"/>
      <c r="UNJ7" s="264"/>
      <c r="UNK7" s="264"/>
      <c r="UNL7" s="264"/>
      <c r="UNM7" s="264"/>
      <c r="UNN7" s="264"/>
      <c r="UNO7" s="264"/>
      <c r="UNP7" s="264"/>
      <c r="UNQ7" s="264"/>
      <c r="UNR7" s="264"/>
      <c r="UNS7" s="264"/>
      <c r="UNT7" s="264"/>
      <c r="UNU7" s="264"/>
      <c r="UNV7" s="264"/>
      <c r="UNW7" s="264"/>
      <c r="UNX7" s="264"/>
      <c r="UNY7" s="264"/>
      <c r="UNZ7" s="264"/>
      <c r="UOA7" s="264"/>
      <c r="UOB7" s="264"/>
      <c r="UOC7" s="264"/>
      <c r="UOD7" s="264"/>
      <c r="UOE7" s="264"/>
      <c r="UOF7" s="264"/>
      <c r="UOG7" s="264"/>
      <c r="UOH7" s="264"/>
      <c r="UOI7" s="264"/>
      <c r="UOJ7" s="264"/>
      <c r="UOK7" s="264"/>
      <c r="UOL7" s="264"/>
      <c r="UOM7" s="264"/>
      <c r="UON7" s="264"/>
      <c r="UOO7" s="264"/>
      <c r="UOP7" s="264"/>
      <c r="UOQ7" s="264"/>
      <c r="UOR7" s="264"/>
      <c r="UOS7" s="264"/>
      <c r="UOT7" s="264"/>
      <c r="UOU7" s="264"/>
      <c r="UOV7" s="264"/>
      <c r="UOW7" s="264"/>
      <c r="UOX7" s="264"/>
      <c r="UOY7" s="264"/>
      <c r="UOZ7" s="264"/>
      <c r="UPA7" s="264"/>
      <c r="UPB7" s="264"/>
      <c r="UPC7" s="264"/>
      <c r="UPD7" s="264"/>
      <c r="UPE7" s="264"/>
      <c r="UPF7" s="264"/>
      <c r="UPG7" s="264"/>
      <c r="UPH7" s="264"/>
      <c r="UPI7" s="264"/>
      <c r="UPJ7" s="264"/>
      <c r="UPK7" s="264"/>
      <c r="UPL7" s="264"/>
      <c r="UPM7" s="264"/>
      <c r="UPN7" s="264"/>
      <c r="UPO7" s="264"/>
      <c r="UPP7" s="264"/>
      <c r="UPQ7" s="264"/>
      <c r="UPR7" s="264"/>
      <c r="UPS7" s="264"/>
      <c r="UPT7" s="264"/>
      <c r="UPU7" s="264"/>
      <c r="UPV7" s="264"/>
      <c r="UPW7" s="264"/>
      <c r="UPX7" s="264"/>
      <c r="UPY7" s="264"/>
      <c r="UPZ7" s="264"/>
      <c r="UQA7" s="264"/>
      <c r="UQB7" s="264"/>
      <c r="UQC7" s="264"/>
      <c r="UQD7" s="264"/>
      <c r="UQE7" s="264"/>
      <c r="UQF7" s="264"/>
      <c r="UQG7" s="264"/>
      <c r="UQH7" s="264"/>
      <c r="UQI7" s="264"/>
      <c r="UQJ7" s="264"/>
      <c r="UQK7" s="264"/>
      <c r="UQL7" s="264"/>
      <c r="UQM7" s="264"/>
      <c r="UQN7" s="264"/>
      <c r="UQO7" s="264"/>
      <c r="UQP7" s="264"/>
      <c r="UQQ7" s="264"/>
      <c r="UQR7" s="264"/>
      <c r="UQS7" s="264"/>
      <c r="UQT7" s="264"/>
      <c r="UQU7" s="264"/>
      <c r="UQV7" s="264"/>
      <c r="UQW7" s="264"/>
      <c r="UQX7" s="264"/>
      <c r="UQY7" s="264"/>
      <c r="UQZ7" s="264"/>
      <c r="URA7" s="264"/>
      <c r="URB7" s="264"/>
      <c r="URC7" s="264"/>
      <c r="URD7" s="264"/>
      <c r="URE7" s="264"/>
      <c r="URF7" s="264"/>
      <c r="URG7" s="264"/>
      <c r="URH7" s="264"/>
      <c r="URI7" s="264"/>
      <c r="URJ7" s="264"/>
      <c r="URK7" s="264"/>
      <c r="URL7" s="264"/>
      <c r="URM7" s="264"/>
      <c r="URN7" s="264"/>
      <c r="URO7" s="264"/>
      <c r="URP7" s="264"/>
      <c r="URQ7" s="264"/>
      <c r="URR7" s="264"/>
      <c r="URS7" s="264"/>
      <c r="URT7" s="264"/>
      <c r="URU7" s="264"/>
      <c r="URV7" s="264"/>
      <c r="URW7" s="264"/>
      <c r="URX7" s="264"/>
      <c r="URY7" s="264"/>
      <c r="URZ7" s="264"/>
      <c r="USA7" s="264"/>
      <c r="USB7" s="264"/>
      <c r="USC7" s="264"/>
      <c r="USD7" s="264"/>
      <c r="USE7" s="264"/>
      <c r="USF7" s="264"/>
      <c r="USG7" s="264"/>
      <c r="USH7" s="264"/>
      <c r="USI7" s="264"/>
      <c r="USJ7" s="264"/>
      <c r="USK7" s="264"/>
      <c r="USL7" s="264"/>
      <c r="USM7" s="264"/>
      <c r="USN7" s="264"/>
      <c r="USO7" s="264"/>
      <c r="USP7" s="264"/>
      <c r="USQ7" s="264"/>
      <c r="USR7" s="264"/>
      <c r="USS7" s="264"/>
      <c r="UST7" s="264"/>
      <c r="USU7" s="264"/>
      <c r="USV7" s="264"/>
      <c r="USW7" s="264"/>
      <c r="USX7" s="264"/>
      <c r="USY7" s="264"/>
      <c r="USZ7" s="264"/>
      <c r="UTA7" s="264"/>
      <c r="UTB7" s="264"/>
      <c r="UTC7" s="264"/>
      <c r="UTD7" s="264"/>
      <c r="UTE7" s="264"/>
      <c r="UTF7" s="264"/>
      <c r="UTG7" s="264"/>
      <c r="UTH7" s="264"/>
      <c r="UTI7" s="264"/>
      <c r="UTJ7" s="264"/>
      <c r="UTK7" s="264"/>
      <c r="UTL7" s="264"/>
      <c r="UTM7" s="264"/>
      <c r="UTN7" s="264"/>
      <c r="UTO7" s="264"/>
      <c r="UTP7" s="264"/>
      <c r="UTQ7" s="264"/>
      <c r="UTR7" s="264"/>
      <c r="UTS7" s="264"/>
      <c r="UTT7" s="264"/>
      <c r="UTU7" s="264"/>
      <c r="UTV7" s="264"/>
      <c r="UTW7" s="264"/>
      <c r="UTX7" s="264"/>
      <c r="UTY7" s="264"/>
      <c r="UTZ7" s="264"/>
      <c r="UUA7" s="264"/>
      <c r="UUB7" s="264"/>
      <c r="UUC7" s="264"/>
      <c r="UUD7" s="264"/>
      <c r="UUE7" s="264"/>
      <c r="UUF7" s="264"/>
      <c r="UUG7" s="264"/>
      <c r="UUH7" s="264"/>
      <c r="UUI7" s="264"/>
      <c r="UUJ7" s="264"/>
      <c r="UUK7" s="264"/>
      <c r="UUL7" s="264"/>
      <c r="UUM7" s="264"/>
      <c r="UUN7" s="264"/>
      <c r="UUO7" s="264"/>
      <c r="UUP7" s="264"/>
      <c r="UUQ7" s="264"/>
      <c r="UUR7" s="264"/>
      <c r="UUS7" s="264"/>
      <c r="UUT7" s="264"/>
      <c r="UUU7" s="264"/>
      <c r="UUV7" s="264"/>
      <c r="UUW7" s="264"/>
      <c r="UUX7" s="264"/>
      <c r="UUY7" s="264"/>
      <c r="UUZ7" s="264"/>
      <c r="UVA7" s="264"/>
      <c r="UVB7" s="264"/>
      <c r="UVC7" s="264"/>
      <c r="UVD7" s="264"/>
      <c r="UVE7" s="264"/>
      <c r="UVF7" s="264"/>
      <c r="UVG7" s="264"/>
      <c r="UVH7" s="264"/>
      <c r="UVI7" s="264"/>
      <c r="UVJ7" s="264"/>
      <c r="UVK7" s="264"/>
      <c r="UVL7" s="264"/>
      <c r="UVM7" s="264"/>
      <c r="UVN7" s="264"/>
      <c r="UVO7" s="264"/>
      <c r="UVP7" s="264"/>
      <c r="UVQ7" s="264"/>
      <c r="UVR7" s="264"/>
      <c r="UVS7" s="264"/>
      <c r="UVT7" s="264"/>
      <c r="UVU7" s="264"/>
      <c r="UVV7" s="264"/>
      <c r="UVW7" s="264"/>
      <c r="UVX7" s="264"/>
      <c r="UVY7" s="264"/>
      <c r="UVZ7" s="264"/>
      <c r="UWA7" s="264"/>
      <c r="UWB7" s="264"/>
      <c r="UWC7" s="264"/>
      <c r="UWD7" s="264"/>
      <c r="UWE7" s="264"/>
      <c r="UWF7" s="264"/>
      <c r="UWG7" s="264"/>
      <c r="UWH7" s="264"/>
      <c r="UWI7" s="264"/>
      <c r="UWJ7" s="264"/>
      <c r="UWK7" s="264"/>
      <c r="UWL7" s="264"/>
      <c r="UWM7" s="264"/>
      <c r="UWN7" s="264"/>
      <c r="UWO7" s="264"/>
      <c r="UWP7" s="264"/>
      <c r="UWQ7" s="264"/>
      <c r="UWR7" s="264"/>
      <c r="UWS7" s="264"/>
      <c r="UWT7" s="264"/>
      <c r="UWU7" s="264"/>
      <c r="UWV7" s="264"/>
      <c r="UWW7" s="264"/>
      <c r="UWX7" s="264"/>
      <c r="UWY7" s="264"/>
      <c r="UWZ7" s="264"/>
      <c r="UXA7" s="264"/>
      <c r="UXB7" s="264"/>
      <c r="UXC7" s="264"/>
      <c r="UXD7" s="264"/>
      <c r="UXE7" s="264"/>
      <c r="UXF7" s="264"/>
      <c r="UXG7" s="264"/>
      <c r="UXH7" s="264"/>
      <c r="UXI7" s="264"/>
      <c r="UXJ7" s="264"/>
      <c r="UXK7" s="264"/>
      <c r="UXL7" s="264"/>
      <c r="UXM7" s="264"/>
      <c r="UXN7" s="264"/>
      <c r="UXO7" s="264"/>
      <c r="UXP7" s="264"/>
      <c r="UXQ7" s="264"/>
      <c r="UXR7" s="264"/>
      <c r="UXS7" s="264"/>
      <c r="UXT7" s="264"/>
      <c r="UXU7" s="264"/>
      <c r="UXV7" s="264"/>
      <c r="UXW7" s="264"/>
      <c r="UXX7" s="264"/>
      <c r="UXY7" s="264"/>
      <c r="UXZ7" s="264"/>
      <c r="UYA7" s="264"/>
      <c r="UYB7" s="264"/>
      <c r="UYC7" s="264"/>
      <c r="UYD7" s="264"/>
      <c r="UYE7" s="264"/>
      <c r="UYF7" s="264"/>
      <c r="UYG7" s="264"/>
      <c r="UYH7" s="264"/>
      <c r="UYI7" s="264"/>
      <c r="UYJ7" s="264"/>
      <c r="UYK7" s="264"/>
      <c r="UYL7" s="264"/>
      <c r="UYM7" s="264"/>
      <c r="UYN7" s="264"/>
      <c r="UYO7" s="264"/>
      <c r="UYP7" s="264"/>
      <c r="UYQ7" s="264"/>
      <c r="UYR7" s="264"/>
      <c r="UYS7" s="264"/>
      <c r="UYT7" s="264"/>
      <c r="UYU7" s="264"/>
      <c r="UYV7" s="264"/>
      <c r="UYW7" s="264"/>
      <c r="UYX7" s="264"/>
      <c r="UYY7" s="264"/>
      <c r="UYZ7" s="264"/>
      <c r="UZA7" s="264"/>
      <c r="UZB7" s="264"/>
      <c r="UZC7" s="264"/>
      <c r="UZD7" s="264"/>
      <c r="UZE7" s="264"/>
      <c r="UZF7" s="264"/>
      <c r="UZG7" s="264"/>
      <c r="UZH7" s="264"/>
      <c r="UZI7" s="264"/>
      <c r="UZJ7" s="264"/>
      <c r="UZK7" s="264"/>
      <c r="UZL7" s="264"/>
      <c r="UZM7" s="264"/>
      <c r="UZN7" s="264"/>
      <c r="UZO7" s="264"/>
      <c r="UZP7" s="264"/>
      <c r="UZQ7" s="264"/>
      <c r="UZR7" s="264"/>
      <c r="UZS7" s="264"/>
      <c r="UZT7" s="264"/>
      <c r="UZU7" s="264"/>
      <c r="UZV7" s="264"/>
      <c r="UZW7" s="264"/>
      <c r="UZX7" s="264"/>
      <c r="UZY7" s="264"/>
      <c r="UZZ7" s="264"/>
      <c r="VAA7" s="264"/>
      <c r="VAB7" s="264"/>
      <c r="VAC7" s="264"/>
      <c r="VAD7" s="264"/>
      <c r="VAE7" s="264"/>
      <c r="VAF7" s="264"/>
      <c r="VAG7" s="264"/>
      <c r="VAH7" s="264"/>
      <c r="VAI7" s="264"/>
      <c r="VAJ7" s="264"/>
      <c r="VAK7" s="264"/>
      <c r="VAL7" s="264"/>
      <c r="VAM7" s="264"/>
      <c r="VAN7" s="264"/>
      <c r="VAO7" s="264"/>
      <c r="VAP7" s="264"/>
      <c r="VAQ7" s="264"/>
      <c r="VAR7" s="264"/>
      <c r="VAS7" s="264"/>
      <c r="VAT7" s="264"/>
      <c r="VAU7" s="264"/>
      <c r="VAV7" s="264"/>
      <c r="VAW7" s="264"/>
      <c r="VAX7" s="264"/>
      <c r="VAY7" s="264"/>
      <c r="VAZ7" s="264"/>
      <c r="VBA7" s="264"/>
      <c r="VBB7" s="264"/>
      <c r="VBC7" s="264"/>
      <c r="VBD7" s="264"/>
      <c r="VBE7" s="264"/>
      <c r="VBF7" s="264"/>
      <c r="VBG7" s="264"/>
      <c r="VBH7" s="264"/>
      <c r="VBI7" s="264"/>
      <c r="VBJ7" s="264"/>
      <c r="VBK7" s="264"/>
      <c r="VBL7" s="264"/>
      <c r="VBM7" s="264"/>
      <c r="VBN7" s="264"/>
      <c r="VBO7" s="264"/>
      <c r="VBP7" s="264"/>
      <c r="VBQ7" s="264"/>
      <c r="VBR7" s="264"/>
      <c r="VBS7" s="264"/>
      <c r="VBT7" s="264"/>
      <c r="VBU7" s="264"/>
      <c r="VBV7" s="264"/>
      <c r="VBW7" s="264"/>
      <c r="VBX7" s="264"/>
      <c r="VBY7" s="264"/>
      <c r="VBZ7" s="264"/>
      <c r="VCA7" s="264"/>
      <c r="VCB7" s="264"/>
      <c r="VCC7" s="264"/>
      <c r="VCD7" s="264"/>
      <c r="VCE7" s="264"/>
      <c r="VCF7" s="264"/>
      <c r="VCG7" s="264"/>
      <c r="VCH7" s="264"/>
      <c r="VCI7" s="264"/>
      <c r="VCJ7" s="264"/>
      <c r="VCK7" s="264"/>
      <c r="VCL7" s="264"/>
      <c r="VCM7" s="264"/>
      <c r="VCN7" s="264"/>
      <c r="VCO7" s="264"/>
      <c r="VCP7" s="264"/>
      <c r="VCQ7" s="264"/>
      <c r="VCR7" s="264"/>
      <c r="VCS7" s="264"/>
      <c r="VCT7" s="264"/>
      <c r="VCU7" s="264"/>
      <c r="VCV7" s="264"/>
      <c r="VCW7" s="264"/>
      <c r="VCX7" s="264"/>
      <c r="VCY7" s="264"/>
      <c r="VCZ7" s="264"/>
      <c r="VDA7" s="264"/>
      <c r="VDB7" s="264"/>
      <c r="VDC7" s="264"/>
      <c r="VDD7" s="264"/>
      <c r="VDE7" s="264"/>
      <c r="VDF7" s="264"/>
      <c r="VDG7" s="264"/>
      <c r="VDH7" s="264"/>
      <c r="VDI7" s="264"/>
      <c r="VDJ7" s="264"/>
      <c r="VDK7" s="264"/>
      <c r="VDL7" s="264"/>
      <c r="VDM7" s="264"/>
      <c r="VDN7" s="264"/>
      <c r="VDO7" s="264"/>
      <c r="VDP7" s="264"/>
      <c r="VDQ7" s="264"/>
      <c r="VDR7" s="264"/>
      <c r="VDS7" s="264"/>
      <c r="VDT7" s="264"/>
      <c r="VDU7" s="264"/>
      <c r="VDV7" s="264"/>
      <c r="VDW7" s="264"/>
      <c r="VDX7" s="264"/>
      <c r="VDY7" s="264"/>
      <c r="VDZ7" s="264"/>
      <c r="VEA7" s="264"/>
      <c r="VEB7" s="264"/>
      <c r="VEC7" s="264"/>
      <c r="VED7" s="264"/>
      <c r="VEE7" s="264"/>
      <c r="VEF7" s="264"/>
      <c r="VEG7" s="264"/>
      <c r="VEH7" s="264"/>
      <c r="VEI7" s="264"/>
      <c r="VEJ7" s="264"/>
      <c r="VEK7" s="264"/>
      <c r="VEL7" s="264"/>
      <c r="VEM7" s="264"/>
      <c r="VEN7" s="264"/>
      <c r="VEO7" s="264"/>
      <c r="VEP7" s="264"/>
      <c r="VEQ7" s="264"/>
      <c r="VER7" s="264"/>
      <c r="VES7" s="264"/>
      <c r="VET7" s="264"/>
      <c r="VEU7" s="264"/>
      <c r="VEV7" s="264"/>
      <c r="VEW7" s="264"/>
      <c r="VEX7" s="264"/>
      <c r="VEY7" s="264"/>
      <c r="VEZ7" s="264"/>
      <c r="VFA7" s="264"/>
      <c r="VFB7" s="264"/>
      <c r="VFC7" s="264"/>
      <c r="VFD7" s="264"/>
      <c r="VFE7" s="264"/>
      <c r="VFF7" s="264"/>
      <c r="VFG7" s="264"/>
      <c r="VFH7" s="264"/>
      <c r="VFI7" s="264"/>
      <c r="VFJ7" s="264"/>
      <c r="VFK7" s="264"/>
      <c r="VFL7" s="264"/>
      <c r="VFM7" s="264"/>
      <c r="VFN7" s="264"/>
      <c r="VFO7" s="264"/>
      <c r="VFP7" s="264"/>
      <c r="VFQ7" s="264"/>
      <c r="VFR7" s="264"/>
      <c r="VFS7" s="264"/>
      <c r="VFT7" s="264"/>
      <c r="VFU7" s="264"/>
      <c r="VFV7" s="264"/>
      <c r="VFW7" s="264"/>
      <c r="VFX7" s="264"/>
      <c r="VFY7" s="264"/>
      <c r="VFZ7" s="264"/>
      <c r="VGA7" s="264"/>
      <c r="VGB7" s="264"/>
      <c r="VGC7" s="264"/>
      <c r="VGD7" s="264"/>
      <c r="VGE7" s="264"/>
      <c r="VGF7" s="264"/>
      <c r="VGG7" s="264"/>
      <c r="VGH7" s="264"/>
      <c r="VGI7" s="264"/>
      <c r="VGJ7" s="264"/>
      <c r="VGK7" s="264"/>
      <c r="VGL7" s="264"/>
      <c r="VGM7" s="264"/>
      <c r="VGN7" s="264"/>
      <c r="VGO7" s="264"/>
      <c r="VGP7" s="264"/>
      <c r="VGQ7" s="264"/>
      <c r="VGR7" s="264"/>
      <c r="VGS7" s="264"/>
      <c r="VGT7" s="264"/>
      <c r="VGU7" s="264"/>
      <c r="VGV7" s="264"/>
      <c r="VGW7" s="264"/>
      <c r="VGX7" s="264"/>
      <c r="VGY7" s="264"/>
      <c r="VGZ7" s="264"/>
      <c r="VHA7" s="264"/>
      <c r="VHB7" s="264"/>
      <c r="VHC7" s="264"/>
      <c r="VHD7" s="264"/>
      <c r="VHE7" s="264"/>
      <c r="VHF7" s="264"/>
      <c r="VHG7" s="264"/>
      <c r="VHH7" s="264"/>
      <c r="VHI7" s="264"/>
      <c r="VHJ7" s="264"/>
      <c r="VHK7" s="264"/>
      <c r="VHL7" s="264"/>
      <c r="VHM7" s="264"/>
      <c r="VHN7" s="264"/>
      <c r="VHO7" s="264"/>
      <c r="VHP7" s="264"/>
      <c r="VHQ7" s="264"/>
      <c r="VHR7" s="264"/>
      <c r="VHS7" s="264"/>
      <c r="VHT7" s="264"/>
      <c r="VHU7" s="264"/>
      <c r="VHV7" s="264"/>
      <c r="VHW7" s="264"/>
      <c r="VHX7" s="264"/>
      <c r="VHY7" s="264"/>
      <c r="VHZ7" s="264"/>
      <c r="VIA7" s="264"/>
      <c r="VIB7" s="264"/>
      <c r="VIC7" s="264"/>
      <c r="VID7" s="264"/>
      <c r="VIE7" s="264"/>
      <c r="VIF7" s="264"/>
      <c r="VIG7" s="264"/>
      <c r="VIH7" s="264"/>
      <c r="VII7" s="264"/>
      <c r="VIJ7" s="264"/>
      <c r="VIK7" s="264"/>
      <c r="VIL7" s="264"/>
      <c r="VIM7" s="264"/>
      <c r="VIN7" s="264"/>
      <c r="VIO7" s="264"/>
      <c r="VIP7" s="264"/>
      <c r="VIQ7" s="264"/>
      <c r="VIR7" s="264"/>
      <c r="VIS7" s="264"/>
      <c r="VIT7" s="264"/>
      <c r="VIU7" s="264"/>
      <c r="VIV7" s="264"/>
      <c r="VIW7" s="264"/>
      <c r="VIX7" s="264"/>
      <c r="VIY7" s="264"/>
      <c r="VIZ7" s="264"/>
      <c r="VJA7" s="264"/>
      <c r="VJB7" s="264"/>
      <c r="VJC7" s="264"/>
      <c r="VJD7" s="264"/>
      <c r="VJE7" s="264"/>
      <c r="VJF7" s="264"/>
      <c r="VJG7" s="264"/>
      <c r="VJH7" s="264"/>
      <c r="VJI7" s="264"/>
      <c r="VJJ7" s="264"/>
      <c r="VJK7" s="264"/>
      <c r="VJL7" s="264"/>
      <c r="VJM7" s="264"/>
      <c r="VJN7" s="264"/>
      <c r="VJO7" s="264"/>
      <c r="VJP7" s="264"/>
      <c r="VJQ7" s="264"/>
      <c r="VJR7" s="264"/>
      <c r="VJS7" s="264"/>
      <c r="VJT7" s="264"/>
      <c r="VJU7" s="264"/>
      <c r="VJV7" s="264"/>
      <c r="VJW7" s="264"/>
      <c r="VJX7" s="264"/>
      <c r="VJY7" s="264"/>
      <c r="VJZ7" s="264"/>
      <c r="VKA7" s="264"/>
      <c r="VKB7" s="264"/>
      <c r="VKC7" s="264"/>
      <c r="VKD7" s="264"/>
      <c r="VKE7" s="264"/>
      <c r="VKF7" s="264"/>
      <c r="VKG7" s="264"/>
      <c r="VKH7" s="264"/>
      <c r="VKI7" s="264"/>
      <c r="VKJ7" s="264"/>
      <c r="VKK7" s="264"/>
      <c r="VKL7" s="264"/>
      <c r="VKM7" s="264"/>
      <c r="VKN7" s="264"/>
      <c r="VKO7" s="264"/>
      <c r="VKP7" s="264"/>
      <c r="VKQ7" s="264"/>
      <c r="VKR7" s="264"/>
      <c r="VKS7" s="264"/>
      <c r="VKT7" s="264"/>
      <c r="VKU7" s="264"/>
      <c r="VKV7" s="264"/>
      <c r="VKW7" s="264"/>
      <c r="VKX7" s="264"/>
      <c r="VKY7" s="264"/>
      <c r="VKZ7" s="264"/>
      <c r="VLA7" s="264"/>
      <c r="VLB7" s="264"/>
      <c r="VLC7" s="264"/>
      <c r="VLD7" s="264"/>
      <c r="VLE7" s="264"/>
      <c r="VLF7" s="264"/>
      <c r="VLG7" s="264"/>
      <c r="VLH7" s="264"/>
      <c r="VLI7" s="264"/>
      <c r="VLJ7" s="264"/>
      <c r="VLK7" s="264"/>
      <c r="VLL7" s="264"/>
      <c r="VLM7" s="264"/>
      <c r="VLN7" s="264"/>
      <c r="VLO7" s="264"/>
      <c r="VLP7" s="264"/>
      <c r="VLQ7" s="264"/>
      <c r="VLR7" s="264"/>
      <c r="VLS7" s="264"/>
      <c r="VLT7" s="264"/>
      <c r="VLU7" s="264"/>
      <c r="VLV7" s="264"/>
      <c r="VLW7" s="264"/>
      <c r="VLX7" s="264"/>
      <c r="VLY7" s="264"/>
      <c r="VLZ7" s="264"/>
      <c r="VMA7" s="264"/>
      <c r="VMB7" s="264"/>
      <c r="VMC7" s="264"/>
      <c r="VMD7" s="264"/>
      <c r="VME7" s="264"/>
      <c r="VMF7" s="264"/>
      <c r="VMG7" s="264"/>
      <c r="VMH7" s="264"/>
      <c r="VMI7" s="264"/>
      <c r="VMJ7" s="264"/>
      <c r="VMK7" s="264"/>
      <c r="VML7" s="264"/>
      <c r="VMM7" s="264"/>
      <c r="VMN7" s="264"/>
      <c r="VMO7" s="264"/>
      <c r="VMP7" s="264"/>
      <c r="VMQ7" s="264"/>
      <c r="VMR7" s="264"/>
      <c r="VMS7" s="264"/>
      <c r="VMT7" s="264"/>
      <c r="VMU7" s="264"/>
      <c r="VMV7" s="264"/>
      <c r="VMW7" s="264"/>
      <c r="VMX7" s="264"/>
      <c r="VMY7" s="264"/>
      <c r="VMZ7" s="264"/>
      <c r="VNA7" s="264"/>
      <c r="VNB7" s="264"/>
      <c r="VNC7" s="264"/>
      <c r="VND7" s="264"/>
      <c r="VNE7" s="264"/>
      <c r="VNF7" s="264"/>
      <c r="VNG7" s="264"/>
      <c r="VNH7" s="264"/>
      <c r="VNI7" s="264"/>
      <c r="VNJ7" s="264"/>
      <c r="VNK7" s="264"/>
      <c r="VNL7" s="264"/>
      <c r="VNM7" s="264"/>
      <c r="VNN7" s="264"/>
      <c r="VNO7" s="264"/>
      <c r="VNP7" s="264"/>
      <c r="VNQ7" s="264"/>
      <c r="VNR7" s="264"/>
      <c r="VNS7" s="264"/>
      <c r="VNT7" s="264"/>
      <c r="VNU7" s="264"/>
      <c r="VNV7" s="264"/>
      <c r="VNW7" s="264"/>
      <c r="VNX7" s="264"/>
      <c r="VNY7" s="264"/>
      <c r="VNZ7" s="264"/>
      <c r="VOA7" s="264"/>
      <c r="VOB7" s="264"/>
      <c r="VOC7" s="264"/>
      <c r="VOD7" s="264"/>
      <c r="VOE7" s="264"/>
      <c r="VOF7" s="264"/>
      <c r="VOG7" s="264"/>
      <c r="VOH7" s="264"/>
      <c r="VOI7" s="264"/>
      <c r="VOJ7" s="264"/>
      <c r="VOK7" s="264"/>
      <c r="VOL7" s="264"/>
      <c r="VOM7" s="264"/>
      <c r="VON7" s="264"/>
      <c r="VOO7" s="264"/>
      <c r="VOP7" s="264"/>
      <c r="VOQ7" s="264"/>
      <c r="VOR7" s="264"/>
      <c r="VOS7" s="264"/>
      <c r="VOT7" s="264"/>
      <c r="VOU7" s="264"/>
      <c r="VOV7" s="264"/>
      <c r="VOW7" s="264"/>
      <c r="VOX7" s="264"/>
      <c r="VOY7" s="264"/>
      <c r="VOZ7" s="264"/>
      <c r="VPA7" s="264"/>
      <c r="VPB7" s="264"/>
      <c r="VPC7" s="264"/>
      <c r="VPD7" s="264"/>
      <c r="VPE7" s="264"/>
      <c r="VPF7" s="264"/>
      <c r="VPG7" s="264"/>
      <c r="VPH7" s="264"/>
      <c r="VPI7" s="264"/>
      <c r="VPJ7" s="264"/>
      <c r="VPK7" s="264"/>
      <c r="VPL7" s="264"/>
      <c r="VPM7" s="264"/>
      <c r="VPN7" s="264"/>
      <c r="VPO7" s="264"/>
      <c r="VPP7" s="264"/>
      <c r="VPQ7" s="264"/>
      <c r="VPR7" s="264"/>
      <c r="VPS7" s="264"/>
      <c r="VPT7" s="264"/>
      <c r="VPU7" s="264"/>
      <c r="VPV7" s="264"/>
      <c r="VPW7" s="264"/>
      <c r="VPX7" s="264"/>
      <c r="VPY7" s="264"/>
      <c r="VPZ7" s="264"/>
      <c r="VQA7" s="264"/>
      <c r="VQB7" s="264"/>
      <c r="VQC7" s="264"/>
      <c r="VQD7" s="264"/>
      <c r="VQE7" s="264"/>
      <c r="VQF7" s="264"/>
      <c r="VQG7" s="264"/>
      <c r="VQH7" s="264"/>
      <c r="VQI7" s="264"/>
      <c r="VQJ7" s="264"/>
      <c r="VQK7" s="264"/>
      <c r="VQL7" s="264"/>
      <c r="VQM7" s="264"/>
      <c r="VQN7" s="264"/>
      <c r="VQO7" s="264"/>
      <c r="VQP7" s="264"/>
      <c r="VQQ7" s="264"/>
      <c r="VQR7" s="264"/>
      <c r="VQS7" s="264"/>
      <c r="VQT7" s="264"/>
      <c r="VQU7" s="264"/>
      <c r="VQV7" s="264"/>
      <c r="VQW7" s="264"/>
      <c r="VQX7" s="264"/>
      <c r="VQY7" s="264"/>
      <c r="VQZ7" s="264"/>
      <c r="VRA7" s="264"/>
      <c r="VRB7" s="264"/>
      <c r="VRC7" s="264"/>
      <c r="VRD7" s="264"/>
      <c r="VRE7" s="264"/>
      <c r="VRF7" s="264"/>
      <c r="VRG7" s="264"/>
      <c r="VRH7" s="264"/>
      <c r="VRI7" s="264"/>
      <c r="VRJ7" s="264"/>
      <c r="VRK7" s="264"/>
      <c r="VRL7" s="264"/>
      <c r="VRM7" s="264"/>
      <c r="VRN7" s="264"/>
      <c r="VRO7" s="264"/>
      <c r="VRP7" s="264"/>
      <c r="VRQ7" s="264"/>
      <c r="VRR7" s="264"/>
      <c r="VRS7" s="264"/>
      <c r="VRT7" s="264"/>
      <c r="VRU7" s="264"/>
      <c r="VRV7" s="264"/>
      <c r="VRW7" s="264"/>
      <c r="VRX7" s="264"/>
      <c r="VRY7" s="264"/>
      <c r="VRZ7" s="264"/>
      <c r="VSA7" s="264"/>
      <c r="VSB7" s="264"/>
      <c r="VSC7" s="264"/>
      <c r="VSD7" s="264"/>
      <c r="VSE7" s="264"/>
      <c r="VSF7" s="264"/>
      <c r="VSG7" s="264"/>
      <c r="VSH7" s="264"/>
      <c r="VSI7" s="264"/>
      <c r="VSJ7" s="264"/>
      <c r="VSK7" s="264"/>
      <c r="VSL7" s="264"/>
      <c r="VSM7" s="264"/>
      <c r="VSN7" s="264"/>
      <c r="VSO7" s="264"/>
      <c r="VSP7" s="264"/>
      <c r="VSQ7" s="264"/>
      <c r="VSR7" s="264"/>
      <c r="VSS7" s="264"/>
      <c r="VST7" s="264"/>
      <c r="VSU7" s="264"/>
      <c r="VSV7" s="264"/>
      <c r="VSW7" s="264"/>
      <c r="VSX7" s="264"/>
      <c r="VSY7" s="264"/>
      <c r="VSZ7" s="264"/>
      <c r="VTA7" s="264"/>
      <c r="VTB7" s="264"/>
      <c r="VTC7" s="264"/>
      <c r="VTD7" s="264"/>
      <c r="VTE7" s="264"/>
      <c r="VTF7" s="264"/>
      <c r="VTG7" s="264"/>
      <c r="VTH7" s="264"/>
      <c r="VTI7" s="264"/>
      <c r="VTJ7" s="264"/>
      <c r="VTK7" s="264"/>
      <c r="VTL7" s="264"/>
      <c r="VTM7" s="264"/>
      <c r="VTN7" s="264"/>
      <c r="VTO7" s="264"/>
      <c r="VTP7" s="264"/>
      <c r="VTQ7" s="264"/>
      <c r="VTR7" s="264"/>
      <c r="VTS7" s="264"/>
      <c r="VTT7" s="264"/>
      <c r="VTU7" s="264"/>
      <c r="VTV7" s="264"/>
      <c r="VTW7" s="264"/>
      <c r="VTX7" s="264"/>
      <c r="VTY7" s="264"/>
      <c r="VTZ7" s="264"/>
      <c r="VUA7" s="264"/>
      <c r="VUB7" s="264"/>
      <c r="VUC7" s="264"/>
      <c r="VUD7" s="264"/>
      <c r="VUE7" s="264"/>
      <c r="VUF7" s="264"/>
      <c r="VUG7" s="264"/>
      <c r="VUH7" s="264"/>
      <c r="VUI7" s="264"/>
      <c r="VUJ7" s="264"/>
      <c r="VUK7" s="264"/>
      <c r="VUL7" s="264"/>
      <c r="VUM7" s="264"/>
      <c r="VUN7" s="264"/>
      <c r="VUO7" s="264"/>
      <c r="VUP7" s="264"/>
      <c r="VUQ7" s="264"/>
      <c r="VUR7" s="264"/>
      <c r="VUS7" s="264"/>
      <c r="VUT7" s="264"/>
      <c r="VUU7" s="264"/>
      <c r="VUV7" s="264"/>
      <c r="VUW7" s="264"/>
      <c r="VUX7" s="264"/>
      <c r="VUY7" s="264"/>
      <c r="VUZ7" s="264"/>
      <c r="VVA7" s="264"/>
      <c r="VVB7" s="264"/>
      <c r="VVC7" s="264"/>
      <c r="VVD7" s="264"/>
      <c r="VVE7" s="264"/>
      <c r="VVF7" s="264"/>
      <c r="VVG7" s="264"/>
      <c r="VVH7" s="264"/>
      <c r="VVI7" s="264"/>
      <c r="VVJ7" s="264"/>
      <c r="VVK7" s="264"/>
      <c r="VVL7" s="264"/>
      <c r="VVM7" s="264"/>
      <c r="VVN7" s="264"/>
      <c r="VVO7" s="264"/>
      <c r="VVP7" s="264"/>
      <c r="VVQ7" s="264"/>
      <c r="VVR7" s="264"/>
      <c r="VVS7" s="264"/>
      <c r="VVT7" s="264"/>
      <c r="VVU7" s="264"/>
      <c r="VVV7" s="264"/>
      <c r="VVW7" s="264"/>
      <c r="VVX7" s="264"/>
      <c r="VVY7" s="264"/>
      <c r="VVZ7" s="264"/>
      <c r="VWA7" s="264"/>
      <c r="VWB7" s="264"/>
      <c r="VWC7" s="264"/>
      <c r="VWD7" s="264"/>
      <c r="VWE7" s="264"/>
      <c r="VWF7" s="264"/>
      <c r="VWG7" s="264"/>
      <c r="VWH7" s="264"/>
      <c r="VWI7" s="264"/>
      <c r="VWJ7" s="264"/>
      <c r="VWK7" s="264"/>
      <c r="VWL7" s="264"/>
      <c r="VWM7" s="264"/>
      <c r="VWN7" s="264"/>
      <c r="VWO7" s="264"/>
      <c r="VWP7" s="264"/>
      <c r="VWQ7" s="264"/>
      <c r="VWR7" s="264"/>
      <c r="VWS7" s="264"/>
      <c r="VWT7" s="264"/>
      <c r="VWU7" s="264"/>
      <c r="VWV7" s="264"/>
      <c r="VWW7" s="264"/>
      <c r="VWX7" s="264"/>
      <c r="VWY7" s="264"/>
      <c r="VWZ7" s="264"/>
      <c r="VXA7" s="264"/>
      <c r="VXB7" s="264"/>
      <c r="VXC7" s="264"/>
      <c r="VXD7" s="264"/>
      <c r="VXE7" s="264"/>
      <c r="VXF7" s="264"/>
      <c r="VXG7" s="264"/>
      <c r="VXH7" s="264"/>
      <c r="VXI7" s="264"/>
      <c r="VXJ7" s="264"/>
      <c r="VXK7" s="264"/>
      <c r="VXL7" s="264"/>
      <c r="VXM7" s="264"/>
      <c r="VXN7" s="264"/>
      <c r="VXO7" s="264"/>
      <c r="VXP7" s="264"/>
      <c r="VXQ7" s="264"/>
      <c r="VXR7" s="264"/>
      <c r="VXS7" s="264"/>
      <c r="VXT7" s="264"/>
      <c r="VXU7" s="264"/>
      <c r="VXV7" s="264"/>
      <c r="VXW7" s="264"/>
      <c r="VXX7" s="264"/>
      <c r="VXY7" s="264"/>
      <c r="VXZ7" s="264"/>
      <c r="VYA7" s="264"/>
      <c r="VYB7" s="264"/>
      <c r="VYC7" s="264"/>
      <c r="VYD7" s="264"/>
      <c r="VYE7" s="264"/>
      <c r="VYF7" s="264"/>
      <c r="VYG7" s="264"/>
      <c r="VYH7" s="264"/>
      <c r="VYI7" s="264"/>
      <c r="VYJ7" s="264"/>
      <c r="VYK7" s="264"/>
      <c r="VYL7" s="264"/>
      <c r="VYM7" s="264"/>
      <c r="VYN7" s="264"/>
      <c r="VYO7" s="264"/>
      <c r="VYP7" s="264"/>
      <c r="VYQ7" s="264"/>
      <c r="VYR7" s="264"/>
      <c r="VYS7" s="264"/>
      <c r="VYT7" s="264"/>
      <c r="VYU7" s="264"/>
      <c r="VYV7" s="264"/>
      <c r="VYW7" s="264"/>
      <c r="VYX7" s="264"/>
      <c r="VYY7" s="264"/>
      <c r="VYZ7" s="264"/>
      <c r="VZA7" s="264"/>
      <c r="VZB7" s="264"/>
      <c r="VZC7" s="264"/>
      <c r="VZD7" s="264"/>
      <c r="VZE7" s="264"/>
      <c r="VZF7" s="264"/>
      <c r="VZG7" s="264"/>
      <c r="VZH7" s="264"/>
      <c r="VZI7" s="264"/>
      <c r="VZJ7" s="264"/>
      <c r="VZK7" s="264"/>
      <c r="VZL7" s="264"/>
      <c r="VZM7" s="264"/>
      <c r="VZN7" s="264"/>
      <c r="VZO7" s="264"/>
      <c r="VZP7" s="264"/>
      <c r="VZQ7" s="264"/>
      <c r="VZR7" s="264"/>
      <c r="VZS7" s="264"/>
      <c r="VZT7" s="264"/>
      <c r="VZU7" s="264"/>
      <c r="VZV7" s="264"/>
      <c r="VZW7" s="264"/>
      <c r="VZX7" s="264"/>
      <c r="VZY7" s="264"/>
      <c r="VZZ7" s="264"/>
      <c r="WAA7" s="264"/>
      <c r="WAB7" s="264"/>
      <c r="WAC7" s="264"/>
      <c r="WAD7" s="264"/>
      <c r="WAE7" s="264"/>
      <c r="WAF7" s="264"/>
      <c r="WAG7" s="264"/>
      <c r="WAH7" s="264"/>
      <c r="WAI7" s="264"/>
      <c r="WAJ7" s="264"/>
      <c r="WAK7" s="264"/>
      <c r="WAL7" s="264"/>
      <c r="WAM7" s="264"/>
      <c r="WAN7" s="264"/>
      <c r="WAO7" s="264"/>
      <c r="WAP7" s="264"/>
      <c r="WAQ7" s="264"/>
      <c r="WAR7" s="264"/>
      <c r="WAS7" s="264"/>
      <c r="WAT7" s="264"/>
      <c r="WAU7" s="264"/>
      <c r="WAV7" s="264"/>
      <c r="WAW7" s="264"/>
      <c r="WAX7" s="264"/>
      <c r="WAY7" s="264"/>
      <c r="WAZ7" s="264"/>
      <c r="WBA7" s="264"/>
      <c r="WBB7" s="264"/>
      <c r="WBC7" s="264"/>
      <c r="WBD7" s="264"/>
      <c r="WBE7" s="264"/>
      <c r="WBF7" s="264"/>
      <c r="WBG7" s="264"/>
      <c r="WBH7" s="264"/>
      <c r="WBI7" s="264"/>
      <c r="WBJ7" s="264"/>
      <c r="WBK7" s="264"/>
      <c r="WBL7" s="264"/>
      <c r="WBM7" s="264"/>
      <c r="WBN7" s="264"/>
      <c r="WBO7" s="264"/>
      <c r="WBP7" s="264"/>
      <c r="WBQ7" s="264"/>
      <c r="WBR7" s="264"/>
      <c r="WBS7" s="264"/>
      <c r="WBT7" s="264"/>
      <c r="WBU7" s="264"/>
      <c r="WBV7" s="264"/>
      <c r="WBW7" s="264"/>
      <c r="WBX7" s="264"/>
      <c r="WBY7" s="264"/>
      <c r="WBZ7" s="264"/>
      <c r="WCA7" s="264"/>
      <c r="WCB7" s="264"/>
      <c r="WCC7" s="264"/>
      <c r="WCD7" s="264"/>
      <c r="WCE7" s="264"/>
      <c r="WCF7" s="264"/>
      <c r="WCG7" s="264"/>
      <c r="WCH7" s="264"/>
      <c r="WCI7" s="264"/>
      <c r="WCJ7" s="264"/>
      <c r="WCK7" s="264"/>
      <c r="WCL7" s="264"/>
      <c r="WCM7" s="264"/>
      <c r="WCN7" s="264"/>
      <c r="WCO7" s="264"/>
      <c r="WCP7" s="264"/>
      <c r="WCQ7" s="264"/>
      <c r="WCR7" s="264"/>
      <c r="WCS7" s="264"/>
      <c r="WCT7" s="264"/>
      <c r="WCU7" s="264"/>
      <c r="WCV7" s="264"/>
      <c r="WCW7" s="264"/>
      <c r="WCX7" s="264"/>
      <c r="WCY7" s="264"/>
      <c r="WCZ7" s="264"/>
      <c r="WDA7" s="264"/>
      <c r="WDB7" s="264"/>
      <c r="WDC7" s="264"/>
      <c r="WDD7" s="264"/>
      <c r="WDE7" s="264"/>
      <c r="WDF7" s="264"/>
      <c r="WDG7" s="264"/>
      <c r="WDH7" s="264"/>
      <c r="WDI7" s="264"/>
      <c r="WDJ7" s="264"/>
      <c r="WDK7" s="264"/>
      <c r="WDL7" s="264"/>
      <c r="WDM7" s="264"/>
      <c r="WDN7" s="264"/>
      <c r="WDO7" s="264"/>
      <c r="WDP7" s="264"/>
      <c r="WDQ7" s="264"/>
      <c r="WDR7" s="264"/>
      <c r="WDS7" s="264"/>
      <c r="WDT7" s="264"/>
      <c r="WDU7" s="264"/>
      <c r="WDV7" s="264"/>
      <c r="WDW7" s="264"/>
      <c r="WDX7" s="264"/>
      <c r="WDY7" s="264"/>
      <c r="WDZ7" s="264"/>
      <c r="WEA7" s="264"/>
      <c r="WEB7" s="264"/>
      <c r="WEC7" s="264"/>
      <c r="WED7" s="264"/>
      <c r="WEE7" s="264"/>
      <c r="WEF7" s="264"/>
      <c r="WEG7" s="264"/>
      <c r="WEH7" s="264"/>
      <c r="WEI7" s="264"/>
      <c r="WEJ7" s="264"/>
      <c r="WEK7" s="264"/>
      <c r="WEL7" s="264"/>
      <c r="WEM7" s="264"/>
      <c r="WEN7" s="264"/>
      <c r="WEO7" s="264"/>
      <c r="WEP7" s="264"/>
      <c r="WEQ7" s="264"/>
      <c r="WER7" s="264"/>
      <c r="WES7" s="264"/>
      <c r="WET7" s="264"/>
      <c r="WEU7" s="264"/>
      <c r="WEV7" s="264"/>
      <c r="WEW7" s="264"/>
      <c r="WEX7" s="264"/>
      <c r="WEY7" s="264"/>
      <c r="WEZ7" s="264"/>
      <c r="WFA7" s="264"/>
      <c r="WFB7" s="264"/>
      <c r="WFC7" s="264"/>
      <c r="WFD7" s="264"/>
      <c r="WFE7" s="264"/>
      <c r="WFF7" s="264"/>
      <c r="WFG7" s="264"/>
      <c r="WFH7" s="264"/>
      <c r="WFI7" s="264"/>
      <c r="WFJ7" s="264"/>
      <c r="WFK7" s="264"/>
      <c r="WFL7" s="264"/>
      <c r="WFM7" s="264"/>
      <c r="WFN7" s="264"/>
      <c r="WFO7" s="264"/>
      <c r="WFP7" s="264"/>
      <c r="WFQ7" s="264"/>
      <c r="WFR7" s="264"/>
      <c r="WFS7" s="264"/>
      <c r="WFT7" s="264"/>
      <c r="WFU7" s="264"/>
      <c r="WFV7" s="264"/>
      <c r="WFW7" s="264"/>
      <c r="WFX7" s="264"/>
      <c r="WFY7" s="264"/>
      <c r="WFZ7" s="264"/>
      <c r="WGA7" s="264"/>
      <c r="WGB7" s="264"/>
      <c r="WGC7" s="264"/>
      <c r="WGD7" s="264"/>
      <c r="WGE7" s="264"/>
      <c r="WGF7" s="264"/>
      <c r="WGG7" s="264"/>
      <c r="WGH7" s="264"/>
      <c r="WGI7" s="264"/>
      <c r="WGJ7" s="264"/>
      <c r="WGK7" s="264"/>
      <c r="WGL7" s="264"/>
      <c r="WGM7" s="264"/>
      <c r="WGN7" s="264"/>
      <c r="WGO7" s="264"/>
      <c r="WGP7" s="264"/>
      <c r="WGQ7" s="264"/>
      <c r="WGR7" s="264"/>
      <c r="WGS7" s="264"/>
      <c r="WGT7" s="264"/>
      <c r="WGU7" s="264"/>
      <c r="WGV7" s="264"/>
      <c r="WGW7" s="264"/>
      <c r="WGX7" s="264"/>
      <c r="WGY7" s="264"/>
      <c r="WGZ7" s="264"/>
      <c r="WHA7" s="264"/>
      <c r="WHB7" s="264"/>
      <c r="WHC7" s="264"/>
      <c r="WHD7" s="264"/>
      <c r="WHE7" s="264"/>
      <c r="WHF7" s="264"/>
      <c r="WHG7" s="264"/>
      <c r="WHH7" s="264"/>
      <c r="WHI7" s="264"/>
      <c r="WHJ7" s="264"/>
      <c r="WHK7" s="264"/>
      <c r="WHL7" s="264"/>
      <c r="WHM7" s="264"/>
      <c r="WHN7" s="264"/>
      <c r="WHO7" s="264"/>
      <c r="WHP7" s="264"/>
      <c r="WHQ7" s="264"/>
      <c r="WHR7" s="264"/>
      <c r="WHS7" s="264"/>
      <c r="WHT7" s="264"/>
      <c r="WHU7" s="264"/>
      <c r="WHV7" s="264"/>
      <c r="WHW7" s="264"/>
      <c r="WHX7" s="264"/>
      <c r="WHY7" s="264"/>
      <c r="WHZ7" s="264"/>
      <c r="WIA7" s="264"/>
      <c r="WIB7" s="264"/>
      <c r="WIC7" s="264"/>
      <c r="WID7" s="264"/>
      <c r="WIE7" s="264"/>
      <c r="WIF7" s="264"/>
      <c r="WIG7" s="264"/>
      <c r="WIH7" s="264"/>
      <c r="WII7" s="264"/>
      <c r="WIJ7" s="264"/>
      <c r="WIK7" s="264"/>
      <c r="WIL7" s="264"/>
      <c r="WIM7" s="264"/>
      <c r="WIN7" s="264"/>
      <c r="WIO7" s="264"/>
      <c r="WIP7" s="264"/>
      <c r="WIQ7" s="264"/>
      <c r="WIR7" s="264"/>
      <c r="WIS7" s="264"/>
      <c r="WIT7" s="264"/>
      <c r="WIU7" s="264"/>
      <c r="WIV7" s="264"/>
      <c r="WIW7" s="264"/>
      <c r="WIX7" s="264"/>
      <c r="WIY7" s="264"/>
      <c r="WIZ7" s="264"/>
      <c r="WJA7" s="264"/>
      <c r="WJB7" s="264"/>
      <c r="WJC7" s="264"/>
      <c r="WJD7" s="264"/>
      <c r="WJE7" s="264"/>
      <c r="WJF7" s="264"/>
      <c r="WJG7" s="264"/>
      <c r="WJH7" s="264"/>
      <c r="WJI7" s="264"/>
      <c r="WJJ7" s="264"/>
      <c r="WJK7" s="264"/>
      <c r="WJL7" s="264"/>
      <c r="WJM7" s="264"/>
      <c r="WJN7" s="264"/>
      <c r="WJO7" s="264"/>
      <c r="WJP7" s="264"/>
      <c r="WJQ7" s="264"/>
      <c r="WJR7" s="264"/>
      <c r="WJS7" s="264"/>
      <c r="WJT7" s="264"/>
      <c r="WJU7" s="264"/>
      <c r="WJV7" s="264"/>
      <c r="WJW7" s="264"/>
      <c r="WJX7" s="264"/>
      <c r="WJY7" s="264"/>
      <c r="WJZ7" s="264"/>
      <c r="WKA7" s="264"/>
      <c r="WKB7" s="264"/>
      <c r="WKC7" s="264"/>
      <c r="WKD7" s="264"/>
      <c r="WKE7" s="264"/>
      <c r="WKF7" s="264"/>
      <c r="WKG7" s="264"/>
      <c r="WKH7" s="264"/>
      <c r="WKI7" s="264"/>
      <c r="WKJ7" s="264"/>
      <c r="WKK7" s="264"/>
      <c r="WKL7" s="264"/>
      <c r="WKM7" s="264"/>
      <c r="WKN7" s="264"/>
      <c r="WKO7" s="264"/>
      <c r="WKP7" s="264"/>
      <c r="WKQ7" s="264"/>
      <c r="WKR7" s="264"/>
      <c r="WKS7" s="264"/>
      <c r="WKT7" s="264"/>
      <c r="WKU7" s="264"/>
      <c r="WKV7" s="264"/>
      <c r="WKW7" s="264"/>
      <c r="WKX7" s="264"/>
      <c r="WKY7" s="264"/>
      <c r="WKZ7" s="264"/>
      <c r="WLA7" s="264"/>
      <c r="WLB7" s="264"/>
      <c r="WLC7" s="264"/>
      <c r="WLD7" s="264"/>
      <c r="WLE7" s="264"/>
      <c r="WLF7" s="264"/>
      <c r="WLG7" s="264"/>
      <c r="WLH7" s="264"/>
      <c r="WLI7" s="264"/>
      <c r="WLJ7" s="264"/>
      <c r="WLK7" s="264"/>
      <c r="WLL7" s="264"/>
      <c r="WLM7" s="264"/>
      <c r="WLN7" s="264"/>
      <c r="WLO7" s="264"/>
      <c r="WLP7" s="264"/>
      <c r="WLQ7" s="264"/>
      <c r="WLR7" s="264"/>
      <c r="WLS7" s="264"/>
      <c r="WLT7" s="264"/>
      <c r="WLU7" s="264"/>
      <c r="WLV7" s="264"/>
      <c r="WLW7" s="264"/>
      <c r="WLX7" s="264"/>
      <c r="WLY7" s="264"/>
      <c r="WLZ7" s="264"/>
      <c r="WMA7" s="264"/>
      <c r="WMB7" s="264"/>
      <c r="WMC7" s="264"/>
      <c r="WMD7" s="264"/>
      <c r="WME7" s="264"/>
      <c r="WMF7" s="264"/>
      <c r="WMG7" s="264"/>
      <c r="WMH7" s="264"/>
      <c r="WMI7" s="264"/>
      <c r="WMJ7" s="264"/>
      <c r="WMK7" s="264"/>
      <c r="WML7" s="264"/>
      <c r="WMM7" s="264"/>
      <c r="WMN7" s="264"/>
      <c r="WMO7" s="264"/>
      <c r="WMP7" s="264"/>
      <c r="WMQ7" s="264"/>
      <c r="WMR7" s="264"/>
      <c r="WMS7" s="264"/>
      <c r="WMT7" s="264"/>
      <c r="WMU7" s="264"/>
      <c r="WMV7" s="264"/>
      <c r="WMW7" s="264"/>
      <c r="WMX7" s="264"/>
      <c r="WMY7" s="264"/>
      <c r="WMZ7" s="264"/>
      <c r="WNA7" s="264"/>
      <c r="WNB7" s="264"/>
      <c r="WNC7" s="264"/>
      <c r="WND7" s="264"/>
      <c r="WNE7" s="264"/>
      <c r="WNF7" s="264"/>
      <c r="WNG7" s="264"/>
      <c r="WNH7" s="264"/>
      <c r="WNI7" s="264"/>
      <c r="WNJ7" s="264"/>
      <c r="WNK7" s="264"/>
      <c r="WNL7" s="264"/>
      <c r="WNM7" s="264"/>
      <c r="WNN7" s="264"/>
      <c r="WNO7" s="264"/>
      <c r="WNP7" s="264"/>
      <c r="WNQ7" s="264"/>
      <c r="WNR7" s="264"/>
      <c r="WNS7" s="264"/>
      <c r="WNT7" s="264"/>
      <c r="WNU7" s="264"/>
      <c r="WNV7" s="264"/>
      <c r="WNW7" s="264"/>
      <c r="WNX7" s="264"/>
      <c r="WNY7" s="264"/>
      <c r="WNZ7" s="264"/>
      <c r="WOA7" s="264"/>
      <c r="WOB7" s="264"/>
      <c r="WOC7" s="264"/>
      <c r="WOD7" s="264"/>
      <c r="WOE7" s="264"/>
      <c r="WOF7" s="264"/>
      <c r="WOG7" s="264"/>
      <c r="WOH7" s="264"/>
      <c r="WOI7" s="264"/>
      <c r="WOJ7" s="264"/>
      <c r="WOK7" s="264"/>
      <c r="WOL7" s="264"/>
      <c r="WOM7" s="264"/>
      <c r="WON7" s="264"/>
      <c r="WOO7" s="264"/>
      <c r="WOP7" s="264"/>
      <c r="WOQ7" s="264"/>
      <c r="WOR7" s="264"/>
      <c r="WOS7" s="264"/>
      <c r="WOT7" s="264"/>
      <c r="WOU7" s="264"/>
      <c r="WOV7" s="264"/>
      <c r="WOW7" s="264"/>
      <c r="WOX7" s="264"/>
      <c r="WOY7" s="264"/>
      <c r="WOZ7" s="264"/>
      <c r="WPA7" s="264"/>
      <c r="WPB7" s="264"/>
      <c r="WPC7" s="264"/>
      <c r="WPD7" s="264"/>
      <c r="WPE7" s="264"/>
      <c r="WPF7" s="264"/>
      <c r="WPG7" s="264"/>
      <c r="WPH7" s="264"/>
      <c r="WPI7" s="264"/>
      <c r="WPJ7" s="264"/>
      <c r="WPK7" s="264"/>
      <c r="WPL7" s="264"/>
      <c r="WPM7" s="264"/>
      <c r="WPN7" s="264"/>
      <c r="WPO7" s="264"/>
      <c r="WPP7" s="264"/>
      <c r="WPQ7" s="264"/>
      <c r="WPR7" s="264"/>
      <c r="WPS7" s="264"/>
      <c r="WPT7" s="264"/>
      <c r="WPU7" s="264"/>
      <c r="WPV7" s="264"/>
      <c r="WPW7" s="264"/>
      <c r="WPX7" s="264"/>
      <c r="WPY7" s="264"/>
      <c r="WPZ7" s="264"/>
      <c r="WQA7" s="264"/>
      <c r="WQB7" s="264"/>
      <c r="WQC7" s="264"/>
      <c r="WQD7" s="264"/>
      <c r="WQE7" s="264"/>
      <c r="WQF7" s="264"/>
      <c r="WQG7" s="264"/>
      <c r="WQH7" s="264"/>
      <c r="WQI7" s="264"/>
      <c r="WQJ7" s="264"/>
      <c r="WQK7" s="264"/>
      <c r="WQL7" s="264"/>
      <c r="WQM7" s="264"/>
      <c r="WQN7" s="264"/>
      <c r="WQO7" s="264"/>
      <c r="WQP7" s="264"/>
      <c r="WQQ7" s="264"/>
      <c r="WQR7" s="264"/>
      <c r="WQS7" s="264"/>
      <c r="WQT7" s="264"/>
      <c r="WQU7" s="264"/>
      <c r="WQV7" s="264"/>
      <c r="WQW7" s="264"/>
      <c r="WQX7" s="264"/>
      <c r="WQY7" s="264"/>
      <c r="WQZ7" s="264"/>
      <c r="WRA7" s="264"/>
      <c r="WRB7" s="264"/>
      <c r="WRC7" s="264"/>
      <c r="WRD7" s="264"/>
      <c r="WRE7" s="264"/>
      <c r="WRF7" s="264"/>
      <c r="WRG7" s="264"/>
      <c r="WRH7" s="264"/>
      <c r="WRI7" s="264"/>
      <c r="WRJ7" s="264"/>
      <c r="WRK7" s="264"/>
      <c r="WRL7" s="264"/>
      <c r="WRM7" s="264"/>
      <c r="WRN7" s="264"/>
      <c r="WRO7" s="264"/>
      <c r="WRP7" s="264"/>
      <c r="WRQ7" s="264"/>
      <c r="WRR7" s="264"/>
      <c r="WRS7" s="264"/>
      <c r="WRT7" s="264"/>
      <c r="WRU7" s="264"/>
      <c r="WRV7" s="264"/>
      <c r="WRW7" s="264"/>
      <c r="WRX7" s="264"/>
      <c r="WRY7" s="264"/>
      <c r="WRZ7" s="264"/>
      <c r="WSA7" s="264"/>
      <c r="WSB7" s="264"/>
      <c r="WSC7" s="264"/>
      <c r="WSD7" s="264"/>
      <c r="WSE7" s="264"/>
      <c r="WSF7" s="264"/>
      <c r="WSG7" s="264"/>
      <c r="WSH7" s="264"/>
      <c r="WSI7" s="264"/>
      <c r="WSJ7" s="264"/>
      <c r="WSK7" s="264"/>
      <c r="WSL7" s="264"/>
      <c r="WSM7" s="264"/>
      <c r="WSN7" s="264"/>
      <c r="WSO7" s="264"/>
      <c r="WSP7" s="264"/>
      <c r="WSQ7" s="264"/>
      <c r="WSR7" s="264"/>
      <c r="WSS7" s="264"/>
      <c r="WST7" s="264"/>
      <c r="WSU7" s="264"/>
      <c r="WSV7" s="264"/>
      <c r="WSW7" s="264"/>
      <c r="WSX7" s="264"/>
      <c r="WSY7" s="264"/>
      <c r="WSZ7" s="264"/>
      <c r="WTA7" s="264"/>
      <c r="WTB7" s="264"/>
      <c r="WTC7" s="264"/>
      <c r="WTD7" s="264"/>
      <c r="WTE7" s="264"/>
      <c r="WTF7" s="264"/>
      <c r="WTG7" s="264"/>
      <c r="WTH7" s="264"/>
      <c r="WTI7" s="264"/>
      <c r="WTJ7" s="264"/>
      <c r="WTK7" s="264"/>
      <c r="WTL7" s="264"/>
      <c r="WTM7" s="264"/>
      <c r="WTN7" s="264"/>
      <c r="WTO7" s="264"/>
      <c r="WTP7" s="264"/>
      <c r="WTQ7" s="264"/>
      <c r="WTR7" s="264"/>
      <c r="WTS7" s="264"/>
      <c r="WTT7" s="264"/>
      <c r="WTU7" s="264"/>
      <c r="WTV7" s="264"/>
      <c r="WTW7" s="264"/>
      <c r="WTX7" s="264"/>
      <c r="WTY7" s="264"/>
      <c r="WTZ7" s="264"/>
      <c r="WUA7" s="264"/>
      <c r="WUB7" s="264"/>
      <c r="WUC7" s="264"/>
      <c r="WUD7" s="264"/>
      <c r="WUE7" s="264"/>
      <c r="WUF7" s="264"/>
      <c r="WUG7" s="264"/>
      <c r="WUH7" s="264"/>
      <c r="WUI7" s="264"/>
      <c r="WUJ7" s="264"/>
      <c r="WUK7" s="264"/>
      <c r="WUL7" s="264"/>
      <c r="WUM7" s="264"/>
      <c r="WUN7" s="264"/>
      <c r="WUO7" s="264"/>
      <c r="WUP7" s="264"/>
      <c r="WUQ7" s="264"/>
      <c r="WUR7" s="264"/>
      <c r="WUS7" s="264"/>
      <c r="WUT7" s="264"/>
      <c r="WUU7" s="264"/>
      <c r="WUV7" s="264"/>
      <c r="WUW7" s="264"/>
      <c r="WUX7" s="264"/>
      <c r="WUY7" s="264"/>
      <c r="WUZ7" s="264"/>
      <c r="WVA7" s="264"/>
      <c r="WVB7" s="264"/>
      <c r="WVC7" s="264"/>
      <c r="WVD7" s="264"/>
      <c r="WVE7" s="264"/>
      <c r="WVF7" s="264"/>
      <c r="WVG7" s="264"/>
      <c r="WVH7" s="264"/>
      <c r="WVI7" s="264"/>
      <c r="WVJ7" s="264"/>
      <c r="WVK7" s="264"/>
      <c r="WVL7" s="264"/>
      <c r="WVM7" s="264"/>
      <c r="WVN7" s="264"/>
      <c r="WVO7" s="264"/>
      <c r="WVP7" s="264"/>
      <c r="WVQ7" s="264"/>
      <c r="WVR7" s="264"/>
      <c r="WVS7" s="264"/>
      <c r="WVT7" s="264"/>
      <c r="WVU7" s="264"/>
      <c r="WVV7" s="264"/>
      <c r="WVW7" s="264"/>
      <c r="WVX7" s="264"/>
      <c r="WVY7" s="264"/>
      <c r="WVZ7" s="264"/>
      <c r="WWA7" s="264"/>
      <c r="WWB7" s="264"/>
      <c r="WWC7" s="264"/>
      <c r="WWD7" s="264"/>
      <c r="WWE7" s="264"/>
      <c r="WWF7" s="264"/>
      <c r="WWG7" s="264"/>
      <c r="WWH7" s="264"/>
      <c r="WWI7" s="264"/>
      <c r="WWJ7" s="264"/>
      <c r="WWK7" s="264"/>
      <c r="WWL7" s="264"/>
      <c r="WWM7" s="264"/>
      <c r="WWN7" s="264"/>
      <c r="WWO7" s="264"/>
      <c r="WWP7" s="264"/>
      <c r="WWQ7" s="264"/>
      <c r="WWR7" s="264"/>
      <c r="WWS7" s="264"/>
      <c r="WWT7" s="264"/>
      <c r="WWU7" s="264"/>
      <c r="WWV7" s="264"/>
      <c r="WWW7" s="264"/>
      <c r="WWX7" s="264"/>
      <c r="WWY7" s="264"/>
      <c r="WWZ7" s="264"/>
      <c r="WXA7" s="264"/>
      <c r="WXB7" s="264"/>
      <c r="WXC7" s="264"/>
      <c r="WXD7" s="264"/>
      <c r="WXE7" s="264"/>
      <c r="WXF7" s="264"/>
      <c r="WXG7" s="264"/>
      <c r="WXH7" s="264"/>
      <c r="WXI7" s="264"/>
      <c r="WXJ7" s="264"/>
      <c r="WXK7" s="264"/>
      <c r="WXL7" s="264"/>
      <c r="WXM7" s="264"/>
      <c r="WXN7" s="264"/>
      <c r="WXO7" s="264"/>
      <c r="WXP7" s="264"/>
      <c r="WXQ7" s="264"/>
      <c r="WXR7" s="264"/>
      <c r="WXS7" s="264"/>
      <c r="WXT7" s="264"/>
      <c r="WXU7" s="264"/>
      <c r="WXV7" s="264"/>
      <c r="WXW7" s="264"/>
      <c r="WXX7" s="264"/>
      <c r="WXY7" s="264"/>
      <c r="WXZ7" s="264"/>
      <c r="WYA7" s="264"/>
      <c r="WYB7" s="264"/>
      <c r="WYC7" s="264"/>
      <c r="WYD7" s="264"/>
      <c r="WYE7" s="264"/>
      <c r="WYF7" s="264"/>
      <c r="WYG7" s="264"/>
      <c r="WYH7" s="264"/>
      <c r="WYI7" s="264"/>
      <c r="WYJ7" s="264"/>
      <c r="WYK7" s="264"/>
      <c r="WYL7" s="264"/>
      <c r="WYM7" s="264"/>
      <c r="WYN7" s="264"/>
      <c r="WYO7" s="264"/>
      <c r="WYP7" s="264"/>
      <c r="WYQ7" s="264"/>
      <c r="WYR7" s="264"/>
      <c r="WYS7" s="264"/>
      <c r="WYT7" s="264"/>
      <c r="WYU7" s="264"/>
      <c r="WYV7" s="264"/>
      <c r="WYW7" s="264"/>
      <c r="WYX7" s="264"/>
      <c r="WYY7" s="264"/>
      <c r="WYZ7" s="264"/>
      <c r="WZA7" s="264"/>
      <c r="WZB7" s="264"/>
      <c r="WZC7" s="264"/>
      <c r="WZD7" s="264"/>
      <c r="WZE7" s="264"/>
      <c r="WZF7" s="264"/>
      <c r="WZG7" s="264"/>
      <c r="WZH7" s="264"/>
      <c r="WZI7" s="264"/>
      <c r="WZJ7" s="264"/>
      <c r="WZK7" s="264"/>
      <c r="WZL7" s="264"/>
      <c r="WZM7" s="264"/>
      <c r="WZN7" s="264"/>
      <c r="WZO7" s="264"/>
      <c r="WZP7" s="264"/>
      <c r="WZQ7" s="264"/>
      <c r="WZR7" s="264"/>
      <c r="WZS7" s="264"/>
      <c r="WZT7" s="264"/>
      <c r="WZU7" s="264"/>
      <c r="WZV7" s="264"/>
      <c r="WZW7" s="264"/>
      <c r="WZX7" s="264"/>
      <c r="WZY7" s="264"/>
      <c r="WZZ7" s="264"/>
      <c r="XAA7" s="264"/>
      <c r="XAB7" s="264"/>
      <c r="XAC7" s="264"/>
      <c r="XAD7" s="264"/>
      <c r="XAE7" s="264"/>
      <c r="XAF7" s="264"/>
      <c r="XAG7" s="264"/>
      <c r="XAH7" s="264"/>
      <c r="XAI7" s="264"/>
      <c r="XAJ7" s="264"/>
      <c r="XAK7" s="264"/>
      <c r="XAL7" s="264"/>
      <c r="XAM7" s="264"/>
      <c r="XAN7" s="264"/>
      <c r="XAO7" s="264"/>
      <c r="XAP7" s="264"/>
      <c r="XAQ7" s="264"/>
      <c r="XAR7" s="264"/>
      <c r="XAS7" s="264"/>
      <c r="XAT7" s="264"/>
      <c r="XAU7" s="264"/>
      <c r="XAV7" s="264"/>
      <c r="XAW7" s="264"/>
      <c r="XAX7" s="264"/>
      <c r="XAY7" s="264"/>
      <c r="XAZ7" s="264"/>
      <c r="XBA7" s="264"/>
      <c r="XBB7" s="264"/>
      <c r="XBC7" s="264"/>
      <c r="XBD7" s="264"/>
      <c r="XBE7" s="264"/>
      <c r="XBF7" s="264"/>
      <c r="XBG7" s="264"/>
      <c r="XBH7" s="264"/>
      <c r="XBI7" s="264"/>
      <c r="XBJ7" s="264"/>
      <c r="XBK7" s="264"/>
      <c r="XBL7" s="264"/>
      <c r="XBM7" s="264"/>
      <c r="XBN7" s="264"/>
      <c r="XBO7" s="264"/>
      <c r="XBP7" s="264"/>
      <c r="XBQ7" s="264"/>
      <c r="XBR7" s="264"/>
      <c r="XBS7" s="264"/>
      <c r="XBT7" s="264"/>
      <c r="XBU7" s="264"/>
      <c r="XBV7" s="264"/>
      <c r="XBW7" s="264"/>
      <c r="XBX7" s="264"/>
      <c r="XBY7" s="264"/>
      <c r="XBZ7" s="264"/>
      <c r="XCA7" s="264"/>
      <c r="XCB7" s="264"/>
      <c r="XCC7" s="264"/>
      <c r="XCD7" s="264"/>
      <c r="XCE7" s="264"/>
      <c r="XCF7" s="264"/>
      <c r="XCG7" s="264"/>
      <c r="XCH7" s="264"/>
      <c r="XCI7" s="264"/>
      <c r="XCJ7" s="264"/>
      <c r="XCK7" s="264"/>
      <c r="XCL7" s="264"/>
      <c r="XCM7" s="264"/>
      <c r="XCN7" s="264"/>
      <c r="XCO7" s="264"/>
      <c r="XCP7" s="264"/>
      <c r="XCQ7" s="264"/>
      <c r="XCR7" s="264"/>
      <c r="XCS7" s="264"/>
      <c r="XCT7" s="264"/>
      <c r="XCU7" s="264"/>
      <c r="XCV7" s="264"/>
      <c r="XCW7" s="264"/>
      <c r="XCX7" s="264"/>
      <c r="XCY7" s="264"/>
      <c r="XCZ7" s="264"/>
      <c r="XDA7" s="264"/>
      <c r="XDB7" s="264"/>
      <c r="XDC7" s="264"/>
      <c r="XDD7" s="264"/>
      <c r="XDE7" s="264"/>
      <c r="XDF7" s="264"/>
      <c r="XDG7" s="264"/>
      <c r="XDH7" s="264"/>
      <c r="XDI7" s="264"/>
      <c r="XDJ7" s="264"/>
      <c r="XDK7" s="264"/>
      <c r="XDL7" s="264"/>
      <c r="XDM7" s="264"/>
      <c r="XDN7" s="264"/>
      <c r="XDO7" s="264"/>
      <c r="XDP7" s="264"/>
      <c r="XDQ7" s="264"/>
      <c r="XDR7" s="264"/>
      <c r="XDS7" s="264"/>
      <c r="XDT7" s="264"/>
      <c r="XDU7" s="264"/>
      <c r="XDV7" s="264"/>
      <c r="XDW7" s="264"/>
      <c r="XDX7" s="264"/>
      <c r="XDY7" s="264"/>
      <c r="XDZ7" s="264"/>
      <c r="XEA7" s="264"/>
      <c r="XEB7" s="264"/>
      <c r="XEC7" s="264"/>
      <c r="XED7" s="264"/>
      <c r="XEE7" s="264"/>
      <c r="XEF7" s="264"/>
      <c r="XEG7" s="264"/>
      <c r="XEH7" s="264"/>
      <c r="XEI7" s="264"/>
      <c r="XEJ7" s="264"/>
      <c r="XEK7" s="264"/>
      <c r="XEL7" s="264"/>
      <c r="XEM7" s="264"/>
      <c r="XEN7" s="264"/>
      <c r="XEO7" s="264"/>
      <c r="XEP7" s="264"/>
      <c r="XEQ7" s="264"/>
      <c r="XER7" s="264"/>
      <c r="XES7" s="264"/>
      <c r="XET7" s="264"/>
      <c r="XEU7" s="264"/>
      <c r="XEV7" s="264"/>
      <c r="XEW7" s="264"/>
      <c r="XEX7" s="264"/>
      <c r="XEY7" s="264"/>
      <c r="XEZ7" s="264"/>
      <c r="XFA7" s="264"/>
      <c r="XFB7" s="264"/>
      <c r="XFC7" s="264"/>
      <c r="XFD7" s="264"/>
    </row>
    <row r="8" spans="1:16384" ht="16.5" customHeight="1">
      <c r="A8" s="447"/>
      <c r="B8" s="448"/>
      <c r="C8" s="276"/>
      <c r="D8" s="618" t="s">
        <v>352</v>
      </c>
      <c r="E8" s="618"/>
      <c r="F8" s="618"/>
      <c r="G8" s="618"/>
      <c r="H8" s="618"/>
      <c r="I8" s="618"/>
      <c r="J8" s="618"/>
      <c r="K8" s="451"/>
      <c r="L8" s="619" t="s">
        <v>570</v>
      </c>
      <c r="M8" s="619"/>
      <c r="N8" s="619"/>
      <c r="O8" s="619"/>
      <c r="P8" s="619"/>
      <c r="Q8" s="263"/>
      <c r="R8" s="267"/>
      <c r="S8" s="264"/>
      <c r="Z8" s="263"/>
      <c r="AA8" s="263"/>
    </row>
    <row r="9" spans="1:16384" ht="14.25" customHeight="1">
      <c r="A9" s="447"/>
      <c r="B9" s="448"/>
      <c r="C9" s="276"/>
      <c r="D9" s="428" t="s">
        <v>350</v>
      </c>
      <c r="E9" s="604" t="s">
        <v>715</v>
      </c>
      <c r="F9" s="600"/>
      <c r="G9" s="431"/>
      <c r="H9" s="431"/>
      <c r="I9" s="433"/>
      <c r="J9" s="346"/>
      <c r="K9" s="451"/>
      <c r="L9" s="264"/>
      <c r="M9" s="264"/>
      <c r="N9" s="264"/>
      <c r="O9" s="264"/>
      <c r="P9" s="264"/>
      <c r="Q9" s="264"/>
      <c r="R9" s="267"/>
      <c r="S9" s="264"/>
      <c r="Z9" s="263"/>
      <c r="AA9" s="263"/>
    </row>
    <row r="10" spans="1:16384" ht="14.25" customHeight="1">
      <c r="A10" s="447"/>
      <c r="B10" s="448"/>
      <c r="C10" s="276"/>
      <c r="D10" s="428" t="s">
        <v>306</v>
      </c>
      <c r="E10" s="600" t="s">
        <v>716</v>
      </c>
      <c r="F10" s="600"/>
      <c r="G10" s="600"/>
      <c r="H10" s="600"/>
      <c r="I10" s="433"/>
      <c r="J10" s="346"/>
      <c r="K10" s="451"/>
      <c r="L10" s="264"/>
      <c r="M10" s="264"/>
      <c r="N10" s="264"/>
      <c r="O10" s="264"/>
      <c r="P10" s="264"/>
      <c r="Q10" s="264"/>
      <c r="R10" s="267"/>
      <c r="S10" s="264"/>
      <c r="Z10" s="263"/>
      <c r="AA10" s="263"/>
    </row>
    <row r="11" spans="1:16384" ht="14.25" customHeight="1">
      <c r="A11" s="447"/>
      <c r="B11" s="448"/>
      <c r="C11" s="276"/>
      <c r="D11" s="429" t="s">
        <v>307</v>
      </c>
      <c r="E11" s="622" t="s">
        <v>936</v>
      </c>
      <c r="F11" s="622"/>
      <c r="G11" s="622"/>
      <c r="H11" s="622"/>
      <c r="I11" s="433"/>
      <c r="J11" s="346"/>
      <c r="K11" s="451"/>
      <c r="L11" s="264"/>
      <c r="M11" s="462" t="s">
        <v>335</v>
      </c>
      <c r="N11" s="264"/>
      <c r="O11" s="620">
        <f>I54</f>
        <v>0.9285714285714286</v>
      </c>
      <c r="P11" s="620"/>
      <c r="Q11" s="264"/>
      <c r="R11" s="267"/>
      <c r="S11" s="264"/>
      <c r="Z11" s="263"/>
      <c r="AA11" s="263"/>
    </row>
    <row r="12" spans="1:16384" ht="14.25" customHeight="1">
      <c r="A12" s="447"/>
      <c r="B12" s="538"/>
      <c r="C12" s="276"/>
      <c r="D12" s="429" t="s">
        <v>308</v>
      </c>
      <c r="E12" s="600" t="s">
        <v>717</v>
      </c>
      <c r="F12" s="600"/>
      <c r="G12" s="600"/>
      <c r="H12" s="600"/>
      <c r="I12" s="433"/>
      <c r="J12" s="346"/>
      <c r="K12" s="451"/>
      <c r="L12" s="264"/>
      <c r="M12" s="462" t="s">
        <v>336</v>
      </c>
      <c r="N12" s="264"/>
      <c r="O12" s="620">
        <f>SISWA!AU57</f>
        <v>1</v>
      </c>
      <c r="P12" s="620"/>
      <c r="Q12" s="264"/>
      <c r="R12" s="267"/>
      <c r="S12" s="264"/>
      <c r="Z12" s="263"/>
      <c r="AA12" s="263"/>
    </row>
    <row r="13" spans="1:16384" ht="14.25" customHeight="1">
      <c r="A13" s="447"/>
      <c r="B13" s="538"/>
      <c r="C13" s="276"/>
      <c r="D13" s="429" t="s">
        <v>309</v>
      </c>
      <c r="E13" s="604" t="s">
        <v>718</v>
      </c>
      <c r="F13" s="600"/>
      <c r="G13" s="600"/>
      <c r="H13" s="600"/>
      <c r="I13" s="433"/>
      <c r="J13" s="346"/>
      <c r="K13" s="451"/>
      <c r="L13" s="264"/>
      <c r="M13" s="462" t="s">
        <v>337</v>
      </c>
      <c r="N13" s="264"/>
      <c r="O13" s="620">
        <f>KKM!Y16</f>
        <v>1</v>
      </c>
      <c r="P13" s="620"/>
      <c r="Q13" s="264"/>
      <c r="R13" s="267"/>
      <c r="S13" s="264"/>
      <c r="Z13" s="263"/>
      <c r="AA13" s="263"/>
    </row>
    <row r="14" spans="1:16384" ht="14.25" customHeight="1">
      <c r="A14" s="447"/>
      <c r="B14" s="538"/>
      <c r="C14" s="276"/>
      <c r="D14" s="429" t="s">
        <v>310</v>
      </c>
      <c r="E14" s="563" t="s">
        <v>935</v>
      </c>
      <c r="F14" s="431"/>
      <c r="G14" s="600"/>
      <c r="H14" s="600"/>
      <c r="I14" s="433"/>
      <c r="J14" s="346"/>
      <c r="K14" s="451"/>
      <c r="L14" s="264"/>
      <c r="M14" s="462" t="s">
        <v>338</v>
      </c>
      <c r="N14" s="264"/>
      <c r="O14" s="620">
        <v>1</v>
      </c>
      <c r="P14" s="620"/>
      <c r="Q14" s="264"/>
      <c r="R14" s="267"/>
      <c r="S14" s="264"/>
      <c r="Z14" s="263"/>
      <c r="AA14" s="263"/>
    </row>
    <row r="15" spans="1:16384" s="264" customFormat="1" ht="14.25" customHeight="1">
      <c r="A15" s="447"/>
      <c r="B15" s="538"/>
      <c r="C15" s="276"/>
      <c r="D15" s="429" t="s">
        <v>311</v>
      </c>
      <c r="E15" s="430" t="s">
        <v>598</v>
      </c>
      <c r="F15" s="431"/>
      <c r="G15" s="431"/>
      <c r="H15" s="431"/>
      <c r="I15" s="433"/>
      <c r="J15" s="346"/>
      <c r="K15" s="451"/>
      <c r="M15" s="462" t="s">
        <v>339</v>
      </c>
      <c r="O15" s="620">
        <v>1</v>
      </c>
      <c r="P15" s="620"/>
      <c r="R15" s="267"/>
      <c r="T15" s="137"/>
      <c r="U15" s="137"/>
      <c r="V15" s="137"/>
      <c r="W15" s="137"/>
      <c r="X15" s="137"/>
      <c r="Y15" s="137"/>
    </row>
    <row r="16" spans="1:16384" s="264" customFormat="1" ht="14.25" customHeight="1">
      <c r="A16" s="447"/>
      <c r="B16" s="538"/>
      <c r="C16" s="276"/>
      <c r="D16" s="429" t="s">
        <v>312</v>
      </c>
      <c r="E16" s="600" t="s">
        <v>719</v>
      </c>
      <c r="F16" s="600"/>
      <c r="G16" s="600"/>
      <c r="H16" s="600"/>
      <c r="I16" s="433"/>
      <c r="J16" s="346"/>
      <c r="K16" s="451"/>
      <c r="M16" s="462" t="s">
        <v>340</v>
      </c>
      <c r="O16" s="620">
        <f>'MLK1-3'!AW6</f>
        <v>1</v>
      </c>
      <c r="P16" s="620"/>
      <c r="R16" s="267"/>
      <c r="T16" s="137"/>
      <c r="U16" s="137"/>
      <c r="V16" s="137"/>
      <c r="W16" s="137"/>
      <c r="X16" s="137"/>
      <c r="Y16" s="137"/>
    </row>
    <row r="17" spans="1:27" s="264" customFormat="1" ht="14.25" customHeight="1">
      <c r="A17" s="447"/>
      <c r="B17" s="538"/>
      <c r="C17" s="276"/>
      <c r="D17" s="429" t="s">
        <v>309</v>
      </c>
      <c r="E17" s="604" t="s">
        <v>721</v>
      </c>
      <c r="F17" s="600"/>
      <c r="G17" s="600"/>
      <c r="H17" s="600"/>
      <c r="I17" s="433"/>
      <c r="J17" s="346"/>
      <c r="K17" s="451"/>
      <c r="M17" s="462" t="s">
        <v>341</v>
      </c>
      <c r="O17" s="620">
        <f>'MLK1-4'!AU6</f>
        <v>1</v>
      </c>
      <c r="P17" s="620"/>
      <c r="R17" s="267"/>
      <c r="T17" s="137"/>
      <c r="U17" s="137"/>
      <c r="V17" s="137"/>
      <c r="W17" s="137"/>
      <c r="X17" s="137"/>
      <c r="Y17" s="137"/>
    </row>
    <row r="18" spans="1:27" s="264" customFormat="1" ht="14.25" customHeight="1">
      <c r="A18" s="447"/>
      <c r="B18" s="538"/>
      <c r="C18" s="276"/>
      <c r="D18" s="429" t="s">
        <v>313</v>
      </c>
      <c r="E18" s="600" t="s">
        <v>720</v>
      </c>
      <c r="F18" s="600"/>
      <c r="G18" s="600"/>
      <c r="H18" s="600"/>
      <c r="I18" s="433"/>
      <c r="J18" s="346"/>
      <c r="K18" s="451"/>
      <c r="R18" s="267"/>
      <c r="T18" s="137"/>
      <c r="U18" s="137"/>
      <c r="V18" s="137"/>
      <c r="W18" s="137"/>
      <c r="X18" s="137"/>
      <c r="Y18" s="137"/>
    </row>
    <row r="19" spans="1:27" s="264" customFormat="1" ht="14.25" customHeight="1">
      <c r="A19" s="447"/>
      <c r="B19" s="538"/>
      <c r="C19" s="276"/>
      <c r="D19" s="429" t="s">
        <v>314</v>
      </c>
      <c r="E19" s="600" t="s">
        <v>722</v>
      </c>
      <c r="F19" s="600"/>
      <c r="G19" s="600"/>
      <c r="H19" s="600"/>
      <c r="I19" s="433"/>
      <c r="J19" s="346"/>
      <c r="K19" s="451"/>
      <c r="M19" s="266" t="s">
        <v>84</v>
      </c>
      <c r="R19" s="267"/>
      <c r="T19" s="137"/>
      <c r="U19" s="137"/>
      <c r="V19" s="137"/>
      <c r="W19" s="137"/>
      <c r="X19" s="137"/>
      <c r="Y19" s="137"/>
    </row>
    <row r="20" spans="1:27" s="264" customFormat="1" ht="14.25" customHeight="1">
      <c r="A20" s="447"/>
      <c r="B20" s="538"/>
      <c r="C20" s="276"/>
      <c r="D20" s="429" t="s">
        <v>315</v>
      </c>
      <c r="E20" s="600" t="s">
        <v>599</v>
      </c>
      <c r="F20" s="600"/>
      <c r="G20" s="600"/>
      <c r="H20" s="600"/>
      <c r="I20" s="433"/>
      <c r="J20" s="346"/>
      <c r="K20" s="451"/>
      <c r="M20" s="621" t="str">
        <f>IF(P5&gt;80%," Siiip pekerjaan Anda sudah hampir selesai dan bisa mencoba untuk mencetak raport (@kangmartho.com)"," Tetap Semangat, silakan terus isi data sesuai dengan keadaan, jangan lupa jaga kondisi kesehatan Anda (@kangmartho.com)")</f>
        <v xml:space="preserve"> Siiip pekerjaan Anda sudah hampir selesai dan bisa mencoba untuk mencetak raport (@kangmartho.com)</v>
      </c>
      <c r="N20" s="621"/>
      <c r="O20" s="621"/>
      <c r="P20" s="621"/>
      <c r="R20" s="267"/>
      <c r="T20" s="137"/>
      <c r="U20" s="137"/>
      <c r="V20" s="137"/>
      <c r="W20" s="137"/>
      <c r="X20" s="137"/>
      <c r="Y20" s="137"/>
    </row>
    <row r="21" spans="1:27" s="264" customFormat="1" ht="15.75" customHeight="1">
      <c r="A21" s="447"/>
      <c r="B21" s="538"/>
      <c r="C21" s="276"/>
      <c r="D21" s="429" t="s">
        <v>316</v>
      </c>
      <c r="E21" s="600" t="s">
        <v>600</v>
      </c>
      <c r="F21" s="600"/>
      <c r="G21" s="600"/>
      <c r="H21" s="600"/>
      <c r="I21" s="433"/>
      <c r="J21" s="346"/>
      <c r="K21" s="451"/>
      <c r="M21" s="621"/>
      <c r="N21" s="621"/>
      <c r="O21" s="621"/>
      <c r="P21" s="621"/>
      <c r="R21" s="267"/>
      <c r="T21" s="137"/>
      <c r="U21" s="137"/>
      <c r="V21" s="137"/>
      <c r="W21" s="137"/>
      <c r="X21" s="137"/>
      <c r="Y21" s="137"/>
    </row>
    <row r="22" spans="1:27" s="264" customFormat="1" ht="13.5" customHeight="1">
      <c r="A22" s="447"/>
      <c r="B22" s="538"/>
      <c r="C22" s="276"/>
      <c r="D22" s="429" t="s">
        <v>317</v>
      </c>
      <c r="E22" s="600" t="s">
        <v>714</v>
      </c>
      <c r="F22" s="600"/>
      <c r="G22" s="600"/>
      <c r="H22" s="600"/>
      <c r="I22" s="433"/>
      <c r="J22" s="346"/>
      <c r="K22" s="451"/>
      <c r="M22" s="621"/>
      <c r="N22" s="621"/>
      <c r="O22" s="621"/>
      <c r="P22" s="621"/>
      <c r="R22" s="267"/>
      <c r="T22" s="137"/>
      <c r="U22" s="137"/>
      <c r="V22" s="137"/>
      <c r="W22" s="137"/>
      <c r="X22" s="137"/>
      <c r="Y22" s="137"/>
    </row>
    <row r="23" spans="1:27" s="264" customFormat="1" ht="17.25" customHeight="1">
      <c r="A23" s="461"/>
      <c r="B23" s="461"/>
      <c r="C23" s="276"/>
      <c r="D23" s="486" t="s">
        <v>353</v>
      </c>
      <c r="E23" s="487">
        <v>43</v>
      </c>
      <c r="F23" s="488"/>
      <c r="G23" s="488"/>
      <c r="H23" s="488"/>
      <c r="I23" s="460"/>
      <c r="J23" s="432"/>
      <c r="K23" s="451"/>
      <c r="R23" s="267"/>
      <c r="S23" s="483"/>
      <c r="T23" s="482"/>
      <c r="U23" s="482"/>
      <c r="V23" s="482"/>
      <c r="W23" s="440"/>
      <c r="X23" s="440"/>
      <c r="Y23" s="137"/>
    </row>
    <row r="24" spans="1:27" s="264" customFormat="1" ht="6.75" customHeight="1">
      <c r="A24" s="461"/>
      <c r="B24" s="461"/>
      <c r="C24" s="451"/>
      <c r="D24" s="451"/>
      <c r="E24" s="451"/>
      <c r="F24" s="451"/>
      <c r="G24" s="451"/>
      <c r="H24" s="451"/>
      <c r="I24" s="451"/>
      <c r="J24" s="451"/>
      <c r="K24" s="267"/>
      <c r="L24" s="267"/>
      <c r="M24" s="267"/>
      <c r="N24" s="267"/>
      <c r="O24" s="267"/>
      <c r="P24" s="267"/>
      <c r="Q24" s="267"/>
      <c r="R24" s="267"/>
      <c r="S24" s="265"/>
      <c r="T24" s="440"/>
      <c r="U24" s="440"/>
      <c r="V24" s="440"/>
      <c r="W24" s="440"/>
      <c r="X24" s="440"/>
      <c r="Y24" s="137"/>
    </row>
    <row r="25" spans="1:27" ht="15" customHeight="1">
      <c r="A25" s="461"/>
      <c r="B25" s="461"/>
      <c r="C25" s="451"/>
      <c r="D25" s="500" t="s">
        <v>342</v>
      </c>
      <c r="E25" s="500"/>
      <c r="F25" s="500"/>
      <c r="G25" s="500"/>
      <c r="H25" s="500"/>
      <c r="I25" s="500"/>
      <c r="J25" s="500"/>
      <c r="K25" s="500"/>
      <c r="L25" s="500"/>
      <c r="M25" s="500"/>
      <c r="N25" s="500"/>
      <c r="O25" s="500"/>
      <c r="P25" s="501"/>
      <c r="Q25" s="501"/>
      <c r="R25" s="451"/>
      <c r="S25" s="264"/>
      <c r="Z25" s="263"/>
      <c r="AA25" s="263"/>
    </row>
    <row r="26" spans="1:27" ht="15" customHeight="1">
      <c r="A26" s="461"/>
      <c r="B26" s="461"/>
      <c r="C26" s="451"/>
      <c r="D26" s="463"/>
      <c r="E26" s="463"/>
      <c r="F26" s="463"/>
      <c r="G26" s="463"/>
      <c r="H26" s="463"/>
      <c r="I26" s="463"/>
      <c r="J26" s="264"/>
      <c r="M26" s="264"/>
      <c r="N26" s="264"/>
      <c r="O26" s="264"/>
      <c r="P26" s="264"/>
      <c r="Q26" s="264"/>
      <c r="R26" s="451"/>
      <c r="S26" s="264"/>
      <c r="Z26" s="263"/>
      <c r="AA26" s="263"/>
    </row>
    <row r="27" spans="1:27" ht="12.75" customHeight="1">
      <c r="A27" s="461"/>
      <c r="B27" s="461"/>
      <c r="C27" s="451"/>
      <c r="D27" s="264" t="s">
        <v>348</v>
      </c>
      <c r="E27" s="463"/>
      <c r="F27" s="463"/>
      <c r="G27" s="615" t="s">
        <v>351</v>
      </c>
      <c r="H27" s="615"/>
      <c r="I27" s="615"/>
      <c r="J27" s="615"/>
      <c r="K27" s="615"/>
      <c r="L27" s="615"/>
      <c r="M27" s="615"/>
      <c r="N27" s="615"/>
      <c r="O27" s="615"/>
      <c r="P27" s="615"/>
      <c r="Q27" s="264"/>
      <c r="R27" s="451"/>
      <c r="S27" s="264"/>
      <c r="Z27" s="263"/>
      <c r="AA27" s="263"/>
    </row>
    <row r="28" spans="1:27" ht="12.75" customHeight="1">
      <c r="A28" s="461"/>
      <c r="B28" s="461"/>
      <c r="C28" s="451"/>
      <c r="D28" s="264" t="s">
        <v>349</v>
      </c>
      <c r="E28" s="463"/>
      <c r="F28" s="463"/>
      <c r="G28" s="615"/>
      <c r="H28" s="615"/>
      <c r="I28" s="615"/>
      <c r="J28" s="615"/>
      <c r="K28" s="615"/>
      <c r="L28" s="615"/>
      <c r="M28" s="615"/>
      <c r="N28" s="615"/>
      <c r="O28" s="615"/>
      <c r="P28" s="615"/>
      <c r="Q28" s="264"/>
      <c r="R28" s="451"/>
      <c r="S28" s="264"/>
      <c r="Z28" s="263"/>
      <c r="AA28" s="263"/>
    </row>
    <row r="29" spans="1:27" ht="12.75" customHeight="1">
      <c r="A29" s="461"/>
      <c r="B29" s="461"/>
      <c r="C29" s="451"/>
      <c r="D29" s="464" t="s">
        <v>343</v>
      </c>
      <c r="E29" s="463"/>
      <c r="F29" s="463"/>
      <c r="G29" s="615"/>
      <c r="H29" s="615"/>
      <c r="I29" s="615"/>
      <c r="J29" s="615"/>
      <c r="K29" s="615"/>
      <c r="L29" s="615"/>
      <c r="M29" s="615"/>
      <c r="N29" s="615"/>
      <c r="O29" s="615"/>
      <c r="P29" s="615"/>
      <c r="Q29" s="264"/>
      <c r="R29" s="451"/>
      <c r="S29" s="264"/>
      <c r="Z29" s="263"/>
      <c r="AA29" s="263"/>
    </row>
    <row r="30" spans="1:27" ht="12.75" customHeight="1">
      <c r="A30" s="461"/>
      <c r="B30" s="461"/>
      <c r="C30" s="451"/>
      <c r="D30" s="464" t="s">
        <v>344</v>
      </c>
      <c r="E30" s="463"/>
      <c r="F30" s="463"/>
      <c r="G30" s="615"/>
      <c r="H30" s="615"/>
      <c r="I30" s="615"/>
      <c r="J30" s="615"/>
      <c r="K30" s="615"/>
      <c r="L30" s="615"/>
      <c r="M30" s="615"/>
      <c r="N30" s="615"/>
      <c r="O30" s="615"/>
      <c r="P30" s="615"/>
      <c r="Q30" s="264"/>
      <c r="R30" s="451"/>
      <c r="S30" s="264"/>
      <c r="Z30" s="263"/>
      <c r="AA30" s="263"/>
    </row>
    <row r="31" spans="1:27" ht="15" customHeight="1">
      <c r="A31" s="461"/>
      <c r="B31" s="461"/>
      <c r="C31" s="451"/>
      <c r="D31" s="463"/>
      <c r="E31" s="463"/>
      <c r="F31" s="463"/>
      <c r="G31" s="463"/>
      <c r="H31" s="463"/>
      <c r="I31" s="463"/>
      <c r="J31" s="264"/>
      <c r="K31" s="264"/>
      <c r="L31" s="264"/>
      <c r="M31" s="264"/>
      <c r="N31" s="264"/>
      <c r="O31" s="264"/>
      <c r="P31" s="264"/>
      <c r="Q31" s="264"/>
      <c r="R31" s="451"/>
      <c r="S31" s="264"/>
      <c r="Z31" s="263"/>
      <c r="AA31" s="263"/>
    </row>
    <row r="32" spans="1:27" ht="15" customHeight="1">
      <c r="A32" s="461"/>
      <c r="B32" s="461"/>
      <c r="C32" s="451"/>
      <c r="D32" s="463"/>
      <c r="E32" s="463"/>
      <c r="F32" s="463"/>
      <c r="G32" s="463"/>
      <c r="H32" s="463"/>
      <c r="I32" s="463"/>
      <c r="J32" s="264"/>
      <c r="K32" s="264"/>
      <c r="L32" s="264"/>
      <c r="M32" s="264"/>
      <c r="N32" s="264"/>
      <c r="O32" s="264"/>
      <c r="P32" s="264"/>
      <c r="Q32" s="264"/>
      <c r="R32" s="451"/>
      <c r="S32" s="264"/>
      <c r="Z32" s="263"/>
      <c r="AA32" s="263"/>
    </row>
    <row r="33" spans="1:27" ht="15" customHeight="1">
      <c r="A33" s="461"/>
      <c r="B33" s="461"/>
      <c r="C33" s="451"/>
      <c r="D33" s="463"/>
      <c r="E33" s="463"/>
      <c r="F33" s="463"/>
      <c r="G33" s="463"/>
      <c r="H33" s="463"/>
      <c r="I33" s="463"/>
      <c r="J33" s="264"/>
      <c r="K33" s="264"/>
      <c r="L33" s="264"/>
      <c r="M33" s="264"/>
      <c r="N33" s="264"/>
      <c r="O33" s="264"/>
      <c r="P33" s="264"/>
      <c r="Q33" s="264"/>
      <c r="R33" s="451"/>
      <c r="S33" s="264"/>
      <c r="Z33" s="263"/>
      <c r="AA33" s="263"/>
    </row>
    <row r="34" spans="1:27" s="137" customFormat="1" ht="15" customHeight="1">
      <c r="A34" s="451"/>
      <c r="B34" s="451"/>
      <c r="C34" s="451"/>
      <c r="D34" s="451"/>
      <c r="E34" s="451"/>
      <c r="F34" s="451"/>
      <c r="G34" s="451"/>
      <c r="H34" s="451"/>
      <c r="I34" s="451"/>
      <c r="J34" s="451"/>
      <c r="K34" s="451"/>
      <c r="L34" s="451"/>
      <c r="M34" s="451"/>
      <c r="N34" s="451"/>
      <c r="O34" s="451"/>
      <c r="P34" s="451"/>
      <c r="Q34" s="451"/>
      <c r="R34" s="451"/>
      <c r="S34" s="264"/>
    </row>
    <row r="35" spans="1:27" s="137" customFormat="1" ht="15" hidden="1" customHeight="1">
      <c r="A35" s="465"/>
      <c r="B35" s="465"/>
      <c r="C35" s="465"/>
      <c r="D35" s="465"/>
      <c r="E35" s="465"/>
      <c r="F35" s="465"/>
      <c r="G35" s="465"/>
      <c r="H35" s="465"/>
      <c r="I35" s="465"/>
      <c r="J35" s="465"/>
      <c r="K35" s="465"/>
      <c r="L35" s="465"/>
      <c r="M35" s="465"/>
      <c r="N35" s="465"/>
      <c r="O35" s="465"/>
      <c r="P35" s="465"/>
      <c r="Q35" s="465"/>
      <c r="R35" s="465"/>
      <c r="S35" s="264"/>
    </row>
    <row r="36" spans="1:27" s="137" customFormat="1" ht="15" hidden="1" customHeight="1">
      <c r="A36" s="465"/>
      <c r="B36" s="465"/>
      <c r="C36" s="465"/>
      <c r="D36" s="465"/>
      <c r="E36" s="465"/>
      <c r="F36" s="465"/>
      <c r="G36" s="465"/>
      <c r="H36" s="465"/>
      <c r="I36" s="465"/>
      <c r="J36" s="465"/>
      <c r="K36" s="465"/>
      <c r="L36" s="465"/>
      <c r="M36" s="465"/>
      <c r="N36" s="465"/>
      <c r="O36" s="465"/>
      <c r="P36" s="465"/>
      <c r="Q36" s="465"/>
      <c r="R36" s="465"/>
      <c r="S36" s="264"/>
    </row>
    <row r="37" spans="1:27" s="137" customFormat="1" ht="15" hidden="1" customHeight="1">
      <c r="A37" s="465"/>
      <c r="B37" s="465"/>
      <c r="C37" s="465"/>
      <c r="D37" s="465"/>
      <c r="E37" s="465"/>
      <c r="F37" s="465"/>
      <c r="G37" s="465"/>
      <c r="H37" s="465"/>
      <c r="I37" s="465"/>
      <c r="J37" s="465"/>
      <c r="K37" s="465"/>
      <c r="L37" s="465"/>
      <c r="M37" s="465"/>
      <c r="N37" s="465"/>
      <c r="O37" s="465"/>
      <c r="P37" s="465"/>
      <c r="Q37" s="465"/>
      <c r="R37" s="465"/>
    </row>
    <row r="38" spans="1:27" s="137" customFormat="1" ht="15" hidden="1" customHeight="1">
      <c r="A38" s="465"/>
      <c r="B38" s="465"/>
      <c r="C38" s="465"/>
      <c r="D38" s="465"/>
      <c r="E38" s="465"/>
      <c r="F38" s="465"/>
      <c r="G38" s="465"/>
      <c r="H38" s="465"/>
      <c r="I38" s="465"/>
      <c r="J38" s="465"/>
      <c r="K38" s="465"/>
      <c r="L38" s="465"/>
      <c r="M38" s="465"/>
      <c r="N38" s="465"/>
      <c r="O38" s="465"/>
      <c r="P38" s="465"/>
      <c r="Q38" s="465"/>
      <c r="R38" s="465"/>
    </row>
    <row r="39" spans="1:27" s="137" customFormat="1" ht="15" hidden="1" customHeight="1">
      <c r="A39" s="465"/>
      <c r="B39" s="465"/>
      <c r="C39" s="465"/>
      <c r="D39" s="465"/>
      <c r="E39" s="465"/>
      <c r="F39" s="465"/>
      <c r="G39" s="465"/>
      <c r="H39" s="465"/>
      <c r="I39" s="465"/>
      <c r="J39" s="465"/>
      <c r="K39" s="465"/>
      <c r="L39" s="465"/>
      <c r="M39" s="465"/>
      <c r="N39" s="465"/>
      <c r="O39" s="465"/>
      <c r="P39" s="465"/>
      <c r="Q39" s="465"/>
      <c r="R39" s="465"/>
    </row>
    <row r="40" spans="1:27" s="137" customFormat="1" ht="15" hidden="1" customHeight="1">
      <c r="A40" s="465"/>
      <c r="B40" s="465"/>
      <c r="C40" s="465"/>
      <c r="D40" s="465"/>
      <c r="E40" s="465"/>
      <c r="F40" s="465"/>
      <c r="G40" s="465"/>
      <c r="H40" s="465"/>
      <c r="I40" s="465"/>
      <c r="J40" s="465"/>
      <c r="K40" s="465"/>
      <c r="L40" s="465"/>
      <c r="M40" s="465"/>
      <c r="N40" s="465"/>
      <c r="O40" s="465"/>
      <c r="P40" s="465"/>
      <c r="Q40" s="465"/>
      <c r="R40" s="465"/>
    </row>
    <row r="41" spans="1:27" s="137" customFormat="1" ht="15" hidden="1" customHeight="1">
      <c r="A41" s="465"/>
      <c r="B41" s="465"/>
      <c r="C41" s="465"/>
      <c r="D41" s="465"/>
      <c r="E41" s="465"/>
      <c r="F41" s="465"/>
      <c r="G41" s="465"/>
      <c r="H41" s="465"/>
      <c r="I41" s="465"/>
      <c r="J41" s="465"/>
      <c r="K41" s="465"/>
      <c r="L41" s="465"/>
      <c r="M41" s="465"/>
      <c r="N41" s="465"/>
      <c r="O41" s="465"/>
      <c r="P41" s="465"/>
      <c r="Q41" s="465"/>
      <c r="R41" s="465"/>
    </row>
    <row r="42" spans="1:27" s="137" customFormat="1" ht="15" hidden="1" customHeight="1">
      <c r="A42" s="465"/>
      <c r="B42" s="465"/>
      <c r="C42" s="465"/>
      <c r="D42" s="465"/>
      <c r="E42" s="465"/>
      <c r="F42" s="465"/>
      <c r="G42" s="465"/>
      <c r="H42" s="465"/>
      <c r="I42" s="465"/>
      <c r="J42" s="465"/>
      <c r="K42" s="465"/>
      <c r="L42" s="465"/>
      <c r="M42" s="465"/>
      <c r="N42" s="465"/>
      <c r="O42" s="465"/>
      <c r="P42" s="465"/>
      <c r="Q42" s="465"/>
      <c r="R42" s="465"/>
    </row>
    <row r="43" spans="1:27" s="137" customFormat="1" ht="15" hidden="1" customHeight="1">
      <c r="A43" s="465"/>
      <c r="B43" s="465"/>
      <c r="C43" s="465"/>
      <c r="D43" s="465"/>
      <c r="E43" s="465"/>
      <c r="F43" s="465"/>
      <c r="G43" s="465"/>
      <c r="H43" s="465"/>
      <c r="I43" s="465"/>
      <c r="J43" s="465"/>
      <c r="K43" s="465"/>
      <c r="L43" s="465"/>
      <c r="M43" s="465"/>
      <c r="N43" s="465"/>
      <c r="O43" s="465"/>
      <c r="P43" s="465"/>
      <c r="Q43" s="465"/>
      <c r="R43" s="465"/>
    </row>
    <row r="44" spans="1:27" s="137" customFormat="1" ht="15" hidden="1" customHeight="1">
      <c r="A44" s="465"/>
      <c r="B44" s="465"/>
      <c r="C44" s="465"/>
      <c r="D44" s="465"/>
      <c r="E44" s="465"/>
      <c r="F44" s="465"/>
      <c r="G44" s="465"/>
      <c r="H44" s="465"/>
      <c r="I44" s="465"/>
      <c r="J44" s="465"/>
      <c r="K44" s="465"/>
      <c r="L44" s="465"/>
      <c r="M44" s="465"/>
      <c r="N44" s="465"/>
      <c r="O44" s="465"/>
      <c r="P44" s="465"/>
      <c r="Q44" s="465"/>
      <c r="R44" s="465"/>
    </row>
    <row r="45" spans="1:27" s="137" customFormat="1" ht="15" hidden="1" customHeight="1">
      <c r="A45" s="465"/>
      <c r="B45" s="465"/>
      <c r="C45" s="465"/>
      <c r="D45" s="465"/>
      <c r="E45" s="465"/>
      <c r="F45" s="465"/>
      <c r="G45" s="465"/>
      <c r="H45" s="465"/>
      <c r="I45" s="465"/>
      <c r="J45" s="465"/>
      <c r="K45" s="465"/>
      <c r="L45" s="465"/>
      <c r="M45" s="465"/>
      <c r="N45" s="465"/>
      <c r="O45" s="465"/>
      <c r="P45" s="465"/>
      <c r="Q45" s="465"/>
      <c r="R45" s="465"/>
    </row>
    <row r="46" spans="1:27" s="137" customFormat="1" ht="15" hidden="1" customHeight="1">
      <c r="A46" s="465"/>
      <c r="B46" s="465"/>
      <c r="C46" s="465"/>
      <c r="D46" s="465"/>
      <c r="E46" s="465"/>
      <c r="F46" s="465"/>
      <c r="G46" s="465"/>
      <c r="H46" s="465"/>
      <c r="I46" s="465"/>
      <c r="J46" s="465"/>
      <c r="K46" s="465"/>
      <c r="L46" s="465"/>
      <c r="M46" s="465"/>
      <c r="N46" s="465"/>
      <c r="O46" s="465"/>
      <c r="P46" s="465"/>
      <c r="Q46" s="465"/>
      <c r="R46" s="465"/>
    </row>
    <row r="47" spans="1:27" s="137" customFormat="1" ht="15" hidden="1" customHeight="1">
      <c r="A47" s="465"/>
      <c r="B47" s="465"/>
      <c r="C47" s="465"/>
      <c r="D47" s="465"/>
      <c r="E47" s="465"/>
      <c r="F47" s="465"/>
      <c r="G47" s="465"/>
      <c r="H47" s="465"/>
      <c r="I47" s="465"/>
      <c r="J47" s="465"/>
      <c r="K47" s="465"/>
      <c r="L47" s="465"/>
      <c r="M47" s="465"/>
      <c r="N47" s="465"/>
      <c r="O47" s="465"/>
      <c r="P47" s="465"/>
      <c r="Q47" s="465"/>
      <c r="R47" s="465"/>
    </row>
    <row r="48" spans="1:27" s="137" customFormat="1" ht="15" hidden="1" customHeight="1">
      <c r="A48" s="465"/>
      <c r="B48" s="465"/>
      <c r="C48" s="465"/>
      <c r="D48" s="465"/>
      <c r="E48" s="465"/>
      <c r="F48" s="465"/>
      <c r="G48" s="465"/>
      <c r="H48" s="465"/>
      <c r="I48" s="465"/>
      <c r="J48" s="465"/>
      <c r="K48" s="465"/>
      <c r="L48" s="465"/>
      <c r="M48" s="465"/>
      <c r="N48" s="465"/>
      <c r="O48" s="465"/>
      <c r="P48" s="465"/>
      <c r="Q48" s="465"/>
      <c r="R48" s="465"/>
    </row>
    <row r="49" spans="1:18" s="137" customFormat="1" ht="15" hidden="1" customHeight="1">
      <c r="A49" s="465"/>
      <c r="B49" s="465"/>
      <c r="C49" s="465"/>
      <c r="D49" s="465"/>
      <c r="E49" s="465"/>
      <c r="F49" s="465"/>
      <c r="G49" s="465"/>
      <c r="H49" s="465"/>
      <c r="I49" s="465"/>
      <c r="J49" s="465"/>
      <c r="K49" s="465"/>
      <c r="L49" s="465"/>
      <c r="M49" s="465"/>
      <c r="N49" s="465"/>
      <c r="O49" s="465"/>
      <c r="P49" s="465"/>
      <c r="Q49" s="465"/>
      <c r="R49" s="465"/>
    </row>
    <row r="50" spans="1:18" s="137" customFormat="1" ht="15" hidden="1" customHeight="1">
      <c r="A50" s="465"/>
      <c r="B50" s="465"/>
      <c r="C50" s="465"/>
      <c r="D50" s="465"/>
      <c r="E50" s="465"/>
      <c r="F50" s="465"/>
      <c r="G50" s="465"/>
      <c r="H50" s="465"/>
      <c r="I50" s="465"/>
      <c r="J50" s="465"/>
      <c r="K50" s="465"/>
      <c r="L50" s="465"/>
      <c r="M50" s="465"/>
      <c r="N50" s="465"/>
      <c r="O50" s="465"/>
      <c r="P50" s="465"/>
      <c r="Q50" s="465"/>
      <c r="R50" s="465"/>
    </row>
    <row r="51" spans="1:18" s="137" customFormat="1" ht="15" hidden="1" customHeight="1">
      <c r="A51" s="465"/>
      <c r="B51" s="465"/>
      <c r="C51" s="465"/>
      <c r="D51" s="465"/>
      <c r="E51" s="465"/>
      <c r="F51" s="465"/>
      <c r="G51" s="465"/>
      <c r="H51" s="465"/>
      <c r="I51" s="465"/>
      <c r="J51" s="465"/>
      <c r="K51" s="465"/>
      <c r="L51" s="465"/>
      <c r="M51" s="465"/>
      <c r="N51" s="465"/>
      <c r="O51" s="465"/>
      <c r="P51" s="465"/>
      <c r="Q51" s="465"/>
      <c r="R51" s="465"/>
    </row>
    <row r="52" spans="1:18" s="137" customFormat="1" ht="15" hidden="1" customHeight="1">
      <c r="A52" s="465"/>
      <c r="B52" s="465"/>
      <c r="C52" s="465"/>
      <c r="D52" s="465"/>
      <c r="E52" s="465"/>
      <c r="F52" s="465"/>
      <c r="G52" s="465"/>
      <c r="H52" s="465"/>
      <c r="I52" s="465"/>
      <c r="J52" s="465"/>
      <c r="K52" s="465"/>
      <c r="L52" s="465"/>
      <c r="M52" s="465"/>
      <c r="N52" s="465"/>
      <c r="O52" s="465"/>
      <c r="P52" s="465"/>
      <c r="Q52" s="465"/>
      <c r="R52" s="465"/>
    </row>
    <row r="53" spans="1:18" s="137" customFormat="1" ht="15" hidden="1" customHeight="1">
      <c r="A53" s="460"/>
      <c r="B53" s="460"/>
      <c r="C53" s="460"/>
      <c r="D53" s="460"/>
      <c r="E53" s="460"/>
      <c r="F53" s="460"/>
      <c r="G53" s="460"/>
      <c r="H53" s="460"/>
      <c r="I53" s="460"/>
    </row>
    <row r="54" spans="1:18" s="137" customFormat="1" ht="15" hidden="1" customHeight="1">
      <c r="A54" s="460"/>
      <c r="B54" s="460"/>
      <c r="C54" s="460"/>
      <c r="D54" s="460"/>
      <c r="E54" s="460"/>
      <c r="F54" s="460">
        <v>14</v>
      </c>
      <c r="G54" s="460">
        <f>COUNTA(E9:H12,E14:H16,E18:H23)</f>
        <v>13</v>
      </c>
      <c r="H54" s="460"/>
      <c r="I54" s="481">
        <f>IFERROR(G54/F54,"0%")</f>
        <v>0.9285714285714286</v>
      </c>
    </row>
    <row r="55" spans="1:18" s="137" customFormat="1" ht="15" hidden="1" customHeight="1">
      <c r="A55" s="460"/>
      <c r="B55" s="460"/>
      <c r="C55" s="460"/>
      <c r="D55" s="460"/>
      <c r="E55" s="460"/>
      <c r="F55" s="460"/>
      <c r="G55" s="460"/>
      <c r="H55" s="460"/>
      <c r="I55" s="460"/>
    </row>
    <row r="56" spans="1:18" s="137" customFormat="1" ht="15" hidden="1" customHeight="1">
      <c r="A56" s="460"/>
      <c r="B56" s="460"/>
      <c r="C56" s="460"/>
      <c r="D56" s="460"/>
      <c r="E56" s="460"/>
      <c r="F56" s="460"/>
      <c r="G56" s="460"/>
      <c r="H56" s="460"/>
      <c r="I56" s="460"/>
    </row>
    <row r="57" spans="1:18" s="137" customFormat="1" ht="15" hidden="1" customHeight="1">
      <c r="A57" s="460"/>
      <c r="B57" s="460"/>
      <c r="C57" s="460"/>
      <c r="D57" s="460"/>
      <c r="E57" s="460"/>
      <c r="F57" s="460"/>
      <c r="G57" s="460"/>
      <c r="H57" s="460"/>
      <c r="I57" s="460"/>
    </row>
    <row r="58" spans="1:18" s="137" customFormat="1" ht="15" hidden="1" customHeight="1">
      <c r="A58" s="460"/>
      <c r="B58" s="460"/>
      <c r="C58" s="460"/>
      <c r="D58" s="460"/>
      <c r="E58" s="460"/>
      <c r="F58" s="460"/>
      <c r="G58" s="460"/>
      <c r="H58" s="460"/>
      <c r="I58" s="460"/>
    </row>
    <row r="59" spans="1:18" s="137" customFormat="1" ht="15" hidden="1" customHeight="1">
      <c r="A59" s="460"/>
      <c r="B59" s="460"/>
      <c r="C59" s="460"/>
      <c r="D59" s="460"/>
      <c r="E59" s="460"/>
      <c r="F59" s="460"/>
      <c r="G59" s="460"/>
      <c r="H59" s="460"/>
      <c r="I59" s="460"/>
    </row>
    <row r="60" spans="1:18" s="137" customFormat="1" ht="15" hidden="1" customHeight="1">
      <c r="A60" s="460"/>
      <c r="B60" s="460"/>
      <c r="C60" s="460"/>
      <c r="D60" s="460"/>
      <c r="E60" s="460"/>
      <c r="F60" s="460"/>
      <c r="G60" s="460"/>
      <c r="H60" s="460"/>
      <c r="I60" s="460"/>
    </row>
    <row r="61" spans="1:18" s="137" customFormat="1" ht="15" hidden="1" customHeight="1">
      <c r="A61" s="460"/>
      <c r="B61" s="460"/>
      <c r="C61" s="460"/>
      <c r="D61" s="460"/>
      <c r="E61" s="460"/>
      <c r="F61" s="460"/>
      <c r="G61" s="460"/>
      <c r="H61" s="460"/>
      <c r="I61" s="460"/>
    </row>
    <row r="62" spans="1:18" s="137" customFormat="1" ht="15" hidden="1" customHeight="1">
      <c r="A62" s="460"/>
      <c r="B62" s="460"/>
      <c r="C62" s="460"/>
      <c r="D62" s="460"/>
      <c r="E62" s="460"/>
      <c r="F62" s="460"/>
      <c r="G62" s="460"/>
      <c r="H62" s="460"/>
      <c r="I62" s="460"/>
    </row>
    <row r="63" spans="1:18" s="137" customFormat="1" hidden="1">
      <c r="A63" s="460"/>
      <c r="B63" s="460"/>
      <c r="C63" s="438"/>
      <c r="D63" s="460"/>
      <c r="E63" s="460"/>
      <c r="F63" s="460"/>
      <c r="G63" s="460"/>
      <c r="H63" s="460"/>
      <c r="I63" s="460"/>
    </row>
    <row r="64" spans="1:18" s="137" customFormat="1" hidden="1">
      <c r="C64" s="438"/>
    </row>
    <row r="65" spans="3:3" s="137" customFormat="1" hidden="1">
      <c r="C65" s="438"/>
    </row>
    <row r="66" spans="3:3" s="137" customFormat="1" hidden="1">
      <c r="C66" s="438"/>
    </row>
    <row r="67" spans="3:3" s="137" customFormat="1" hidden="1">
      <c r="C67" s="438"/>
    </row>
    <row r="68" spans="3:3" s="137" customFormat="1" hidden="1">
      <c r="C68" s="438"/>
    </row>
    <row r="69" spans="3:3" s="137" customFormat="1" hidden="1"/>
    <row r="70" spans="3:3" s="137" customFormat="1" hidden="1"/>
    <row r="71" spans="3:3" s="137" customFormat="1" hidden="1"/>
    <row r="72" spans="3:3" s="137" customFormat="1" hidden="1"/>
  </sheetData>
  <sheetProtection password="DC81" sheet="1" objects="1" scenarios="1"/>
  <mergeCells count="34">
    <mergeCell ref="G27:P30"/>
    <mergeCell ref="E9:F9"/>
    <mergeCell ref="P5:P6"/>
    <mergeCell ref="D8:J8"/>
    <mergeCell ref="L8:P8"/>
    <mergeCell ref="O11:P11"/>
    <mergeCell ref="O12:P12"/>
    <mergeCell ref="O13:P13"/>
    <mergeCell ref="O14:P14"/>
    <mergeCell ref="O15:P15"/>
    <mergeCell ref="O16:P16"/>
    <mergeCell ref="O17:P17"/>
    <mergeCell ref="M20:P22"/>
    <mergeCell ref="E10:H10"/>
    <mergeCell ref="E11:H11"/>
    <mergeCell ref="E18:H18"/>
    <mergeCell ref="I3:I5"/>
    <mergeCell ref="L3:L5"/>
    <mergeCell ref="O3:O5"/>
    <mergeCell ref="D5:D6"/>
    <mergeCell ref="G5:G6"/>
    <mergeCell ref="J5:J6"/>
    <mergeCell ref="M5:M6"/>
    <mergeCell ref="E20:H20"/>
    <mergeCell ref="E21:H21"/>
    <mergeCell ref="E22:H22"/>
    <mergeCell ref="G14:H14"/>
    <mergeCell ref="A1:B1"/>
    <mergeCell ref="F3:F5"/>
    <mergeCell ref="E12:H12"/>
    <mergeCell ref="E13:H13"/>
    <mergeCell ref="E16:H16"/>
    <mergeCell ref="E17:H17"/>
    <mergeCell ref="E19:H19"/>
  </mergeCells>
  <conditionalFormatting sqref="O11:P17">
    <cfRule type="dataBar" priority="1">
      <dataBar>
        <cfvo type="min"/>
        <cfvo type="max"/>
        <color rgb="FFFFB628"/>
      </dataBar>
      <extLst>
        <ext xmlns:x14="http://schemas.microsoft.com/office/spreadsheetml/2009/9/main" uri="{B025F937-C7B1-47D3-B67F-A62EFF666E3E}">
          <x14:id>{5B78FC74-6093-4BAE-92FD-3F6A8E0CCE13}</x14:id>
        </ext>
      </extLst>
    </cfRule>
  </conditionalFormatting>
  <dataValidations count="4">
    <dataValidation allowBlank="1" showInputMessage="1" showErrorMessage="1" promptTitle="SISWA" prompt="Untuk mengisi data siswa silakan menuju sheet SISWA" sqref="D5:D6"/>
    <dataValidation allowBlank="1" showInputMessage="1" showErrorMessage="1" promptTitle="MULOK" prompt="Untuk mengisi data MULOK silakan menuju sheet KKM" sqref="J5:J6"/>
    <dataValidation allowBlank="1" showInputMessage="1" showErrorMessage="1" promptTitle="KKM" prompt="Untuk mengisi KKM silakan menuju sheet KKM" sqref="M5:M6"/>
    <dataValidation allowBlank="1" showInputMessage="1" showErrorMessage="1" promptTitle="PEKERJAAN" prompt="Usahakan sudah di atas 80%" sqref="P5:P6"/>
  </dataValidations>
  <hyperlinks>
    <hyperlink ref="D30" r:id="rId1" display="www.aplikasidigital.com"/>
    <hyperlink ref="D29" r:id="rId2" display="www.kangmartho.com"/>
  </hyperlinks>
  <pageMargins left="0.7" right="0.7" top="0.75" bottom="0.75" header="0.3" footer="0.3"/>
  <pageSetup orientation="portrait" r:id="rId3"/>
  <drawing r:id="rId4"/>
  <extLst>
    <ext xmlns:x14="http://schemas.microsoft.com/office/spreadsheetml/2009/9/main" uri="{78C0D931-6437-407d-A8EE-F0AAD7539E65}">
      <x14:conditionalFormattings>
        <x14:conditionalFormatting xmlns:xm="http://schemas.microsoft.com/office/excel/2006/main">
          <x14:cfRule type="dataBar" id="{5B78FC74-6093-4BAE-92FD-3F6A8E0CCE13}">
            <x14:dataBar minLength="0" maxLength="100" border="1" negativeBarBorderColorSameAsPositive="0">
              <x14:cfvo type="autoMin"/>
              <x14:cfvo type="autoMax"/>
              <x14:borderColor rgb="FFFFB628"/>
              <x14:negativeFillColor rgb="FFFF0000"/>
              <x14:negativeBorderColor rgb="FFFF0000"/>
              <x14:axisColor rgb="FF000000"/>
            </x14:dataBar>
          </x14:cfRule>
          <xm:sqref>O11:P17</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I27"/>
  <sheetViews>
    <sheetView zoomScale="85" zoomScaleNormal="85" workbookViewId="0">
      <selection activeCell="G13" sqref="G13"/>
    </sheetView>
  </sheetViews>
  <sheetFormatPr defaultColWidth="0" defaultRowHeight="15" customHeight="1" zeroHeight="1"/>
  <cols>
    <col min="1" max="1" width="2.85546875" style="267" customWidth="1"/>
    <col min="2" max="2" width="16.85546875" style="267" customWidth="1"/>
    <col min="3" max="3" width="3.85546875" style="267" customWidth="1"/>
    <col min="4" max="4" width="16.85546875" style="267" customWidth="1"/>
    <col min="5" max="5" width="9.85546875" style="267" customWidth="1"/>
    <col min="6" max="6" width="9.140625" style="267" customWidth="1"/>
    <col min="7" max="7" width="20.7109375" style="267" customWidth="1"/>
    <col min="8" max="8" width="17.5703125" style="267" customWidth="1"/>
    <col min="9" max="9" width="18.140625" style="267" customWidth="1"/>
    <col min="10" max="10" width="17.140625" style="267" customWidth="1"/>
    <col min="11" max="11" width="14.85546875" style="267" customWidth="1"/>
    <col min="12" max="12" width="9.140625" style="267" hidden="1" customWidth="1"/>
    <col min="13" max="13" width="9.7109375" style="267" hidden="1" customWidth="1"/>
    <col min="14" max="14" width="9.140625" style="267" hidden="1" customWidth="1"/>
    <col min="15" max="15" width="7" style="267" hidden="1" customWidth="1"/>
    <col min="16" max="16" width="7.5703125" style="267" hidden="1" customWidth="1"/>
    <col min="17" max="17" width="4.7109375" style="267" hidden="1" customWidth="1"/>
    <col min="18" max="18" width="6.140625" style="267" hidden="1" customWidth="1"/>
    <col min="19" max="19" width="5.42578125" style="267" hidden="1" customWidth="1"/>
    <col min="20" max="20" width="3.5703125" style="267" hidden="1" customWidth="1"/>
    <col min="21" max="21" width="10.7109375" style="267" customWidth="1"/>
    <col min="22" max="22" width="14.5703125" style="267" customWidth="1"/>
    <col min="23" max="23" width="2.28515625" style="267" customWidth="1"/>
    <col min="24" max="24" width="30.85546875" style="267" customWidth="1"/>
    <col min="25" max="25" width="30.85546875" style="267" hidden="1" customWidth="1"/>
    <col min="26" max="26" width="2.42578125" style="267" customWidth="1"/>
    <col min="27" max="34" width="9.140625" style="267" hidden="1" customWidth="1"/>
    <col min="35" max="35" width="3.28515625" style="267" hidden="1" customWidth="1"/>
    <col min="36" max="36" width="9.140625" style="267" hidden="1" customWidth="1"/>
    <col min="37" max="16384" width="9.140625" style="267" hidden="1"/>
  </cols>
  <sheetData>
    <row r="1" spans="1:35" s="270" customFormat="1" ht="28.5">
      <c r="A1" s="267"/>
      <c r="B1" s="625" t="s">
        <v>203</v>
      </c>
      <c r="C1" s="626"/>
      <c r="D1" s="626"/>
      <c r="E1" s="626"/>
      <c r="F1" s="626"/>
      <c r="G1" s="626"/>
      <c r="H1" s="626"/>
      <c r="I1" s="626"/>
      <c r="J1" s="626"/>
      <c r="K1" s="626"/>
      <c r="L1" s="268"/>
      <c r="M1" s="268"/>
      <c r="N1" s="268"/>
      <c r="O1" s="268"/>
      <c r="P1" s="268"/>
      <c r="Q1" s="268"/>
      <c r="R1" s="268"/>
      <c r="S1" s="268"/>
      <c r="T1" s="268"/>
      <c r="U1" s="269"/>
      <c r="V1" s="269"/>
      <c r="W1" s="269"/>
      <c r="X1" s="269"/>
      <c r="Y1" s="269"/>
      <c r="Z1" s="269"/>
    </row>
    <row r="2" spans="1:35" s="274" customFormat="1" ht="8.25" customHeight="1">
      <c r="A2" s="267"/>
      <c r="B2" s="271"/>
      <c r="C2" s="272"/>
      <c r="D2" s="273"/>
      <c r="E2" s="272"/>
      <c r="F2" s="272"/>
      <c r="G2" s="272"/>
      <c r="H2" s="272"/>
      <c r="I2" s="272"/>
      <c r="J2" s="272"/>
      <c r="K2" s="272"/>
      <c r="L2" s="272"/>
      <c r="M2" s="272"/>
      <c r="N2" s="272"/>
      <c r="O2" s="272"/>
      <c r="P2" s="272"/>
      <c r="Q2" s="272"/>
      <c r="R2" s="272"/>
      <c r="S2" s="272"/>
      <c r="T2" s="272"/>
      <c r="U2" s="272"/>
      <c r="V2" s="272"/>
      <c r="W2" s="272"/>
      <c r="X2" s="272"/>
      <c r="Y2" s="272"/>
      <c r="Z2" s="272"/>
    </row>
    <row r="3" spans="1:35" s="278" customFormat="1">
      <c r="A3" s="267"/>
      <c r="B3" s="275"/>
      <c r="C3" s="276"/>
      <c r="D3" s="276"/>
      <c r="E3" s="276"/>
      <c r="F3" s="276"/>
      <c r="G3" s="276"/>
      <c r="H3" s="276"/>
      <c r="I3" s="276"/>
      <c r="J3" s="276"/>
      <c r="K3" s="276"/>
      <c r="L3" s="276"/>
      <c r="M3" s="276"/>
      <c r="N3" s="276"/>
      <c r="O3" s="276"/>
      <c r="P3" s="276"/>
      <c r="Q3" s="276"/>
      <c r="R3" s="276"/>
      <c r="S3" s="276"/>
      <c r="T3" s="276"/>
      <c r="U3" s="276"/>
      <c r="V3" s="276"/>
      <c r="W3" s="276"/>
      <c r="X3" s="276"/>
      <c r="Y3" s="276"/>
      <c r="Z3" s="276"/>
      <c r="AA3" s="277"/>
      <c r="AB3" s="277"/>
      <c r="AC3" s="277"/>
      <c r="AD3" s="277"/>
      <c r="AE3" s="277"/>
      <c r="AF3" s="277"/>
      <c r="AG3" s="277"/>
      <c r="AH3" s="277"/>
      <c r="AI3" s="277"/>
    </row>
    <row r="4" spans="1:35" s="278" customFormat="1">
      <c r="A4" s="267"/>
      <c r="B4" s="275"/>
      <c r="C4" s="276"/>
      <c r="D4" s="276"/>
      <c r="E4" s="276"/>
      <c r="F4" s="276"/>
      <c r="G4" s="276"/>
      <c r="H4" s="276"/>
      <c r="I4" s="276"/>
      <c r="J4" s="276"/>
      <c r="K4" s="276"/>
      <c r="L4" s="276"/>
      <c r="M4" s="276"/>
      <c r="N4" s="276"/>
      <c r="O4" s="276"/>
      <c r="P4" s="276"/>
      <c r="Q4" s="276"/>
      <c r="R4" s="276"/>
      <c r="S4" s="276"/>
      <c r="T4" s="276"/>
      <c r="U4" s="276"/>
      <c r="V4" s="276"/>
      <c r="W4" s="276"/>
      <c r="X4" s="276"/>
      <c r="Y4" s="276"/>
      <c r="Z4" s="276"/>
      <c r="AA4" s="277"/>
      <c r="AB4" s="277"/>
      <c r="AC4" s="277"/>
      <c r="AD4" s="277"/>
      <c r="AE4" s="277"/>
      <c r="AF4" s="277"/>
      <c r="AG4" s="277"/>
      <c r="AH4" s="277"/>
      <c r="AI4" s="277"/>
    </row>
    <row r="5" spans="1:35" s="278" customFormat="1" ht="18.75">
      <c r="A5" s="267"/>
      <c r="B5" s="275"/>
      <c r="C5" s="276"/>
      <c r="D5" s="276"/>
      <c r="E5" s="276"/>
      <c r="F5" s="276"/>
      <c r="G5" s="276"/>
      <c r="H5" s="276"/>
      <c r="I5" s="276"/>
      <c r="J5" s="276"/>
      <c r="K5" s="276"/>
      <c r="L5" s="276"/>
      <c r="M5" s="276"/>
      <c r="N5" s="276"/>
      <c r="O5" s="276"/>
      <c r="P5" s="276"/>
      <c r="Q5" s="276"/>
      <c r="R5" s="276"/>
      <c r="S5" s="276"/>
      <c r="T5" s="276"/>
      <c r="U5" s="276"/>
      <c r="V5" s="624" t="s">
        <v>226</v>
      </c>
      <c r="W5" s="624"/>
      <c r="X5" s="624"/>
      <c r="Y5" s="427"/>
      <c r="Z5" s="276"/>
      <c r="AA5" s="277"/>
      <c r="AB5" s="277"/>
      <c r="AC5" s="277"/>
      <c r="AD5" s="277"/>
      <c r="AE5" s="277"/>
      <c r="AF5" s="277"/>
      <c r="AG5" s="277"/>
      <c r="AH5" s="277"/>
      <c r="AI5" s="277"/>
    </row>
    <row r="6" spans="1:35" s="278" customFormat="1" ht="18.75" customHeight="1">
      <c r="A6" s="267"/>
      <c r="B6" s="275"/>
      <c r="C6" s="276"/>
      <c r="D6" s="627" t="s">
        <v>212</v>
      </c>
      <c r="E6" s="627" t="s">
        <v>224</v>
      </c>
      <c r="F6" s="627"/>
      <c r="G6" s="629" t="s">
        <v>225</v>
      </c>
      <c r="H6" s="629"/>
      <c r="I6" s="629"/>
      <c r="J6" s="629"/>
      <c r="K6" s="276"/>
      <c r="L6" s="276"/>
      <c r="M6" s="276"/>
      <c r="N6" s="276"/>
      <c r="O6" s="276"/>
      <c r="P6" s="276"/>
      <c r="Q6" s="276"/>
      <c r="R6" s="276"/>
      <c r="S6" s="276"/>
      <c r="T6" s="276"/>
      <c r="U6" s="276"/>
      <c r="V6" s="624"/>
      <c r="W6" s="624"/>
      <c r="X6" s="624"/>
      <c r="Y6" s="427"/>
      <c r="Z6" s="276"/>
      <c r="AA6" s="277"/>
      <c r="AB6" s="277"/>
      <c r="AC6" s="277"/>
      <c r="AD6" s="277"/>
      <c r="AE6" s="277"/>
      <c r="AF6" s="277"/>
      <c r="AG6" s="277"/>
      <c r="AH6" s="277"/>
      <c r="AI6" s="277"/>
    </row>
    <row r="7" spans="1:35" s="274" customFormat="1" ht="31.5">
      <c r="A7" s="267"/>
      <c r="B7" s="275"/>
      <c r="C7" s="276"/>
      <c r="D7" s="627"/>
      <c r="E7" s="628"/>
      <c r="F7" s="628"/>
      <c r="G7" s="279" t="s">
        <v>227</v>
      </c>
      <c r="H7" s="279" t="s">
        <v>228</v>
      </c>
      <c r="I7" s="279" t="s">
        <v>229</v>
      </c>
      <c r="J7" s="279" t="s">
        <v>230</v>
      </c>
      <c r="K7" s="276"/>
      <c r="L7" s="276"/>
      <c r="M7" s="276"/>
      <c r="N7" s="276"/>
      <c r="O7" s="276"/>
      <c r="P7" s="276"/>
      <c r="Q7" s="276"/>
      <c r="R7" s="276"/>
      <c r="S7" s="276"/>
      <c r="T7" s="276"/>
      <c r="U7" s="276"/>
      <c r="V7" s="280" t="s">
        <v>231</v>
      </c>
      <c r="W7" s="276"/>
      <c r="X7" s="312" t="s">
        <v>609</v>
      </c>
      <c r="Y7" s="479">
        <f>IF(X7="","",IF(X7&lt;&gt;"",COUNTA($X$7:X7)))</f>
        <v>1</v>
      </c>
      <c r="Z7" s="276"/>
      <c r="AA7" s="276"/>
      <c r="AB7" s="276"/>
      <c r="AC7" s="276"/>
      <c r="AD7" s="276"/>
      <c r="AE7" s="276"/>
      <c r="AF7" s="276"/>
      <c r="AG7" s="276"/>
      <c r="AH7" s="276"/>
      <c r="AI7" s="276"/>
    </row>
    <row r="8" spans="1:35" s="291" customFormat="1" ht="25.5">
      <c r="A8" s="267"/>
      <c r="B8" s="275"/>
      <c r="C8" s="276"/>
      <c r="D8" s="313">
        <v>65</v>
      </c>
      <c r="E8" s="281" t="str">
        <f>100-D8&amp;"/3 ="</f>
        <v>35/3 =</v>
      </c>
      <c r="F8" s="282">
        <f>ROUND((100-D8)/3,1)</f>
        <v>11.7</v>
      </c>
      <c r="G8" s="283" t="str">
        <f>CONCATENATE(G10,"&lt; A ≤100")</f>
        <v>87&lt; A ≤100</v>
      </c>
      <c r="H8" s="284" t="str">
        <f>CONCATENATE(H10,"&lt; B ≤",G10)</f>
        <v>76&lt; B ≤87</v>
      </c>
      <c r="I8" s="284" t="str">
        <f>CONCATENATE(I10,"≤ C ≤",H10)</f>
        <v>65≤ C ≤76</v>
      </c>
      <c r="J8" s="285" t="str">
        <f>CONCATENATE("D&lt;",I10)</f>
        <v>D&lt;65</v>
      </c>
      <c r="K8" s="276"/>
      <c r="L8" s="286"/>
      <c r="M8" s="286"/>
      <c r="N8" s="287">
        <v>86</v>
      </c>
      <c r="O8" s="287" t="str">
        <f>IF(N8&gt;G10,"A",IF(N8&gt;H10,"B",IF(N8&gt;=I10,"C","D")))</f>
        <v>B</v>
      </c>
      <c r="P8" s="288">
        <f>(100-D8)/3</f>
        <v>11.666666666666666</v>
      </c>
      <c r="Q8" s="289">
        <f>ROUND(P8,0)</f>
        <v>12</v>
      </c>
      <c r="R8" s="289">
        <f>(100-Q8)</f>
        <v>88</v>
      </c>
      <c r="S8" s="289">
        <f>T8+Q8</f>
        <v>77</v>
      </c>
      <c r="T8" s="290">
        <f>D8</f>
        <v>65</v>
      </c>
      <c r="U8" s="290"/>
      <c r="V8" s="280" t="s">
        <v>232</v>
      </c>
      <c r="W8" s="290"/>
      <c r="X8" s="312" t="s">
        <v>583</v>
      </c>
      <c r="Y8" s="479">
        <f>IF(X8="","",IF(X8&lt;&gt;"",COUNTA($X$7:X8)))</f>
        <v>2</v>
      </c>
      <c r="Z8" s="276"/>
      <c r="AA8" s="276"/>
      <c r="AB8" s="276"/>
      <c r="AC8" s="276"/>
      <c r="AD8" s="276"/>
      <c r="AE8" s="276"/>
      <c r="AF8" s="276"/>
      <c r="AG8" s="276"/>
      <c r="AH8" s="276"/>
      <c r="AI8" s="276"/>
    </row>
    <row r="9" spans="1:35" s="291" customFormat="1" ht="18.75">
      <c r="A9" s="267"/>
      <c r="B9" s="275"/>
      <c r="C9" s="276"/>
      <c r="D9" s="276"/>
      <c r="E9" s="292"/>
      <c r="F9" s="293"/>
      <c r="G9" s="294"/>
      <c r="H9" s="294"/>
      <c r="I9" s="294"/>
      <c r="J9" s="295"/>
      <c r="K9" s="276"/>
      <c r="L9" s="286"/>
      <c r="M9" s="286"/>
      <c r="N9" s="287"/>
      <c r="O9" s="287"/>
      <c r="P9" s="288"/>
      <c r="Q9" s="289"/>
      <c r="R9" s="289"/>
      <c r="S9" s="289"/>
      <c r="T9" s="290"/>
      <c r="U9" s="290"/>
      <c r="V9" s="280" t="s">
        <v>233</v>
      </c>
      <c r="W9" s="290"/>
      <c r="X9" s="312" t="s">
        <v>610</v>
      </c>
      <c r="Y9" s="479">
        <f>IF(X9="","",IF(X9&lt;&gt;"",COUNTA($X$7:X9)))</f>
        <v>3</v>
      </c>
      <c r="Z9" s="276"/>
      <c r="AA9" s="276"/>
      <c r="AB9" s="276"/>
      <c r="AC9" s="276"/>
      <c r="AD9" s="276"/>
      <c r="AE9" s="276"/>
      <c r="AF9" s="276"/>
      <c r="AG9" s="276"/>
      <c r="AH9" s="276"/>
      <c r="AI9" s="276"/>
    </row>
    <row r="10" spans="1:35" s="276" customFormat="1" ht="21">
      <c r="A10" s="267"/>
      <c r="B10" s="275"/>
      <c r="D10" s="296" t="s">
        <v>234</v>
      </c>
      <c r="G10" s="311">
        <f>R8-1</f>
        <v>87</v>
      </c>
      <c r="H10" s="311">
        <f>S8-1</f>
        <v>76</v>
      </c>
      <c r="I10" s="311">
        <f>T8</f>
        <v>65</v>
      </c>
      <c r="Y10" s="480">
        <f>MAX(Y7:Y9)</f>
        <v>3</v>
      </c>
    </row>
    <row r="11" spans="1:35" s="276" customFormat="1" ht="21">
      <c r="A11" s="297"/>
      <c r="B11" s="298"/>
      <c r="C11" s="299"/>
      <c r="D11" s="299"/>
      <c r="E11" s="299"/>
      <c r="F11" s="299"/>
      <c r="G11" s="299"/>
      <c r="H11" s="299"/>
      <c r="I11" s="299"/>
      <c r="J11" s="299"/>
      <c r="Y11" s="480">
        <f>COUNTA(D8)</f>
        <v>1</v>
      </c>
    </row>
    <row r="12" spans="1:35" s="276" customFormat="1" ht="21">
      <c r="A12" s="297"/>
      <c r="B12" s="298"/>
      <c r="C12" s="300"/>
      <c r="D12" s="301" t="s">
        <v>235</v>
      </c>
      <c r="E12" s="302"/>
      <c r="F12" s="300"/>
      <c r="G12" s="302"/>
      <c r="H12" s="300"/>
      <c r="I12" s="302"/>
      <c r="J12" s="300"/>
      <c r="K12" s="302"/>
      <c r="V12" s="623" t="s">
        <v>236</v>
      </c>
      <c r="W12" s="623"/>
      <c r="X12" s="623"/>
      <c r="Y12" s="426"/>
    </row>
    <row r="13" spans="1:35" s="276" customFormat="1" ht="21">
      <c r="A13" s="297"/>
      <c r="B13" s="298"/>
      <c r="C13" s="300"/>
      <c r="D13" s="301" t="s">
        <v>237</v>
      </c>
      <c r="E13" s="302"/>
      <c r="F13" s="300"/>
      <c r="G13" s="302"/>
      <c r="H13" s="300"/>
      <c r="I13" s="302"/>
      <c r="J13" s="300"/>
      <c r="K13" s="302"/>
      <c r="V13" s="623"/>
      <c r="W13" s="623"/>
      <c r="X13" s="623"/>
      <c r="Y13" s="426"/>
    </row>
    <row r="14" spans="1:35" s="276" customFormat="1" ht="15" customHeight="1">
      <c r="A14" s="267"/>
      <c r="B14" s="275"/>
      <c r="C14" s="303"/>
      <c r="D14" s="301" t="s">
        <v>238</v>
      </c>
      <c r="E14" s="302"/>
      <c r="F14" s="300"/>
      <c r="G14" s="302"/>
      <c r="H14" s="300"/>
      <c r="I14" s="302"/>
      <c r="J14" s="300"/>
      <c r="K14" s="302"/>
      <c r="V14" s="623"/>
      <c r="W14" s="623"/>
      <c r="X14" s="623"/>
      <c r="Y14" s="426"/>
    </row>
    <row r="15" spans="1:35" s="276" customFormat="1" ht="15" customHeight="1">
      <c r="A15" s="267"/>
      <c r="B15" s="275"/>
      <c r="C15" s="303"/>
      <c r="D15" s="301" t="s">
        <v>239</v>
      </c>
      <c r="E15" s="302"/>
      <c r="F15" s="300"/>
      <c r="G15" s="302"/>
      <c r="H15" s="300"/>
      <c r="I15" s="302"/>
      <c r="J15" s="300"/>
      <c r="K15" s="302"/>
      <c r="Y15" s="480">
        <v>1</v>
      </c>
    </row>
    <row r="16" spans="1:35" s="276" customFormat="1" ht="15" customHeight="1">
      <c r="A16" s="267"/>
      <c r="B16" s="275"/>
      <c r="C16" s="303"/>
      <c r="D16" s="301" t="s">
        <v>240</v>
      </c>
      <c r="E16" s="302"/>
      <c r="F16" s="300"/>
      <c r="G16" s="302"/>
      <c r="H16" s="300"/>
      <c r="I16" s="302"/>
      <c r="J16" s="302"/>
      <c r="K16" s="302"/>
      <c r="Y16" s="484">
        <f>IFERROR(Y11/Y15,"0%")</f>
        <v>1</v>
      </c>
    </row>
    <row r="17" spans="1:12" s="276" customFormat="1" ht="15" customHeight="1">
      <c r="A17" s="267"/>
      <c r="B17" s="275"/>
      <c r="C17" s="303"/>
      <c r="D17" s="301" t="s">
        <v>241</v>
      </c>
      <c r="E17" s="304"/>
      <c r="F17" s="300"/>
      <c r="G17" s="304"/>
      <c r="H17" s="300"/>
      <c r="I17" s="304"/>
      <c r="J17" s="304"/>
      <c r="K17" s="305"/>
      <c r="L17" s="306"/>
    </row>
    <row r="18" spans="1:12" s="309" customFormat="1" ht="15" customHeight="1" thickBot="1">
      <c r="A18" s="267"/>
      <c r="B18" s="307"/>
      <c r="C18" s="308"/>
    </row>
    <row r="19" spans="1:12" ht="15" customHeight="1"/>
    <row r="20" spans="1:12" ht="15" hidden="1" customHeight="1"/>
    <row r="21" spans="1:12" ht="15" hidden="1" customHeight="1"/>
    <row r="22" spans="1:12" ht="15" hidden="1" customHeight="1"/>
    <row r="23" spans="1:12" ht="15" hidden="1" customHeight="1"/>
    <row r="24" spans="1:12" ht="15" hidden="1" customHeight="1">
      <c r="C24" s="310"/>
    </row>
    <row r="25" spans="1:12" ht="15" hidden="1" customHeight="1"/>
    <row r="26" spans="1:12" ht="15" hidden="1" customHeight="1"/>
    <row r="27" spans="1:12" ht="15" hidden="1" customHeight="1"/>
  </sheetData>
  <sheetProtection password="C70C" sheet="1" objects="1" scenarios="1"/>
  <mergeCells count="6">
    <mergeCell ref="V12:X14"/>
    <mergeCell ref="V5:X6"/>
    <mergeCell ref="B1:K1"/>
    <mergeCell ref="D6:D7"/>
    <mergeCell ref="E6:F7"/>
    <mergeCell ref="G6:J6"/>
  </mergeCells>
  <conditionalFormatting sqref="D14:D15">
    <cfRule type="duplicateValues" dxfId="1" priority="1"/>
  </conditionalFormatting>
  <pageMargins left="0.7" right="0.7" top="0.75" bottom="0.75" header="0.3" footer="0.3"/>
  <pageSetup paperSize="256"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pinner 1">
              <controlPr defaultSize="0" autoPict="0">
                <anchor moveWithCells="1" sizeWithCells="1">
                  <from>
                    <xdr:col>11</xdr:col>
                    <xdr:colOff>0</xdr:colOff>
                    <xdr:row>9</xdr:row>
                    <xdr:rowOff>95250</xdr:rowOff>
                  </from>
                  <to>
                    <xdr:col>11</xdr:col>
                    <xdr:colOff>0</xdr:colOff>
                    <xdr:row>14</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48"/>
  <sheetViews>
    <sheetView zoomScale="85" zoomScaleNormal="85" workbookViewId="0">
      <pane ySplit="1" topLeftCell="A120" activePane="bottomLeft" state="frozen"/>
      <selection pane="bottomLeft" sqref="A1:G1"/>
    </sheetView>
  </sheetViews>
  <sheetFormatPr defaultColWidth="0" defaultRowHeight="15"/>
  <cols>
    <col min="1" max="1" width="13.28515625" style="364" customWidth="1"/>
    <col min="2" max="2" width="7.42578125" style="364" customWidth="1"/>
    <col min="3" max="3" width="80.140625" style="364" customWidth="1"/>
    <col min="4" max="4" width="2" style="364" customWidth="1"/>
    <col min="5" max="5" width="7.28515625" style="364" customWidth="1"/>
    <col min="6" max="6" width="84.42578125" style="364" customWidth="1"/>
    <col min="7" max="7" width="9.140625" style="364" customWidth="1"/>
    <col min="8" max="16384" width="9.140625" style="364" hidden="1"/>
  </cols>
  <sheetData>
    <row r="1" spans="1:7" ht="85.5" customHeight="1">
      <c r="A1" s="630"/>
      <c r="B1" s="630"/>
      <c r="C1" s="630"/>
      <c r="D1" s="630"/>
      <c r="E1" s="630"/>
      <c r="F1" s="630"/>
      <c r="G1" s="630"/>
    </row>
    <row r="2" spans="1:7" ht="34.5" customHeight="1">
      <c r="A2" s="633"/>
      <c r="B2" s="631" t="s">
        <v>289</v>
      </c>
      <c r="C2" s="631"/>
      <c r="D2" s="631"/>
      <c r="E2" s="631"/>
      <c r="F2" s="631"/>
    </row>
    <row r="3" spans="1:7" ht="34.5" customHeight="1">
      <c r="A3" s="633"/>
      <c r="B3" s="243" t="s">
        <v>276</v>
      </c>
      <c r="C3" s="365" t="s">
        <v>277</v>
      </c>
      <c r="E3" s="576" t="s">
        <v>276</v>
      </c>
      <c r="F3" s="577" t="s">
        <v>277</v>
      </c>
    </row>
    <row r="4" spans="1:7" ht="34.5" customHeight="1">
      <c r="A4" s="633"/>
      <c r="B4" s="243" t="s">
        <v>571</v>
      </c>
      <c r="C4" s="20" t="s">
        <v>611</v>
      </c>
      <c r="E4" s="575" t="s">
        <v>592</v>
      </c>
      <c r="F4" s="581" t="s">
        <v>624</v>
      </c>
    </row>
    <row r="5" spans="1:7" ht="34.5" customHeight="1">
      <c r="A5" s="633"/>
      <c r="B5" s="243" t="s">
        <v>573</v>
      </c>
      <c r="C5" s="20" t="s">
        <v>612</v>
      </c>
      <c r="E5" s="582" t="s">
        <v>593</v>
      </c>
      <c r="F5" s="585" t="s">
        <v>625</v>
      </c>
    </row>
    <row r="6" spans="1:7" ht="34.5" customHeight="1">
      <c r="A6" s="633"/>
      <c r="B6" s="243" t="s">
        <v>613</v>
      </c>
      <c r="C6" s="20" t="s">
        <v>614</v>
      </c>
      <c r="E6" s="575" t="s">
        <v>594</v>
      </c>
      <c r="F6" s="587" t="s">
        <v>626</v>
      </c>
    </row>
    <row r="7" spans="1:7" ht="34.5" customHeight="1">
      <c r="A7" s="633"/>
      <c r="B7" s="243" t="s">
        <v>615</v>
      </c>
      <c r="C7" s="20" t="s">
        <v>616</v>
      </c>
      <c r="E7" s="582" t="s">
        <v>17</v>
      </c>
      <c r="F7" s="585" t="s">
        <v>627</v>
      </c>
    </row>
    <row r="8" spans="1:7" ht="34.5" customHeight="1">
      <c r="A8" s="633"/>
      <c r="B8" s="243" t="s">
        <v>618</v>
      </c>
      <c r="C8" s="20" t="s">
        <v>617</v>
      </c>
      <c r="E8" s="586" t="s">
        <v>621</v>
      </c>
      <c r="F8" s="585" t="s">
        <v>628</v>
      </c>
    </row>
    <row r="9" spans="1:7" ht="34.5" customHeight="1">
      <c r="A9" s="633"/>
      <c r="B9" s="243" t="s">
        <v>620</v>
      </c>
      <c r="C9" s="20" t="s">
        <v>619</v>
      </c>
      <c r="E9" s="586" t="s">
        <v>622</v>
      </c>
      <c r="F9" s="585" t="s">
        <v>629</v>
      </c>
    </row>
    <row r="10" spans="1:7" ht="34.5" customHeight="1">
      <c r="A10" s="633"/>
      <c r="B10" s="21"/>
      <c r="C10" s="20"/>
      <c r="E10" s="21" t="s">
        <v>280</v>
      </c>
      <c r="F10" s="585" t="s">
        <v>630</v>
      </c>
    </row>
    <row r="11" spans="1:7" ht="34.5" customHeight="1">
      <c r="A11" s="633"/>
      <c r="B11" s="21"/>
      <c r="C11" s="20"/>
      <c r="E11" s="21" t="s">
        <v>623</v>
      </c>
      <c r="F11" s="585" t="s">
        <v>631</v>
      </c>
    </row>
    <row r="12" spans="1:7" ht="34.5" customHeight="1">
      <c r="A12" s="633"/>
      <c r="B12" s="21"/>
      <c r="C12" s="20"/>
      <c r="E12" s="21"/>
      <c r="F12" s="20"/>
    </row>
    <row r="13" spans="1:7" ht="34.5" customHeight="1">
      <c r="A13" s="633"/>
      <c r="B13" s="21"/>
      <c r="C13" s="20"/>
      <c r="E13" s="582"/>
      <c r="F13" s="20"/>
    </row>
    <row r="14" spans="1:7" ht="34.5" customHeight="1">
      <c r="A14" s="633"/>
      <c r="B14" s="21"/>
      <c r="C14" s="20"/>
      <c r="E14" s="575"/>
      <c r="F14" s="583"/>
    </row>
    <row r="15" spans="1:7" ht="34.5" customHeight="1">
      <c r="A15" s="633"/>
      <c r="B15" s="21"/>
      <c r="C15" s="20"/>
      <c r="E15" s="575"/>
      <c r="F15" s="583"/>
    </row>
    <row r="16" spans="1:7" ht="34.5" customHeight="1">
      <c r="A16" s="633"/>
      <c r="B16" s="21"/>
      <c r="C16" s="20"/>
      <c r="E16" s="575"/>
      <c r="F16" s="583"/>
    </row>
    <row r="17" spans="1:6" ht="34.5" customHeight="1">
      <c r="A17" s="633"/>
      <c r="B17" s="21"/>
      <c r="C17" s="20"/>
      <c r="E17" s="575"/>
      <c r="F17" s="583"/>
    </row>
    <row r="18" spans="1:6" ht="34.5" customHeight="1">
      <c r="A18" s="633"/>
      <c r="B18" s="21"/>
      <c r="C18" s="20"/>
      <c r="E18" s="21"/>
      <c r="F18" s="20"/>
    </row>
    <row r="19" spans="1:6" ht="34.5" customHeight="1">
      <c r="A19" s="633"/>
      <c r="B19" s="21"/>
      <c r="C19" s="20"/>
      <c r="E19" s="21"/>
      <c r="F19" s="20"/>
    </row>
    <row r="20" spans="1:6" ht="34.5" customHeight="1">
      <c r="A20" s="633"/>
      <c r="B20" s="21"/>
      <c r="C20" s="20"/>
      <c r="E20" s="21"/>
      <c r="F20" s="20"/>
    </row>
    <row r="21" spans="1:6" ht="34.5" customHeight="1">
      <c r="A21" s="633"/>
      <c r="B21" s="21"/>
      <c r="C21" s="20"/>
      <c r="E21" s="21"/>
      <c r="F21" s="20"/>
    </row>
    <row r="22" spans="1:6" ht="34.5" customHeight="1">
      <c r="A22" s="633"/>
      <c r="B22" s="21"/>
      <c r="C22" s="20"/>
      <c r="E22" s="21"/>
      <c r="F22" s="20"/>
    </row>
    <row r="23" spans="1:6" ht="34.5" customHeight="1">
      <c r="A23" s="633"/>
      <c r="B23" s="21"/>
      <c r="C23" s="20"/>
      <c r="E23" s="21"/>
      <c r="F23" s="20"/>
    </row>
    <row r="24" spans="1:6" ht="34.5" customHeight="1">
      <c r="A24" s="633"/>
      <c r="B24" s="21"/>
      <c r="C24" s="20"/>
      <c r="E24" s="21"/>
      <c r="F24" s="20"/>
    </row>
    <row r="25" spans="1:6" ht="34.5" customHeight="1">
      <c r="B25" s="374"/>
      <c r="C25" s="367"/>
      <c r="E25" s="374"/>
      <c r="F25" s="367"/>
    </row>
    <row r="26" spans="1:6" ht="34.5" customHeight="1">
      <c r="B26" s="374"/>
      <c r="C26" s="367"/>
      <c r="E26" s="374"/>
      <c r="F26" s="367"/>
    </row>
    <row r="27" spans="1:6" s="367" customFormat="1" ht="34.5" customHeight="1">
      <c r="A27" s="632"/>
      <c r="B27" s="631" t="s">
        <v>278</v>
      </c>
      <c r="C27" s="631"/>
      <c r="D27" s="631"/>
      <c r="E27" s="631"/>
      <c r="F27" s="631"/>
    </row>
    <row r="28" spans="1:6" s="367" customFormat="1" ht="34.5" customHeight="1">
      <c r="A28" s="632"/>
      <c r="B28" s="243" t="s">
        <v>276</v>
      </c>
      <c r="C28" s="365" t="s">
        <v>277</v>
      </c>
      <c r="D28" s="364"/>
      <c r="E28" s="243" t="s">
        <v>276</v>
      </c>
      <c r="F28" s="365" t="s">
        <v>277</v>
      </c>
    </row>
    <row r="29" spans="1:6" s="367" customFormat="1" ht="34.5" customHeight="1">
      <c r="A29" s="632"/>
      <c r="B29" s="243" t="s">
        <v>572</v>
      </c>
      <c r="C29" s="20" t="s">
        <v>632</v>
      </c>
      <c r="D29" s="364"/>
      <c r="E29" s="243" t="s">
        <v>16</v>
      </c>
      <c r="F29" s="20" t="s">
        <v>633</v>
      </c>
    </row>
    <row r="30" spans="1:6" s="367" customFormat="1" ht="34.5" customHeight="1">
      <c r="A30" s="632"/>
      <c r="B30" s="243" t="s">
        <v>573</v>
      </c>
      <c r="C30" s="20" t="s">
        <v>557</v>
      </c>
      <c r="D30" s="364"/>
      <c r="E30" s="243" t="s">
        <v>17</v>
      </c>
      <c r="F30" s="20" t="s">
        <v>634</v>
      </c>
    </row>
    <row r="31" spans="1:6" s="367" customFormat="1" ht="44.25" customHeight="1">
      <c r="A31" s="632"/>
      <c r="B31" s="243" t="s">
        <v>574</v>
      </c>
      <c r="C31" s="20" t="s">
        <v>635</v>
      </c>
      <c r="D31" s="364"/>
      <c r="E31" s="243" t="s">
        <v>18</v>
      </c>
      <c r="F31" s="20" t="s">
        <v>558</v>
      </c>
    </row>
    <row r="32" spans="1:6" s="367" customFormat="1" ht="34.5" customHeight="1">
      <c r="A32" s="632"/>
      <c r="B32" s="243"/>
      <c r="C32" s="20"/>
      <c r="D32" s="364"/>
      <c r="E32" s="243"/>
      <c r="F32" s="20"/>
    </row>
    <row r="33" spans="1:6" s="367" customFormat="1" ht="34.5" customHeight="1">
      <c r="A33" s="632"/>
      <c r="B33" s="243"/>
      <c r="C33" s="20"/>
      <c r="D33" s="364"/>
      <c r="E33" s="243"/>
      <c r="F33" s="20"/>
    </row>
    <row r="34" spans="1:6" s="367" customFormat="1" ht="34.5" customHeight="1">
      <c r="A34" s="632"/>
      <c r="B34" s="243"/>
      <c r="C34" s="20"/>
      <c r="D34" s="364"/>
      <c r="E34" s="243"/>
      <c r="F34" s="20"/>
    </row>
    <row r="35" spans="1:6" s="367" customFormat="1" ht="34.5" customHeight="1">
      <c r="A35" s="632"/>
      <c r="B35" s="243"/>
      <c r="C35" s="20"/>
      <c r="D35" s="364"/>
      <c r="E35" s="243"/>
      <c r="F35" s="20"/>
    </row>
    <row r="36" spans="1:6" s="367" customFormat="1" ht="34.5" customHeight="1">
      <c r="A36" s="632"/>
      <c r="B36" s="243"/>
      <c r="C36" s="20"/>
      <c r="D36" s="364"/>
      <c r="E36" s="243"/>
      <c r="F36" s="20"/>
    </row>
    <row r="37" spans="1:6" s="367" customFormat="1" ht="34.5" customHeight="1"/>
    <row r="38" spans="1:6" s="367" customFormat="1" ht="34.5" customHeight="1">
      <c r="A38" s="632"/>
      <c r="B38" s="631" t="s">
        <v>279</v>
      </c>
      <c r="C38" s="631"/>
      <c r="D38" s="631"/>
      <c r="E38" s="631"/>
      <c r="F38" s="631"/>
    </row>
    <row r="39" spans="1:6" s="367" customFormat="1" ht="34.5" customHeight="1">
      <c r="A39" s="632"/>
      <c r="B39" s="243" t="s">
        <v>276</v>
      </c>
      <c r="C39" s="365" t="s">
        <v>277</v>
      </c>
      <c r="D39" s="364"/>
      <c r="E39" s="243" t="s">
        <v>276</v>
      </c>
      <c r="F39" s="365" t="s">
        <v>277</v>
      </c>
    </row>
    <row r="40" spans="1:6" s="367" customFormat="1" ht="55.5" customHeight="1">
      <c r="A40" s="632"/>
      <c r="B40" s="243" t="s">
        <v>573</v>
      </c>
      <c r="C40" s="20" t="s">
        <v>636</v>
      </c>
      <c r="D40" s="364"/>
      <c r="E40" s="243" t="s">
        <v>17</v>
      </c>
      <c r="F40" s="20" t="s">
        <v>637</v>
      </c>
    </row>
    <row r="41" spans="1:6" s="367" customFormat="1" ht="55.5" customHeight="1">
      <c r="A41" s="632"/>
      <c r="B41" s="243" t="s">
        <v>638</v>
      </c>
      <c r="C41" s="20" t="s">
        <v>639</v>
      </c>
      <c r="D41" s="364"/>
      <c r="E41" s="243" t="s">
        <v>595</v>
      </c>
      <c r="F41" s="20" t="s">
        <v>640</v>
      </c>
    </row>
    <row r="42" spans="1:6" s="367" customFormat="1" ht="55.5" customHeight="1">
      <c r="A42" s="632"/>
      <c r="B42" s="243" t="s">
        <v>615</v>
      </c>
      <c r="C42" s="20" t="s">
        <v>641</v>
      </c>
      <c r="D42" s="364"/>
      <c r="E42" s="243" t="s">
        <v>622</v>
      </c>
      <c r="F42" s="20" t="s">
        <v>642</v>
      </c>
    </row>
    <row r="43" spans="1:6" s="367" customFormat="1" ht="55.5" customHeight="1">
      <c r="A43" s="632"/>
      <c r="B43" s="243" t="s">
        <v>613</v>
      </c>
      <c r="C43" s="20" t="s">
        <v>643</v>
      </c>
      <c r="D43" s="364"/>
      <c r="E43" s="243" t="s">
        <v>621</v>
      </c>
      <c r="F43" s="20" t="s">
        <v>644</v>
      </c>
    </row>
    <row r="44" spans="1:6" s="367" customFormat="1" ht="55.5" customHeight="1">
      <c r="A44" s="632"/>
      <c r="B44" s="243" t="s">
        <v>574</v>
      </c>
      <c r="C44" s="20" t="s">
        <v>645</v>
      </c>
      <c r="D44" s="364"/>
      <c r="E44" s="243" t="s">
        <v>18</v>
      </c>
      <c r="F44" s="20" t="s">
        <v>646</v>
      </c>
    </row>
    <row r="45" spans="1:6" s="367" customFormat="1" ht="34.5" customHeight="1">
      <c r="A45" s="632"/>
      <c r="B45" s="243"/>
      <c r="C45" s="20"/>
      <c r="D45" s="364"/>
      <c r="E45" s="243"/>
      <c r="F45" s="20"/>
    </row>
    <row r="46" spans="1:6" s="367" customFormat="1" ht="34.5" customHeight="1">
      <c r="A46" s="632"/>
      <c r="B46" s="243"/>
      <c r="C46" s="20"/>
      <c r="D46" s="364"/>
      <c r="E46" s="243"/>
      <c r="F46" s="20"/>
    </row>
    <row r="47" spans="1:6" s="367" customFormat="1" ht="34.5" customHeight="1">
      <c r="A47" s="632"/>
      <c r="B47" s="243"/>
      <c r="C47" s="20"/>
      <c r="D47" s="364"/>
      <c r="E47" s="243"/>
      <c r="F47" s="20"/>
    </row>
    <row r="48" spans="1:6" s="367" customFormat="1" ht="34.5" customHeight="1">
      <c r="A48" s="632"/>
      <c r="B48" s="243"/>
      <c r="C48" s="20"/>
      <c r="D48" s="364"/>
      <c r="E48" s="243"/>
      <c r="F48" s="20"/>
    </row>
    <row r="49" spans="1:6" s="367" customFormat="1" ht="34.5" customHeight="1">
      <c r="A49" s="632"/>
      <c r="B49" s="21"/>
      <c r="C49" s="20"/>
      <c r="D49" s="364"/>
      <c r="E49" s="21"/>
      <c r="F49" s="20"/>
    </row>
    <row r="50" spans="1:6" s="367" customFormat="1" ht="34.5" customHeight="1">
      <c r="A50" s="632"/>
      <c r="B50" s="21"/>
      <c r="C50" s="20"/>
      <c r="D50" s="364"/>
      <c r="E50" s="21"/>
      <c r="F50" s="20"/>
    </row>
    <row r="51" spans="1:6" s="367" customFormat="1" ht="34.5" customHeight="1">
      <c r="A51" s="632"/>
      <c r="B51" s="21"/>
      <c r="C51" s="20"/>
      <c r="E51" s="21"/>
      <c r="F51" s="20"/>
    </row>
    <row r="52" spans="1:6" s="367" customFormat="1" ht="34.5" customHeight="1">
      <c r="B52" s="368"/>
      <c r="C52" s="369"/>
    </row>
    <row r="53" spans="1:6" s="367" customFormat="1" ht="34.5" customHeight="1">
      <c r="A53" s="632"/>
      <c r="B53" s="631" t="s">
        <v>281</v>
      </c>
      <c r="C53" s="631"/>
      <c r="D53" s="631"/>
      <c r="E53" s="631"/>
      <c r="F53" s="631"/>
    </row>
    <row r="54" spans="1:6" s="367" customFormat="1" ht="34.5" customHeight="1">
      <c r="A54" s="632"/>
      <c r="B54" s="243" t="s">
        <v>276</v>
      </c>
      <c r="C54" s="365" t="s">
        <v>277</v>
      </c>
      <c r="D54" s="364"/>
      <c r="E54" s="243" t="s">
        <v>276</v>
      </c>
      <c r="F54" s="365" t="s">
        <v>277</v>
      </c>
    </row>
    <row r="55" spans="1:6" s="367" customFormat="1" ht="34.5" customHeight="1">
      <c r="A55" s="632"/>
      <c r="B55" s="243" t="s">
        <v>638</v>
      </c>
      <c r="C55" s="20" t="s">
        <v>667</v>
      </c>
      <c r="D55" s="364"/>
      <c r="E55" s="243" t="s">
        <v>595</v>
      </c>
      <c r="F55" s="20" t="s">
        <v>668</v>
      </c>
    </row>
    <row r="56" spans="1:6" s="367" customFormat="1" ht="34.5" customHeight="1">
      <c r="A56" s="632"/>
      <c r="B56" s="243" t="s">
        <v>654</v>
      </c>
      <c r="C56" s="20" t="s">
        <v>559</v>
      </c>
      <c r="D56" s="364"/>
      <c r="E56" s="243" t="s">
        <v>596</v>
      </c>
      <c r="F56" s="20" t="s">
        <v>560</v>
      </c>
    </row>
    <row r="57" spans="1:6" s="367" customFormat="1" ht="34.5" customHeight="1">
      <c r="A57" s="632"/>
      <c r="B57" s="243" t="s">
        <v>657</v>
      </c>
      <c r="C57" s="20" t="s">
        <v>669</v>
      </c>
      <c r="D57" s="364"/>
      <c r="E57" s="243" t="s">
        <v>597</v>
      </c>
      <c r="F57" s="20" t="s">
        <v>670</v>
      </c>
    </row>
    <row r="58" spans="1:6" s="367" customFormat="1" ht="34.5" customHeight="1">
      <c r="A58" s="632"/>
      <c r="B58" s="243" t="s">
        <v>613</v>
      </c>
      <c r="C58" s="20" t="s">
        <v>671</v>
      </c>
      <c r="D58" s="364"/>
      <c r="E58" s="243" t="s">
        <v>621</v>
      </c>
      <c r="F58" s="20" t="s">
        <v>672</v>
      </c>
    </row>
    <row r="59" spans="1:6" s="367" customFormat="1" ht="34.5" customHeight="1">
      <c r="A59" s="632"/>
      <c r="B59" s="243"/>
      <c r="C59" s="20"/>
      <c r="D59" s="364"/>
      <c r="E59" s="243"/>
      <c r="F59" s="20"/>
    </row>
    <row r="60" spans="1:6" s="367" customFormat="1" ht="49.5" customHeight="1">
      <c r="A60" s="632"/>
      <c r="B60" s="243"/>
      <c r="C60" s="20"/>
      <c r="D60" s="364"/>
      <c r="E60" s="243"/>
      <c r="F60" s="20"/>
    </row>
    <row r="61" spans="1:6" s="367" customFormat="1" ht="34.5" customHeight="1">
      <c r="A61" s="632"/>
      <c r="B61" s="243"/>
      <c r="C61" s="20"/>
      <c r="D61" s="364"/>
      <c r="E61" s="243"/>
      <c r="F61" s="20"/>
    </row>
    <row r="62" spans="1:6" s="367" customFormat="1" ht="34.5" customHeight="1">
      <c r="A62" s="632"/>
      <c r="B62" s="243"/>
      <c r="C62" s="20"/>
      <c r="D62" s="364"/>
      <c r="E62" s="243"/>
      <c r="F62" s="20"/>
    </row>
    <row r="63" spans="1:6" s="367" customFormat="1" ht="34.5" customHeight="1">
      <c r="A63" s="632"/>
      <c r="B63" s="243"/>
      <c r="C63" s="20"/>
      <c r="D63" s="364"/>
      <c r="E63" s="243"/>
      <c r="F63" s="20"/>
    </row>
    <row r="64" spans="1:6" s="367" customFormat="1" ht="34.5" customHeight="1">
      <c r="A64" s="632"/>
      <c r="B64" s="21"/>
      <c r="C64" s="20"/>
      <c r="E64" s="21"/>
      <c r="F64" s="20"/>
    </row>
    <row r="65" spans="1:6" s="367" customFormat="1" ht="34.5" customHeight="1">
      <c r="A65" s="632"/>
      <c r="B65" s="21"/>
      <c r="C65" s="20"/>
      <c r="D65" s="364"/>
      <c r="E65" s="21"/>
      <c r="F65" s="20"/>
    </row>
    <row r="66" spans="1:6" s="367" customFormat="1" ht="34.5" customHeight="1">
      <c r="A66" s="632"/>
      <c r="B66" s="21"/>
      <c r="C66" s="20"/>
      <c r="E66" s="21"/>
      <c r="F66" s="20"/>
    </row>
    <row r="67" spans="1:6" s="367" customFormat="1" ht="34.5" customHeight="1">
      <c r="B67" s="370"/>
      <c r="C67" s="369"/>
    </row>
    <row r="68" spans="1:6" s="367" customFormat="1" ht="34.5" customHeight="1">
      <c r="A68" s="632"/>
      <c r="B68" s="631" t="s">
        <v>284</v>
      </c>
      <c r="C68" s="631"/>
      <c r="D68" s="631"/>
      <c r="E68" s="631"/>
      <c r="F68" s="631"/>
    </row>
    <row r="69" spans="1:6" s="367" customFormat="1" ht="34.5" customHeight="1">
      <c r="A69" s="632"/>
      <c r="B69" s="243" t="s">
        <v>276</v>
      </c>
      <c r="C69" s="365" t="s">
        <v>277</v>
      </c>
      <c r="D69" s="364"/>
      <c r="E69" s="243" t="s">
        <v>276</v>
      </c>
      <c r="F69" s="365" t="s">
        <v>277</v>
      </c>
    </row>
    <row r="70" spans="1:6" s="367" customFormat="1" ht="34.5" customHeight="1">
      <c r="A70" s="632"/>
      <c r="B70" s="243" t="s">
        <v>654</v>
      </c>
      <c r="C70" s="20" t="s">
        <v>655</v>
      </c>
      <c r="D70" s="364"/>
      <c r="E70" s="243" t="s">
        <v>596</v>
      </c>
      <c r="F70" s="20" t="s">
        <v>656</v>
      </c>
    </row>
    <row r="71" spans="1:6" s="367" customFormat="1" ht="34.5" customHeight="1">
      <c r="A71" s="632"/>
      <c r="B71" s="243" t="s">
        <v>657</v>
      </c>
      <c r="C71" s="20" t="s">
        <v>658</v>
      </c>
      <c r="D71" s="364"/>
      <c r="E71" s="243" t="s">
        <v>597</v>
      </c>
      <c r="F71" s="20" t="s">
        <v>659</v>
      </c>
    </row>
    <row r="72" spans="1:6" s="367" customFormat="1" ht="34.5" customHeight="1">
      <c r="A72" s="632"/>
      <c r="B72" s="243" t="s">
        <v>613</v>
      </c>
      <c r="C72" s="20" t="s">
        <v>660</v>
      </c>
      <c r="D72" s="364"/>
      <c r="E72" s="243" t="s">
        <v>621</v>
      </c>
      <c r="F72" s="20" t="s">
        <v>661</v>
      </c>
    </row>
    <row r="73" spans="1:6" s="367" customFormat="1" ht="34.5" customHeight="1">
      <c r="A73" s="632"/>
      <c r="B73" s="243" t="s">
        <v>615</v>
      </c>
      <c r="C73" s="20" t="s">
        <v>662</v>
      </c>
      <c r="D73" s="364"/>
      <c r="E73" s="243" t="s">
        <v>622</v>
      </c>
      <c r="F73" s="20" t="s">
        <v>663</v>
      </c>
    </row>
    <row r="74" spans="1:6" s="367" customFormat="1" ht="44.25" customHeight="1">
      <c r="A74" s="632"/>
      <c r="B74" s="243"/>
      <c r="C74" s="20"/>
      <c r="D74" s="364"/>
      <c r="E74" s="243"/>
      <c r="F74" s="20"/>
    </row>
    <row r="75" spans="1:6" s="367" customFormat="1" ht="34.5" customHeight="1">
      <c r="A75" s="632"/>
      <c r="B75" s="243"/>
      <c r="C75" s="20"/>
      <c r="D75" s="364"/>
      <c r="E75" s="243"/>
      <c r="F75" s="20"/>
    </row>
    <row r="76" spans="1:6" s="367" customFormat="1" ht="34.5" customHeight="1">
      <c r="A76" s="632"/>
      <c r="B76" s="243"/>
      <c r="C76" s="20"/>
      <c r="D76" s="364"/>
      <c r="E76" s="243"/>
      <c r="F76" s="20"/>
    </row>
    <row r="77" spans="1:6" s="367" customFormat="1" ht="34.5" customHeight="1">
      <c r="A77" s="632"/>
      <c r="B77" s="243"/>
      <c r="C77" s="20"/>
      <c r="D77" s="364"/>
      <c r="E77" s="243"/>
      <c r="F77" s="20"/>
    </row>
    <row r="78" spans="1:6" s="367" customFormat="1" ht="34.5" customHeight="1">
      <c r="A78" s="632"/>
      <c r="B78" s="243"/>
      <c r="C78" s="20"/>
      <c r="D78" s="364"/>
      <c r="E78" s="243"/>
      <c r="F78" s="20"/>
    </row>
    <row r="79" spans="1:6" s="367" customFormat="1" ht="34.5" customHeight="1">
      <c r="A79" s="632"/>
      <c r="B79" s="21"/>
      <c r="C79" s="20"/>
      <c r="D79" s="364"/>
      <c r="E79" s="21"/>
      <c r="F79" s="20"/>
    </row>
    <row r="80" spans="1:6" s="367" customFormat="1" ht="34.5" customHeight="1">
      <c r="A80" s="632"/>
      <c r="B80" s="21"/>
      <c r="C80" s="20"/>
      <c r="E80" s="21"/>
      <c r="F80" s="20"/>
    </row>
    <row r="81" spans="1:6" s="367" customFormat="1" ht="34.5" customHeight="1">
      <c r="B81" s="374"/>
      <c r="E81" s="374"/>
    </row>
    <row r="82" spans="1:6" s="367" customFormat="1" ht="34.5" customHeight="1">
      <c r="A82" s="632"/>
      <c r="B82" s="631" t="s">
        <v>285</v>
      </c>
      <c r="C82" s="631"/>
      <c r="D82" s="631"/>
      <c r="E82" s="631"/>
      <c r="F82" s="631"/>
    </row>
    <row r="83" spans="1:6" s="367" customFormat="1" ht="34.5" customHeight="1">
      <c r="A83" s="632"/>
      <c r="B83" s="243" t="s">
        <v>276</v>
      </c>
      <c r="C83" s="365" t="s">
        <v>277</v>
      </c>
      <c r="D83" s="364"/>
      <c r="E83" s="243" t="s">
        <v>276</v>
      </c>
      <c r="F83" s="365" t="s">
        <v>277</v>
      </c>
    </row>
    <row r="84" spans="1:6" s="367" customFormat="1" ht="34.5" customHeight="1">
      <c r="A84" s="632"/>
      <c r="B84" s="243" t="s">
        <v>571</v>
      </c>
      <c r="C84" s="20" t="s">
        <v>648</v>
      </c>
      <c r="D84" s="364"/>
      <c r="E84" s="243" t="s">
        <v>15</v>
      </c>
      <c r="F84" s="20" t="s">
        <v>561</v>
      </c>
    </row>
    <row r="85" spans="1:6" s="367" customFormat="1" ht="45" customHeight="1">
      <c r="A85" s="632"/>
      <c r="B85" s="243" t="s">
        <v>572</v>
      </c>
      <c r="C85" s="20" t="s">
        <v>647</v>
      </c>
      <c r="D85" s="364"/>
      <c r="E85" s="243" t="s">
        <v>16</v>
      </c>
      <c r="F85" s="20" t="s">
        <v>649</v>
      </c>
    </row>
    <row r="86" spans="1:6" s="367" customFormat="1" ht="52.5" customHeight="1">
      <c r="A86" s="632"/>
      <c r="B86" s="243" t="s">
        <v>573</v>
      </c>
      <c r="C86" s="20" t="s">
        <v>652</v>
      </c>
      <c r="D86" s="364"/>
      <c r="E86" s="243" t="s">
        <v>17</v>
      </c>
      <c r="F86" s="20" t="s">
        <v>653</v>
      </c>
    </row>
    <row r="87" spans="1:6" s="367" customFormat="1" ht="34.5" customHeight="1">
      <c r="A87" s="632"/>
      <c r="B87" s="243" t="s">
        <v>574</v>
      </c>
      <c r="C87" s="20" t="s">
        <v>650</v>
      </c>
      <c r="D87" s="364"/>
      <c r="E87" s="243" t="s">
        <v>18</v>
      </c>
      <c r="F87" s="20" t="s">
        <v>651</v>
      </c>
    </row>
    <row r="88" spans="1:6" s="367" customFormat="1" ht="34.5" customHeight="1">
      <c r="A88" s="632"/>
      <c r="B88" s="243"/>
      <c r="C88" s="20"/>
      <c r="D88" s="364"/>
      <c r="E88" s="243"/>
      <c r="F88" s="20"/>
    </row>
    <row r="89" spans="1:6" s="367" customFormat="1" ht="34.5" customHeight="1">
      <c r="A89" s="632"/>
      <c r="B89" s="243"/>
      <c r="C89" s="20"/>
      <c r="D89" s="364"/>
      <c r="E89" s="243"/>
      <c r="F89" s="20"/>
    </row>
    <row r="90" spans="1:6" s="367" customFormat="1" ht="34.5" customHeight="1">
      <c r="A90" s="632"/>
      <c r="B90" s="243"/>
      <c r="C90" s="20"/>
      <c r="D90" s="364"/>
      <c r="E90" s="243"/>
      <c r="F90" s="20"/>
    </row>
    <row r="91" spans="1:6" s="367" customFormat="1" ht="34.5" customHeight="1">
      <c r="B91" s="374"/>
      <c r="E91" s="374"/>
    </row>
    <row r="92" spans="1:6" s="367" customFormat="1" ht="34.5" customHeight="1">
      <c r="A92" s="632"/>
      <c r="B92" s="631" t="s">
        <v>282</v>
      </c>
      <c r="C92" s="631"/>
      <c r="D92" s="631"/>
      <c r="E92" s="631"/>
      <c r="F92" s="631"/>
    </row>
    <row r="93" spans="1:6" s="367" customFormat="1" ht="34.5" customHeight="1">
      <c r="A93" s="632"/>
      <c r="B93" s="243" t="s">
        <v>276</v>
      </c>
      <c r="C93" s="365" t="s">
        <v>277</v>
      </c>
      <c r="D93" s="364"/>
      <c r="E93" s="243" t="s">
        <v>276</v>
      </c>
      <c r="F93" s="365" t="s">
        <v>277</v>
      </c>
    </row>
    <row r="94" spans="1:6" s="367" customFormat="1" ht="34.5" customHeight="1">
      <c r="A94" s="632"/>
      <c r="B94" s="243" t="s">
        <v>571</v>
      </c>
      <c r="C94" s="20" t="s">
        <v>562</v>
      </c>
      <c r="D94" s="364"/>
      <c r="E94" s="243" t="s">
        <v>15</v>
      </c>
      <c r="F94" s="20" t="s">
        <v>563</v>
      </c>
    </row>
    <row r="95" spans="1:6" s="367" customFormat="1" ht="34.5" customHeight="1">
      <c r="A95" s="632"/>
      <c r="B95" s="586" t="s">
        <v>572</v>
      </c>
      <c r="C95" s="20" t="s">
        <v>664</v>
      </c>
      <c r="D95" s="364"/>
      <c r="E95" s="243" t="s">
        <v>16</v>
      </c>
      <c r="F95" s="20" t="s">
        <v>564</v>
      </c>
    </row>
    <row r="96" spans="1:6" s="367" customFormat="1" ht="34.5" customHeight="1">
      <c r="A96" s="632"/>
      <c r="B96" s="243" t="s">
        <v>573</v>
      </c>
      <c r="C96" s="20" t="s">
        <v>565</v>
      </c>
      <c r="D96" s="364"/>
      <c r="E96" s="243" t="s">
        <v>17</v>
      </c>
      <c r="F96" s="20" t="s">
        <v>665</v>
      </c>
    </row>
    <row r="97" spans="1:6" s="367" customFormat="1" ht="34.5" customHeight="1">
      <c r="A97" s="632"/>
      <c r="B97" s="243" t="s">
        <v>574</v>
      </c>
      <c r="C97" s="20" t="s">
        <v>566</v>
      </c>
      <c r="D97" s="364"/>
      <c r="E97" s="243" t="s">
        <v>18</v>
      </c>
      <c r="F97" s="20" t="s">
        <v>666</v>
      </c>
    </row>
    <row r="98" spans="1:6" s="367" customFormat="1" ht="34.5" customHeight="1">
      <c r="A98" s="632"/>
      <c r="B98" s="243"/>
      <c r="C98" s="20"/>
      <c r="D98" s="364"/>
      <c r="E98" s="243"/>
      <c r="F98" s="20"/>
    </row>
    <row r="99" spans="1:6" s="367" customFormat="1" ht="34.5" customHeight="1">
      <c r="A99" s="632"/>
      <c r="B99" s="243"/>
      <c r="C99" s="20"/>
      <c r="D99" s="364"/>
      <c r="E99" s="243"/>
      <c r="F99" s="20"/>
    </row>
    <row r="100" spans="1:6" s="367" customFormat="1" ht="34.5" customHeight="1">
      <c r="B100" s="371"/>
      <c r="C100" s="369"/>
    </row>
    <row r="101" spans="1:6" s="367" customFormat="1" ht="34.5" customHeight="1">
      <c r="A101" s="632"/>
      <c r="B101" s="631" t="s">
        <v>283</v>
      </c>
      <c r="C101" s="631"/>
      <c r="D101" s="631"/>
      <c r="E101" s="631"/>
      <c r="F101" s="631"/>
    </row>
    <row r="102" spans="1:6" s="367" customFormat="1" ht="34.5" customHeight="1">
      <c r="A102" s="632"/>
      <c r="B102" s="243" t="s">
        <v>276</v>
      </c>
      <c r="C102" s="365" t="s">
        <v>277</v>
      </c>
      <c r="D102" s="364"/>
      <c r="E102" s="243" t="s">
        <v>276</v>
      </c>
      <c r="F102" s="365" t="s">
        <v>277</v>
      </c>
    </row>
    <row r="103" spans="1:6" s="367" customFormat="1" ht="69" customHeight="1">
      <c r="A103" s="632"/>
      <c r="B103" s="243" t="s">
        <v>654</v>
      </c>
      <c r="C103" s="20" t="s">
        <v>673</v>
      </c>
      <c r="D103" s="364"/>
      <c r="E103" s="243" t="s">
        <v>596</v>
      </c>
      <c r="F103" s="20" t="s">
        <v>674</v>
      </c>
    </row>
    <row r="104" spans="1:6" s="367" customFormat="1" ht="42" customHeight="1">
      <c r="A104" s="632"/>
      <c r="B104" s="243" t="s">
        <v>657</v>
      </c>
      <c r="C104" s="20" t="s">
        <v>675</v>
      </c>
      <c r="D104" s="364"/>
      <c r="E104" s="243" t="s">
        <v>597</v>
      </c>
      <c r="F104" s="20" t="s">
        <v>676</v>
      </c>
    </row>
    <row r="105" spans="1:6" s="367" customFormat="1" ht="34.5" customHeight="1">
      <c r="A105" s="632"/>
      <c r="B105" s="243" t="s">
        <v>613</v>
      </c>
      <c r="C105" s="20" t="s">
        <v>677</v>
      </c>
      <c r="D105" s="364"/>
      <c r="E105" s="243" t="s">
        <v>621</v>
      </c>
      <c r="F105" s="20" t="s">
        <v>678</v>
      </c>
    </row>
    <row r="106" spans="1:6" s="367" customFormat="1" ht="34.5" customHeight="1">
      <c r="A106" s="632"/>
      <c r="B106" s="243" t="s">
        <v>615</v>
      </c>
      <c r="C106" s="20" t="s">
        <v>678</v>
      </c>
      <c r="D106" s="364"/>
      <c r="E106" s="243" t="s">
        <v>622</v>
      </c>
      <c r="F106" s="20" t="s">
        <v>679</v>
      </c>
    </row>
    <row r="107" spans="1:6" s="367" customFormat="1" ht="34.5" customHeight="1">
      <c r="A107" s="632"/>
      <c r="B107" s="243" t="s">
        <v>53</v>
      </c>
      <c r="C107" s="20" t="s">
        <v>680</v>
      </c>
      <c r="D107" s="364"/>
      <c r="E107" s="243" t="s">
        <v>58</v>
      </c>
      <c r="F107" s="20" t="s">
        <v>681</v>
      </c>
    </row>
    <row r="108" spans="1:6" s="367" customFormat="1" ht="44.25" customHeight="1">
      <c r="A108" s="632"/>
      <c r="B108" s="243"/>
      <c r="C108" s="20"/>
      <c r="D108" s="364"/>
      <c r="E108" s="243"/>
      <c r="F108" s="20"/>
    </row>
    <row r="109" spans="1:6" s="367" customFormat="1" ht="34.5" customHeight="1">
      <c r="A109" s="632"/>
      <c r="B109" s="243"/>
      <c r="C109" s="20"/>
      <c r="D109" s="364"/>
      <c r="E109" s="243"/>
      <c r="F109" s="20"/>
    </row>
    <row r="110" spans="1:6" s="367" customFormat="1" ht="34.5" customHeight="1">
      <c r="A110" s="632"/>
      <c r="B110" s="20"/>
      <c r="C110" s="20"/>
      <c r="E110" s="20"/>
      <c r="F110" s="20"/>
    </row>
    <row r="111" spans="1:6" s="367" customFormat="1" ht="34.5" customHeight="1">
      <c r="A111" s="632"/>
      <c r="B111" s="243"/>
      <c r="C111" s="20"/>
      <c r="D111" s="364"/>
      <c r="E111" s="243"/>
      <c r="F111" s="20"/>
    </row>
    <row r="112" spans="1:6" s="367" customFormat="1" ht="34.5" customHeight="1">
      <c r="A112" s="632"/>
      <c r="B112" s="21"/>
      <c r="C112" s="20"/>
      <c r="D112" s="364"/>
      <c r="E112" s="21"/>
      <c r="F112" s="20"/>
    </row>
    <row r="113" spans="1:6" s="367" customFormat="1" ht="34.5" customHeight="1">
      <c r="A113" s="632"/>
      <c r="B113" s="21"/>
      <c r="C113" s="20"/>
      <c r="E113" s="21"/>
      <c r="F113" s="20"/>
    </row>
    <row r="114" spans="1:6" s="367" customFormat="1" ht="34.5" customHeight="1">
      <c r="B114" s="371"/>
      <c r="C114" s="369"/>
    </row>
    <row r="115" spans="1:6" s="367" customFormat="1" ht="34.5" customHeight="1">
      <c r="A115" s="632"/>
      <c r="B115" s="631" t="str">
        <f>CONCATENATE("KOMPETENSI DASAR  ",KKM!X7)</f>
        <v>KOMPETENSI DASAR  BAHASA dan SASTRA SUNDA</v>
      </c>
      <c r="C115" s="631"/>
      <c r="D115" s="631"/>
      <c r="E115" s="631"/>
      <c r="F115" s="631"/>
    </row>
    <row r="116" spans="1:6" s="367" customFormat="1" ht="34.5" customHeight="1">
      <c r="A116" s="632"/>
      <c r="B116" s="243" t="s">
        <v>276</v>
      </c>
      <c r="C116" s="365" t="s">
        <v>277</v>
      </c>
      <c r="D116" s="364"/>
      <c r="E116" s="243" t="s">
        <v>276</v>
      </c>
      <c r="F116" s="365" t="s">
        <v>277</v>
      </c>
    </row>
    <row r="117" spans="1:6" s="367" customFormat="1" ht="45" customHeight="1">
      <c r="A117" s="632"/>
      <c r="B117" s="566" t="s">
        <v>638</v>
      </c>
      <c r="C117" s="567" t="s">
        <v>682</v>
      </c>
      <c r="D117" s="364"/>
      <c r="E117" s="568" t="s">
        <v>595</v>
      </c>
      <c r="F117" s="567" t="s">
        <v>685</v>
      </c>
    </row>
    <row r="118" spans="1:6" s="367" customFormat="1" ht="45" customHeight="1">
      <c r="A118" s="632"/>
      <c r="B118" s="566" t="s">
        <v>654</v>
      </c>
      <c r="C118" s="569" t="s">
        <v>683</v>
      </c>
      <c r="D118" s="364"/>
      <c r="E118" s="568" t="s">
        <v>596</v>
      </c>
      <c r="F118" s="567" t="s">
        <v>687</v>
      </c>
    </row>
    <row r="119" spans="1:6" s="367" customFormat="1" ht="45" customHeight="1">
      <c r="A119" s="632"/>
      <c r="B119" s="566" t="s">
        <v>657</v>
      </c>
      <c r="C119" s="567" t="s">
        <v>684</v>
      </c>
      <c r="D119" s="364"/>
      <c r="E119" s="568" t="s">
        <v>597</v>
      </c>
      <c r="F119" s="567" t="s">
        <v>686</v>
      </c>
    </row>
    <row r="120" spans="1:6" s="367" customFormat="1" ht="45" customHeight="1">
      <c r="A120" s="632"/>
      <c r="B120" s="566"/>
      <c r="C120" s="567"/>
      <c r="D120" s="364"/>
      <c r="E120" s="568"/>
      <c r="F120" s="567"/>
    </row>
    <row r="121" spans="1:6" s="367" customFormat="1" ht="73.5" customHeight="1">
      <c r="A121" s="632"/>
      <c r="B121" s="243"/>
      <c r="C121" s="20"/>
      <c r="D121" s="364"/>
      <c r="E121" s="243"/>
      <c r="F121" s="20"/>
    </row>
    <row r="122" spans="1:6" s="367" customFormat="1" ht="34.5" customHeight="1">
      <c r="B122" s="372"/>
      <c r="C122" s="373"/>
    </row>
    <row r="123" spans="1:6" s="367" customFormat="1" ht="34.5" customHeight="1">
      <c r="A123" s="632"/>
      <c r="B123" s="631" t="str">
        <f>CONCATENATE("KOMPETENSI DASAR  ",KKM!X8)</f>
        <v>KOMPETENSI DASAR  PLH</v>
      </c>
      <c r="C123" s="631"/>
      <c r="D123" s="631"/>
      <c r="E123" s="631"/>
      <c r="F123" s="631"/>
    </row>
    <row r="124" spans="1:6" s="367" customFormat="1" ht="34.5" customHeight="1">
      <c r="A124" s="632"/>
      <c r="B124" s="576" t="s">
        <v>276</v>
      </c>
      <c r="C124" s="577" t="s">
        <v>277</v>
      </c>
      <c r="D124" s="364"/>
      <c r="E124" s="243" t="s">
        <v>276</v>
      </c>
      <c r="F124" s="365" t="s">
        <v>277</v>
      </c>
    </row>
    <row r="125" spans="1:6" s="367" customFormat="1" ht="49.5" customHeight="1">
      <c r="A125" s="632"/>
      <c r="B125" s="586" t="s">
        <v>688</v>
      </c>
      <c r="C125" s="20" t="s">
        <v>695</v>
      </c>
      <c r="D125" s="364"/>
      <c r="E125" s="243" t="s">
        <v>688</v>
      </c>
      <c r="F125" s="20" t="s">
        <v>695</v>
      </c>
    </row>
    <row r="126" spans="1:6" s="367" customFormat="1" ht="49.5" customHeight="1">
      <c r="A126" s="632"/>
      <c r="B126" s="586" t="s">
        <v>689</v>
      </c>
      <c r="C126" s="20" t="s">
        <v>696</v>
      </c>
      <c r="D126" s="364"/>
      <c r="E126" s="243" t="s">
        <v>689</v>
      </c>
      <c r="F126" s="20" t="s">
        <v>696</v>
      </c>
    </row>
    <row r="127" spans="1:6" s="367" customFormat="1" ht="49.5" customHeight="1">
      <c r="A127" s="632"/>
      <c r="B127" s="586" t="s">
        <v>690</v>
      </c>
      <c r="C127" s="20" t="s">
        <v>697</v>
      </c>
      <c r="D127" s="364"/>
      <c r="E127" s="243" t="s">
        <v>690</v>
      </c>
      <c r="F127" s="20" t="s">
        <v>697</v>
      </c>
    </row>
    <row r="128" spans="1:6" s="367" customFormat="1" ht="49.5" customHeight="1">
      <c r="A128" s="632"/>
      <c r="B128" s="586" t="s">
        <v>691</v>
      </c>
      <c r="C128" s="20" t="s">
        <v>698</v>
      </c>
      <c r="D128" s="364"/>
      <c r="E128" s="243" t="s">
        <v>691</v>
      </c>
      <c r="F128" s="20" t="s">
        <v>698</v>
      </c>
    </row>
    <row r="129" spans="1:6" s="367" customFormat="1" ht="49.5" customHeight="1">
      <c r="A129" s="632"/>
      <c r="B129" s="586" t="s">
        <v>692</v>
      </c>
      <c r="C129" s="20" t="s">
        <v>699</v>
      </c>
      <c r="D129" s="364"/>
      <c r="E129" s="243" t="s">
        <v>692</v>
      </c>
      <c r="F129" s="20" t="s">
        <v>699</v>
      </c>
    </row>
    <row r="130" spans="1:6" s="367" customFormat="1" ht="49.5" customHeight="1">
      <c r="A130" s="632"/>
      <c r="B130" s="586" t="s">
        <v>693</v>
      </c>
      <c r="C130" s="20" t="s">
        <v>700</v>
      </c>
      <c r="D130" s="364"/>
      <c r="E130" s="243" t="s">
        <v>693</v>
      </c>
      <c r="F130" s="20" t="s">
        <v>700</v>
      </c>
    </row>
    <row r="131" spans="1:6" s="367" customFormat="1" ht="49.5" customHeight="1">
      <c r="A131" s="632"/>
      <c r="B131" s="586" t="s">
        <v>694</v>
      </c>
      <c r="C131" s="20" t="s">
        <v>701</v>
      </c>
      <c r="D131" s="364"/>
      <c r="E131" s="243" t="s">
        <v>694</v>
      </c>
      <c r="F131" s="20" t="s">
        <v>701</v>
      </c>
    </row>
    <row r="132" spans="1:6" s="367" customFormat="1" ht="49.5" customHeight="1">
      <c r="A132" s="632"/>
      <c r="B132" s="586"/>
      <c r="C132" s="20"/>
      <c r="D132" s="364"/>
      <c r="E132" s="243"/>
      <c r="F132" s="20"/>
    </row>
    <row r="133" spans="1:6" s="367" customFormat="1" ht="49.5" customHeight="1">
      <c r="A133" s="632"/>
      <c r="B133" s="586"/>
      <c r="C133" s="20"/>
      <c r="D133" s="364"/>
      <c r="E133" s="243"/>
      <c r="F133" s="20"/>
    </row>
    <row r="134" spans="1:6" s="367" customFormat="1" ht="34.5" customHeight="1">
      <c r="B134" s="366"/>
      <c r="C134" s="369"/>
    </row>
    <row r="135" spans="1:6" s="367" customFormat="1" ht="34.5" customHeight="1">
      <c r="A135" s="632"/>
      <c r="B135" s="631" t="str">
        <f>CONCATENATE("KOMPETENSI DASAR  ",KKM!X9)</f>
        <v>KOMPETENSI DASAR  BAHASA INGGRIS</v>
      </c>
      <c r="C135" s="631"/>
      <c r="D135" s="631"/>
      <c r="E135" s="631"/>
      <c r="F135" s="631"/>
    </row>
    <row r="136" spans="1:6" s="367" customFormat="1" ht="49.5" customHeight="1">
      <c r="A136" s="632"/>
      <c r="B136" s="576" t="s">
        <v>276</v>
      </c>
      <c r="C136" s="577" t="s">
        <v>277</v>
      </c>
      <c r="D136" s="364"/>
      <c r="E136" s="576" t="s">
        <v>276</v>
      </c>
      <c r="F136" s="365" t="s">
        <v>277</v>
      </c>
    </row>
    <row r="137" spans="1:6" s="367" customFormat="1" ht="49.5" customHeight="1">
      <c r="A137" s="632"/>
      <c r="B137" s="575" t="s">
        <v>703</v>
      </c>
      <c r="C137" s="20" t="s">
        <v>702</v>
      </c>
      <c r="D137" s="364"/>
      <c r="E137" s="575" t="s">
        <v>703</v>
      </c>
      <c r="F137" s="580" t="s">
        <v>702</v>
      </c>
    </row>
    <row r="138" spans="1:6" s="367" customFormat="1" ht="49.5" customHeight="1">
      <c r="A138" s="632"/>
      <c r="B138" s="575" t="s">
        <v>704</v>
      </c>
      <c r="C138" s="20" t="s">
        <v>586</v>
      </c>
      <c r="D138" s="364"/>
      <c r="E138" s="575" t="s">
        <v>704</v>
      </c>
      <c r="F138" s="578" t="s">
        <v>586</v>
      </c>
    </row>
    <row r="139" spans="1:6" s="367" customFormat="1" ht="49.5" customHeight="1">
      <c r="A139" s="632"/>
      <c r="B139" s="575" t="s">
        <v>705</v>
      </c>
      <c r="C139" s="20" t="s">
        <v>587</v>
      </c>
      <c r="D139" s="364"/>
      <c r="E139" s="575" t="s">
        <v>705</v>
      </c>
      <c r="F139" s="578" t="s">
        <v>587</v>
      </c>
    </row>
    <row r="140" spans="1:6" s="367" customFormat="1" ht="49.5" customHeight="1">
      <c r="A140" s="632"/>
      <c r="B140" s="575" t="s">
        <v>706</v>
      </c>
      <c r="C140" s="579" t="s">
        <v>588</v>
      </c>
      <c r="D140" s="364"/>
      <c r="E140" s="575" t="s">
        <v>706</v>
      </c>
      <c r="F140" s="578" t="s">
        <v>588</v>
      </c>
    </row>
    <row r="141" spans="1:6" s="367" customFormat="1" ht="55.5" customHeight="1">
      <c r="A141" s="632"/>
      <c r="B141" s="575" t="s">
        <v>707</v>
      </c>
      <c r="C141" s="579" t="s">
        <v>708</v>
      </c>
      <c r="D141" s="364"/>
      <c r="E141" s="575" t="s">
        <v>707</v>
      </c>
      <c r="F141" s="578" t="s">
        <v>708</v>
      </c>
    </row>
    <row r="142" spans="1:6" s="367" customFormat="1" ht="49.5" customHeight="1">
      <c r="A142" s="632"/>
      <c r="B142" s="575" t="s">
        <v>709</v>
      </c>
      <c r="C142" s="579" t="s">
        <v>589</v>
      </c>
      <c r="D142" s="364"/>
      <c r="E142" s="575" t="s">
        <v>709</v>
      </c>
      <c r="F142" s="578" t="s">
        <v>589</v>
      </c>
    </row>
    <row r="143" spans="1:6" s="367" customFormat="1" ht="49.5" customHeight="1">
      <c r="A143" s="632"/>
      <c r="B143" s="575" t="s">
        <v>688</v>
      </c>
      <c r="C143" s="579" t="s">
        <v>710</v>
      </c>
      <c r="D143" s="364"/>
      <c r="E143" s="575" t="s">
        <v>688</v>
      </c>
      <c r="F143" s="578" t="s">
        <v>710</v>
      </c>
    </row>
    <row r="144" spans="1:6" s="367" customFormat="1" ht="49.5" customHeight="1">
      <c r="A144" s="632"/>
      <c r="B144" s="575" t="s">
        <v>711</v>
      </c>
      <c r="C144" s="579" t="s">
        <v>590</v>
      </c>
      <c r="D144" s="364"/>
      <c r="E144" s="575" t="s">
        <v>711</v>
      </c>
      <c r="F144" s="578" t="s">
        <v>590</v>
      </c>
    </row>
    <row r="145" spans="1:6" s="367" customFormat="1" ht="49.5" customHeight="1">
      <c r="A145" s="632"/>
      <c r="B145" s="575" t="s">
        <v>689</v>
      </c>
      <c r="C145" s="579" t="s">
        <v>591</v>
      </c>
      <c r="D145" s="364"/>
      <c r="E145" s="575" t="s">
        <v>689</v>
      </c>
      <c r="F145" s="578" t="s">
        <v>591</v>
      </c>
    </row>
    <row r="146" spans="1:6" s="367" customFormat="1" ht="49.5" customHeight="1">
      <c r="A146" s="632"/>
      <c r="B146" s="575" t="s">
        <v>712</v>
      </c>
      <c r="C146" s="578" t="s">
        <v>713</v>
      </c>
      <c r="D146" s="364"/>
      <c r="E146" s="575" t="s">
        <v>712</v>
      </c>
      <c r="F146" s="578" t="s">
        <v>713</v>
      </c>
    </row>
    <row r="147" spans="1:6" s="367" customFormat="1" ht="34.5" customHeight="1">
      <c r="B147" s="368"/>
      <c r="C147" s="369"/>
    </row>
    <row r="148" spans="1:6" s="367" customFormat="1" ht="34.5" customHeight="1">
      <c r="A148" s="632"/>
      <c r="B148" s="631" t="s">
        <v>300</v>
      </c>
      <c r="C148" s="631"/>
      <c r="D148" s="631"/>
      <c r="E148" s="631"/>
      <c r="F148" s="631"/>
    </row>
    <row r="149" spans="1:6" s="367" customFormat="1" ht="15.75">
      <c r="A149" s="632"/>
      <c r="B149" s="243" t="s">
        <v>276</v>
      </c>
      <c r="C149" s="365" t="s">
        <v>277</v>
      </c>
      <c r="D149" s="364"/>
      <c r="E149" s="243" t="s">
        <v>276</v>
      </c>
      <c r="F149" s="365" t="s">
        <v>277</v>
      </c>
    </row>
    <row r="150" spans="1:6" s="367" customFormat="1" ht="32.25" customHeight="1">
      <c r="A150" s="632"/>
      <c r="B150" s="243"/>
      <c r="C150" s="20"/>
      <c r="D150" s="364"/>
      <c r="E150" s="243"/>
      <c r="F150" s="20"/>
    </row>
    <row r="151" spans="1:6" s="367" customFormat="1" ht="32.25" customHeight="1">
      <c r="A151" s="632"/>
      <c r="B151" s="243"/>
      <c r="C151" s="20"/>
      <c r="D151" s="364"/>
      <c r="E151" s="243"/>
      <c r="F151" s="20"/>
    </row>
    <row r="152" spans="1:6" s="367" customFormat="1" ht="32.25" customHeight="1">
      <c r="A152" s="632"/>
      <c r="B152" s="243"/>
      <c r="C152" s="20"/>
      <c r="D152" s="364"/>
      <c r="E152" s="243"/>
      <c r="F152" s="20"/>
    </row>
    <row r="153" spans="1:6" s="367" customFormat="1" ht="32.25" customHeight="1">
      <c r="A153" s="632"/>
      <c r="B153" s="243"/>
      <c r="C153" s="20"/>
      <c r="D153" s="364"/>
      <c r="E153" s="243"/>
      <c r="F153" s="20"/>
    </row>
    <row r="154" spans="1:6" s="367" customFormat="1" ht="12.75" customHeight="1">
      <c r="A154" s="632"/>
      <c r="B154" s="243">
        <v>3.5</v>
      </c>
      <c r="C154" s="20"/>
      <c r="D154" s="364"/>
      <c r="E154" s="243">
        <v>4.5</v>
      </c>
      <c r="F154" s="20"/>
    </row>
    <row r="155" spans="1:6" s="367" customFormat="1" ht="12.75" customHeight="1">
      <c r="A155" s="632"/>
      <c r="B155" s="243">
        <v>3.6</v>
      </c>
      <c r="C155" s="20"/>
      <c r="D155" s="364"/>
      <c r="E155" s="243">
        <v>4.5999999999999996</v>
      </c>
      <c r="F155" s="20"/>
    </row>
    <row r="156" spans="1:6" s="367" customFormat="1">
      <c r="A156" s="632"/>
      <c r="B156" s="243">
        <v>3.7</v>
      </c>
      <c r="C156" s="20"/>
      <c r="D156" s="364"/>
      <c r="E156" s="243">
        <v>4.7</v>
      </c>
      <c r="F156" s="20"/>
    </row>
    <row r="157" spans="1:6" s="367" customFormat="1">
      <c r="A157" s="632"/>
      <c r="B157" s="243">
        <v>3.8</v>
      </c>
      <c r="C157" s="20"/>
      <c r="D157" s="364"/>
      <c r="E157" s="243">
        <v>4.8</v>
      </c>
      <c r="F157" s="20"/>
    </row>
    <row r="158" spans="1:6" s="367" customFormat="1">
      <c r="A158" s="632"/>
      <c r="B158" s="243">
        <v>3.9</v>
      </c>
      <c r="C158" s="20"/>
      <c r="D158" s="364"/>
      <c r="E158" s="243">
        <v>4.9000000000000004</v>
      </c>
      <c r="F158" s="20"/>
    </row>
    <row r="159" spans="1:6" s="367" customFormat="1">
      <c r="A159" s="632"/>
      <c r="B159" s="21" t="s">
        <v>53</v>
      </c>
      <c r="C159" s="20"/>
      <c r="D159" s="364"/>
      <c r="E159" s="21" t="s">
        <v>58</v>
      </c>
      <c r="F159" s="20"/>
    </row>
    <row r="160" spans="1:6" s="367" customFormat="1">
      <c r="A160" s="632"/>
      <c r="B160" s="243">
        <v>3.11</v>
      </c>
      <c r="C160" s="20"/>
      <c r="D160" s="364"/>
      <c r="E160" s="21" t="s">
        <v>280</v>
      </c>
      <c r="F160" s="20"/>
    </row>
    <row r="161" spans="1:6" s="367" customFormat="1">
      <c r="A161" s="632"/>
      <c r="B161" s="21" t="s">
        <v>298</v>
      </c>
      <c r="C161" s="20"/>
      <c r="D161" s="364"/>
      <c r="E161" s="21" t="s">
        <v>299</v>
      </c>
      <c r="F161" s="20"/>
    </row>
    <row r="162" spans="1:6" s="367" customFormat="1"/>
    <row r="163" spans="1:6" s="367" customFormat="1" ht="31.5">
      <c r="A163" s="632"/>
      <c r="B163" s="631" t="s">
        <v>301</v>
      </c>
      <c r="C163" s="631"/>
      <c r="D163" s="631"/>
      <c r="E163" s="631"/>
      <c r="F163" s="631"/>
    </row>
    <row r="164" spans="1:6" s="367" customFormat="1" ht="15.75">
      <c r="A164" s="632"/>
      <c r="B164" s="243" t="s">
        <v>276</v>
      </c>
      <c r="C164" s="365" t="s">
        <v>277</v>
      </c>
      <c r="D164" s="364"/>
      <c r="E164" s="243" t="s">
        <v>276</v>
      </c>
      <c r="F164" s="365" t="s">
        <v>277</v>
      </c>
    </row>
    <row r="165" spans="1:6" s="367" customFormat="1" ht="32.25" customHeight="1">
      <c r="A165" s="632"/>
      <c r="B165" s="243"/>
      <c r="C165" s="20"/>
      <c r="D165" s="364"/>
      <c r="E165" s="243"/>
      <c r="F165" s="20"/>
    </row>
    <row r="166" spans="1:6" s="367" customFormat="1" ht="32.25" customHeight="1">
      <c r="A166" s="632"/>
      <c r="B166" s="243"/>
      <c r="C166" s="20"/>
      <c r="D166" s="364"/>
      <c r="E166" s="243"/>
      <c r="F166" s="20"/>
    </row>
    <row r="167" spans="1:6" s="367" customFormat="1" ht="32.25" customHeight="1">
      <c r="A167" s="632"/>
      <c r="B167" s="243"/>
      <c r="C167" s="20"/>
      <c r="D167" s="364"/>
      <c r="E167" s="243"/>
      <c r="F167" s="20"/>
    </row>
    <row r="168" spans="1:6" s="367" customFormat="1" ht="32.25" customHeight="1">
      <c r="A168" s="632"/>
      <c r="B168" s="243"/>
      <c r="C168" s="20"/>
      <c r="D168" s="364"/>
      <c r="E168" s="243"/>
      <c r="F168" s="20"/>
    </row>
    <row r="169" spans="1:6" s="367" customFormat="1" ht="32.25" customHeight="1">
      <c r="A169" s="632"/>
      <c r="B169" s="243"/>
      <c r="C169" s="20"/>
      <c r="D169" s="364"/>
      <c r="E169" s="243"/>
      <c r="F169" s="20"/>
    </row>
    <row r="170" spans="1:6" s="367" customFormat="1" ht="48.75" customHeight="1">
      <c r="A170" s="632"/>
      <c r="B170" s="243"/>
      <c r="C170" s="20"/>
      <c r="D170" s="364"/>
      <c r="E170" s="243"/>
      <c r="F170" s="20"/>
    </row>
    <row r="171" spans="1:6" s="367" customFormat="1" ht="45.75" customHeight="1">
      <c r="A171" s="632"/>
      <c r="B171" s="243"/>
      <c r="C171" s="20"/>
      <c r="D171" s="364"/>
      <c r="E171" s="243"/>
      <c r="F171" s="20"/>
    </row>
    <row r="172" spans="1:6" s="367" customFormat="1" ht="39" customHeight="1">
      <c r="A172" s="632"/>
      <c r="B172" s="243"/>
      <c r="C172" s="20"/>
      <c r="D172" s="364"/>
      <c r="E172" s="243"/>
      <c r="F172" s="20"/>
    </row>
    <row r="173" spans="1:6" s="367" customFormat="1">
      <c r="A173" s="632"/>
      <c r="B173" s="243"/>
      <c r="C173" s="20"/>
      <c r="D173" s="364"/>
      <c r="E173" s="243"/>
      <c r="F173" s="20"/>
    </row>
    <row r="174" spans="1:6" s="367" customFormat="1">
      <c r="A174" s="632"/>
      <c r="B174" s="21"/>
      <c r="C174" s="20"/>
      <c r="D174" s="364"/>
      <c r="E174" s="21"/>
      <c r="F174" s="20"/>
    </row>
    <row r="175" spans="1:6" s="367" customFormat="1">
      <c r="A175" s="632"/>
      <c r="B175" s="243"/>
      <c r="C175" s="20"/>
      <c r="D175" s="364"/>
      <c r="E175" s="21"/>
      <c r="F175" s="20"/>
    </row>
    <row r="176" spans="1:6" s="367" customFormat="1">
      <c r="A176" s="632"/>
      <c r="B176" s="21"/>
      <c r="C176" s="20"/>
      <c r="D176" s="364"/>
      <c r="E176" s="21"/>
      <c r="F176" s="20"/>
    </row>
    <row r="177" spans="1:6" s="367" customFormat="1" ht="15.75">
      <c r="B177" s="366"/>
      <c r="C177" s="369"/>
    </row>
    <row r="178" spans="1:6" s="367" customFormat="1" ht="31.5">
      <c r="A178" s="632"/>
      <c r="B178" s="631" t="s">
        <v>302</v>
      </c>
      <c r="C178" s="631"/>
      <c r="D178" s="631"/>
      <c r="E178" s="631"/>
      <c r="F178" s="631"/>
    </row>
    <row r="179" spans="1:6" s="367" customFormat="1" ht="15.75">
      <c r="A179" s="632"/>
      <c r="B179" s="243" t="s">
        <v>276</v>
      </c>
      <c r="C179" s="365" t="s">
        <v>277</v>
      </c>
      <c r="D179" s="364"/>
      <c r="E179" s="243" t="s">
        <v>276</v>
      </c>
      <c r="F179" s="365" t="s">
        <v>277</v>
      </c>
    </row>
    <row r="180" spans="1:6" s="367" customFormat="1" ht="33" customHeight="1">
      <c r="A180" s="632"/>
      <c r="B180" s="243"/>
      <c r="C180" s="20"/>
      <c r="D180" s="364"/>
      <c r="E180" s="243"/>
      <c r="F180" s="20"/>
    </row>
    <row r="181" spans="1:6" s="367" customFormat="1" ht="33" customHeight="1">
      <c r="A181" s="632"/>
      <c r="B181" s="243"/>
      <c r="C181" s="20"/>
      <c r="D181" s="364"/>
      <c r="E181" s="243"/>
      <c r="F181" s="20"/>
    </row>
    <row r="182" spans="1:6" s="367" customFormat="1" ht="33" customHeight="1">
      <c r="A182" s="632"/>
      <c r="B182" s="243"/>
      <c r="C182" s="20"/>
      <c r="D182" s="364"/>
      <c r="E182" s="243"/>
      <c r="F182" s="20"/>
    </row>
    <row r="183" spans="1:6" s="367" customFormat="1" ht="33" customHeight="1">
      <c r="A183" s="632"/>
      <c r="B183" s="243"/>
      <c r="C183" s="20"/>
      <c r="D183" s="364"/>
      <c r="E183" s="243"/>
      <c r="F183" s="20"/>
    </row>
    <row r="184" spans="1:6" s="367" customFormat="1" ht="33" customHeight="1">
      <c r="A184" s="632"/>
      <c r="B184" s="243"/>
      <c r="C184" s="20"/>
      <c r="D184" s="364"/>
      <c r="E184" s="243"/>
      <c r="F184" s="20"/>
    </row>
    <row r="185" spans="1:6" s="367" customFormat="1" ht="33" customHeight="1">
      <c r="A185" s="632"/>
      <c r="B185" s="243"/>
      <c r="C185" s="20"/>
      <c r="D185" s="364"/>
      <c r="E185" s="243"/>
      <c r="F185" s="20"/>
    </row>
    <row r="186" spans="1:6" s="367" customFormat="1">
      <c r="A186" s="632"/>
      <c r="B186" s="243"/>
      <c r="C186" s="20"/>
      <c r="D186" s="364"/>
      <c r="E186" s="243"/>
      <c r="F186" s="20"/>
    </row>
    <row r="187" spans="1:6" s="367" customFormat="1">
      <c r="A187" s="632"/>
      <c r="B187" s="243"/>
      <c r="C187" s="20"/>
      <c r="D187" s="364"/>
      <c r="E187" s="243"/>
      <c r="F187" s="20"/>
    </row>
    <row r="188" spans="1:6" s="367" customFormat="1">
      <c r="A188" s="632"/>
      <c r="B188" s="243"/>
      <c r="C188" s="20"/>
      <c r="D188" s="364"/>
      <c r="E188" s="243"/>
      <c r="F188" s="20"/>
    </row>
    <row r="189" spans="1:6" s="367" customFormat="1">
      <c r="A189" s="632"/>
      <c r="B189" s="21"/>
      <c r="C189" s="20"/>
      <c r="D189" s="364"/>
      <c r="E189" s="21"/>
      <c r="F189" s="20"/>
    </row>
    <row r="190" spans="1:6" s="367" customFormat="1">
      <c r="A190" s="632"/>
      <c r="B190" s="243"/>
      <c r="C190" s="20"/>
      <c r="D190" s="364"/>
      <c r="E190" s="21"/>
      <c r="F190" s="20"/>
    </row>
    <row r="191" spans="1:6" s="367" customFormat="1">
      <c r="A191" s="632"/>
      <c r="B191" s="21"/>
      <c r="C191" s="20"/>
      <c r="D191" s="364"/>
      <c r="E191" s="21"/>
      <c r="F191" s="20"/>
    </row>
    <row r="192" spans="1:6" s="367" customFormat="1"/>
    <row r="193" spans="1:6" s="367" customFormat="1" ht="31.5">
      <c r="A193" s="632"/>
      <c r="B193" s="631" t="s">
        <v>303</v>
      </c>
      <c r="C193" s="631"/>
      <c r="D193" s="631"/>
      <c r="E193" s="631"/>
      <c r="F193" s="631"/>
    </row>
    <row r="194" spans="1:6" s="367" customFormat="1" ht="15.75">
      <c r="A194" s="632"/>
      <c r="B194" s="243" t="s">
        <v>276</v>
      </c>
      <c r="C194" s="365" t="s">
        <v>277</v>
      </c>
      <c r="D194" s="364"/>
      <c r="E194" s="243" t="s">
        <v>276</v>
      </c>
      <c r="F194" s="365" t="s">
        <v>277</v>
      </c>
    </row>
    <row r="195" spans="1:6" s="367" customFormat="1" ht="36.75" customHeight="1">
      <c r="A195" s="632"/>
      <c r="B195" s="243"/>
      <c r="C195" s="20"/>
      <c r="D195" s="364"/>
      <c r="E195" s="243"/>
      <c r="F195" s="20"/>
    </row>
    <row r="196" spans="1:6" s="367" customFormat="1" ht="36.75" customHeight="1">
      <c r="A196" s="632"/>
      <c r="B196" s="243"/>
      <c r="C196" s="20"/>
      <c r="D196" s="364"/>
      <c r="E196" s="243"/>
      <c r="F196" s="20"/>
    </row>
    <row r="197" spans="1:6" s="367" customFormat="1" ht="36.75" customHeight="1">
      <c r="A197" s="632"/>
      <c r="B197" s="243"/>
      <c r="C197" s="20"/>
      <c r="D197" s="364"/>
      <c r="E197" s="243"/>
      <c r="F197" s="20"/>
    </row>
    <row r="198" spans="1:6" s="367" customFormat="1" ht="36.75" customHeight="1">
      <c r="A198" s="632"/>
      <c r="B198" s="243"/>
      <c r="C198" s="20"/>
      <c r="D198" s="364"/>
      <c r="E198" s="243"/>
      <c r="F198" s="20"/>
    </row>
    <row r="199" spans="1:6" s="367" customFormat="1">
      <c r="A199" s="632"/>
      <c r="B199" s="243"/>
      <c r="C199" s="20"/>
      <c r="D199" s="364"/>
      <c r="E199" s="243"/>
      <c r="F199" s="20"/>
    </row>
    <row r="200" spans="1:6" s="367" customFormat="1">
      <c r="A200" s="632"/>
      <c r="B200" s="243"/>
      <c r="C200" s="20"/>
      <c r="D200" s="364"/>
      <c r="E200" s="243"/>
      <c r="F200" s="20"/>
    </row>
    <row r="201" spans="1:6" s="367" customFormat="1">
      <c r="A201" s="632"/>
      <c r="B201" s="243"/>
      <c r="C201" s="20"/>
      <c r="D201" s="364"/>
      <c r="E201" s="243"/>
      <c r="F201" s="20"/>
    </row>
    <row r="202" spans="1:6" s="367" customFormat="1">
      <c r="A202" s="632"/>
      <c r="B202" s="243"/>
      <c r="C202" s="20"/>
      <c r="D202" s="364"/>
      <c r="E202" s="243"/>
      <c r="F202" s="20"/>
    </row>
    <row r="203" spans="1:6" s="367" customFormat="1">
      <c r="A203" s="632"/>
      <c r="B203" s="243"/>
      <c r="C203" s="20"/>
      <c r="D203" s="364"/>
      <c r="E203" s="243"/>
      <c r="F203" s="20"/>
    </row>
    <row r="204" spans="1:6" s="367" customFormat="1">
      <c r="A204" s="632"/>
      <c r="B204" s="21"/>
      <c r="C204" s="20"/>
      <c r="D204" s="364"/>
      <c r="E204" s="21"/>
      <c r="F204" s="20"/>
    </row>
    <row r="205" spans="1:6" s="367" customFormat="1">
      <c r="A205" s="632"/>
      <c r="B205" s="243"/>
      <c r="C205" s="20"/>
      <c r="D205" s="364"/>
      <c r="E205" s="21"/>
      <c r="F205" s="20"/>
    </row>
    <row r="206" spans="1:6" s="367" customFormat="1">
      <c r="A206" s="632"/>
      <c r="B206" s="21"/>
      <c r="C206" s="20"/>
      <c r="D206" s="364"/>
      <c r="E206" s="21"/>
      <c r="F206" s="20"/>
    </row>
    <row r="207" spans="1:6" s="367" customFormat="1"/>
    <row r="208" spans="1:6" s="367" customFormat="1" ht="31.5">
      <c r="A208" s="632"/>
      <c r="B208" s="631" t="s">
        <v>304</v>
      </c>
      <c r="C208" s="631"/>
      <c r="D208" s="631"/>
      <c r="E208" s="631"/>
      <c r="F208" s="631"/>
    </row>
    <row r="209" spans="1:6" s="367" customFormat="1" ht="15.75">
      <c r="A209" s="632"/>
      <c r="B209" s="243" t="s">
        <v>276</v>
      </c>
      <c r="C209" s="365" t="s">
        <v>277</v>
      </c>
      <c r="D209" s="364"/>
      <c r="E209" s="243" t="s">
        <v>276</v>
      </c>
      <c r="F209" s="365" t="s">
        <v>277</v>
      </c>
    </row>
    <row r="210" spans="1:6" s="367" customFormat="1" ht="30.75" customHeight="1">
      <c r="A210" s="632"/>
      <c r="B210" s="243"/>
      <c r="C210" s="20"/>
      <c r="D210" s="364"/>
      <c r="E210" s="243"/>
      <c r="F210" s="20"/>
    </row>
    <row r="211" spans="1:6" s="367" customFormat="1" ht="30.75" customHeight="1">
      <c r="A211" s="632"/>
      <c r="B211" s="243"/>
      <c r="C211" s="20"/>
      <c r="D211" s="364"/>
      <c r="E211" s="243"/>
      <c r="F211" s="20"/>
    </row>
    <row r="212" spans="1:6" s="367" customFormat="1" ht="30.75" customHeight="1">
      <c r="A212" s="632"/>
      <c r="B212" s="243"/>
      <c r="C212" s="20"/>
      <c r="D212" s="364"/>
      <c r="E212" s="243"/>
      <c r="F212" s="20"/>
    </row>
    <row r="213" spans="1:6" s="367" customFormat="1" ht="30.75" customHeight="1">
      <c r="A213" s="632"/>
      <c r="B213" s="243"/>
      <c r="C213" s="20"/>
      <c r="D213" s="364"/>
      <c r="E213" s="243"/>
      <c r="F213" s="20"/>
    </row>
    <row r="214" spans="1:6" s="367" customFormat="1" ht="30.75" customHeight="1">
      <c r="A214" s="632"/>
      <c r="B214" s="243"/>
      <c r="C214" s="20"/>
      <c r="D214" s="364"/>
      <c r="E214" s="243"/>
      <c r="F214" s="20"/>
    </row>
    <row r="215" spans="1:6" s="367" customFormat="1" ht="30.75" customHeight="1">
      <c r="A215" s="632"/>
      <c r="B215" s="243"/>
      <c r="C215" s="20"/>
      <c r="D215" s="364"/>
      <c r="E215" s="243"/>
      <c r="F215" s="20"/>
    </row>
    <row r="216" spans="1:6" s="367" customFormat="1">
      <c r="A216" s="632"/>
      <c r="B216" s="243"/>
      <c r="C216" s="20"/>
      <c r="D216" s="364"/>
      <c r="E216" s="243"/>
      <c r="F216" s="20"/>
    </row>
    <row r="217" spans="1:6" s="367" customFormat="1">
      <c r="A217" s="632"/>
      <c r="B217" s="243"/>
      <c r="C217" s="20"/>
      <c r="D217" s="364"/>
      <c r="E217" s="243"/>
      <c r="F217" s="20"/>
    </row>
    <row r="218" spans="1:6" s="367" customFormat="1">
      <c r="A218" s="632"/>
      <c r="B218" s="243"/>
      <c r="C218" s="20"/>
      <c r="D218" s="364"/>
      <c r="E218" s="243"/>
      <c r="F218" s="20"/>
    </row>
    <row r="219" spans="1:6" s="367" customFormat="1">
      <c r="A219" s="632"/>
      <c r="B219" s="21"/>
      <c r="C219" s="20"/>
      <c r="D219" s="364"/>
      <c r="E219" s="21"/>
      <c r="F219" s="20"/>
    </row>
    <row r="220" spans="1:6" s="367" customFormat="1">
      <c r="A220" s="632"/>
      <c r="B220" s="243"/>
      <c r="C220" s="20"/>
      <c r="D220" s="364"/>
      <c r="E220" s="21"/>
      <c r="F220" s="20"/>
    </row>
    <row r="221" spans="1:6" s="367" customFormat="1">
      <c r="A221" s="632"/>
      <c r="B221" s="21"/>
      <c r="C221" s="20"/>
      <c r="D221" s="364"/>
      <c r="E221" s="21"/>
      <c r="F221" s="20"/>
    </row>
    <row r="222" spans="1:6" s="367" customFormat="1"/>
    <row r="223" spans="1:6" s="367" customFormat="1"/>
    <row r="224" spans="1:6" s="367" customFormat="1"/>
    <row r="225" s="367" customFormat="1"/>
    <row r="226" s="367" customFormat="1"/>
    <row r="227" s="367" customFormat="1"/>
    <row r="228" s="367" customFormat="1"/>
    <row r="229" s="367" customFormat="1"/>
    <row r="230" s="367" customFormat="1"/>
    <row r="231" s="367" customFormat="1"/>
    <row r="232" s="367" customFormat="1"/>
    <row r="233" s="367" customFormat="1"/>
    <row r="234" s="367" customFormat="1"/>
    <row r="235" s="367" customFormat="1"/>
    <row r="236" s="367" customFormat="1"/>
    <row r="237" s="367" customFormat="1"/>
    <row r="238" s="367" customFormat="1"/>
    <row r="239" s="367" customFormat="1"/>
    <row r="240" s="367" customFormat="1"/>
    <row r="241" s="367" customFormat="1"/>
    <row r="242" s="367" customFormat="1"/>
    <row r="243" s="367" customFormat="1"/>
    <row r="244" s="367" customFormat="1"/>
    <row r="245" s="367" customFormat="1"/>
    <row r="246" s="367" customFormat="1"/>
    <row r="247" s="367" customFormat="1"/>
    <row r="248" s="367" customFormat="1"/>
  </sheetData>
  <mergeCells count="33">
    <mergeCell ref="A2:A24"/>
    <mergeCell ref="A27:A36"/>
    <mergeCell ref="A38:A51"/>
    <mergeCell ref="A53:A66"/>
    <mergeCell ref="A68:A80"/>
    <mergeCell ref="A208:A221"/>
    <mergeCell ref="B208:F208"/>
    <mergeCell ref="A82:A90"/>
    <mergeCell ref="A92:A99"/>
    <mergeCell ref="A101:A113"/>
    <mergeCell ref="A115:A121"/>
    <mergeCell ref="A123:A133"/>
    <mergeCell ref="A135:A146"/>
    <mergeCell ref="A148:A161"/>
    <mergeCell ref="A163:A176"/>
    <mergeCell ref="B92:F92"/>
    <mergeCell ref="A193:A206"/>
    <mergeCell ref="A1:G1"/>
    <mergeCell ref="B148:F148"/>
    <mergeCell ref="B163:F163"/>
    <mergeCell ref="B178:F178"/>
    <mergeCell ref="B193:F193"/>
    <mergeCell ref="B115:F115"/>
    <mergeCell ref="B123:F123"/>
    <mergeCell ref="B135:F135"/>
    <mergeCell ref="B68:F68"/>
    <mergeCell ref="B82:F82"/>
    <mergeCell ref="B101:F101"/>
    <mergeCell ref="B2:F2"/>
    <mergeCell ref="B27:F27"/>
    <mergeCell ref="A178:A191"/>
    <mergeCell ref="B53:F53"/>
    <mergeCell ref="B38:F38"/>
  </mergeCells>
  <pageMargins left="0.7" right="0.7" top="0.75" bottom="0.75" header="0.3" footer="0.3"/>
  <pageSetup paperSize="9" orientation="portrait" horizontalDpi="4294967292"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U64"/>
  <sheetViews>
    <sheetView zoomScale="90" zoomScaleNormal="90" workbookViewId="0">
      <selection activeCell="C1" sqref="C1"/>
    </sheetView>
  </sheetViews>
  <sheetFormatPr defaultRowHeight="15"/>
  <cols>
    <col min="1" max="1" width="4.140625" style="167" customWidth="1"/>
    <col min="2" max="2" width="13.5703125" style="167" customWidth="1"/>
    <col min="3" max="3" width="37.5703125" style="167" customWidth="1"/>
    <col min="4" max="4" width="14.5703125" style="167" customWidth="1"/>
    <col min="5" max="5" width="30.85546875" style="167" customWidth="1"/>
    <col min="6" max="6" width="11.7109375" style="167" customWidth="1"/>
    <col min="7" max="7" width="12.5703125" style="167" customWidth="1"/>
    <col min="8" max="8" width="11" style="167" customWidth="1"/>
    <col min="9" max="9" width="30.7109375" style="167" customWidth="1"/>
    <col min="10" max="12" width="11" style="167" customWidth="1"/>
    <col min="13" max="14" width="10.5703125" style="167" customWidth="1"/>
    <col min="15" max="15" width="39.85546875" style="167" customWidth="1"/>
    <col min="16" max="16" width="25.140625" style="167" customWidth="1"/>
    <col min="17" max="17" width="14" style="167" customWidth="1"/>
    <col min="18" max="18" width="13" style="167" customWidth="1"/>
    <col min="19" max="19" width="20.140625" style="167" customWidth="1"/>
    <col min="20" max="20" width="15.85546875" style="167" customWidth="1"/>
    <col min="21" max="21" width="9.42578125" style="167" customWidth="1"/>
    <col min="22" max="22" width="10.5703125" style="167" customWidth="1"/>
    <col min="23" max="23" width="16.85546875" style="167" customWidth="1"/>
    <col min="24" max="24" width="11.28515625" style="167" customWidth="1"/>
    <col min="25" max="25" width="15.85546875" style="167" customWidth="1"/>
    <col min="26" max="26" width="9.42578125" style="167" customWidth="1"/>
    <col min="27" max="27" width="9.85546875" style="167" customWidth="1"/>
    <col min="28" max="28" width="11.7109375" style="167" customWidth="1"/>
    <col min="29" max="29" width="12.140625" style="167" customWidth="1"/>
    <col min="30" max="30" width="23.42578125" style="167" customWidth="1"/>
    <col min="31" max="31" width="15.7109375" style="167" customWidth="1"/>
    <col min="32" max="32" width="13.85546875" style="167" customWidth="1"/>
    <col min="33" max="33" width="14" style="167" customWidth="1"/>
    <col min="34" max="34" width="12.42578125" style="167" customWidth="1"/>
    <col min="35" max="35" width="16.85546875" style="167" customWidth="1"/>
    <col min="36" max="36" width="9.140625" style="167"/>
    <col min="37" max="40" width="12.42578125" style="167" customWidth="1"/>
    <col min="41" max="41" width="31.5703125" style="167" customWidth="1"/>
    <col min="42" max="42" width="12" style="167" customWidth="1"/>
    <col min="43" max="44" width="9.140625" style="167"/>
    <col min="45" max="45" width="0" style="167" hidden="1" customWidth="1"/>
    <col min="46" max="46" width="15.7109375" style="167" hidden="1" customWidth="1"/>
    <col min="47" max="47" width="9.140625" style="167" hidden="1" customWidth="1"/>
    <col min="48" max="16384" width="9.140625" style="167"/>
  </cols>
  <sheetData>
    <row r="1" spans="1:47" ht="45" customHeight="1">
      <c r="A1" s="540" t="s">
        <v>25</v>
      </c>
      <c r="B1" s="540"/>
      <c r="C1" s="540"/>
      <c r="D1" s="634"/>
      <c r="E1" s="634"/>
      <c r="F1" s="540"/>
      <c r="G1" s="540"/>
      <c r="H1" s="540"/>
      <c r="I1" s="540"/>
      <c r="J1" s="540"/>
      <c r="K1" s="540"/>
      <c r="L1" s="540"/>
      <c r="M1" s="540"/>
      <c r="N1" s="540"/>
      <c r="O1" s="540"/>
      <c r="P1" s="540"/>
      <c r="Q1" s="540"/>
      <c r="R1" s="540"/>
      <c r="S1" s="540"/>
      <c r="T1" s="540"/>
      <c r="U1" s="540"/>
      <c r="V1" s="540"/>
      <c r="W1" s="540"/>
      <c r="X1" s="540"/>
      <c r="Y1" s="540"/>
      <c r="Z1" s="540"/>
      <c r="AA1" s="540"/>
      <c r="AB1" s="540"/>
      <c r="AC1" s="540"/>
      <c r="AD1" s="540"/>
      <c r="AE1" s="540"/>
      <c r="AF1" s="540"/>
      <c r="AG1" s="540"/>
      <c r="AH1" s="540"/>
      <c r="AI1" s="540"/>
      <c r="AJ1" s="540"/>
      <c r="AK1" s="540"/>
      <c r="AL1" s="540"/>
      <c r="AM1" s="540"/>
      <c r="AN1" s="540"/>
      <c r="AO1" s="540"/>
      <c r="AP1" s="540"/>
      <c r="AQ1" s="540"/>
      <c r="AR1" s="540"/>
      <c r="AS1" s="540"/>
      <c r="AT1" s="494"/>
    </row>
    <row r="2" spans="1:47">
      <c r="A2" s="495"/>
      <c r="B2" s="495"/>
      <c r="C2" s="495"/>
      <c r="D2" s="495"/>
      <c r="E2" s="495"/>
      <c r="F2" s="495"/>
      <c r="G2" s="495"/>
      <c r="H2" s="495"/>
      <c r="I2" s="495"/>
      <c r="J2" s="495"/>
      <c r="K2" s="495"/>
      <c r="L2" s="495"/>
      <c r="M2" s="495"/>
      <c r="N2" s="495"/>
      <c r="O2" s="495"/>
      <c r="P2" s="495"/>
      <c r="Q2" s="495"/>
      <c r="R2" s="495"/>
      <c r="S2" s="495"/>
      <c r="T2" s="495"/>
      <c r="U2" s="495"/>
      <c r="V2" s="495"/>
      <c r="W2" s="495"/>
      <c r="X2" s="495"/>
      <c r="Y2" s="495"/>
      <c r="Z2" s="495"/>
      <c r="AA2" s="495"/>
      <c r="AB2" s="495"/>
      <c r="AC2" s="495"/>
      <c r="AD2" s="495"/>
      <c r="AE2" s="495"/>
      <c r="AF2" s="495"/>
      <c r="AG2" s="495"/>
      <c r="AH2" s="495"/>
      <c r="AI2" s="495"/>
      <c r="AJ2" s="495"/>
      <c r="AK2" s="495"/>
      <c r="AL2" s="495"/>
      <c r="AM2" s="495"/>
      <c r="AN2" s="495"/>
      <c r="AO2" s="495"/>
      <c r="AP2" s="495"/>
      <c r="AQ2" s="495"/>
      <c r="AR2" s="495"/>
      <c r="AS2" s="495"/>
      <c r="AT2" s="495"/>
    </row>
    <row r="3" spans="1:47" ht="21" customHeight="1">
      <c r="A3" s="635" t="s">
        <v>26</v>
      </c>
      <c r="B3" s="635" t="s">
        <v>5</v>
      </c>
      <c r="C3" s="635" t="s">
        <v>27</v>
      </c>
      <c r="D3" s="635" t="s">
        <v>28</v>
      </c>
      <c r="E3" s="635" t="s">
        <v>29</v>
      </c>
      <c r="F3" s="635" t="s">
        <v>30</v>
      </c>
      <c r="G3" s="515" t="s">
        <v>31</v>
      </c>
      <c r="H3" s="641" t="s">
        <v>458</v>
      </c>
      <c r="I3" s="635" t="s">
        <v>32</v>
      </c>
      <c r="J3" s="641" t="s">
        <v>531</v>
      </c>
      <c r="K3" s="644" t="s">
        <v>532</v>
      </c>
      <c r="L3" s="645"/>
      <c r="M3" s="646"/>
      <c r="N3" s="641" t="s">
        <v>536</v>
      </c>
      <c r="O3" s="635" t="s">
        <v>34</v>
      </c>
      <c r="P3" s="635" t="s">
        <v>43</v>
      </c>
      <c r="Q3" s="635" t="s">
        <v>537</v>
      </c>
      <c r="R3" s="635" t="s">
        <v>467</v>
      </c>
      <c r="S3" s="635" t="s">
        <v>33</v>
      </c>
      <c r="T3" s="636" t="s">
        <v>538</v>
      </c>
      <c r="U3" s="636"/>
      <c r="V3" s="636"/>
      <c r="W3" s="636"/>
      <c r="X3" s="636"/>
      <c r="Y3" s="643" t="s">
        <v>542</v>
      </c>
      <c r="Z3" s="643"/>
      <c r="AA3" s="643"/>
      <c r="AB3" s="643"/>
      <c r="AC3" s="643"/>
      <c r="AD3" s="637" t="s">
        <v>35</v>
      </c>
      <c r="AE3" s="638"/>
      <c r="AF3" s="638"/>
      <c r="AG3" s="638"/>
      <c r="AH3" s="638"/>
      <c r="AI3" s="639"/>
      <c r="AJ3" s="640" t="s">
        <v>36</v>
      </c>
      <c r="AK3" s="640"/>
      <c r="AL3" s="640"/>
      <c r="AM3" s="640"/>
      <c r="AN3" s="640"/>
      <c r="AO3" s="640"/>
      <c r="AP3" s="640"/>
      <c r="AQ3" s="515"/>
      <c r="AR3" s="515"/>
      <c r="AS3" s="515"/>
      <c r="AT3" s="635" t="s">
        <v>37</v>
      </c>
    </row>
    <row r="4" spans="1:47" ht="45">
      <c r="A4" s="635"/>
      <c r="B4" s="635"/>
      <c r="C4" s="635"/>
      <c r="D4" s="635"/>
      <c r="E4" s="635"/>
      <c r="F4" s="635"/>
      <c r="G4" s="515"/>
      <c r="H4" s="642"/>
      <c r="I4" s="635"/>
      <c r="J4" s="642"/>
      <c r="K4" s="515" t="s">
        <v>533</v>
      </c>
      <c r="L4" s="515" t="s">
        <v>534</v>
      </c>
      <c r="M4" s="515" t="s">
        <v>535</v>
      </c>
      <c r="N4" s="642"/>
      <c r="O4" s="635"/>
      <c r="P4" s="635"/>
      <c r="Q4" s="635"/>
      <c r="R4" s="635"/>
      <c r="S4" s="635"/>
      <c r="T4" s="515" t="s">
        <v>44</v>
      </c>
      <c r="U4" s="515" t="s">
        <v>539</v>
      </c>
      <c r="V4" s="515" t="s">
        <v>31</v>
      </c>
      <c r="W4" s="515" t="s">
        <v>491</v>
      </c>
      <c r="X4" s="515" t="s">
        <v>541</v>
      </c>
      <c r="Y4" s="515" t="s">
        <v>44</v>
      </c>
      <c r="Z4" s="515" t="s">
        <v>539</v>
      </c>
      <c r="AA4" s="515" t="s">
        <v>31</v>
      </c>
      <c r="AB4" s="515" t="s">
        <v>491</v>
      </c>
      <c r="AC4" s="515" t="s">
        <v>541</v>
      </c>
      <c r="AD4" s="515" t="s">
        <v>38</v>
      </c>
      <c r="AE4" s="515" t="s">
        <v>39</v>
      </c>
      <c r="AF4" s="515" t="s">
        <v>40</v>
      </c>
      <c r="AG4" s="515" t="s">
        <v>41</v>
      </c>
      <c r="AH4" s="515" t="s">
        <v>42</v>
      </c>
      <c r="AI4" s="515" t="s">
        <v>43</v>
      </c>
      <c r="AJ4" s="515" t="s">
        <v>44</v>
      </c>
      <c r="AK4" s="515" t="s">
        <v>539</v>
      </c>
      <c r="AL4" s="515" t="s">
        <v>31</v>
      </c>
      <c r="AM4" s="515" t="s">
        <v>491</v>
      </c>
      <c r="AN4" s="515" t="s">
        <v>541</v>
      </c>
      <c r="AO4" s="515" t="s">
        <v>46</v>
      </c>
      <c r="AP4" s="515" t="s">
        <v>543</v>
      </c>
      <c r="AQ4" s="515"/>
      <c r="AR4" s="515"/>
      <c r="AS4" s="515"/>
      <c r="AT4" s="635"/>
    </row>
    <row r="5" spans="1:47">
      <c r="A5" s="496">
        <v>1</v>
      </c>
      <c r="B5" s="496">
        <v>2</v>
      </c>
      <c r="C5" s="496">
        <v>3</v>
      </c>
      <c r="D5" s="496">
        <v>4</v>
      </c>
      <c r="E5" s="496">
        <v>5</v>
      </c>
      <c r="F5" s="496">
        <v>6</v>
      </c>
      <c r="G5" s="496">
        <v>7</v>
      </c>
      <c r="H5" s="496">
        <v>8</v>
      </c>
      <c r="I5" s="496">
        <v>9</v>
      </c>
      <c r="J5" s="496">
        <v>10</v>
      </c>
      <c r="K5" s="496">
        <v>11</v>
      </c>
      <c r="L5" s="496">
        <v>12</v>
      </c>
      <c r="M5" s="496">
        <v>13</v>
      </c>
      <c r="N5" s="496">
        <v>14</v>
      </c>
      <c r="O5" s="496">
        <v>15</v>
      </c>
      <c r="P5" s="496">
        <v>16</v>
      </c>
      <c r="Q5" s="496">
        <v>17</v>
      </c>
      <c r="R5" s="496">
        <v>18</v>
      </c>
      <c r="S5" s="496">
        <v>19</v>
      </c>
      <c r="T5" s="496">
        <v>20</v>
      </c>
      <c r="U5" s="496">
        <v>21</v>
      </c>
      <c r="V5" s="496">
        <v>22</v>
      </c>
      <c r="W5" s="496">
        <v>23</v>
      </c>
      <c r="X5" s="496">
        <v>24</v>
      </c>
      <c r="Y5" s="496">
        <v>25</v>
      </c>
      <c r="Z5" s="496">
        <v>26</v>
      </c>
      <c r="AA5" s="496">
        <v>27</v>
      </c>
      <c r="AB5" s="496">
        <v>28</v>
      </c>
      <c r="AC5" s="496">
        <v>29</v>
      </c>
      <c r="AD5" s="496">
        <v>30</v>
      </c>
      <c r="AE5" s="496">
        <v>31</v>
      </c>
      <c r="AF5" s="496">
        <v>32</v>
      </c>
      <c r="AG5" s="496">
        <v>33</v>
      </c>
      <c r="AH5" s="496">
        <v>34</v>
      </c>
      <c r="AI5" s="496">
        <v>35</v>
      </c>
      <c r="AJ5" s="496">
        <v>36</v>
      </c>
      <c r="AK5" s="496">
        <v>37</v>
      </c>
      <c r="AL5" s="496">
        <v>38</v>
      </c>
      <c r="AM5" s="496">
        <v>39</v>
      </c>
      <c r="AN5" s="496">
        <v>40</v>
      </c>
      <c r="AO5" s="496">
        <v>41</v>
      </c>
      <c r="AP5" s="496">
        <v>42</v>
      </c>
      <c r="AQ5" s="496">
        <v>43</v>
      </c>
      <c r="AR5" s="496">
        <v>44</v>
      </c>
      <c r="AS5" s="496">
        <v>45</v>
      </c>
      <c r="AT5" s="496">
        <v>46</v>
      </c>
    </row>
    <row r="6" spans="1:47" ht="30" customHeight="1">
      <c r="A6" s="496">
        <v>1</v>
      </c>
      <c r="B6" s="590" t="s">
        <v>723</v>
      </c>
      <c r="C6" s="20" t="s">
        <v>767</v>
      </c>
      <c r="D6" s="21" t="s">
        <v>810</v>
      </c>
      <c r="E6" s="20" t="s">
        <v>812</v>
      </c>
      <c r="F6" s="588" t="s">
        <v>854</v>
      </c>
      <c r="G6" s="588" t="s">
        <v>855</v>
      </c>
      <c r="H6" s="491"/>
      <c r="I6" s="20" t="s">
        <v>857</v>
      </c>
      <c r="J6" s="570"/>
      <c r="K6" s="570"/>
      <c r="L6" s="571"/>
      <c r="M6" s="562"/>
      <c r="N6" s="489"/>
      <c r="O6" s="571"/>
      <c r="P6" s="491"/>
      <c r="Q6" s="490"/>
      <c r="R6" s="490"/>
      <c r="S6" s="490"/>
      <c r="T6" s="571"/>
      <c r="U6" s="571"/>
      <c r="V6" s="490"/>
      <c r="W6" s="571"/>
      <c r="X6" s="571"/>
      <c r="Y6" s="571"/>
      <c r="Z6" s="571"/>
      <c r="AA6" s="490"/>
      <c r="AB6" s="571"/>
      <c r="AC6" s="570"/>
      <c r="AD6" s="571"/>
      <c r="AE6" s="571"/>
      <c r="AF6" s="490"/>
      <c r="AG6" s="492"/>
      <c r="AH6" s="492"/>
      <c r="AI6" s="539"/>
      <c r="AJ6" s="493"/>
      <c r="AK6" s="493"/>
      <c r="AL6" s="493"/>
      <c r="AM6" s="493"/>
      <c r="AN6" s="493"/>
      <c r="AO6" s="493"/>
      <c r="AP6" s="493"/>
      <c r="AQ6" s="542"/>
      <c r="AR6" s="542"/>
      <c r="AS6" s="542"/>
      <c r="AT6" s="497" t="str">
        <f>D6&amp;"/"&amp;B6</f>
        <v>87519281/1718250040305</v>
      </c>
      <c r="AU6" s="498">
        <f>IF(C6="","",IF(C6&lt;&gt;"",COUNTA($C$6:C6)))</f>
        <v>1</v>
      </c>
    </row>
    <row r="7" spans="1:47" ht="30" customHeight="1">
      <c r="A7" s="496">
        <v>2</v>
      </c>
      <c r="B7" s="590" t="s">
        <v>724</v>
      </c>
      <c r="C7" s="20" t="s">
        <v>768</v>
      </c>
      <c r="D7" s="21" t="s">
        <v>811</v>
      </c>
      <c r="E7" s="20" t="s">
        <v>813</v>
      </c>
      <c r="F7" s="588" t="s">
        <v>521</v>
      </c>
      <c r="G7" s="588" t="s">
        <v>855</v>
      </c>
      <c r="H7" s="491"/>
      <c r="I7" s="20" t="s">
        <v>858</v>
      </c>
      <c r="J7" s="570"/>
      <c r="K7" s="570"/>
      <c r="L7" s="571"/>
      <c r="M7" s="562"/>
      <c r="N7" s="489"/>
      <c r="O7" s="571"/>
      <c r="P7" s="491"/>
      <c r="Q7" s="490"/>
      <c r="R7" s="490"/>
      <c r="S7" s="490"/>
      <c r="T7" s="571"/>
      <c r="U7" s="571"/>
      <c r="V7" s="490"/>
      <c r="W7" s="571"/>
      <c r="X7" s="571"/>
      <c r="Y7" s="571"/>
      <c r="Z7" s="571"/>
      <c r="AA7" s="490"/>
      <c r="AB7" s="571"/>
      <c r="AC7" s="570"/>
      <c r="AD7" s="571"/>
      <c r="AE7" s="571"/>
      <c r="AF7" s="490"/>
      <c r="AG7" s="492"/>
      <c r="AH7" s="492"/>
      <c r="AI7" s="539"/>
      <c r="AJ7" s="493"/>
      <c r="AK7" s="493"/>
      <c r="AL7" s="493"/>
      <c r="AM7" s="493"/>
      <c r="AN7" s="493"/>
      <c r="AO7" s="493"/>
      <c r="AP7" s="493"/>
      <c r="AQ7" s="542"/>
      <c r="AR7" s="542"/>
      <c r="AS7" s="542"/>
      <c r="AT7" s="497" t="str">
        <f t="shared" ref="AT7:AT55" si="0">D7&amp;"/"&amp;B7</f>
        <v>72025516/1718250040306</v>
      </c>
      <c r="AU7" s="498">
        <f>IF(C7="","",IF(C7&lt;&gt;"",COUNTA($C$6:C7)))</f>
        <v>2</v>
      </c>
    </row>
    <row r="8" spans="1:47" ht="30" customHeight="1">
      <c r="A8" s="496">
        <v>3</v>
      </c>
      <c r="B8" s="590" t="s">
        <v>725</v>
      </c>
      <c r="C8" s="20" t="s">
        <v>769</v>
      </c>
      <c r="D8" s="588">
        <v>83261569</v>
      </c>
      <c r="E8" s="20" t="s">
        <v>814</v>
      </c>
      <c r="F8" s="588" t="s">
        <v>854</v>
      </c>
      <c r="G8" s="588" t="s">
        <v>855</v>
      </c>
      <c r="H8" s="491"/>
      <c r="I8" s="20" t="s">
        <v>859</v>
      </c>
      <c r="J8" s="570" t="s">
        <v>766</v>
      </c>
      <c r="K8" s="570"/>
      <c r="L8" s="571"/>
      <c r="M8" s="562"/>
      <c r="N8" s="489"/>
      <c r="O8" s="571"/>
      <c r="P8" s="491"/>
      <c r="Q8" s="490"/>
      <c r="R8" s="490"/>
      <c r="S8" s="490"/>
      <c r="T8" s="571"/>
      <c r="U8" s="571"/>
      <c r="V8" s="490"/>
      <c r="W8" s="571"/>
      <c r="X8" s="571"/>
      <c r="Y8" s="571"/>
      <c r="Z8" s="571"/>
      <c r="AA8" s="490"/>
      <c r="AB8" s="571"/>
      <c r="AC8" s="570"/>
      <c r="AD8" s="571"/>
      <c r="AE8" s="571"/>
      <c r="AF8" s="490"/>
      <c r="AG8" s="492"/>
      <c r="AH8" s="492"/>
      <c r="AI8" s="539"/>
      <c r="AJ8" s="493"/>
      <c r="AK8" s="493"/>
      <c r="AL8" s="493"/>
      <c r="AM8" s="493"/>
      <c r="AN8" s="493"/>
      <c r="AO8" s="493"/>
      <c r="AP8" s="493"/>
      <c r="AQ8" s="542"/>
      <c r="AR8" s="542"/>
      <c r="AS8" s="542"/>
      <c r="AT8" s="497" t="str">
        <f t="shared" si="0"/>
        <v>83261569/ 1718250040307</v>
      </c>
      <c r="AU8" s="498">
        <f>IF(C8="","",IF(C8&lt;&gt;"",COUNTA($C$6:C8)))</f>
        <v>3</v>
      </c>
    </row>
    <row r="9" spans="1:47" ht="30" customHeight="1">
      <c r="A9" s="496">
        <v>4</v>
      </c>
      <c r="B9" s="590" t="s">
        <v>726</v>
      </c>
      <c r="C9" s="20" t="s">
        <v>770</v>
      </c>
      <c r="D9" s="588">
        <v>89675685</v>
      </c>
      <c r="E9" s="20" t="s">
        <v>770</v>
      </c>
      <c r="F9" s="588" t="s">
        <v>854</v>
      </c>
      <c r="G9" s="588" t="s">
        <v>855</v>
      </c>
      <c r="H9" s="491"/>
      <c r="I9" s="20" t="s">
        <v>860</v>
      </c>
      <c r="J9" s="570"/>
      <c r="K9" s="570"/>
      <c r="L9" s="571"/>
      <c r="M9" s="562"/>
      <c r="N9" s="489"/>
      <c r="O9" s="571"/>
      <c r="P9" s="491"/>
      <c r="Q9" s="490"/>
      <c r="R9" s="490"/>
      <c r="S9" s="490"/>
      <c r="T9" s="571"/>
      <c r="U9" s="571"/>
      <c r="V9" s="490"/>
      <c r="W9" s="571"/>
      <c r="X9" s="571"/>
      <c r="Y9" s="571"/>
      <c r="Z9" s="571"/>
      <c r="AA9" s="490"/>
      <c r="AB9" s="571"/>
      <c r="AC9" s="570"/>
      <c r="AD9" s="571"/>
      <c r="AE9" s="571"/>
      <c r="AF9" s="490"/>
      <c r="AG9" s="492"/>
      <c r="AH9" s="492"/>
      <c r="AI9" s="539"/>
      <c r="AJ9" s="493"/>
      <c r="AK9" s="493"/>
      <c r="AL9" s="493"/>
      <c r="AM9" s="493"/>
      <c r="AN9" s="493"/>
      <c r="AO9" s="493"/>
      <c r="AP9" s="493"/>
      <c r="AQ9" s="542"/>
      <c r="AR9" s="542"/>
      <c r="AS9" s="542"/>
      <c r="AT9" s="497" t="str">
        <f t="shared" si="0"/>
        <v>89675685/ 1718250040308</v>
      </c>
      <c r="AU9" s="498">
        <f>IF(C9="","",IF(C9&lt;&gt;"",COUNTA($C$6:C9)))</f>
        <v>4</v>
      </c>
    </row>
    <row r="10" spans="1:47" ht="30" customHeight="1">
      <c r="A10" s="496">
        <v>5</v>
      </c>
      <c r="B10" s="589" t="s">
        <v>727</v>
      </c>
      <c r="C10" s="20" t="s">
        <v>771</v>
      </c>
      <c r="D10" s="588">
        <v>76938229</v>
      </c>
      <c r="E10" s="20" t="s">
        <v>815</v>
      </c>
      <c r="F10" s="588" t="s">
        <v>854</v>
      </c>
      <c r="G10" s="588" t="s">
        <v>855</v>
      </c>
      <c r="H10" s="491"/>
      <c r="I10" s="20" t="s">
        <v>861</v>
      </c>
      <c r="J10" s="570"/>
      <c r="K10" s="570"/>
      <c r="L10" s="571"/>
      <c r="M10" s="562"/>
      <c r="N10" s="489"/>
      <c r="O10" s="571"/>
      <c r="P10" s="491"/>
      <c r="Q10" s="490"/>
      <c r="R10" s="490"/>
      <c r="S10" s="490"/>
      <c r="T10" s="571"/>
      <c r="U10" s="571"/>
      <c r="V10" s="490"/>
      <c r="W10" s="571"/>
      <c r="X10" s="571"/>
      <c r="Y10" s="571"/>
      <c r="Z10" s="571"/>
      <c r="AA10" s="490"/>
      <c r="AB10" s="571"/>
      <c r="AC10" s="570"/>
      <c r="AD10" s="571"/>
      <c r="AE10" s="571"/>
      <c r="AF10" s="490"/>
      <c r="AG10" s="492"/>
      <c r="AH10" s="492"/>
      <c r="AI10" s="539"/>
      <c r="AJ10" s="493"/>
      <c r="AK10" s="493"/>
      <c r="AL10" s="493"/>
      <c r="AM10" s="493"/>
      <c r="AN10" s="493"/>
      <c r="AO10" s="493"/>
      <c r="AP10" s="493"/>
      <c r="AQ10" s="542"/>
      <c r="AR10" s="542"/>
      <c r="AS10" s="542"/>
      <c r="AT10" s="497" t="str">
        <f t="shared" si="0"/>
        <v>76938229/1718250040309</v>
      </c>
      <c r="AU10" s="498">
        <f>IF(C10="","",IF(C10&lt;&gt;"",COUNTA($C$6:C10)))</f>
        <v>5</v>
      </c>
    </row>
    <row r="11" spans="1:47" ht="30" customHeight="1">
      <c r="A11" s="496">
        <v>6</v>
      </c>
      <c r="B11" s="589" t="s">
        <v>728</v>
      </c>
      <c r="C11" s="20" t="s">
        <v>772</v>
      </c>
      <c r="D11" s="588">
        <v>77242677</v>
      </c>
      <c r="E11" s="20" t="s">
        <v>816</v>
      </c>
      <c r="F11" s="588" t="s">
        <v>521</v>
      </c>
      <c r="G11" s="588" t="s">
        <v>855</v>
      </c>
      <c r="H11" s="491" t="s">
        <v>766</v>
      </c>
      <c r="I11" s="20" t="s">
        <v>862</v>
      </c>
      <c r="J11" s="570"/>
      <c r="K11" s="570"/>
      <c r="L11" s="571"/>
      <c r="M11" s="562"/>
      <c r="N11" s="489"/>
      <c r="O11" s="571"/>
      <c r="P11" s="491"/>
      <c r="Q11" s="490"/>
      <c r="R11" s="490"/>
      <c r="S11" s="490"/>
      <c r="T11" s="571"/>
      <c r="U11" s="571"/>
      <c r="V11" s="490"/>
      <c r="W11" s="571"/>
      <c r="X11" s="571"/>
      <c r="Y11" s="571"/>
      <c r="Z11" s="571"/>
      <c r="AA11" s="490"/>
      <c r="AB11" s="571"/>
      <c r="AC11" s="570"/>
      <c r="AD11" s="571"/>
      <c r="AE11" s="571"/>
      <c r="AF11" s="490"/>
      <c r="AG11" s="492"/>
      <c r="AH11" s="492"/>
      <c r="AI11" s="539"/>
      <c r="AJ11" s="493"/>
      <c r="AK11" s="493"/>
      <c r="AL11" s="493"/>
      <c r="AM11" s="493"/>
      <c r="AN11" s="493"/>
      <c r="AO11" s="493"/>
      <c r="AP11" s="493"/>
      <c r="AQ11" s="542"/>
      <c r="AR11" s="542"/>
      <c r="AS11" s="542"/>
      <c r="AT11" s="497" t="str">
        <f t="shared" si="0"/>
        <v>77242677/1718250040310</v>
      </c>
      <c r="AU11" s="498">
        <f>IF(C11="","",IF(C11&lt;&gt;"",COUNTA($C$6:C11)))</f>
        <v>6</v>
      </c>
    </row>
    <row r="12" spans="1:47" ht="30" customHeight="1">
      <c r="A12" s="496">
        <v>7</v>
      </c>
      <c r="B12" s="589" t="s">
        <v>729</v>
      </c>
      <c r="C12" s="20" t="s">
        <v>773</v>
      </c>
      <c r="D12" s="588">
        <v>76052418</v>
      </c>
      <c r="E12" s="20" t="s">
        <v>817</v>
      </c>
      <c r="F12" s="588" t="s">
        <v>521</v>
      </c>
      <c r="G12" s="588" t="s">
        <v>855</v>
      </c>
      <c r="H12" s="491"/>
      <c r="I12" s="20" t="s">
        <v>863</v>
      </c>
      <c r="J12" s="570"/>
      <c r="K12" s="570"/>
      <c r="L12" s="571"/>
      <c r="M12" s="562"/>
      <c r="N12" s="489"/>
      <c r="O12" s="571"/>
      <c r="P12" s="491"/>
      <c r="Q12" s="490"/>
      <c r="R12" s="490"/>
      <c r="S12" s="490"/>
      <c r="T12" s="571"/>
      <c r="U12" s="571"/>
      <c r="V12" s="490"/>
      <c r="W12" s="571"/>
      <c r="X12" s="571"/>
      <c r="Y12" s="571"/>
      <c r="Z12" s="571"/>
      <c r="AA12" s="490"/>
      <c r="AB12" s="571"/>
      <c r="AC12" s="570"/>
      <c r="AD12" s="571"/>
      <c r="AE12" s="571"/>
      <c r="AF12" s="490"/>
      <c r="AG12" s="492"/>
      <c r="AH12" s="492"/>
      <c r="AI12" s="539"/>
      <c r="AJ12" s="493"/>
      <c r="AK12" s="493"/>
      <c r="AL12" s="493"/>
      <c r="AM12" s="493"/>
      <c r="AN12" s="493"/>
      <c r="AO12" s="493"/>
      <c r="AP12" s="493"/>
      <c r="AQ12" s="542"/>
      <c r="AR12" s="542"/>
      <c r="AS12" s="542"/>
      <c r="AT12" s="497" t="str">
        <f t="shared" si="0"/>
        <v>76052418/1718250040311</v>
      </c>
      <c r="AU12" s="498">
        <f>IF(C12="","",IF(C12&lt;&gt;"",COUNTA($C$6:C12)))</f>
        <v>7</v>
      </c>
    </row>
    <row r="13" spans="1:47" ht="30" customHeight="1">
      <c r="A13" s="496">
        <v>8</v>
      </c>
      <c r="B13" s="589" t="s">
        <v>730</v>
      </c>
      <c r="C13" s="20" t="s">
        <v>774</v>
      </c>
      <c r="D13" s="588">
        <v>84337330</v>
      </c>
      <c r="E13" s="20" t="s">
        <v>818</v>
      </c>
      <c r="F13" s="588" t="s">
        <v>521</v>
      </c>
      <c r="G13" s="588" t="s">
        <v>855</v>
      </c>
      <c r="H13" s="491"/>
      <c r="I13" s="20" t="s">
        <v>864</v>
      </c>
      <c r="J13" s="570"/>
      <c r="K13" s="570"/>
      <c r="L13" s="571"/>
      <c r="M13" s="562"/>
      <c r="N13" s="489"/>
      <c r="O13" s="571"/>
      <c r="P13" s="491"/>
      <c r="Q13" s="490"/>
      <c r="R13" s="490"/>
      <c r="S13" s="490"/>
      <c r="T13" s="571"/>
      <c r="U13" s="571"/>
      <c r="V13" s="490"/>
      <c r="W13" s="571"/>
      <c r="X13" s="571"/>
      <c r="Y13" s="571"/>
      <c r="Z13" s="571"/>
      <c r="AA13" s="490"/>
      <c r="AB13" s="571"/>
      <c r="AC13" s="570"/>
      <c r="AD13" s="571"/>
      <c r="AE13" s="571"/>
      <c r="AF13" s="490"/>
      <c r="AG13" s="492"/>
      <c r="AH13" s="492"/>
      <c r="AI13" s="539"/>
      <c r="AJ13" s="493"/>
      <c r="AK13" s="493"/>
      <c r="AL13" s="493"/>
      <c r="AM13" s="493"/>
      <c r="AN13" s="493"/>
      <c r="AO13" s="493"/>
      <c r="AP13" s="493"/>
      <c r="AQ13" s="542"/>
      <c r="AR13" s="542"/>
      <c r="AS13" s="542"/>
      <c r="AT13" s="497" t="str">
        <f t="shared" si="0"/>
        <v>84337330/1718250040312</v>
      </c>
      <c r="AU13" s="498">
        <f>IF(C13="","",IF(C13&lt;&gt;"",COUNTA($C$6:C13)))</f>
        <v>8</v>
      </c>
    </row>
    <row r="14" spans="1:47" ht="30" customHeight="1">
      <c r="A14" s="496">
        <v>9</v>
      </c>
      <c r="B14" s="589" t="s">
        <v>731</v>
      </c>
      <c r="C14" s="20" t="s">
        <v>775</v>
      </c>
      <c r="D14" s="588">
        <v>78768937</v>
      </c>
      <c r="E14" s="20" t="s">
        <v>819</v>
      </c>
      <c r="F14" s="588" t="s">
        <v>854</v>
      </c>
      <c r="G14" s="588" t="s">
        <v>855</v>
      </c>
      <c r="H14" s="491"/>
      <c r="I14" s="20" t="s">
        <v>865</v>
      </c>
      <c r="J14" s="570"/>
      <c r="K14" s="570"/>
      <c r="L14" s="571"/>
      <c r="M14" s="562"/>
      <c r="N14" s="489"/>
      <c r="O14" s="571"/>
      <c r="P14" s="491"/>
      <c r="Q14" s="490"/>
      <c r="R14" s="490"/>
      <c r="S14" s="490"/>
      <c r="T14" s="571"/>
      <c r="U14" s="571"/>
      <c r="V14" s="490"/>
      <c r="W14" s="571"/>
      <c r="X14" s="571"/>
      <c r="Y14" s="571"/>
      <c r="Z14" s="571"/>
      <c r="AA14" s="490"/>
      <c r="AB14" s="571"/>
      <c r="AC14" s="570"/>
      <c r="AD14" s="571"/>
      <c r="AE14" s="571"/>
      <c r="AF14" s="490"/>
      <c r="AG14" s="492"/>
      <c r="AH14" s="492"/>
      <c r="AI14" s="539"/>
      <c r="AJ14" s="493"/>
      <c r="AK14" s="493"/>
      <c r="AL14" s="493"/>
      <c r="AM14" s="493"/>
      <c r="AN14" s="493"/>
      <c r="AO14" s="493"/>
      <c r="AP14" s="493"/>
      <c r="AQ14" s="542"/>
      <c r="AR14" s="542"/>
      <c r="AS14" s="542"/>
      <c r="AT14" s="497" t="str">
        <f t="shared" si="0"/>
        <v>78768937/1718250040313</v>
      </c>
      <c r="AU14" s="498">
        <f>IF(C14="","",IF(C14&lt;&gt;"",COUNTA($C$6:C14)))</f>
        <v>9</v>
      </c>
    </row>
    <row r="15" spans="1:47" ht="30" customHeight="1">
      <c r="A15" s="496">
        <v>10</v>
      </c>
      <c r="B15" s="589" t="s">
        <v>732</v>
      </c>
      <c r="C15" s="20" t="s">
        <v>776</v>
      </c>
      <c r="D15" s="588">
        <v>89480035</v>
      </c>
      <c r="E15" s="20" t="s">
        <v>820</v>
      </c>
      <c r="F15" s="588" t="s">
        <v>854</v>
      </c>
      <c r="G15" s="588" t="s">
        <v>855</v>
      </c>
      <c r="H15" s="491"/>
      <c r="I15" s="20" t="s">
        <v>866</v>
      </c>
      <c r="J15" s="570"/>
      <c r="K15" s="570"/>
      <c r="L15" s="571"/>
      <c r="M15" s="562"/>
      <c r="N15" s="489"/>
      <c r="O15" s="571"/>
      <c r="P15" s="491"/>
      <c r="Q15" s="490"/>
      <c r="R15" s="490"/>
      <c r="S15" s="490"/>
      <c r="T15" s="571"/>
      <c r="U15" s="571"/>
      <c r="V15" s="490"/>
      <c r="W15" s="571"/>
      <c r="X15" s="571"/>
      <c r="Y15" s="571"/>
      <c r="Z15" s="571"/>
      <c r="AA15" s="490"/>
      <c r="AB15" s="571"/>
      <c r="AC15" s="570"/>
      <c r="AD15" s="571"/>
      <c r="AE15" s="571"/>
      <c r="AF15" s="490"/>
      <c r="AG15" s="492"/>
      <c r="AH15" s="492"/>
      <c r="AI15" s="539"/>
      <c r="AJ15" s="493"/>
      <c r="AK15" s="493"/>
      <c r="AL15" s="493"/>
      <c r="AM15" s="493"/>
      <c r="AN15" s="493"/>
      <c r="AO15" s="493"/>
      <c r="AP15" s="493"/>
      <c r="AQ15" s="542"/>
      <c r="AR15" s="542"/>
      <c r="AS15" s="542"/>
      <c r="AT15" s="497" t="str">
        <f t="shared" si="0"/>
        <v>89480035/1718250040314</v>
      </c>
      <c r="AU15" s="498">
        <f>IF(C15="","",IF(C15&lt;&gt;"",COUNTA($C$6:C15)))</f>
        <v>10</v>
      </c>
    </row>
    <row r="16" spans="1:47" ht="30" customHeight="1">
      <c r="A16" s="496">
        <v>11</v>
      </c>
      <c r="B16" s="589" t="s">
        <v>733</v>
      </c>
      <c r="C16" s="20" t="s">
        <v>777</v>
      </c>
      <c r="D16" s="588">
        <v>77196172</v>
      </c>
      <c r="E16" s="20" t="s">
        <v>821</v>
      </c>
      <c r="F16" s="588" t="s">
        <v>854</v>
      </c>
      <c r="G16" s="588" t="s">
        <v>855</v>
      </c>
      <c r="H16" s="491"/>
      <c r="I16" s="20" t="s">
        <v>867</v>
      </c>
      <c r="J16" s="570"/>
      <c r="K16" s="570"/>
      <c r="L16" s="571"/>
      <c r="M16" s="562"/>
      <c r="N16" s="489"/>
      <c r="O16" s="571"/>
      <c r="P16" s="491"/>
      <c r="Q16" s="490"/>
      <c r="R16" s="490"/>
      <c r="S16" s="490"/>
      <c r="T16" s="571"/>
      <c r="U16" s="571"/>
      <c r="V16" s="490"/>
      <c r="W16" s="571"/>
      <c r="X16" s="571"/>
      <c r="Y16" s="571"/>
      <c r="Z16" s="571"/>
      <c r="AA16" s="490"/>
      <c r="AB16" s="571"/>
      <c r="AC16" s="570"/>
      <c r="AD16" s="571"/>
      <c r="AE16" s="571"/>
      <c r="AF16" s="490"/>
      <c r="AG16" s="492"/>
      <c r="AH16" s="492"/>
      <c r="AI16" s="539"/>
      <c r="AJ16" s="493"/>
      <c r="AK16" s="493"/>
      <c r="AL16" s="493"/>
      <c r="AM16" s="493"/>
      <c r="AN16" s="493"/>
      <c r="AO16" s="493"/>
      <c r="AP16" s="493"/>
      <c r="AQ16" s="542"/>
      <c r="AR16" s="542"/>
      <c r="AS16" s="542"/>
      <c r="AT16" s="497" t="str">
        <f t="shared" si="0"/>
        <v>77196172/1718250040315</v>
      </c>
      <c r="AU16" s="498">
        <f>IF(C16="","",IF(C16&lt;&gt;"",COUNTA($C$6:C16)))</f>
        <v>11</v>
      </c>
    </row>
    <row r="17" spans="1:47" ht="30" customHeight="1">
      <c r="A17" s="496">
        <v>12</v>
      </c>
      <c r="B17" s="589" t="s">
        <v>734</v>
      </c>
      <c r="C17" s="20" t="s">
        <v>778</v>
      </c>
      <c r="D17" s="588">
        <v>79951856</v>
      </c>
      <c r="E17" s="20" t="s">
        <v>822</v>
      </c>
      <c r="F17" s="588" t="s">
        <v>521</v>
      </c>
      <c r="G17" s="588" t="s">
        <v>856</v>
      </c>
      <c r="H17" s="491"/>
      <c r="I17" s="20" t="s">
        <v>868</v>
      </c>
      <c r="J17" s="570"/>
      <c r="K17" s="570"/>
      <c r="L17" s="571"/>
      <c r="M17" s="562"/>
      <c r="N17" s="489"/>
      <c r="O17" s="571"/>
      <c r="P17" s="491"/>
      <c r="Q17" s="490"/>
      <c r="R17" s="490"/>
      <c r="S17" s="490"/>
      <c r="T17" s="571"/>
      <c r="U17" s="571"/>
      <c r="V17" s="490"/>
      <c r="W17" s="571"/>
      <c r="X17" s="571"/>
      <c r="Y17" s="571"/>
      <c r="Z17" s="571"/>
      <c r="AA17" s="490"/>
      <c r="AB17" s="571"/>
      <c r="AC17" s="570"/>
      <c r="AD17" s="571"/>
      <c r="AE17" s="571"/>
      <c r="AF17" s="490"/>
      <c r="AG17" s="492"/>
      <c r="AH17" s="492"/>
      <c r="AI17" s="539"/>
      <c r="AJ17" s="493"/>
      <c r="AK17" s="493"/>
      <c r="AL17" s="493"/>
      <c r="AM17" s="493"/>
      <c r="AN17" s="493"/>
      <c r="AO17" s="493"/>
      <c r="AP17" s="493"/>
      <c r="AQ17" s="542"/>
      <c r="AR17" s="542"/>
      <c r="AS17" s="542"/>
      <c r="AT17" s="497" t="str">
        <f t="shared" si="0"/>
        <v>79951856/1718250040316</v>
      </c>
      <c r="AU17" s="498">
        <f>IF(C17="","",IF(C17&lt;&gt;"",COUNTA($C$6:C17)))</f>
        <v>12</v>
      </c>
    </row>
    <row r="18" spans="1:47" ht="30" customHeight="1">
      <c r="A18" s="496">
        <v>13</v>
      </c>
      <c r="B18" s="589" t="s">
        <v>735</v>
      </c>
      <c r="C18" s="20" t="s">
        <v>779</v>
      </c>
      <c r="D18" s="588">
        <v>73579135</v>
      </c>
      <c r="E18" s="20" t="s">
        <v>823</v>
      </c>
      <c r="F18" s="588" t="s">
        <v>854</v>
      </c>
      <c r="G18" s="588" t="s">
        <v>855</v>
      </c>
      <c r="H18" s="491"/>
      <c r="I18" s="20" t="s">
        <v>869</v>
      </c>
      <c r="J18" s="491"/>
      <c r="K18" s="491"/>
      <c r="L18" s="493"/>
      <c r="M18" s="562"/>
      <c r="N18" s="489"/>
      <c r="O18" s="571"/>
      <c r="P18" s="491"/>
      <c r="Q18" s="490"/>
      <c r="R18" s="490"/>
      <c r="S18" s="490"/>
      <c r="T18" s="571"/>
      <c r="U18" s="572"/>
      <c r="V18" s="490"/>
      <c r="W18" s="571"/>
      <c r="X18" s="571"/>
      <c r="Y18" s="571"/>
      <c r="Z18" s="571"/>
      <c r="AA18" s="490"/>
      <c r="AB18" s="571"/>
      <c r="AC18" s="570"/>
      <c r="AD18" s="571"/>
      <c r="AE18" s="571"/>
      <c r="AF18" s="490"/>
      <c r="AG18" s="492"/>
      <c r="AH18" s="492"/>
      <c r="AI18" s="539"/>
      <c r="AJ18" s="493"/>
      <c r="AK18" s="493"/>
      <c r="AL18" s="493"/>
      <c r="AM18" s="493"/>
      <c r="AN18" s="493"/>
      <c r="AO18" s="493"/>
      <c r="AP18" s="493"/>
      <c r="AQ18" s="542"/>
      <c r="AR18" s="542"/>
      <c r="AS18" s="542"/>
      <c r="AT18" s="497" t="str">
        <f t="shared" si="0"/>
        <v>73579135/1718250040317</v>
      </c>
      <c r="AU18" s="498">
        <f>IF(C18="","",IF(C18&lt;&gt;"",COUNTA($C$6:C18)))</f>
        <v>13</v>
      </c>
    </row>
    <row r="19" spans="1:47" ht="30" customHeight="1">
      <c r="A19" s="496">
        <v>14</v>
      </c>
      <c r="B19" s="589" t="s">
        <v>736</v>
      </c>
      <c r="C19" s="20" t="s">
        <v>780</v>
      </c>
      <c r="D19" s="588">
        <v>73292019</v>
      </c>
      <c r="E19" s="20" t="s">
        <v>824</v>
      </c>
      <c r="F19" s="588" t="s">
        <v>854</v>
      </c>
      <c r="G19" s="588" t="s">
        <v>855</v>
      </c>
      <c r="H19" s="491"/>
      <c r="I19" s="20" t="s">
        <v>867</v>
      </c>
      <c r="J19" s="491"/>
      <c r="K19" s="491"/>
      <c r="L19" s="493"/>
      <c r="M19" s="562"/>
      <c r="N19" s="489"/>
      <c r="O19" s="571"/>
      <c r="P19" s="491"/>
      <c r="Q19" s="490"/>
      <c r="R19" s="490"/>
      <c r="S19" s="490"/>
      <c r="T19" s="571"/>
      <c r="U19" s="572"/>
      <c r="V19" s="490"/>
      <c r="W19" s="571"/>
      <c r="X19" s="571"/>
      <c r="Y19" s="571"/>
      <c r="Z19" s="571"/>
      <c r="AA19" s="490"/>
      <c r="AB19" s="571"/>
      <c r="AC19" s="570"/>
      <c r="AD19" s="571"/>
      <c r="AE19" s="571"/>
      <c r="AF19" s="490"/>
      <c r="AG19" s="492"/>
      <c r="AH19" s="492"/>
      <c r="AI19" s="539"/>
      <c r="AJ19" s="493"/>
      <c r="AK19" s="493"/>
      <c r="AL19" s="493"/>
      <c r="AM19" s="493"/>
      <c r="AN19" s="493"/>
      <c r="AO19" s="493"/>
      <c r="AP19" s="493"/>
      <c r="AQ19" s="542"/>
      <c r="AR19" s="542"/>
      <c r="AS19" s="542"/>
      <c r="AT19" s="497" t="str">
        <f t="shared" si="0"/>
        <v>73292019/1718250040318</v>
      </c>
      <c r="AU19" s="498">
        <f>IF(C19="","",IF(C19&lt;&gt;"",COUNTA($C$6:C19)))</f>
        <v>14</v>
      </c>
    </row>
    <row r="20" spans="1:47" ht="30" customHeight="1">
      <c r="A20" s="496">
        <v>15</v>
      </c>
      <c r="B20" s="589" t="s">
        <v>737</v>
      </c>
      <c r="C20" s="20" t="s">
        <v>781</v>
      </c>
      <c r="D20" s="588">
        <v>76672019</v>
      </c>
      <c r="E20" s="20" t="s">
        <v>825</v>
      </c>
      <c r="F20" s="588" t="s">
        <v>854</v>
      </c>
      <c r="G20" s="588" t="s">
        <v>855</v>
      </c>
      <c r="H20" s="491"/>
      <c r="I20" s="20" t="s">
        <v>870</v>
      </c>
      <c r="J20" s="491"/>
      <c r="K20" s="491"/>
      <c r="L20" s="493"/>
      <c r="M20" s="562"/>
      <c r="N20" s="489"/>
      <c r="O20" s="571"/>
      <c r="P20" s="491"/>
      <c r="Q20" s="490"/>
      <c r="R20" s="490"/>
      <c r="S20" s="490"/>
      <c r="T20" s="571"/>
      <c r="U20" s="572"/>
      <c r="V20" s="490"/>
      <c r="W20" s="571"/>
      <c r="X20" s="571"/>
      <c r="Y20" s="571"/>
      <c r="Z20" s="571"/>
      <c r="AA20" s="490"/>
      <c r="AB20" s="571"/>
      <c r="AC20" s="570"/>
      <c r="AD20" s="571"/>
      <c r="AE20" s="571"/>
      <c r="AF20" s="490"/>
      <c r="AG20" s="492"/>
      <c r="AH20" s="492"/>
      <c r="AI20" s="539"/>
      <c r="AJ20" s="493"/>
      <c r="AK20" s="493"/>
      <c r="AL20" s="493"/>
      <c r="AM20" s="493"/>
      <c r="AN20" s="493"/>
      <c r="AO20" s="493"/>
      <c r="AP20" s="493"/>
      <c r="AQ20" s="542"/>
      <c r="AR20" s="542"/>
      <c r="AS20" s="542"/>
      <c r="AT20" s="497" t="str">
        <f t="shared" si="0"/>
        <v>76672019/1718250040319</v>
      </c>
      <c r="AU20" s="498">
        <f>IF(C20="","",IF(C20&lt;&gt;"",COUNTA($C$6:C20)))</f>
        <v>15</v>
      </c>
    </row>
    <row r="21" spans="1:47" ht="30" customHeight="1">
      <c r="A21" s="496">
        <v>16</v>
      </c>
      <c r="B21" s="589" t="s">
        <v>738</v>
      </c>
      <c r="C21" s="20" t="s">
        <v>782</v>
      </c>
      <c r="D21" s="588">
        <v>75340453</v>
      </c>
      <c r="E21" s="20" t="s">
        <v>826</v>
      </c>
      <c r="F21" s="588" t="s">
        <v>521</v>
      </c>
      <c r="G21" s="588" t="s">
        <v>855</v>
      </c>
      <c r="H21" s="491"/>
      <c r="I21" s="20" t="s">
        <v>871</v>
      </c>
      <c r="J21" s="491"/>
      <c r="K21" s="491"/>
      <c r="L21" s="493"/>
      <c r="M21" s="562"/>
      <c r="N21" s="489"/>
      <c r="O21" s="571"/>
      <c r="P21" s="491"/>
      <c r="Q21" s="490"/>
      <c r="R21" s="490"/>
      <c r="S21" s="490"/>
      <c r="T21" s="571"/>
      <c r="U21" s="572"/>
      <c r="V21" s="490"/>
      <c r="W21" s="571"/>
      <c r="X21" s="571"/>
      <c r="Y21" s="571"/>
      <c r="Z21" s="571"/>
      <c r="AA21" s="490"/>
      <c r="AB21" s="571"/>
      <c r="AC21" s="570"/>
      <c r="AD21" s="571"/>
      <c r="AE21" s="571"/>
      <c r="AF21" s="490"/>
      <c r="AG21" s="492"/>
      <c r="AH21" s="492"/>
      <c r="AI21" s="539"/>
      <c r="AJ21" s="493"/>
      <c r="AK21" s="493"/>
      <c r="AL21" s="493"/>
      <c r="AM21" s="493"/>
      <c r="AN21" s="493"/>
      <c r="AO21" s="493"/>
      <c r="AP21" s="493"/>
      <c r="AQ21" s="542"/>
      <c r="AR21" s="542"/>
      <c r="AS21" s="542"/>
      <c r="AT21" s="497" t="str">
        <f t="shared" si="0"/>
        <v>75340453/1718250040320</v>
      </c>
      <c r="AU21" s="498">
        <f>IF(C21="","",IF(C21&lt;&gt;"",COUNTA($C$6:C21)))</f>
        <v>16</v>
      </c>
    </row>
    <row r="22" spans="1:47" ht="30" customHeight="1">
      <c r="A22" s="496">
        <v>17</v>
      </c>
      <c r="B22" s="589" t="s">
        <v>739</v>
      </c>
      <c r="C22" s="20" t="s">
        <v>783</v>
      </c>
      <c r="D22" s="588">
        <v>83052358</v>
      </c>
      <c r="E22" s="20" t="s">
        <v>827</v>
      </c>
      <c r="F22" s="588" t="s">
        <v>521</v>
      </c>
      <c r="G22" s="588" t="s">
        <v>855</v>
      </c>
      <c r="H22" s="491"/>
      <c r="I22" s="20" t="s">
        <v>872</v>
      </c>
      <c r="J22" s="491"/>
      <c r="K22" s="491"/>
      <c r="L22" s="493"/>
      <c r="M22" s="562"/>
      <c r="N22" s="489"/>
      <c r="O22" s="571"/>
      <c r="P22" s="491"/>
      <c r="Q22" s="490"/>
      <c r="R22" s="490"/>
      <c r="S22" s="490"/>
      <c r="T22" s="571"/>
      <c r="U22" s="572"/>
      <c r="V22" s="490"/>
      <c r="W22" s="571"/>
      <c r="X22" s="571"/>
      <c r="Y22" s="571"/>
      <c r="Z22" s="571"/>
      <c r="AA22" s="490"/>
      <c r="AB22" s="571"/>
      <c r="AC22" s="570"/>
      <c r="AD22" s="571"/>
      <c r="AE22" s="571"/>
      <c r="AF22" s="490"/>
      <c r="AG22" s="492"/>
      <c r="AH22" s="492"/>
      <c r="AI22" s="539"/>
      <c r="AJ22" s="493"/>
      <c r="AK22" s="493"/>
      <c r="AL22" s="493"/>
      <c r="AM22" s="493"/>
      <c r="AN22" s="493"/>
      <c r="AO22" s="493"/>
      <c r="AP22" s="493"/>
      <c r="AQ22" s="542"/>
      <c r="AR22" s="542"/>
      <c r="AS22" s="542"/>
      <c r="AT22" s="497" t="str">
        <f t="shared" si="0"/>
        <v>83052358/1718250040321</v>
      </c>
      <c r="AU22" s="498">
        <f>IF(C22="","",IF(C22&lt;&gt;"",COUNTA($C$6:C22)))</f>
        <v>17</v>
      </c>
    </row>
    <row r="23" spans="1:47" ht="30" customHeight="1">
      <c r="A23" s="496">
        <v>18</v>
      </c>
      <c r="B23" s="589" t="s">
        <v>740</v>
      </c>
      <c r="C23" s="20" t="s">
        <v>784</v>
      </c>
      <c r="D23" s="588">
        <v>77014820</v>
      </c>
      <c r="E23" s="20" t="s">
        <v>828</v>
      </c>
      <c r="F23" s="588" t="s">
        <v>521</v>
      </c>
      <c r="G23" s="588" t="s">
        <v>855</v>
      </c>
      <c r="H23" s="491"/>
      <c r="I23" s="20" t="s">
        <v>873</v>
      </c>
      <c r="J23" s="491"/>
      <c r="K23" s="491"/>
      <c r="L23" s="493"/>
      <c r="M23" s="562"/>
      <c r="N23" s="489"/>
      <c r="O23" s="571"/>
      <c r="P23" s="491"/>
      <c r="Q23" s="490"/>
      <c r="R23" s="490"/>
      <c r="S23" s="490"/>
      <c r="T23" s="571"/>
      <c r="U23" s="572"/>
      <c r="V23" s="490"/>
      <c r="W23" s="571"/>
      <c r="X23" s="571"/>
      <c r="Y23" s="571"/>
      <c r="Z23" s="571"/>
      <c r="AA23" s="490"/>
      <c r="AB23" s="571"/>
      <c r="AC23" s="570"/>
      <c r="AD23" s="571"/>
      <c r="AE23" s="571"/>
      <c r="AF23" s="490"/>
      <c r="AG23" s="492"/>
      <c r="AH23" s="492"/>
      <c r="AI23" s="539"/>
      <c r="AJ23" s="493"/>
      <c r="AK23" s="493"/>
      <c r="AL23" s="493"/>
      <c r="AM23" s="493"/>
      <c r="AN23" s="493"/>
      <c r="AO23" s="493"/>
      <c r="AP23" s="493"/>
      <c r="AQ23" s="542"/>
      <c r="AR23" s="542"/>
      <c r="AS23" s="542"/>
      <c r="AT23" s="497" t="str">
        <f t="shared" si="0"/>
        <v>77014820/1718250040322</v>
      </c>
      <c r="AU23" s="498">
        <f>IF(C23="","",IF(C23&lt;&gt;"",COUNTA($C$6:C23)))</f>
        <v>18</v>
      </c>
    </row>
    <row r="24" spans="1:47" ht="30" customHeight="1">
      <c r="A24" s="496">
        <v>19</v>
      </c>
      <c r="B24" s="589" t="s">
        <v>741</v>
      </c>
      <c r="C24" s="20" t="s">
        <v>785</v>
      </c>
      <c r="D24" s="588">
        <v>71706005</v>
      </c>
      <c r="E24" s="20" t="s">
        <v>829</v>
      </c>
      <c r="F24" s="588" t="s">
        <v>854</v>
      </c>
      <c r="G24" s="588" t="s">
        <v>855</v>
      </c>
      <c r="H24" s="491"/>
      <c r="I24" s="20" t="s">
        <v>874</v>
      </c>
      <c r="J24" s="491"/>
      <c r="K24" s="491"/>
      <c r="L24" s="493"/>
      <c r="M24" s="562"/>
      <c r="N24" s="489"/>
      <c r="O24" s="571"/>
      <c r="P24" s="491"/>
      <c r="Q24" s="490"/>
      <c r="R24" s="490"/>
      <c r="S24" s="490"/>
      <c r="T24" s="571"/>
      <c r="U24" s="572"/>
      <c r="V24" s="490"/>
      <c r="W24" s="571"/>
      <c r="X24" s="571"/>
      <c r="Y24" s="571"/>
      <c r="Z24" s="571"/>
      <c r="AA24" s="490"/>
      <c r="AB24" s="571"/>
      <c r="AC24" s="570"/>
      <c r="AD24" s="571"/>
      <c r="AE24" s="571"/>
      <c r="AF24" s="490"/>
      <c r="AG24" s="492"/>
      <c r="AH24" s="492"/>
      <c r="AI24" s="539"/>
      <c r="AJ24" s="493"/>
      <c r="AK24" s="493"/>
      <c r="AL24" s="493"/>
      <c r="AM24" s="493"/>
      <c r="AN24" s="493"/>
      <c r="AO24" s="493"/>
      <c r="AP24" s="493"/>
      <c r="AQ24" s="542"/>
      <c r="AR24" s="542"/>
      <c r="AS24" s="542"/>
      <c r="AT24" s="497" t="str">
        <f t="shared" si="0"/>
        <v>71706005/1718250040323</v>
      </c>
      <c r="AU24" s="498">
        <f>IF(C24="","",IF(C24&lt;&gt;"",COUNTA($C$6:C24)))</f>
        <v>19</v>
      </c>
    </row>
    <row r="25" spans="1:47" ht="30" customHeight="1">
      <c r="A25" s="496">
        <v>20</v>
      </c>
      <c r="B25" s="589" t="s">
        <v>742</v>
      </c>
      <c r="C25" s="20" t="s">
        <v>786</v>
      </c>
      <c r="D25" s="588">
        <v>79048667</v>
      </c>
      <c r="E25" s="20" t="s">
        <v>830</v>
      </c>
      <c r="F25" s="588" t="s">
        <v>854</v>
      </c>
      <c r="G25" s="588" t="s">
        <v>855</v>
      </c>
      <c r="H25" s="491"/>
      <c r="I25" s="20" t="s">
        <v>875</v>
      </c>
      <c r="J25" s="491"/>
      <c r="K25" s="491"/>
      <c r="L25" s="493"/>
      <c r="M25" s="562"/>
      <c r="N25" s="489"/>
      <c r="O25" s="571"/>
      <c r="P25" s="491"/>
      <c r="Q25" s="490"/>
      <c r="R25" s="490"/>
      <c r="S25" s="490"/>
      <c r="T25" s="571"/>
      <c r="U25" s="572"/>
      <c r="V25" s="490"/>
      <c r="W25" s="571"/>
      <c r="X25" s="571"/>
      <c r="Y25" s="571"/>
      <c r="Z25" s="571"/>
      <c r="AA25" s="490"/>
      <c r="AB25" s="571"/>
      <c r="AC25" s="570"/>
      <c r="AD25" s="571"/>
      <c r="AE25" s="571"/>
      <c r="AF25" s="490"/>
      <c r="AG25" s="492"/>
      <c r="AH25" s="492"/>
      <c r="AI25" s="539"/>
      <c r="AJ25" s="493"/>
      <c r="AK25" s="493"/>
      <c r="AL25" s="493"/>
      <c r="AM25" s="493"/>
      <c r="AN25" s="493"/>
      <c r="AO25" s="493"/>
      <c r="AP25" s="493"/>
      <c r="AQ25" s="542"/>
      <c r="AR25" s="542"/>
      <c r="AS25" s="542"/>
      <c r="AT25" s="497" t="str">
        <f t="shared" si="0"/>
        <v>79048667/1718250040324</v>
      </c>
      <c r="AU25" s="498">
        <f>IF(C25="","",IF(C25&lt;&gt;"",COUNTA($C$6:C25)))</f>
        <v>20</v>
      </c>
    </row>
    <row r="26" spans="1:47" ht="30" customHeight="1">
      <c r="A26" s="496">
        <v>21</v>
      </c>
      <c r="B26" s="589" t="s">
        <v>743</v>
      </c>
      <c r="C26" s="20" t="s">
        <v>787</v>
      </c>
      <c r="D26" s="588">
        <v>85635227</v>
      </c>
      <c r="E26" s="20" t="s">
        <v>831</v>
      </c>
      <c r="F26" s="588" t="s">
        <v>521</v>
      </c>
      <c r="G26" s="588" t="s">
        <v>855</v>
      </c>
      <c r="H26" s="491"/>
      <c r="I26" s="20" t="s">
        <v>876</v>
      </c>
      <c r="J26" s="491"/>
      <c r="K26" s="491"/>
      <c r="L26" s="493"/>
      <c r="M26" s="562"/>
      <c r="N26" s="489"/>
      <c r="O26" s="571"/>
      <c r="P26" s="491"/>
      <c r="Q26" s="490"/>
      <c r="R26" s="490"/>
      <c r="S26" s="490"/>
      <c r="T26" s="571"/>
      <c r="U26" s="572"/>
      <c r="V26" s="490"/>
      <c r="W26" s="571"/>
      <c r="X26" s="571"/>
      <c r="Y26" s="571"/>
      <c r="Z26" s="571"/>
      <c r="AA26" s="490"/>
      <c r="AB26" s="571"/>
      <c r="AC26" s="570"/>
      <c r="AD26" s="571"/>
      <c r="AE26" s="571"/>
      <c r="AF26" s="490"/>
      <c r="AG26" s="492"/>
      <c r="AH26" s="492"/>
      <c r="AI26" s="539"/>
      <c r="AJ26" s="493"/>
      <c r="AK26" s="493"/>
      <c r="AL26" s="493"/>
      <c r="AM26" s="493"/>
      <c r="AN26" s="493"/>
      <c r="AO26" s="493"/>
      <c r="AP26" s="493"/>
      <c r="AQ26" s="542"/>
      <c r="AR26" s="542"/>
      <c r="AS26" s="542"/>
      <c r="AT26" s="497" t="str">
        <f t="shared" si="0"/>
        <v>85635227/1718250040325</v>
      </c>
      <c r="AU26" s="498">
        <f>IF(C26="","",IF(C26&lt;&gt;"",COUNTA($C$6:C26)))</f>
        <v>21</v>
      </c>
    </row>
    <row r="27" spans="1:47" ht="30" customHeight="1">
      <c r="A27" s="496">
        <v>22</v>
      </c>
      <c r="B27" s="589" t="s">
        <v>744</v>
      </c>
      <c r="C27" s="20" t="s">
        <v>788</v>
      </c>
      <c r="D27" s="588">
        <v>73477024</v>
      </c>
      <c r="E27" s="20" t="s">
        <v>832</v>
      </c>
      <c r="F27" s="588" t="s">
        <v>854</v>
      </c>
      <c r="G27" s="588" t="s">
        <v>855</v>
      </c>
      <c r="H27" s="491"/>
      <c r="I27" s="20" t="s">
        <v>877</v>
      </c>
      <c r="J27" s="491"/>
      <c r="K27" s="491"/>
      <c r="L27" s="493"/>
      <c r="M27" s="562"/>
      <c r="N27" s="489"/>
      <c r="O27" s="571"/>
      <c r="P27" s="491"/>
      <c r="Q27" s="490"/>
      <c r="R27" s="490"/>
      <c r="S27" s="490"/>
      <c r="T27" s="571"/>
      <c r="U27" s="572"/>
      <c r="V27" s="490"/>
      <c r="W27" s="571"/>
      <c r="X27" s="571"/>
      <c r="Y27" s="571"/>
      <c r="Z27" s="571"/>
      <c r="AA27" s="490"/>
      <c r="AB27" s="571"/>
      <c r="AC27" s="570"/>
      <c r="AD27" s="571"/>
      <c r="AE27" s="571"/>
      <c r="AF27" s="490"/>
      <c r="AG27" s="492"/>
      <c r="AH27" s="492"/>
      <c r="AI27" s="539"/>
      <c r="AJ27" s="493"/>
      <c r="AK27" s="493"/>
      <c r="AL27" s="493"/>
      <c r="AM27" s="493"/>
      <c r="AN27" s="493"/>
      <c r="AO27" s="493"/>
      <c r="AP27" s="493"/>
      <c r="AQ27" s="542"/>
      <c r="AR27" s="542"/>
      <c r="AS27" s="542"/>
      <c r="AT27" s="497" t="str">
        <f t="shared" si="0"/>
        <v>73477024/1718250040326</v>
      </c>
      <c r="AU27" s="498">
        <f>IF(C27="","",IF(C27&lt;&gt;"",COUNTA($C$6:C27)))</f>
        <v>22</v>
      </c>
    </row>
    <row r="28" spans="1:47" ht="30" customHeight="1">
      <c r="A28" s="496">
        <v>23</v>
      </c>
      <c r="B28" s="589" t="s">
        <v>745</v>
      </c>
      <c r="C28" s="20" t="s">
        <v>789</v>
      </c>
      <c r="D28" s="588">
        <v>72172192</v>
      </c>
      <c r="E28" s="20" t="s">
        <v>833</v>
      </c>
      <c r="F28" s="588" t="s">
        <v>854</v>
      </c>
      <c r="G28" s="588" t="s">
        <v>855</v>
      </c>
      <c r="H28" s="491"/>
      <c r="I28" s="20" t="s">
        <v>878</v>
      </c>
      <c r="J28" s="491"/>
      <c r="K28" s="491"/>
      <c r="L28" s="493"/>
      <c r="M28" s="562"/>
      <c r="N28" s="489"/>
      <c r="O28" s="571"/>
      <c r="P28" s="491"/>
      <c r="Q28" s="490"/>
      <c r="R28" s="490"/>
      <c r="S28" s="490"/>
      <c r="T28" s="571"/>
      <c r="U28" s="572"/>
      <c r="V28" s="490"/>
      <c r="W28" s="571"/>
      <c r="X28" s="571"/>
      <c r="Y28" s="571"/>
      <c r="Z28" s="571"/>
      <c r="AA28" s="490"/>
      <c r="AB28" s="571"/>
      <c r="AC28" s="570"/>
      <c r="AD28" s="571"/>
      <c r="AE28" s="571"/>
      <c r="AF28" s="490"/>
      <c r="AG28" s="492"/>
      <c r="AH28" s="492"/>
      <c r="AI28" s="539"/>
      <c r="AJ28" s="493"/>
      <c r="AK28" s="493"/>
      <c r="AL28" s="493"/>
      <c r="AM28" s="493"/>
      <c r="AN28" s="493"/>
      <c r="AO28" s="493"/>
      <c r="AP28" s="493"/>
      <c r="AQ28" s="542"/>
      <c r="AR28" s="542"/>
      <c r="AS28" s="542"/>
      <c r="AT28" s="497" t="str">
        <f t="shared" si="0"/>
        <v>72172192/1718250040327</v>
      </c>
      <c r="AU28" s="498">
        <f>IF(C28="","",IF(C28&lt;&gt;"",COUNTA($C$6:C28)))</f>
        <v>23</v>
      </c>
    </row>
    <row r="29" spans="1:47" ht="30" customHeight="1">
      <c r="A29" s="496">
        <v>24</v>
      </c>
      <c r="B29" s="589" t="s">
        <v>746</v>
      </c>
      <c r="C29" s="20" t="s">
        <v>790</v>
      </c>
      <c r="D29" s="588">
        <v>77692756</v>
      </c>
      <c r="E29" s="20" t="s">
        <v>834</v>
      </c>
      <c r="F29" s="588" t="s">
        <v>854</v>
      </c>
      <c r="G29" s="588" t="s">
        <v>855</v>
      </c>
      <c r="H29" s="491"/>
      <c r="I29" s="20" t="s">
        <v>879</v>
      </c>
      <c r="J29" s="491"/>
      <c r="K29" s="491"/>
      <c r="L29" s="493"/>
      <c r="M29" s="562"/>
      <c r="N29" s="489"/>
      <c r="O29" s="571"/>
      <c r="P29" s="491"/>
      <c r="Q29" s="490"/>
      <c r="R29" s="490"/>
      <c r="S29" s="490"/>
      <c r="T29" s="571"/>
      <c r="U29" s="572"/>
      <c r="V29" s="490"/>
      <c r="W29" s="571"/>
      <c r="X29" s="571"/>
      <c r="Y29" s="571"/>
      <c r="Z29" s="571"/>
      <c r="AA29" s="490"/>
      <c r="AB29" s="571"/>
      <c r="AC29" s="570"/>
      <c r="AD29" s="571"/>
      <c r="AE29" s="571"/>
      <c r="AF29" s="490"/>
      <c r="AG29" s="492"/>
      <c r="AH29" s="492"/>
      <c r="AI29" s="539"/>
      <c r="AJ29" s="493"/>
      <c r="AK29" s="493"/>
      <c r="AL29" s="493"/>
      <c r="AM29" s="493"/>
      <c r="AN29" s="493"/>
      <c r="AO29" s="493"/>
      <c r="AP29" s="493"/>
      <c r="AQ29" s="542"/>
      <c r="AR29" s="542"/>
      <c r="AS29" s="542"/>
      <c r="AT29" s="497" t="str">
        <f t="shared" si="0"/>
        <v>77692756/1718250040328</v>
      </c>
      <c r="AU29" s="498">
        <f>IF(C29="","",IF(C29&lt;&gt;"",COUNTA($C$6:C29)))</f>
        <v>24</v>
      </c>
    </row>
    <row r="30" spans="1:47" ht="30" customHeight="1">
      <c r="A30" s="496">
        <v>25</v>
      </c>
      <c r="B30" s="589" t="s">
        <v>747</v>
      </c>
      <c r="C30" s="20" t="s">
        <v>791</v>
      </c>
      <c r="D30" s="588">
        <v>73911739</v>
      </c>
      <c r="E30" s="20" t="s">
        <v>835</v>
      </c>
      <c r="F30" s="588" t="s">
        <v>854</v>
      </c>
      <c r="G30" s="588" t="s">
        <v>855</v>
      </c>
      <c r="H30" s="491"/>
      <c r="I30" s="20" t="s">
        <v>880</v>
      </c>
      <c r="J30" s="491"/>
      <c r="K30" s="491"/>
      <c r="L30" s="493"/>
      <c r="M30" s="562"/>
      <c r="N30" s="489"/>
      <c r="O30" s="571"/>
      <c r="P30" s="491"/>
      <c r="Q30" s="490"/>
      <c r="R30" s="490"/>
      <c r="S30" s="490"/>
      <c r="T30" s="571"/>
      <c r="U30" s="572"/>
      <c r="V30" s="490"/>
      <c r="W30" s="571"/>
      <c r="X30" s="571"/>
      <c r="Y30" s="571"/>
      <c r="Z30" s="571"/>
      <c r="AA30" s="490"/>
      <c r="AB30" s="571"/>
      <c r="AC30" s="570"/>
      <c r="AD30" s="571"/>
      <c r="AE30" s="571"/>
      <c r="AF30" s="490"/>
      <c r="AG30" s="492"/>
      <c r="AH30" s="492"/>
      <c r="AI30" s="539"/>
      <c r="AJ30" s="493"/>
      <c r="AK30" s="493"/>
      <c r="AL30" s="493"/>
      <c r="AM30" s="493"/>
      <c r="AN30" s="493"/>
      <c r="AO30" s="493"/>
      <c r="AP30" s="493"/>
      <c r="AQ30" s="542"/>
      <c r="AR30" s="542"/>
      <c r="AS30" s="542"/>
      <c r="AT30" s="497" t="str">
        <f t="shared" si="0"/>
        <v>73911739/1718250040329</v>
      </c>
      <c r="AU30" s="498">
        <f>IF(C30="","",IF(C30&lt;&gt;"",COUNTA($C$6:C30)))</f>
        <v>25</v>
      </c>
    </row>
    <row r="31" spans="1:47" ht="30" customHeight="1">
      <c r="A31" s="496">
        <v>26</v>
      </c>
      <c r="B31" s="589" t="s">
        <v>748</v>
      </c>
      <c r="C31" s="20" t="s">
        <v>792</v>
      </c>
      <c r="D31" s="588">
        <v>75398206</v>
      </c>
      <c r="E31" s="20" t="s">
        <v>836</v>
      </c>
      <c r="F31" s="588" t="s">
        <v>854</v>
      </c>
      <c r="G31" s="588" t="s">
        <v>855</v>
      </c>
      <c r="H31" s="491"/>
      <c r="I31" s="20" t="s">
        <v>881</v>
      </c>
      <c r="J31" s="491"/>
      <c r="K31" s="491"/>
      <c r="L31" s="493"/>
      <c r="M31" s="562"/>
      <c r="N31" s="489"/>
      <c r="O31" s="490"/>
      <c r="P31" s="491"/>
      <c r="Q31" s="490"/>
      <c r="R31" s="490"/>
      <c r="S31" s="490"/>
      <c r="T31" s="490"/>
      <c r="U31" s="491"/>
      <c r="V31" s="490"/>
      <c r="W31" s="490"/>
      <c r="X31" s="490"/>
      <c r="Y31" s="490"/>
      <c r="Z31" s="490"/>
      <c r="AA31" s="490"/>
      <c r="AB31" s="490"/>
      <c r="AC31" s="490"/>
      <c r="AD31" s="490"/>
      <c r="AE31" s="490"/>
      <c r="AF31" s="490"/>
      <c r="AG31" s="492"/>
      <c r="AH31" s="492"/>
      <c r="AI31" s="539"/>
      <c r="AJ31" s="493"/>
      <c r="AK31" s="493"/>
      <c r="AL31" s="493"/>
      <c r="AM31" s="493"/>
      <c r="AN31" s="493"/>
      <c r="AO31" s="493"/>
      <c r="AP31" s="493"/>
      <c r="AQ31" s="542"/>
      <c r="AR31" s="542"/>
      <c r="AS31" s="542"/>
      <c r="AT31" s="497" t="str">
        <f t="shared" si="0"/>
        <v>75398206/1718250040330</v>
      </c>
      <c r="AU31" s="498">
        <f>IF(C31="","",IF(C31&lt;&gt;"",COUNTA($C$6:C31)))</f>
        <v>26</v>
      </c>
    </row>
    <row r="32" spans="1:47" ht="30" customHeight="1">
      <c r="A32" s="496">
        <v>27</v>
      </c>
      <c r="B32" s="589" t="s">
        <v>749</v>
      </c>
      <c r="C32" s="20" t="s">
        <v>793</v>
      </c>
      <c r="D32" s="588">
        <v>81604987</v>
      </c>
      <c r="E32" s="20" t="s">
        <v>837</v>
      </c>
      <c r="F32" s="588" t="s">
        <v>854</v>
      </c>
      <c r="G32" s="588" t="s">
        <v>855</v>
      </c>
      <c r="H32" s="491"/>
      <c r="I32" s="20" t="s">
        <v>882</v>
      </c>
      <c r="J32" s="491"/>
      <c r="K32" s="491"/>
      <c r="L32" s="493"/>
      <c r="M32" s="562"/>
      <c r="N32" s="489"/>
      <c r="O32" s="490"/>
      <c r="P32" s="491"/>
      <c r="Q32" s="490"/>
      <c r="R32" s="490"/>
      <c r="S32" s="490"/>
      <c r="T32" s="490"/>
      <c r="U32" s="491"/>
      <c r="V32" s="490"/>
      <c r="W32" s="490"/>
      <c r="X32" s="490"/>
      <c r="Y32" s="490"/>
      <c r="Z32" s="490"/>
      <c r="AA32" s="490"/>
      <c r="AB32" s="490"/>
      <c r="AC32" s="490"/>
      <c r="AD32" s="490"/>
      <c r="AE32" s="490"/>
      <c r="AF32" s="490"/>
      <c r="AG32" s="492"/>
      <c r="AH32" s="492"/>
      <c r="AI32" s="539"/>
      <c r="AJ32" s="493"/>
      <c r="AK32" s="493"/>
      <c r="AL32" s="493"/>
      <c r="AM32" s="493"/>
      <c r="AN32" s="493"/>
      <c r="AO32" s="493"/>
      <c r="AP32" s="493"/>
      <c r="AQ32" s="542"/>
      <c r="AR32" s="542"/>
      <c r="AS32" s="542"/>
      <c r="AT32" s="497" t="str">
        <f t="shared" si="0"/>
        <v>81604987/1718250040331</v>
      </c>
      <c r="AU32" s="498">
        <f>IF(C32="","",IF(C32&lt;&gt;"",COUNTA($C$6:C32)))</f>
        <v>27</v>
      </c>
    </row>
    <row r="33" spans="1:47" ht="30" customHeight="1">
      <c r="A33" s="496">
        <v>28</v>
      </c>
      <c r="B33" s="589" t="s">
        <v>750</v>
      </c>
      <c r="C33" s="20" t="s">
        <v>794</v>
      </c>
      <c r="D33" s="588">
        <v>88953510</v>
      </c>
      <c r="E33" s="20" t="s">
        <v>838</v>
      </c>
      <c r="F33" s="588" t="s">
        <v>854</v>
      </c>
      <c r="G33" s="588" t="s">
        <v>855</v>
      </c>
      <c r="H33" s="491"/>
      <c r="I33" s="20" t="s">
        <v>883</v>
      </c>
      <c r="J33" s="491"/>
      <c r="K33" s="491"/>
      <c r="L33" s="493"/>
      <c r="M33" s="562"/>
      <c r="N33" s="489"/>
      <c r="O33" s="490"/>
      <c r="P33" s="491"/>
      <c r="Q33" s="490"/>
      <c r="R33" s="490"/>
      <c r="S33" s="490"/>
      <c r="T33" s="490"/>
      <c r="U33" s="491"/>
      <c r="V33" s="490"/>
      <c r="W33" s="490"/>
      <c r="X33" s="490"/>
      <c r="Y33" s="490"/>
      <c r="Z33" s="490"/>
      <c r="AA33" s="490"/>
      <c r="AB33" s="490"/>
      <c r="AC33" s="490"/>
      <c r="AD33" s="490"/>
      <c r="AE33" s="490"/>
      <c r="AF33" s="490"/>
      <c r="AG33" s="492"/>
      <c r="AH33" s="492"/>
      <c r="AI33" s="539"/>
      <c r="AJ33" s="493"/>
      <c r="AK33" s="493"/>
      <c r="AL33" s="493"/>
      <c r="AM33" s="493"/>
      <c r="AN33" s="493"/>
      <c r="AO33" s="493"/>
      <c r="AP33" s="493"/>
      <c r="AQ33" s="541"/>
      <c r="AR33" s="541"/>
      <c r="AS33" s="541"/>
      <c r="AT33" s="497" t="str">
        <f t="shared" si="0"/>
        <v>88953510/1718250040332</v>
      </c>
      <c r="AU33" s="498">
        <f>IF(C33="","",IF(C33&lt;&gt;"",COUNTA($C$6:C33)))</f>
        <v>28</v>
      </c>
    </row>
    <row r="34" spans="1:47" ht="30" customHeight="1">
      <c r="A34" s="496">
        <v>29</v>
      </c>
      <c r="B34" s="589" t="s">
        <v>751</v>
      </c>
      <c r="C34" s="20" t="s">
        <v>795</v>
      </c>
      <c r="D34" s="588">
        <v>75379966</v>
      </c>
      <c r="E34" s="20" t="s">
        <v>839</v>
      </c>
      <c r="F34" s="588" t="s">
        <v>854</v>
      </c>
      <c r="G34" s="588" t="s">
        <v>855</v>
      </c>
      <c r="H34" s="491"/>
      <c r="I34" s="20" t="s">
        <v>884</v>
      </c>
      <c r="J34" s="491"/>
      <c r="K34" s="491"/>
      <c r="L34" s="493"/>
      <c r="M34" s="562"/>
      <c r="N34" s="489"/>
      <c r="O34" s="490"/>
      <c r="P34" s="491"/>
      <c r="Q34" s="490"/>
      <c r="R34" s="490"/>
      <c r="S34" s="490"/>
      <c r="T34" s="490"/>
      <c r="U34" s="491"/>
      <c r="V34" s="490"/>
      <c r="W34" s="490"/>
      <c r="X34" s="490"/>
      <c r="Y34" s="490"/>
      <c r="Z34" s="490"/>
      <c r="AA34" s="490"/>
      <c r="AB34" s="490"/>
      <c r="AC34" s="490"/>
      <c r="AD34" s="490"/>
      <c r="AE34" s="490"/>
      <c r="AF34" s="490"/>
      <c r="AG34" s="492"/>
      <c r="AH34" s="492"/>
      <c r="AI34" s="539"/>
      <c r="AJ34" s="493"/>
      <c r="AK34" s="493"/>
      <c r="AL34" s="493"/>
      <c r="AM34" s="493"/>
      <c r="AN34" s="493"/>
      <c r="AO34" s="493"/>
      <c r="AP34" s="493"/>
      <c r="AQ34" s="542"/>
      <c r="AR34" s="542"/>
      <c r="AS34" s="542"/>
      <c r="AT34" s="497" t="str">
        <f t="shared" si="0"/>
        <v>75379966/1718250040333</v>
      </c>
      <c r="AU34" s="498">
        <f>IF(C34="","",IF(C34&lt;&gt;"",COUNTA($C$6:C34)))</f>
        <v>29</v>
      </c>
    </row>
    <row r="35" spans="1:47" ht="30" customHeight="1">
      <c r="A35" s="496">
        <v>30</v>
      </c>
      <c r="B35" s="589" t="s">
        <v>752</v>
      </c>
      <c r="C35" s="20" t="s">
        <v>796</v>
      </c>
      <c r="D35" s="588">
        <v>73574622</v>
      </c>
      <c r="E35" s="20" t="s">
        <v>840</v>
      </c>
      <c r="F35" s="588" t="s">
        <v>854</v>
      </c>
      <c r="G35" s="588" t="s">
        <v>855</v>
      </c>
      <c r="H35" s="491"/>
      <c r="I35" s="20" t="s">
        <v>885</v>
      </c>
      <c r="J35" s="491"/>
      <c r="K35" s="491"/>
      <c r="L35" s="493"/>
      <c r="M35" s="562"/>
      <c r="N35" s="489"/>
      <c r="O35" s="490"/>
      <c r="P35" s="491"/>
      <c r="Q35" s="490"/>
      <c r="R35" s="490"/>
      <c r="S35" s="490"/>
      <c r="T35" s="490"/>
      <c r="U35" s="491"/>
      <c r="V35" s="490"/>
      <c r="W35" s="490"/>
      <c r="X35" s="490"/>
      <c r="Y35" s="490"/>
      <c r="Z35" s="490"/>
      <c r="AA35" s="490"/>
      <c r="AB35" s="490"/>
      <c r="AC35" s="490"/>
      <c r="AD35" s="490"/>
      <c r="AE35" s="490"/>
      <c r="AF35" s="490"/>
      <c r="AG35" s="492"/>
      <c r="AH35" s="492"/>
      <c r="AI35" s="539"/>
      <c r="AJ35" s="493"/>
      <c r="AK35" s="493"/>
      <c r="AL35" s="493"/>
      <c r="AM35" s="493"/>
      <c r="AN35" s="493"/>
      <c r="AO35" s="493"/>
      <c r="AP35" s="493"/>
      <c r="AQ35" s="542"/>
      <c r="AR35" s="542"/>
      <c r="AS35" s="542"/>
      <c r="AT35" s="497" t="str">
        <f t="shared" si="0"/>
        <v>73574622/1718250040334</v>
      </c>
      <c r="AU35" s="498">
        <f>IF(C35="","",IF(C35&lt;&gt;"",COUNTA($C$6:C35)))</f>
        <v>30</v>
      </c>
    </row>
    <row r="36" spans="1:47" ht="30" customHeight="1">
      <c r="A36" s="496">
        <v>31</v>
      </c>
      <c r="B36" s="589" t="s">
        <v>753</v>
      </c>
      <c r="C36" s="591" t="s">
        <v>797</v>
      </c>
      <c r="D36" s="588">
        <v>87516557</v>
      </c>
      <c r="E36" s="20" t="s">
        <v>841</v>
      </c>
      <c r="F36" s="589" t="s">
        <v>854</v>
      </c>
      <c r="G36" s="588" t="s">
        <v>855</v>
      </c>
      <c r="H36" s="491"/>
      <c r="I36" s="591" t="s">
        <v>886</v>
      </c>
      <c r="J36" s="491"/>
      <c r="K36" s="491"/>
      <c r="L36" s="493"/>
      <c r="M36" s="562"/>
      <c r="N36" s="489"/>
      <c r="O36" s="490"/>
      <c r="P36" s="491"/>
      <c r="Q36" s="490"/>
      <c r="R36" s="490"/>
      <c r="S36" s="490"/>
      <c r="T36" s="490"/>
      <c r="U36" s="491"/>
      <c r="V36" s="490"/>
      <c r="W36" s="490"/>
      <c r="X36" s="490"/>
      <c r="Y36" s="490"/>
      <c r="Z36" s="490"/>
      <c r="AA36" s="490"/>
      <c r="AB36" s="490"/>
      <c r="AC36" s="490"/>
      <c r="AD36" s="490"/>
      <c r="AE36" s="490"/>
      <c r="AF36" s="490"/>
      <c r="AG36" s="492"/>
      <c r="AH36" s="492"/>
      <c r="AI36" s="539"/>
      <c r="AJ36" s="493"/>
      <c r="AK36" s="493"/>
      <c r="AL36" s="493"/>
      <c r="AM36" s="493"/>
      <c r="AN36" s="493"/>
      <c r="AO36" s="493"/>
      <c r="AP36" s="493"/>
      <c r="AQ36" s="542"/>
      <c r="AR36" s="542"/>
      <c r="AS36" s="542"/>
      <c r="AT36" s="497" t="str">
        <f t="shared" si="0"/>
        <v>87516557/1718250040335</v>
      </c>
      <c r="AU36" s="498">
        <f>IF(C36="","",IF(C36&lt;&gt;"",COUNTA($C$6:C36)))</f>
        <v>31</v>
      </c>
    </row>
    <row r="37" spans="1:47" ht="30" customHeight="1">
      <c r="A37" s="496">
        <v>32</v>
      </c>
      <c r="B37" s="589" t="s">
        <v>754</v>
      </c>
      <c r="C37" s="591" t="s">
        <v>798</v>
      </c>
      <c r="D37" s="588">
        <v>89010276</v>
      </c>
      <c r="E37" s="20" t="s">
        <v>842</v>
      </c>
      <c r="F37" s="589" t="s">
        <v>521</v>
      </c>
      <c r="G37" s="588" t="s">
        <v>855</v>
      </c>
      <c r="H37" s="491"/>
      <c r="I37" s="591" t="s">
        <v>887</v>
      </c>
      <c r="J37" s="491"/>
      <c r="K37" s="491"/>
      <c r="L37" s="493"/>
      <c r="M37" s="562"/>
      <c r="N37" s="489"/>
      <c r="O37" s="490"/>
      <c r="P37" s="491"/>
      <c r="Q37" s="490"/>
      <c r="R37" s="490"/>
      <c r="S37" s="490"/>
      <c r="T37" s="490"/>
      <c r="U37" s="491"/>
      <c r="V37" s="490"/>
      <c r="W37" s="490"/>
      <c r="X37" s="490"/>
      <c r="Y37" s="490"/>
      <c r="Z37" s="490"/>
      <c r="AA37" s="490"/>
      <c r="AB37" s="490"/>
      <c r="AC37" s="490"/>
      <c r="AD37" s="490"/>
      <c r="AE37" s="490"/>
      <c r="AF37" s="490"/>
      <c r="AG37" s="492"/>
      <c r="AH37" s="492"/>
      <c r="AI37" s="539"/>
      <c r="AJ37" s="493"/>
      <c r="AK37" s="493"/>
      <c r="AL37" s="493"/>
      <c r="AM37" s="493"/>
      <c r="AN37" s="493"/>
      <c r="AO37" s="493"/>
      <c r="AP37" s="493"/>
      <c r="AQ37" s="542"/>
      <c r="AR37" s="542"/>
      <c r="AS37" s="542"/>
      <c r="AT37" s="497" t="str">
        <f t="shared" si="0"/>
        <v>89010276/1718250040336</v>
      </c>
      <c r="AU37" s="498">
        <f>IF(C37="","",IF(C37&lt;&gt;"",COUNTA($C$6:C37)))</f>
        <v>32</v>
      </c>
    </row>
    <row r="38" spans="1:47" ht="30" customHeight="1">
      <c r="A38" s="496">
        <v>33</v>
      </c>
      <c r="B38" s="589" t="s">
        <v>755</v>
      </c>
      <c r="C38" s="591" t="s">
        <v>799</v>
      </c>
      <c r="D38" s="588">
        <v>76999347</v>
      </c>
      <c r="E38" s="20" t="s">
        <v>843</v>
      </c>
      <c r="F38" s="589" t="s">
        <v>521</v>
      </c>
      <c r="G38" s="588" t="s">
        <v>855</v>
      </c>
      <c r="H38" s="491"/>
      <c r="I38" s="591" t="s">
        <v>888</v>
      </c>
      <c r="J38" s="491"/>
      <c r="K38" s="491"/>
      <c r="L38" s="493"/>
      <c r="M38" s="562"/>
      <c r="N38" s="489"/>
      <c r="O38" s="490"/>
      <c r="P38" s="491"/>
      <c r="Q38" s="490"/>
      <c r="R38" s="490"/>
      <c r="S38" s="490"/>
      <c r="T38" s="490"/>
      <c r="U38" s="491"/>
      <c r="V38" s="490"/>
      <c r="W38" s="490"/>
      <c r="X38" s="490"/>
      <c r="Y38" s="490"/>
      <c r="Z38" s="490"/>
      <c r="AA38" s="490"/>
      <c r="AB38" s="490"/>
      <c r="AC38" s="490"/>
      <c r="AD38" s="490"/>
      <c r="AE38" s="490"/>
      <c r="AF38" s="490"/>
      <c r="AG38" s="492"/>
      <c r="AH38" s="492"/>
      <c r="AI38" s="539"/>
      <c r="AJ38" s="493"/>
      <c r="AK38" s="493"/>
      <c r="AL38" s="493"/>
      <c r="AM38" s="493"/>
      <c r="AN38" s="493"/>
      <c r="AO38" s="493"/>
      <c r="AP38" s="493"/>
      <c r="AQ38" s="542"/>
      <c r="AR38" s="542"/>
      <c r="AS38" s="542"/>
      <c r="AT38" s="497" t="str">
        <f t="shared" si="0"/>
        <v>76999347/1718250040337</v>
      </c>
      <c r="AU38" s="498">
        <f>IF(C38="","",IF(C38&lt;&gt;"",COUNTA($C$6:C38)))</f>
        <v>33</v>
      </c>
    </row>
    <row r="39" spans="1:47" ht="30" customHeight="1">
      <c r="A39" s="496">
        <v>34</v>
      </c>
      <c r="B39" s="589" t="s">
        <v>756</v>
      </c>
      <c r="C39" s="591" t="s">
        <v>800</v>
      </c>
      <c r="D39" s="588">
        <v>75535380</v>
      </c>
      <c r="E39" s="20" t="s">
        <v>844</v>
      </c>
      <c r="F39" s="589" t="s">
        <v>521</v>
      </c>
      <c r="G39" s="588" t="s">
        <v>855</v>
      </c>
      <c r="H39" s="491"/>
      <c r="I39" s="591" t="s">
        <v>889</v>
      </c>
      <c r="J39" s="491"/>
      <c r="K39" s="491"/>
      <c r="L39" s="493"/>
      <c r="M39" s="562"/>
      <c r="N39" s="489"/>
      <c r="O39" s="490"/>
      <c r="P39" s="491"/>
      <c r="Q39" s="490"/>
      <c r="R39" s="490"/>
      <c r="S39" s="490"/>
      <c r="T39" s="490"/>
      <c r="U39" s="491"/>
      <c r="V39" s="490"/>
      <c r="W39" s="490"/>
      <c r="X39" s="490"/>
      <c r="Y39" s="490"/>
      <c r="Z39" s="490"/>
      <c r="AA39" s="490"/>
      <c r="AB39" s="490"/>
      <c r="AC39" s="490"/>
      <c r="AD39" s="490"/>
      <c r="AE39" s="490"/>
      <c r="AF39" s="490"/>
      <c r="AG39" s="492"/>
      <c r="AH39" s="492"/>
      <c r="AI39" s="539"/>
      <c r="AJ39" s="493"/>
      <c r="AK39" s="493"/>
      <c r="AL39" s="493"/>
      <c r="AM39" s="493"/>
      <c r="AN39" s="493"/>
      <c r="AO39" s="493"/>
      <c r="AP39" s="493"/>
      <c r="AQ39" s="542"/>
      <c r="AR39" s="542"/>
      <c r="AS39" s="542"/>
      <c r="AT39" s="497" t="str">
        <f t="shared" si="0"/>
        <v>75535380/1718250040338</v>
      </c>
      <c r="AU39" s="498">
        <f>IF(C39="","",IF(C39&lt;&gt;"",COUNTA($C$6:C39)))</f>
        <v>34</v>
      </c>
    </row>
    <row r="40" spans="1:47" ht="30" customHeight="1">
      <c r="A40" s="496">
        <v>35</v>
      </c>
      <c r="B40" s="589" t="s">
        <v>757</v>
      </c>
      <c r="C40" s="591" t="s">
        <v>801</v>
      </c>
      <c r="D40" s="588">
        <v>79869089</v>
      </c>
      <c r="E40" s="20" t="s">
        <v>845</v>
      </c>
      <c r="F40" s="589" t="s">
        <v>854</v>
      </c>
      <c r="G40" s="588" t="s">
        <v>855</v>
      </c>
      <c r="H40" s="491"/>
      <c r="I40" s="591" t="s">
        <v>890</v>
      </c>
      <c r="J40" s="491"/>
      <c r="K40" s="491"/>
      <c r="L40" s="493"/>
      <c r="M40" s="562"/>
      <c r="N40" s="489"/>
      <c r="O40" s="490"/>
      <c r="P40" s="491"/>
      <c r="Q40" s="490"/>
      <c r="R40" s="490"/>
      <c r="S40" s="490"/>
      <c r="T40" s="490"/>
      <c r="U40" s="491"/>
      <c r="V40" s="490"/>
      <c r="W40" s="490"/>
      <c r="X40" s="490"/>
      <c r="Y40" s="490"/>
      <c r="Z40" s="490"/>
      <c r="AA40" s="490"/>
      <c r="AB40" s="490"/>
      <c r="AC40" s="490"/>
      <c r="AD40" s="490"/>
      <c r="AE40" s="490"/>
      <c r="AF40" s="490"/>
      <c r="AG40" s="492"/>
      <c r="AH40" s="492"/>
      <c r="AI40" s="539"/>
      <c r="AJ40" s="493"/>
      <c r="AK40" s="493"/>
      <c r="AL40" s="493"/>
      <c r="AM40" s="493"/>
      <c r="AN40" s="493"/>
      <c r="AO40" s="493"/>
      <c r="AP40" s="493"/>
      <c r="AQ40" s="542"/>
      <c r="AR40" s="542"/>
      <c r="AS40" s="542"/>
      <c r="AT40" s="497" t="str">
        <f t="shared" si="0"/>
        <v>79869089/1718250040339</v>
      </c>
      <c r="AU40" s="498">
        <f>IF(C40="","",IF(C40&lt;&gt;"",COUNTA($C$6:C40)))</f>
        <v>35</v>
      </c>
    </row>
    <row r="41" spans="1:47" ht="30" customHeight="1">
      <c r="A41" s="496">
        <v>36</v>
      </c>
      <c r="B41" s="589" t="s">
        <v>758</v>
      </c>
      <c r="C41" s="591" t="s">
        <v>802</v>
      </c>
      <c r="D41" s="588">
        <v>75727354</v>
      </c>
      <c r="E41" s="20" t="s">
        <v>846</v>
      </c>
      <c r="F41" s="589" t="s">
        <v>854</v>
      </c>
      <c r="G41" s="588" t="s">
        <v>855</v>
      </c>
      <c r="H41" s="491"/>
      <c r="I41" s="591" t="s">
        <v>891</v>
      </c>
      <c r="J41" s="491"/>
      <c r="K41" s="491"/>
      <c r="L41" s="493"/>
      <c r="M41" s="562"/>
      <c r="N41" s="489"/>
      <c r="O41" s="490"/>
      <c r="P41" s="491"/>
      <c r="Q41" s="490"/>
      <c r="R41" s="490"/>
      <c r="S41" s="490"/>
      <c r="T41" s="490"/>
      <c r="U41" s="491"/>
      <c r="V41" s="490"/>
      <c r="W41" s="490"/>
      <c r="X41" s="490"/>
      <c r="Y41" s="490"/>
      <c r="Z41" s="490"/>
      <c r="AA41" s="490"/>
      <c r="AB41" s="490"/>
      <c r="AC41" s="490"/>
      <c r="AD41" s="490"/>
      <c r="AE41" s="490"/>
      <c r="AF41" s="490"/>
      <c r="AG41" s="492"/>
      <c r="AH41" s="492"/>
      <c r="AI41" s="539"/>
      <c r="AJ41" s="493"/>
      <c r="AK41" s="493"/>
      <c r="AL41" s="493"/>
      <c r="AM41" s="493"/>
      <c r="AN41" s="493"/>
      <c r="AO41" s="493"/>
      <c r="AP41" s="493"/>
      <c r="AQ41" s="542"/>
      <c r="AR41" s="542"/>
      <c r="AS41" s="542"/>
      <c r="AT41" s="497" t="str">
        <f t="shared" si="0"/>
        <v>75727354/1718250040340</v>
      </c>
      <c r="AU41" s="498">
        <f>IF(C41="","",IF(C41&lt;&gt;"",COUNTA($C$6:C41)))</f>
        <v>36</v>
      </c>
    </row>
    <row r="42" spans="1:47" ht="30" customHeight="1">
      <c r="A42" s="496">
        <v>37</v>
      </c>
      <c r="B42" s="589" t="s">
        <v>759</v>
      </c>
      <c r="C42" s="591" t="s">
        <v>803</v>
      </c>
      <c r="D42" s="588">
        <v>79164172</v>
      </c>
      <c r="E42" s="20" t="s">
        <v>847</v>
      </c>
      <c r="F42" s="589" t="s">
        <v>854</v>
      </c>
      <c r="G42" s="588" t="s">
        <v>855</v>
      </c>
      <c r="H42" s="491"/>
      <c r="I42" s="591" t="s">
        <v>892</v>
      </c>
      <c r="J42" s="491"/>
      <c r="K42" s="491"/>
      <c r="L42" s="493"/>
      <c r="M42" s="562"/>
      <c r="N42" s="489"/>
      <c r="O42" s="490"/>
      <c r="P42" s="491"/>
      <c r="Q42" s="490"/>
      <c r="R42" s="490"/>
      <c r="S42" s="490"/>
      <c r="T42" s="490"/>
      <c r="U42" s="491"/>
      <c r="V42" s="490"/>
      <c r="W42" s="490"/>
      <c r="X42" s="490"/>
      <c r="Y42" s="490"/>
      <c r="Z42" s="490"/>
      <c r="AA42" s="490"/>
      <c r="AB42" s="490"/>
      <c r="AC42" s="490"/>
      <c r="AD42" s="490"/>
      <c r="AE42" s="490"/>
      <c r="AF42" s="490"/>
      <c r="AG42" s="492"/>
      <c r="AH42" s="492"/>
      <c r="AI42" s="539"/>
      <c r="AJ42" s="493"/>
      <c r="AK42" s="493"/>
      <c r="AL42" s="493"/>
      <c r="AM42" s="493"/>
      <c r="AN42" s="493"/>
      <c r="AO42" s="493"/>
      <c r="AP42" s="493"/>
      <c r="AQ42" s="542"/>
      <c r="AR42" s="542"/>
      <c r="AS42" s="542"/>
      <c r="AT42" s="497" t="str">
        <f t="shared" si="0"/>
        <v>79164172/1718250040341</v>
      </c>
      <c r="AU42" s="498">
        <f>IF(C42="","",IF(C42&lt;&gt;"",COUNTA($C$6:C42)))</f>
        <v>37</v>
      </c>
    </row>
    <row r="43" spans="1:47" ht="30" customHeight="1">
      <c r="A43" s="496">
        <v>38</v>
      </c>
      <c r="B43" s="589" t="s">
        <v>760</v>
      </c>
      <c r="C43" s="591" t="s">
        <v>804</v>
      </c>
      <c r="D43" s="588">
        <v>77087671</v>
      </c>
      <c r="E43" s="20" t="s">
        <v>848</v>
      </c>
      <c r="F43" s="589" t="s">
        <v>854</v>
      </c>
      <c r="G43" s="588" t="s">
        <v>855</v>
      </c>
      <c r="H43" s="491"/>
      <c r="I43" s="591" t="s">
        <v>893</v>
      </c>
      <c r="J43" s="491"/>
      <c r="K43" s="491"/>
      <c r="L43" s="493"/>
      <c r="M43" s="562"/>
      <c r="N43" s="489"/>
      <c r="O43" s="490"/>
      <c r="P43" s="491"/>
      <c r="Q43" s="490"/>
      <c r="R43" s="490"/>
      <c r="S43" s="490"/>
      <c r="T43" s="490"/>
      <c r="U43" s="491"/>
      <c r="V43" s="490"/>
      <c r="W43" s="490"/>
      <c r="X43" s="490"/>
      <c r="Y43" s="490"/>
      <c r="Z43" s="490"/>
      <c r="AA43" s="490"/>
      <c r="AB43" s="490"/>
      <c r="AC43" s="490"/>
      <c r="AD43" s="490"/>
      <c r="AE43" s="490"/>
      <c r="AF43" s="490"/>
      <c r="AG43" s="492"/>
      <c r="AH43" s="492"/>
      <c r="AI43" s="539"/>
      <c r="AJ43" s="493"/>
      <c r="AK43" s="493"/>
      <c r="AL43" s="493"/>
      <c r="AM43" s="493"/>
      <c r="AN43" s="493"/>
      <c r="AO43" s="493"/>
      <c r="AP43" s="493"/>
      <c r="AQ43" s="542"/>
      <c r="AR43" s="542"/>
      <c r="AS43" s="542"/>
      <c r="AT43" s="497" t="str">
        <f t="shared" si="0"/>
        <v>77087671/1718250040342</v>
      </c>
      <c r="AU43" s="498">
        <f>IF(C43="","",IF(C43&lt;&gt;"",COUNTA($C$6:C43)))</f>
        <v>38</v>
      </c>
    </row>
    <row r="44" spans="1:47" ht="30" customHeight="1">
      <c r="A44" s="496">
        <v>39</v>
      </c>
      <c r="B44" s="589" t="s">
        <v>761</v>
      </c>
      <c r="C44" s="591" t="s">
        <v>805</v>
      </c>
      <c r="D44" s="588">
        <v>72810754</v>
      </c>
      <c r="E44" s="20" t="s">
        <v>849</v>
      </c>
      <c r="F44" s="589" t="s">
        <v>521</v>
      </c>
      <c r="G44" s="588" t="s">
        <v>855</v>
      </c>
      <c r="H44" s="491"/>
      <c r="I44" s="591" t="s">
        <v>894</v>
      </c>
      <c r="J44" s="491"/>
      <c r="K44" s="491"/>
      <c r="L44" s="493"/>
      <c r="M44" s="562"/>
      <c r="N44" s="489"/>
      <c r="O44" s="490"/>
      <c r="P44" s="491"/>
      <c r="Q44" s="490"/>
      <c r="R44" s="490"/>
      <c r="S44" s="490"/>
      <c r="T44" s="490"/>
      <c r="U44" s="491"/>
      <c r="V44" s="490"/>
      <c r="W44" s="490"/>
      <c r="X44" s="490"/>
      <c r="Y44" s="490"/>
      <c r="Z44" s="490"/>
      <c r="AA44" s="490"/>
      <c r="AB44" s="490"/>
      <c r="AC44" s="490"/>
      <c r="AD44" s="490"/>
      <c r="AE44" s="490"/>
      <c r="AF44" s="490"/>
      <c r="AG44" s="492"/>
      <c r="AH44" s="492"/>
      <c r="AI44" s="539"/>
      <c r="AJ44" s="493"/>
      <c r="AK44" s="493"/>
      <c r="AL44" s="493"/>
      <c r="AM44" s="493"/>
      <c r="AN44" s="493"/>
      <c r="AO44" s="493"/>
      <c r="AP44" s="493"/>
      <c r="AQ44" s="542"/>
      <c r="AR44" s="542"/>
      <c r="AS44" s="542"/>
      <c r="AT44" s="497" t="str">
        <f t="shared" si="0"/>
        <v>72810754/1718250040343</v>
      </c>
      <c r="AU44" s="498">
        <f>IF(C44="","",IF(C44&lt;&gt;"",COUNTA($C$6:C44)))</f>
        <v>39</v>
      </c>
    </row>
    <row r="45" spans="1:47" ht="30" customHeight="1">
      <c r="A45" s="496">
        <v>40</v>
      </c>
      <c r="B45" s="589" t="s">
        <v>762</v>
      </c>
      <c r="C45" s="591" t="s">
        <v>806</v>
      </c>
      <c r="D45" s="588">
        <v>86344714</v>
      </c>
      <c r="E45" s="20" t="s">
        <v>850</v>
      </c>
      <c r="F45" s="589" t="s">
        <v>521</v>
      </c>
      <c r="G45" s="588" t="s">
        <v>855</v>
      </c>
      <c r="H45" s="491"/>
      <c r="I45" s="591" t="s">
        <v>895</v>
      </c>
      <c r="J45" s="491"/>
      <c r="K45" s="491"/>
      <c r="L45" s="493"/>
      <c r="M45" s="562"/>
      <c r="N45" s="489"/>
      <c r="O45" s="490"/>
      <c r="P45" s="491"/>
      <c r="Q45" s="490"/>
      <c r="R45" s="490"/>
      <c r="S45" s="490"/>
      <c r="T45" s="490"/>
      <c r="U45" s="491"/>
      <c r="V45" s="490"/>
      <c r="W45" s="490"/>
      <c r="X45" s="490"/>
      <c r="Y45" s="490"/>
      <c r="Z45" s="490"/>
      <c r="AA45" s="490"/>
      <c r="AB45" s="490"/>
      <c r="AC45" s="490"/>
      <c r="AD45" s="490"/>
      <c r="AE45" s="490"/>
      <c r="AF45" s="490"/>
      <c r="AG45" s="492"/>
      <c r="AH45" s="492"/>
      <c r="AI45" s="539"/>
      <c r="AJ45" s="493"/>
      <c r="AK45" s="493"/>
      <c r="AL45" s="493"/>
      <c r="AM45" s="493"/>
      <c r="AN45" s="493"/>
      <c r="AO45" s="493"/>
      <c r="AP45" s="493"/>
      <c r="AQ45" s="542"/>
      <c r="AR45" s="542"/>
      <c r="AS45" s="542"/>
      <c r="AT45" s="497" t="str">
        <f t="shared" si="0"/>
        <v>86344714/1718250040344</v>
      </c>
      <c r="AU45" s="498">
        <f>IF(C45="","",IF(C45&lt;&gt;"",COUNTA($C$6:C45)))</f>
        <v>40</v>
      </c>
    </row>
    <row r="46" spans="1:47" ht="30" customHeight="1">
      <c r="A46" s="496">
        <v>41</v>
      </c>
      <c r="B46" s="589" t="s">
        <v>763</v>
      </c>
      <c r="C46" s="591" t="s">
        <v>807</v>
      </c>
      <c r="D46" s="588">
        <v>82326577</v>
      </c>
      <c r="E46" s="20" t="s">
        <v>851</v>
      </c>
      <c r="F46" s="589" t="s">
        <v>521</v>
      </c>
      <c r="G46" s="588" t="s">
        <v>855</v>
      </c>
      <c r="H46" s="491"/>
      <c r="I46" s="591" t="s">
        <v>896</v>
      </c>
      <c r="J46" s="491"/>
      <c r="K46" s="491"/>
      <c r="L46" s="493"/>
      <c r="M46" s="562"/>
      <c r="N46" s="489"/>
      <c r="O46" s="490"/>
      <c r="P46" s="491"/>
      <c r="Q46" s="490"/>
      <c r="R46" s="490"/>
      <c r="S46" s="490"/>
      <c r="T46" s="490"/>
      <c r="U46" s="491"/>
      <c r="V46" s="490"/>
      <c r="W46" s="490"/>
      <c r="X46" s="490"/>
      <c r="Y46" s="490"/>
      <c r="Z46" s="490"/>
      <c r="AA46" s="490"/>
      <c r="AB46" s="490"/>
      <c r="AC46" s="490"/>
      <c r="AD46" s="490"/>
      <c r="AE46" s="490"/>
      <c r="AF46" s="490"/>
      <c r="AG46" s="492"/>
      <c r="AH46" s="492"/>
      <c r="AI46" s="539"/>
      <c r="AJ46" s="493"/>
      <c r="AK46" s="493"/>
      <c r="AL46" s="493"/>
      <c r="AM46" s="493"/>
      <c r="AN46" s="493"/>
      <c r="AO46" s="493"/>
      <c r="AP46" s="493"/>
      <c r="AQ46" s="542"/>
      <c r="AR46" s="542"/>
      <c r="AS46" s="542"/>
      <c r="AT46" s="497" t="str">
        <f t="shared" si="0"/>
        <v>82326577/1718250040345</v>
      </c>
      <c r="AU46" s="498">
        <f>IF(C46="","",IF(C46&lt;&gt;"",COUNTA($C$6:C46)))</f>
        <v>41</v>
      </c>
    </row>
    <row r="47" spans="1:47" ht="30" customHeight="1">
      <c r="A47" s="496">
        <v>42</v>
      </c>
      <c r="B47" s="589" t="s">
        <v>764</v>
      </c>
      <c r="C47" s="591" t="s">
        <v>808</v>
      </c>
      <c r="D47" s="588">
        <v>79212477</v>
      </c>
      <c r="E47" s="20" t="s">
        <v>852</v>
      </c>
      <c r="F47" s="589" t="s">
        <v>854</v>
      </c>
      <c r="G47" s="588" t="s">
        <v>855</v>
      </c>
      <c r="H47" s="491"/>
      <c r="I47" s="591" t="s">
        <v>897</v>
      </c>
      <c r="J47" s="491"/>
      <c r="K47" s="491"/>
      <c r="L47" s="493"/>
      <c r="M47" s="562"/>
      <c r="N47" s="489"/>
      <c r="O47" s="490"/>
      <c r="P47" s="491"/>
      <c r="Q47" s="490"/>
      <c r="R47" s="490"/>
      <c r="S47" s="490"/>
      <c r="T47" s="490"/>
      <c r="U47" s="491"/>
      <c r="V47" s="490"/>
      <c r="W47" s="490"/>
      <c r="X47" s="490"/>
      <c r="Y47" s="490"/>
      <c r="Z47" s="490"/>
      <c r="AA47" s="490"/>
      <c r="AB47" s="490"/>
      <c r="AC47" s="490"/>
      <c r="AD47" s="490"/>
      <c r="AE47" s="490"/>
      <c r="AF47" s="490"/>
      <c r="AG47" s="492"/>
      <c r="AH47" s="492"/>
      <c r="AI47" s="539"/>
      <c r="AJ47" s="493"/>
      <c r="AK47" s="493"/>
      <c r="AL47" s="493"/>
      <c r="AM47" s="493"/>
      <c r="AN47" s="493"/>
      <c r="AO47" s="493"/>
      <c r="AP47" s="493"/>
      <c r="AQ47" s="542"/>
      <c r="AR47" s="542"/>
      <c r="AS47" s="542"/>
      <c r="AT47" s="497" t="str">
        <f t="shared" si="0"/>
        <v>79212477/1718250040346</v>
      </c>
      <c r="AU47" s="498">
        <f>IF(C47="","",IF(C47&lt;&gt;"",COUNTA($C$6:C47)))</f>
        <v>42</v>
      </c>
    </row>
    <row r="48" spans="1:47" ht="30" customHeight="1">
      <c r="A48" s="496">
        <v>43</v>
      </c>
      <c r="B48" s="589" t="s">
        <v>765</v>
      </c>
      <c r="C48" s="591" t="s">
        <v>809</v>
      </c>
      <c r="D48" s="588">
        <v>82212314</v>
      </c>
      <c r="E48" s="20" t="s">
        <v>853</v>
      </c>
      <c r="F48" s="589" t="s">
        <v>854</v>
      </c>
      <c r="G48" s="588" t="s">
        <v>855</v>
      </c>
      <c r="H48" s="491"/>
      <c r="I48" s="591" t="s">
        <v>898</v>
      </c>
      <c r="J48" s="491"/>
      <c r="K48" s="491"/>
      <c r="L48" s="493"/>
      <c r="M48" s="562"/>
      <c r="N48" s="489"/>
      <c r="O48" s="490"/>
      <c r="P48" s="491"/>
      <c r="Q48" s="490"/>
      <c r="R48" s="490"/>
      <c r="S48" s="490"/>
      <c r="T48" s="490"/>
      <c r="U48" s="491"/>
      <c r="V48" s="490"/>
      <c r="W48" s="490"/>
      <c r="X48" s="490"/>
      <c r="Y48" s="490"/>
      <c r="Z48" s="490"/>
      <c r="AA48" s="490"/>
      <c r="AB48" s="490"/>
      <c r="AC48" s="490"/>
      <c r="AD48" s="490"/>
      <c r="AE48" s="490"/>
      <c r="AF48" s="490"/>
      <c r="AG48" s="492"/>
      <c r="AH48" s="492"/>
      <c r="AI48" s="539"/>
      <c r="AJ48" s="493"/>
      <c r="AK48" s="493"/>
      <c r="AL48" s="493"/>
      <c r="AM48" s="493"/>
      <c r="AN48" s="493"/>
      <c r="AO48" s="493"/>
      <c r="AP48" s="493"/>
      <c r="AQ48" s="542"/>
      <c r="AR48" s="542"/>
      <c r="AS48" s="542"/>
      <c r="AT48" s="497" t="str">
        <f t="shared" si="0"/>
        <v>82212314/1718250040347</v>
      </c>
      <c r="AU48" s="498">
        <f>IF(C48="","",IF(C48&lt;&gt;"",COUNTA($C$6:C48)))</f>
        <v>43</v>
      </c>
    </row>
    <row r="49" spans="1:47" ht="30" customHeight="1">
      <c r="A49" s="496">
        <v>44</v>
      </c>
      <c r="B49" s="489"/>
      <c r="C49" s="490"/>
      <c r="D49" s="491"/>
      <c r="E49" s="490"/>
      <c r="F49" s="491"/>
      <c r="G49" s="491"/>
      <c r="H49" s="491"/>
      <c r="I49" s="490"/>
      <c r="J49" s="491"/>
      <c r="K49" s="491"/>
      <c r="L49" s="493"/>
      <c r="M49" s="562"/>
      <c r="N49" s="489"/>
      <c r="O49" s="490"/>
      <c r="P49" s="491"/>
      <c r="Q49" s="490"/>
      <c r="R49" s="490"/>
      <c r="S49" s="490"/>
      <c r="T49" s="490"/>
      <c r="U49" s="491"/>
      <c r="V49" s="490"/>
      <c r="W49" s="490"/>
      <c r="X49" s="490"/>
      <c r="Y49" s="490"/>
      <c r="Z49" s="490"/>
      <c r="AA49" s="490"/>
      <c r="AB49" s="490"/>
      <c r="AC49" s="490"/>
      <c r="AD49" s="490"/>
      <c r="AE49" s="490"/>
      <c r="AF49" s="490"/>
      <c r="AG49" s="492"/>
      <c r="AH49" s="492"/>
      <c r="AI49" s="539"/>
      <c r="AJ49" s="493"/>
      <c r="AK49" s="493"/>
      <c r="AL49" s="493"/>
      <c r="AM49" s="493"/>
      <c r="AN49" s="493"/>
      <c r="AO49" s="493"/>
      <c r="AP49" s="493"/>
      <c r="AQ49" s="542"/>
      <c r="AR49" s="542"/>
      <c r="AS49" s="542"/>
      <c r="AT49" s="497" t="str">
        <f t="shared" si="0"/>
        <v>/</v>
      </c>
      <c r="AU49" s="498" t="str">
        <f>IF(C49="","",IF(C49&lt;&gt;"",COUNTA($C$6:C49)))</f>
        <v/>
      </c>
    </row>
    <row r="50" spans="1:47" ht="30" customHeight="1">
      <c r="A50" s="496">
        <v>45</v>
      </c>
      <c r="B50" s="489"/>
      <c r="C50" s="490"/>
      <c r="D50" s="491"/>
      <c r="E50" s="490"/>
      <c r="F50" s="491"/>
      <c r="G50" s="491"/>
      <c r="H50" s="491"/>
      <c r="I50" s="490"/>
      <c r="J50" s="491"/>
      <c r="K50" s="491"/>
      <c r="L50" s="493"/>
      <c r="M50" s="562"/>
      <c r="N50" s="489"/>
      <c r="O50" s="490"/>
      <c r="P50" s="491"/>
      <c r="Q50" s="490"/>
      <c r="R50" s="490"/>
      <c r="S50" s="490"/>
      <c r="T50" s="490"/>
      <c r="U50" s="491"/>
      <c r="V50" s="490"/>
      <c r="W50" s="490"/>
      <c r="X50" s="490"/>
      <c r="Y50" s="490"/>
      <c r="Z50" s="490"/>
      <c r="AA50" s="490"/>
      <c r="AB50" s="490"/>
      <c r="AC50" s="490"/>
      <c r="AD50" s="490"/>
      <c r="AE50" s="490"/>
      <c r="AF50" s="490"/>
      <c r="AG50" s="492"/>
      <c r="AH50" s="492"/>
      <c r="AI50" s="539"/>
      <c r="AJ50" s="493"/>
      <c r="AK50" s="493"/>
      <c r="AL50" s="493"/>
      <c r="AM50" s="493"/>
      <c r="AN50" s="493"/>
      <c r="AO50" s="493"/>
      <c r="AP50" s="493"/>
      <c r="AQ50" s="542"/>
      <c r="AR50" s="542"/>
      <c r="AS50" s="542"/>
      <c r="AT50" s="497" t="str">
        <f t="shared" si="0"/>
        <v>/</v>
      </c>
      <c r="AU50" s="498" t="str">
        <f>IF(C50="","",IF(C50&lt;&gt;"",COUNTA($C$6:C50)))</f>
        <v/>
      </c>
    </row>
    <row r="51" spans="1:47" ht="30" customHeight="1">
      <c r="A51" s="496">
        <v>46</v>
      </c>
      <c r="B51" s="489"/>
      <c r="C51" s="490"/>
      <c r="D51" s="491"/>
      <c r="E51" s="490"/>
      <c r="F51" s="491"/>
      <c r="G51" s="491"/>
      <c r="H51" s="491"/>
      <c r="I51" s="490"/>
      <c r="J51" s="491"/>
      <c r="K51" s="491"/>
      <c r="L51" s="493"/>
      <c r="M51" s="562"/>
      <c r="N51" s="489"/>
      <c r="O51" s="490"/>
      <c r="P51" s="491"/>
      <c r="Q51" s="490"/>
      <c r="R51" s="490"/>
      <c r="S51" s="490"/>
      <c r="T51" s="490"/>
      <c r="U51" s="491"/>
      <c r="V51" s="490"/>
      <c r="W51" s="490"/>
      <c r="X51" s="490"/>
      <c r="Y51" s="490"/>
      <c r="Z51" s="490"/>
      <c r="AA51" s="490"/>
      <c r="AB51" s="490"/>
      <c r="AC51" s="490"/>
      <c r="AD51" s="490"/>
      <c r="AE51" s="490"/>
      <c r="AF51" s="490"/>
      <c r="AG51" s="492"/>
      <c r="AH51" s="492"/>
      <c r="AI51" s="539"/>
      <c r="AJ51" s="493"/>
      <c r="AK51" s="493"/>
      <c r="AL51" s="493"/>
      <c r="AM51" s="493"/>
      <c r="AN51" s="493"/>
      <c r="AO51" s="493"/>
      <c r="AP51" s="493"/>
      <c r="AQ51" s="542"/>
      <c r="AR51" s="542"/>
      <c r="AS51" s="542"/>
      <c r="AT51" s="497" t="str">
        <f t="shared" si="0"/>
        <v>/</v>
      </c>
      <c r="AU51" s="498" t="str">
        <f>IF(C51="","",IF(C51&lt;&gt;"",COUNTA($C$6:C51)))</f>
        <v/>
      </c>
    </row>
    <row r="52" spans="1:47" ht="30" customHeight="1">
      <c r="A52" s="496">
        <v>47</v>
      </c>
      <c r="B52" s="489"/>
      <c r="C52" s="490"/>
      <c r="D52" s="491"/>
      <c r="E52" s="490"/>
      <c r="F52" s="491"/>
      <c r="G52" s="491"/>
      <c r="H52" s="491"/>
      <c r="I52" s="490"/>
      <c r="J52" s="491"/>
      <c r="K52" s="491"/>
      <c r="L52" s="493"/>
      <c r="M52" s="562"/>
      <c r="N52" s="489"/>
      <c r="O52" s="490"/>
      <c r="P52" s="491"/>
      <c r="Q52" s="490"/>
      <c r="R52" s="490"/>
      <c r="S52" s="490"/>
      <c r="T52" s="490"/>
      <c r="U52" s="491"/>
      <c r="V52" s="490"/>
      <c r="W52" s="490"/>
      <c r="X52" s="490"/>
      <c r="Y52" s="490"/>
      <c r="Z52" s="490"/>
      <c r="AA52" s="490"/>
      <c r="AB52" s="490"/>
      <c r="AC52" s="490"/>
      <c r="AD52" s="490"/>
      <c r="AE52" s="490"/>
      <c r="AF52" s="490"/>
      <c r="AG52" s="492"/>
      <c r="AH52" s="492"/>
      <c r="AI52" s="539"/>
      <c r="AJ52" s="493"/>
      <c r="AK52" s="493"/>
      <c r="AL52" s="493"/>
      <c r="AM52" s="493"/>
      <c r="AN52" s="493"/>
      <c r="AO52" s="493"/>
      <c r="AP52" s="493"/>
      <c r="AQ52" s="542"/>
      <c r="AR52" s="542"/>
      <c r="AS52" s="542"/>
      <c r="AT52" s="497" t="str">
        <f t="shared" si="0"/>
        <v>/</v>
      </c>
      <c r="AU52" s="498" t="str">
        <f>IF(C52="","",IF(C52&lt;&gt;"",COUNTA($C$6:C52)))</f>
        <v/>
      </c>
    </row>
    <row r="53" spans="1:47" ht="30" customHeight="1">
      <c r="A53" s="496">
        <v>48</v>
      </c>
      <c r="B53" s="489"/>
      <c r="C53" s="490"/>
      <c r="D53" s="491"/>
      <c r="E53" s="490"/>
      <c r="F53" s="491"/>
      <c r="G53" s="491"/>
      <c r="H53" s="491"/>
      <c r="I53" s="490"/>
      <c r="J53" s="491"/>
      <c r="K53" s="491"/>
      <c r="L53" s="493"/>
      <c r="M53" s="562"/>
      <c r="N53" s="489"/>
      <c r="O53" s="490"/>
      <c r="P53" s="491"/>
      <c r="Q53" s="490"/>
      <c r="R53" s="490"/>
      <c r="S53" s="490"/>
      <c r="T53" s="490"/>
      <c r="U53" s="491"/>
      <c r="V53" s="490"/>
      <c r="W53" s="490"/>
      <c r="X53" s="490"/>
      <c r="Y53" s="490"/>
      <c r="Z53" s="490"/>
      <c r="AA53" s="490"/>
      <c r="AB53" s="490"/>
      <c r="AC53" s="490"/>
      <c r="AD53" s="490"/>
      <c r="AE53" s="490"/>
      <c r="AF53" s="490"/>
      <c r="AG53" s="492"/>
      <c r="AH53" s="492"/>
      <c r="AI53" s="539"/>
      <c r="AJ53" s="493"/>
      <c r="AK53" s="493"/>
      <c r="AL53" s="493"/>
      <c r="AM53" s="493"/>
      <c r="AN53" s="493"/>
      <c r="AO53" s="493"/>
      <c r="AP53" s="493"/>
      <c r="AQ53" s="542"/>
      <c r="AR53" s="542"/>
      <c r="AS53" s="542"/>
      <c r="AT53" s="497" t="str">
        <f t="shared" si="0"/>
        <v>/</v>
      </c>
      <c r="AU53" s="498" t="str">
        <f>IF(C53="","",IF(C53&lt;&gt;"",COUNTA($C$6:C53)))</f>
        <v/>
      </c>
    </row>
    <row r="54" spans="1:47" ht="30" customHeight="1">
      <c r="A54" s="496">
        <v>49</v>
      </c>
      <c r="B54" s="489"/>
      <c r="C54" s="490"/>
      <c r="D54" s="491"/>
      <c r="E54" s="490"/>
      <c r="F54" s="491"/>
      <c r="G54" s="491"/>
      <c r="H54" s="491"/>
      <c r="I54" s="490"/>
      <c r="J54" s="491"/>
      <c r="K54" s="491"/>
      <c r="L54" s="493"/>
      <c r="M54" s="562"/>
      <c r="N54" s="489"/>
      <c r="O54" s="490"/>
      <c r="P54" s="491"/>
      <c r="Q54" s="490"/>
      <c r="R54" s="490"/>
      <c r="S54" s="490"/>
      <c r="T54" s="490"/>
      <c r="U54" s="491"/>
      <c r="V54" s="490"/>
      <c r="W54" s="490"/>
      <c r="X54" s="490"/>
      <c r="Y54" s="490"/>
      <c r="Z54" s="490"/>
      <c r="AA54" s="490"/>
      <c r="AB54" s="490"/>
      <c r="AC54" s="490"/>
      <c r="AD54" s="490"/>
      <c r="AE54" s="490"/>
      <c r="AF54" s="490"/>
      <c r="AG54" s="492"/>
      <c r="AH54" s="492"/>
      <c r="AI54" s="539"/>
      <c r="AJ54" s="493"/>
      <c r="AK54" s="493"/>
      <c r="AL54" s="493"/>
      <c r="AM54" s="493"/>
      <c r="AN54" s="493"/>
      <c r="AO54" s="493"/>
      <c r="AP54" s="493"/>
      <c r="AQ54" s="542"/>
      <c r="AR54" s="542"/>
      <c r="AS54" s="542"/>
      <c r="AT54" s="497" t="str">
        <f t="shared" si="0"/>
        <v>/</v>
      </c>
      <c r="AU54" s="498" t="str">
        <f>IF(C54="","",IF(C54&lt;&gt;"",COUNTA($C$6:C54)))</f>
        <v/>
      </c>
    </row>
    <row r="55" spans="1:47" ht="30" customHeight="1">
      <c r="A55" s="496">
        <v>50</v>
      </c>
      <c r="B55" s="489"/>
      <c r="C55" s="490"/>
      <c r="D55" s="491"/>
      <c r="E55" s="490"/>
      <c r="F55" s="491"/>
      <c r="G55" s="491"/>
      <c r="H55" s="491"/>
      <c r="I55" s="490"/>
      <c r="J55" s="491"/>
      <c r="K55" s="491"/>
      <c r="L55" s="493"/>
      <c r="M55" s="562"/>
      <c r="N55" s="489"/>
      <c r="O55" s="490"/>
      <c r="P55" s="491"/>
      <c r="Q55" s="490"/>
      <c r="R55" s="490"/>
      <c r="S55" s="490"/>
      <c r="T55" s="490"/>
      <c r="U55" s="491"/>
      <c r="V55" s="490"/>
      <c r="W55" s="490"/>
      <c r="X55" s="490"/>
      <c r="Y55" s="490"/>
      <c r="Z55" s="490"/>
      <c r="AA55" s="490"/>
      <c r="AB55" s="490"/>
      <c r="AC55" s="490"/>
      <c r="AD55" s="490"/>
      <c r="AE55" s="490"/>
      <c r="AF55" s="490"/>
      <c r="AG55" s="492"/>
      <c r="AH55" s="492"/>
      <c r="AI55" s="539"/>
      <c r="AJ55" s="493"/>
      <c r="AK55" s="493"/>
      <c r="AL55" s="493"/>
      <c r="AM55" s="493"/>
      <c r="AN55" s="493"/>
      <c r="AO55" s="493"/>
      <c r="AP55" s="493"/>
      <c r="AQ55" s="542"/>
      <c r="AR55" s="542"/>
      <c r="AS55" s="542"/>
      <c r="AT55" s="497" t="str">
        <f t="shared" si="0"/>
        <v>/</v>
      </c>
      <c r="AU55" s="498" t="str">
        <f>IF(C55="","",IF(C55&lt;&gt;"",COUNTA($C$6:C55)))</f>
        <v/>
      </c>
    </row>
    <row r="56" spans="1:47" ht="30" customHeight="1">
      <c r="AU56" s="498">
        <f>MAX(AU6:AU55)</f>
        <v>43</v>
      </c>
    </row>
    <row r="57" spans="1:47" ht="30" customHeight="1">
      <c r="AT57" s="167">
        <f>DEPAN!E23</f>
        <v>43</v>
      </c>
      <c r="AU57" s="499">
        <f>IFERROR(AU56/AT57,"0%")</f>
        <v>1</v>
      </c>
    </row>
    <row r="58" spans="1:47" ht="30" customHeight="1"/>
    <row r="59" spans="1:47" ht="30" customHeight="1"/>
    <row r="60" spans="1:47" ht="30" customHeight="1"/>
    <row r="61" spans="1:47" ht="30" customHeight="1"/>
    <row r="62" spans="1:47" ht="30" customHeight="1"/>
    <row r="63" spans="1:47" ht="30" customHeight="1"/>
    <row r="64" spans="1:47" ht="30" customHeight="1"/>
  </sheetData>
  <mergeCells count="22">
    <mergeCell ref="K3:M3"/>
    <mergeCell ref="A3:A4"/>
    <mergeCell ref="B3:B4"/>
    <mergeCell ref="C3:C4"/>
    <mergeCell ref="D3:D4"/>
    <mergeCell ref="E3:E4"/>
    <mergeCell ref="D1:E1"/>
    <mergeCell ref="AT3:AT4"/>
    <mergeCell ref="F3:F4"/>
    <mergeCell ref="I3:I4"/>
    <mergeCell ref="S3:S4"/>
    <mergeCell ref="O3:O4"/>
    <mergeCell ref="T3:X3"/>
    <mergeCell ref="AD3:AI3"/>
    <mergeCell ref="AJ3:AP3"/>
    <mergeCell ref="P3:P4"/>
    <mergeCell ref="N3:N4"/>
    <mergeCell ref="Q3:Q4"/>
    <mergeCell ref="R3:R4"/>
    <mergeCell ref="Y3:AC3"/>
    <mergeCell ref="H3:H4"/>
    <mergeCell ref="J3:J4"/>
  </mergeCells>
  <pageMargins left="0.7" right="0.7" top="0.75" bottom="0.75" header="0.3" footer="0.3"/>
  <pageSetup paperSize="256" orientation="portrait" horizontalDpi="4294967293"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L55"/>
  <sheetViews>
    <sheetView topLeftCell="C1" workbookViewId="0">
      <pane ySplit="4" topLeftCell="A5" activePane="bottomLeft" state="frozen"/>
      <selection pane="bottomLeft" sqref="A1:P1"/>
    </sheetView>
  </sheetViews>
  <sheetFormatPr defaultColWidth="9.140625" defaultRowHeight="15"/>
  <cols>
    <col min="1" max="1" width="5.28515625" style="57" customWidth="1"/>
    <col min="2" max="2" width="7.140625" style="57" customWidth="1"/>
    <col min="3" max="3" width="21.7109375" style="57" customWidth="1"/>
    <col min="4" max="11" width="4.85546875" style="57" customWidth="1"/>
    <col min="12" max="12" width="17.85546875" style="380" customWidth="1"/>
    <col min="13" max="14" width="9.7109375" style="380" customWidth="1"/>
    <col min="15" max="15" width="18.5703125" style="380" customWidth="1"/>
    <col min="16" max="16" width="66.7109375" style="57" customWidth="1"/>
    <col min="17" max="17" width="4.42578125" style="57" customWidth="1"/>
    <col min="18" max="25" width="15.85546875" style="57" hidden="1" customWidth="1"/>
    <col min="26" max="26" width="21.28515625" style="57" hidden="1" customWidth="1"/>
    <col min="27" max="27" width="12" style="57" hidden="1" customWidth="1"/>
    <col min="28" max="36" width="9.140625" style="57" hidden="1" customWidth="1"/>
    <col min="37" max="37" width="6.42578125" style="57" customWidth="1"/>
    <col min="38" max="38" width="65.5703125" style="57" customWidth="1"/>
    <col min="39" max="40" width="9.140625" style="57" customWidth="1"/>
    <col min="41" max="16384" width="9.140625" style="57"/>
  </cols>
  <sheetData>
    <row r="1" spans="1:38" ht="43.5" customHeight="1" thickBot="1">
      <c r="A1" s="648" t="s">
        <v>47</v>
      </c>
      <c r="B1" s="648"/>
      <c r="C1" s="648"/>
      <c r="D1" s="648"/>
      <c r="E1" s="648"/>
      <c r="F1" s="648"/>
      <c r="G1" s="648"/>
      <c r="H1" s="648"/>
      <c r="I1" s="648"/>
      <c r="J1" s="648"/>
      <c r="K1" s="648"/>
      <c r="L1" s="648"/>
      <c r="M1" s="648"/>
      <c r="N1" s="648"/>
      <c r="O1" s="648"/>
      <c r="P1" s="648"/>
      <c r="Q1" s="314"/>
      <c r="R1" s="161"/>
      <c r="S1" s="161"/>
      <c r="T1" s="161"/>
      <c r="U1" s="161"/>
      <c r="V1" s="161"/>
      <c r="W1" s="161"/>
      <c r="X1" s="161"/>
      <c r="Y1" s="161"/>
      <c r="Z1" s="161"/>
      <c r="AA1" s="161"/>
      <c r="AB1" s="161"/>
      <c r="AC1" s="161"/>
      <c r="AK1" s="649" t="s">
        <v>48</v>
      </c>
      <c r="AL1" s="649"/>
    </row>
    <row r="2" spans="1:38" ht="43.5" customHeight="1" thickBot="1">
      <c r="A2" s="651" t="s">
        <v>244</v>
      </c>
      <c r="B2" s="652"/>
      <c r="C2" s="652"/>
      <c r="D2" s="652"/>
      <c r="E2" s="652"/>
      <c r="F2" s="652"/>
      <c r="G2" s="652"/>
      <c r="H2" s="652"/>
      <c r="I2" s="652"/>
      <c r="J2" s="652"/>
      <c r="K2" s="652"/>
      <c r="L2" s="652"/>
      <c r="M2" s="652"/>
      <c r="N2" s="652"/>
      <c r="O2" s="652"/>
      <c r="P2" s="653"/>
      <c r="Q2" s="314"/>
      <c r="R2" s="161"/>
      <c r="S2" s="161"/>
      <c r="T2" s="161"/>
      <c r="U2" s="161"/>
      <c r="V2" s="161"/>
      <c r="W2" s="161"/>
      <c r="X2" s="161"/>
      <c r="Y2" s="161"/>
      <c r="Z2" s="161"/>
      <c r="AA2" s="161"/>
      <c r="AB2" s="161"/>
      <c r="AC2" s="161"/>
      <c r="AK2" s="649"/>
      <c r="AL2" s="649"/>
    </row>
    <row r="3" spans="1:38" ht="25.5" customHeight="1">
      <c r="A3" s="654" t="s">
        <v>4</v>
      </c>
      <c r="B3" s="654" t="s">
        <v>49</v>
      </c>
      <c r="C3" s="654" t="s">
        <v>50</v>
      </c>
      <c r="D3" s="656" t="s">
        <v>245</v>
      </c>
      <c r="E3" s="656"/>
      <c r="F3" s="657" t="s">
        <v>246</v>
      </c>
      <c r="G3" s="657"/>
      <c r="H3" s="658" t="s">
        <v>247</v>
      </c>
      <c r="I3" s="658"/>
      <c r="J3" s="659" t="s">
        <v>248</v>
      </c>
      <c r="K3" s="659"/>
      <c r="L3" s="662" t="s">
        <v>290</v>
      </c>
      <c r="M3" s="663"/>
      <c r="N3" s="663"/>
      <c r="O3" s="664"/>
      <c r="P3" s="660" t="s">
        <v>291</v>
      </c>
      <c r="Q3" s="314"/>
      <c r="R3" s="315" t="s">
        <v>44</v>
      </c>
      <c r="S3" s="647" t="s">
        <v>255</v>
      </c>
      <c r="T3" s="647"/>
      <c r="U3" s="647"/>
      <c r="V3" s="647"/>
      <c r="W3" s="647"/>
      <c r="X3" s="316"/>
      <c r="Y3" s="647" t="s">
        <v>256</v>
      </c>
      <c r="Z3" s="647"/>
      <c r="AA3" s="647"/>
      <c r="AB3" s="647"/>
      <c r="AC3" s="647"/>
      <c r="AD3" s="317"/>
      <c r="AE3" s="647" t="s">
        <v>257</v>
      </c>
      <c r="AF3" s="647"/>
      <c r="AG3" s="647"/>
      <c r="AH3" s="647"/>
      <c r="AI3" s="647"/>
      <c r="AK3" s="649"/>
      <c r="AL3" s="649"/>
    </row>
    <row r="4" spans="1:38" s="163" customFormat="1" ht="29.25" customHeight="1">
      <c r="A4" s="655"/>
      <c r="B4" s="655"/>
      <c r="C4" s="655"/>
      <c r="D4" s="318" t="s">
        <v>249</v>
      </c>
      <c r="E4" s="318" t="s">
        <v>250</v>
      </c>
      <c r="F4" s="319" t="s">
        <v>249</v>
      </c>
      <c r="G4" s="319" t="s">
        <v>250</v>
      </c>
      <c r="H4" s="320" t="s">
        <v>249</v>
      </c>
      <c r="I4" s="320" t="s">
        <v>250</v>
      </c>
      <c r="J4" s="321" t="s">
        <v>249</v>
      </c>
      <c r="K4" s="321" t="s">
        <v>250</v>
      </c>
      <c r="L4" s="665"/>
      <c r="M4" s="666"/>
      <c r="N4" s="666"/>
      <c r="O4" s="667"/>
      <c r="P4" s="661"/>
      <c r="Q4" s="322"/>
      <c r="R4" s="323"/>
      <c r="S4" s="324"/>
      <c r="T4" s="315">
        <v>1</v>
      </c>
      <c r="U4" s="315">
        <v>2</v>
      </c>
      <c r="V4" s="315">
        <v>3</v>
      </c>
      <c r="W4" s="315">
        <v>4</v>
      </c>
      <c r="X4" s="325"/>
      <c r="Y4" s="315"/>
      <c r="Z4" s="315">
        <v>1</v>
      </c>
      <c r="AA4" s="315">
        <v>2</v>
      </c>
      <c r="AB4" s="315">
        <v>3</v>
      </c>
      <c r="AC4" s="315">
        <v>4</v>
      </c>
      <c r="AD4" s="317"/>
      <c r="AE4" s="324"/>
      <c r="AF4" s="315">
        <v>1</v>
      </c>
      <c r="AG4" s="315">
        <v>2</v>
      </c>
      <c r="AH4" s="315">
        <v>3</v>
      </c>
      <c r="AI4" s="315">
        <v>4</v>
      </c>
      <c r="AJ4" s="57"/>
      <c r="AK4" s="650"/>
      <c r="AL4" s="650"/>
    </row>
    <row r="5" spans="1:38" ht="38.25" customHeight="1">
      <c r="A5" s="164">
        <v>1</v>
      </c>
      <c r="B5" s="165" t="str">
        <f>SISWA!B6</f>
        <v>1718250040305</v>
      </c>
      <c r="C5" s="166" t="str">
        <f>SISWA!E6</f>
        <v>YAHYA</v>
      </c>
      <c r="D5" s="329"/>
      <c r="E5" s="329"/>
      <c r="F5" s="329"/>
      <c r="G5" s="329"/>
      <c r="H5" s="329"/>
      <c r="I5" s="329"/>
      <c r="J5" s="329"/>
      <c r="K5" s="329"/>
      <c r="L5" s="378" t="str">
        <f>"Ananda "&amp;C5</f>
        <v>Ananda YAHYA</v>
      </c>
      <c r="M5" s="379" t="str">
        <f>IF(AND(T5="",U5="",V5="",W5=""),"","sangat baik dalam ")</f>
        <v/>
      </c>
      <c r="N5" s="379" t="str">
        <f>IF(AND(Z5="",AA5="",AB5="",AC5=""),"","baik dalam ")</f>
        <v xml:space="preserve">baik dalam </v>
      </c>
      <c r="O5" s="379" t="str">
        <f>IF(AND(AE5="",AF5="",AG5="",AH5=""),"","dan sudah mampu meningkatkan sikap ")</f>
        <v/>
      </c>
      <c r="P5" s="326" t="str">
        <f>L5&amp;" "&amp;M5&amp;T5&amp;U5&amp;V5&amp;W5&amp;N5&amp;Z5&amp;AA5&amp;AB5&amp;AC5&amp;O5&amp;AF5&amp;AG5&amp;AH5&amp;AI5</f>
        <v xml:space="preserve">Ananda YAHYA baik dalam  ketaatan beribadah,  berperilaku syukur,  berdoa sebelum dan sesudah melakukan kegiatan,  toleransi dalam beribadah, </v>
      </c>
      <c r="Q5" s="167"/>
      <c r="R5" s="327"/>
      <c r="S5" s="327" t="str">
        <f>IF(AND(T5="",U5="",V5="",W5=""),"","sangat baik dalam ")</f>
        <v/>
      </c>
      <c r="T5" s="327" t="str">
        <f t="shared" ref="T5:T36" si="0">IF($D5&gt;E5,($AL$5&amp;", "),"")</f>
        <v/>
      </c>
      <c r="U5" s="327" t="str">
        <f t="shared" ref="U5:U36" si="1">IF($F5&gt;G5,($AL$6&amp;", "),"")</f>
        <v/>
      </c>
      <c r="V5" s="327" t="str">
        <f t="shared" ref="V5:V36" si="2">IF($H5&gt;I5,($AL$7&amp;", "),"")</f>
        <v/>
      </c>
      <c r="W5" s="327" t="str">
        <f t="shared" ref="W5:W36" si="3">IF($J5&gt;K5,($AL$8&amp;", "),"")</f>
        <v/>
      </c>
      <c r="X5" s="327"/>
      <c r="Y5" s="327"/>
      <c r="Z5" s="327" t="str">
        <f t="shared" ref="Z5:Z36" si="4">IF(AND($S5&lt;&gt;"",$AE5&lt;&gt;""),"",IF(AND(T5="",AF5=""),$AL$5&amp;", ",""))</f>
        <v xml:space="preserve"> ketaatan beribadah, </v>
      </c>
      <c r="AA5" s="327" t="str">
        <f t="shared" ref="AA5:AA36" si="5">IF(AND($S5&lt;&gt;"",$AE5&lt;&gt;""),"",IF(AND(U5="",AG5=""),$AL$6&amp;", ",""))</f>
        <v xml:space="preserve"> berperilaku syukur, </v>
      </c>
      <c r="AB5" s="327" t="str">
        <f t="shared" ref="AB5:AB36" si="6">IF(AND($S5&lt;&gt;"",$AE5&lt;&gt;""),"",IF(AND(V5="",AH5=""),$AL$7&amp;", ",""))</f>
        <v xml:space="preserve"> berdoa sebelum dan sesudah melakukan kegiatan, </v>
      </c>
      <c r="AC5" s="327" t="str">
        <f t="shared" ref="AC5:AC36" si="7">IF(AND($S5&lt;&gt;"",$AE5&lt;&gt;""),"",IF(AND(W5="",AI5=""),$AL$8&amp;", ",""))</f>
        <v xml:space="preserve"> toleransi dalam beribadah, </v>
      </c>
      <c r="AD5" s="327"/>
      <c r="AE5" s="327"/>
      <c r="AF5" s="327" t="str">
        <f t="shared" ref="AF5:AF36" si="8">IF($E5&gt;D5,($AL$5&amp;", "),"")</f>
        <v/>
      </c>
      <c r="AG5" s="327" t="str">
        <f t="shared" ref="AG5:AG36" si="9">IF($G5&gt;F5,($AL$6&amp;", "),"")</f>
        <v/>
      </c>
      <c r="AH5" s="327" t="str">
        <f t="shared" ref="AH5:AH36" si="10">IF($I5&gt;H5,($AL$7&amp;", "),"")</f>
        <v/>
      </c>
      <c r="AI5" s="327" t="str">
        <f t="shared" ref="AI5:AI36" si="11">IF($K5&gt;J5,($AL$8&amp;", "),"")</f>
        <v/>
      </c>
      <c r="AK5" s="328">
        <v>1</v>
      </c>
      <c r="AL5" s="245" t="s">
        <v>251</v>
      </c>
    </row>
    <row r="6" spans="1:38" ht="38.25" customHeight="1">
      <c r="A6" s="169">
        <v>2</v>
      </c>
      <c r="B6" s="165" t="str">
        <f>SISWA!B7</f>
        <v>1718250040306</v>
      </c>
      <c r="C6" s="166" t="str">
        <f>SISWA!E7</f>
        <v>ADHWA</v>
      </c>
      <c r="D6" s="329"/>
      <c r="E6" s="329"/>
      <c r="F6" s="329"/>
      <c r="G6" s="329"/>
      <c r="H6" s="329"/>
      <c r="I6" s="329"/>
      <c r="J6" s="329"/>
      <c r="K6" s="329"/>
      <c r="L6" s="378" t="str">
        <f t="shared" ref="L6:L54" si="12">"Ananda "&amp;C6</f>
        <v>Ananda ADHWA</v>
      </c>
      <c r="M6" s="379" t="str">
        <f t="shared" ref="M6:M54" si="13">IF(AND(T6="",U6="",V6="",W6=""),"","sangat baik dalam ")</f>
        <v/>
      </c>
      <c r="N6" s="379" t="str">
        <f t="shared" ref="N6:N54" si="14">IF(AND(Z6="",AA6="",AB6="",AC6=""),"","baik dalam ")</f>
        <v xml:space="preserve">baik dalam </v>
      </c>
      <c r="O6" s="379" t="str">
        <f t="shared" ref="O6:O54" si="15">IF(AND(AE6="",AF6="",AG6="",AH6=""),"","dan sudah mampu meningkatkan sikap ")</f>
        <v/>
      </c>
      <c r="P6" s="326" t="str">
        <f t="shared" ref="P6:P54" si="16">L6&amp;" "&amp;M6&amp;T6&amp;U6&amp;V6&amp;W6&amp;N6&amp;Z6&amp;AA6&amp;AB6&amp;AC6&amp;O6&amp;AF6&amp;AG6&amp;AH6&amp;AI6</f>
        <v xml:space="preserve">Ananda ADHWA baik dalam  ketaatan beribadah,  berperilaku syukur,  berdoa sebelum dan sesudah melakukan kegiatan,  toleransi dalam beribadah, </v>
      </c>
      <c r="R6" s="327" t="str">
        <f t="shared" ref="R6:R54" si="17">"Ananda "&amp;C6</f>
        <v>Ananda ADHWA</v>
      </c>
      <c r="S6" s="327" t="str">
        <f t="shared" ref="S6:S54" si="18">IF(AND(T6="",U6="",V6="",W6=""),"","sangat baik dalam ")</f>
        <v/>
      </c>
      <c r="T6" s="327" t="str">
        <f t="shared" si="0"/>
        <v/>
      </c>
      <c r="U6" s="327" t="str">
        <f t="shared" si="1"/>
        <v/>
      </c>
      <c r="V6" s="327" t="str">
        <f t="shared" si="2"/>
        <v/>
      </c>
      <c r="W6" s="327" t="str">
        <f t="shared" si="3"/>
        <v/>
      </c>
      <c r="X6" s="327"/>
      <c r="Y6" s="327" t="str">
        <f t="shared" ref="Y6:Y54" si="19">IF(AND(Z6="",AA6="",AB6="",AC6=""),"","baik dalam ")</f>
        <v xml:space="preserve">baik dalam </v>
      </c>
      <c r="Z6" s="327" t="str">
        <f t="shared" si="4"/>
        <v xml:space="preserve"> ketaatan beribadah, </v>
      </c>
      <c r="AA6" s="327" t="str">
        <f t="shared" si="5"/>
        <v xml:space="preserve"> berperilaku syukur, </v>
      </c>
      <c r="AB6" s="327" t="str">
        <f t="shared" si="6"/>
        <v xml:space="preserve"> berdoa sebelum dan sesudah melakukan kegiatan, </v>
      </c>
      <c r="AC6" s="327" t="str">
        <f t="shared" si="7"/>
        <v xml:space="preserve"> toleransi dalam beribadah, </v>
      </c>
      <c r="AD6" s="327"/>
      <c r="AE6" s="327" t="str">
        <f t="shared" ref="AE6:AE54" si="20">IF(AND(AF6="",AG6="",AH6="",AI6=""),"","dan sudah mampu meningkatkan sikap ")</f>
        <v/>
      </c>
      <c r="AF6" s="327" t="str">
        <f t="shared" si="8"/>
        <v/>
      </c>
      <c r="AG6" s="327" t="str">
        <f t="shared" si="9"/>
        <v/>
      </c>
      <c r="AH6" s="327" t="str">
        <f t="shared" si="10"/>
        <v/>
      </c>
      <c r="AI6" s="327" t="str">
        <f t="shared" si="11"/>
        <v/>
      </c>
      <c r="AK6" s="328">
        <v>2</v>
      </c>
      <c r="AL6" s="245" t="s">
        <v>252</v>
      </c>
    </row>
    <row r="7" spans="1:38" ht="38.25" customHeight="1">
      <c r="A7" s="164">
        <v>3</v>
      </c>
      <c r="B7" s="165" t="str">
        <f>SISWA!B8</f>
        <v xml:space="preserve"> 1718250040307</v>
      </c>
      <c r="C7" s="166" t="str">
        <f>SISWA!E8</f>
        <v>ANDHIKA</v>
      </c>
      <c r="D7" s="329"/>
      <c r="E7" s="329"/>
      <c r="F7" s="329"/>
      <c r="G7" s="329"/>
      <c r="H7" s="329"/>
      <c r="I7" s="329"/>
      <c r="J7" s="329"/>
      <c r="K7" s="329"/>
      <c r="L7" s="378" t="str">
        <f t="shared" si="12"/>
        <v>Ananda ANDHIKA</v>
      </c>
      <c r="M7" s="379" t="str">
        <f t="shared" si="13"/>
        <v/>
      </c>
      <c r="N7" s="379" t="str">
        <f t="shared" si="14"/>
        <v xml:space="preserve">baik dalam </v>
      </c>
      <c r="O7" s="379" t="str">
        <f t="shared" si="15"/>
        <v/>
      </c>
      <c r="P7" s="326" t="str">
        <f t="shared" si="16"/>
        <v xml:space="preserve">Ananda ANDHIKA baik dalam  ketaatan beribadah,  berperilaku syukur,  berdoa sebelum dan sesudah melakukan kegiatan,  toleransi dalam beribadah, </v>
      </c>
      <c r="R7" s="327" t="str">
        <f t="shared" si="17"/>
        <v>Ananda ANDHIKA</v>
      </c>
      <c r="S7" s="327" t="str">
        <f t="shared" si="18"/>
        <v/>
      </c>
      <c r="T7" s="327" t="str">
        <f t="shared" si="0"/>
        <v/>
      </c>
      <c r="U7" s="327" t="str">
        <f t="shared" si="1"/>
        <v/>
      </c>
      <c r="V7" s="327" t="str">
        <f t="shared" si="2"/>
        <v/>
      </c>
      <c r="W7" s="327" t="str">
        <f t="shared" si="3"/>
        <v/>
      </c>
      <c r="X7" s="327"/>
      <c r="Y7" s="327" t="str">
        <f t="shared" si="19"/>
        <v xml:space="preserve">baik dalam </v>
      </c>
      <c r="Z7" s="327" t="str">
        <f t="shared" si="4"/>
        <v xml:space="preserve"> ketaatan beribadah, </v>
      </c>
      <c r="AA7" s="327" t="str">
        <f t="shared" si="5"/>
        <v xml:space="preserve"> berperilaku syukur, </v>
      </c>
      <c r="AB7" s="327" t="str">
        <f t="shared" si="6"/>
        <v xml:space="preserve"> berdoa sebelum dan sesudah melakukan kegiatan, </v>
      </c>
      <c r="AC7" s="327" t="str">
        <f t="shared" si="7"/>
        <v xml:space="preserve"> toleransi dalam beribadah, </v>
      </c>
      <c r="AD7" s="327"/>
      <c r="AE7" s="327" t="str">
        <f t="shared" si="20"/>
        <v/>
      </c>
      <c r="AF7" s="327" t="str">
        <f t="shared" si="8"/>
        <v/>
      </c>
      <c r="AG7" s="327" t="str">
        <f t="shared" si="9"/>
        <v/>
      </c>
      <c r="AH7" s="327" t="str">
        <f t="shared" si="10"/>
        <v/>
      </c>
      <c r="AI7" s="327" t="str">
        <f t="shared" si="11"/>
        <v/>
      </c>
      <c r="AK7" s="328">
        <v>3</v>
      </c>
      <c r="AL7" s="245" t="s">
        <v>253</v>
      </c>
    </row>
    <row r="8" spans="1:38" ht="38.25" customHeight="1">
      <c r="A8" s="169">
        <v>4</v>
      </c>
      <c r="B8" s="165" t="str">
        <f>SISWA!B9</f>
        <v xml:space="preserve"> 1718250040308</v>
      </c>
      <c r="C8" s="166" t="str">
        <f>SISWA!E9</f>
        <v>ANGGARA</v>
      </c>
      <c r="D8" s="329"/>
      <c r="E8" s="329"/>
      <c r="F8" s="329"/>
      <c r="G8" s="329"/>
      <c r="H8" s="329"/>
      <c r="I8" s="329"/>
      <c r="J8" s="329"/>
      <c r="K8" s="329"/>
      <c r="L8" s="378" t="str">
        <f t="shared" si="12"/>
        <v>Ananda ANGGARA</v>
      </c>
      <c r="M8" s="379" t="str">
        <f t="shared" si="13"/>
        <v/>
      </c>
      <c r="N8" s="379" t="str">
        <f t="shared" si="14"/>
        <v xml:space="preserve">baik dalam </v>
      </c>
      <c r="O8" s="379" t="str">
        <f t="shared" si="15"/>
        <v/>
      </c>
      <c r="P8" s="326" t="str">
        <f t="shared" si="16"/>
        <v xml:space="preserve">Ananda ANGGARA baik dalam  ketaatan beribadah,  berperilaku syukur,  berdoa sebelum dan sesudah melakukan kegiatan,  toleransi dalam beribadah, </v>
      </c>
      <c r="R8" s="327" t="str">
        <f t="shared" si="17"/>
        <v>Ananda ANGGARA</v>
      </c>
      <c r="S8" s="327" t="str">
        <f t="shared" si="18"/>
        <v/>
      </c>
      <c r="T8" s="327" t="str">
        <f t="shared" si="0"/>
        <v/>
      </c>
      <c r="U8" s="327" t="str">
        <f t="shared" si="1"/>
        <v/>
      </c>
      <c r="V8" s="327" t="str">
        <f t="shared" si="2"/>
        <v/>
      </c>
      <c r="W8" s="327" t="str">
        <f t="shared" si="3"/>
        <v/>
      </c>
      <c r="X8" s="327"/>
      <c r="Y8" s="327" t="str">
        <f t="shared" si="19"/>
        <v xml:space="preserve">baik dalam </v>
      </c>
      <c r="Z8" s="327" t="str">
        <f t="shared" si="4"/>
        <v xml:space="preserve"> ketaatan beribadah, </v>
      </c>
      <c r="AA8" s="327" t="str">
        <f t="shared" si="5"/>
        <v xml:space="preserve"> berperilaku syukur, </v>
      </c>
      <c r="AB8" s="327" t="str">
        <f t="shared" si="6"/>
        <v xml:space="preserve"> berdoa sebelum dan sesudah melakukan kegiatan, </v>
      </c>
      <c r="AC8" s="327" t="str">
        <f t="shared" si="7"/>
        <v xml:space="preserve"> toleransi dalam beribadah, </v>
      </c>
      <c r="AD8" s="327"/>
      <c r="AE8" s="327" t="str">
        <f t="shared" si="20"/>
        <v/>
      </c>
      <c r="AF8" s="327" t="str">
        <f t="shared" si="8"/>
        <v/>
      </c>
      <c r="AG8" s="327" t="str">
        <f t="shared" si="9"/>
        <v/>
      </c>
      <c r="AH8" s="327" t="str">
        <f t="shared" si="10"/>
        <v/>
      </c>
      <c r="AI8" s="327" t="str">
        <f t="shared" si="11"/>
        <v/>
      </c>
      <c r="AK8" s="328">
        <v>4</v>
      </c>
      <c r="AL8" s="245" t="s">
        <v>254</v>
      </c>
    </row>
    <row r="9" spans="1:38" ht="38.25" customHeight="1">
      <c r="A9" s="164">
        <v>5</v>
      </c>
      <c r="B9" s="165" t="str">
        <f>SISWA!B10</f>
        <v>1718250040309</v>
      </c>
      <c r="C9" s="166" t="str">
        <f>SISWA!E10</f>
        <v>ARIA</v>
      </c>
      <c r="D9" s="329"/>
      <c r="E9" s="329"/>
      <c r="F9" s="329"/>
      <c r="G9" s="329"/>
      <c r="H9" s="329"/>
      <c r="I9" s="329"/>
      <c r="J9" s="329"/>
      <c r="K9" s="329"/>
      <c r="L9" s="378" t="str">
        <f t="shared" si="12"/>
        <v>Ananda ARIA</v>
      </c>
      <c r="M9" s="379" t="str">
        <f t="shared" si="13"/>
        <v/>
      </c>
      <c r="N9" s="379" t="str">
        <f t="shared" si="14"/>
        <v xml:space="preserve">baik dalam </v>
      </c>
      <c r="O9" s="379" t="str">
        <f t="shared" si="15"/>
        <v/>
      </c>
      <c r="P9" s="326" t="str">
        <f t="shared" si="16"/>
        <v xml:space="preserve">Ananda ARIA baik dalam  ketaatan beribadah,  berperilaku syukur,  berdoa sebelum dan sesudah melakukan kegiatan,  toleransi dalam beribadah, </v>
      </c>
      <c r="R9" s="327" t="str">
        <f t="shared" si="17"/>
        <v>Ananda ARIA</v>
      </c>
      <c r="S9" s="327" t="str">
        <f t="shared" si="18"/>
        <v/>
      </c>
      <c r="T9" s="327" t="str">
        <f t="shared" si="0"/>
        <v/>
      </c>
      <c r="U9" s="327" t="str">
        <f t="shared" si="1"/>
        <v/>
      </c>
      <c r="V9" s="327" t="str">
        <f t="shared" si="2"/>
        <v/>
      </c>
      <c r="W9" s="327" t="str">
        <f t="shared" si="3"/>
        <v/>
      </c>
      <c r="X9" s="327"/>
      <c r="Y9" s="327" t="str">
        <f t="shared" si="19"/>
        <v xml:space="preserve">baik dalam </v>
      </c>
      <c r="Z9" s="327" t="str">
        <f t="shared" si="4"/>
        <v xml:space="preserve"> ketaatan beribadah, </v>
      </c>
      <c r="AA9" s="327" t="str">
        <f t="shared" si="5"/>
        <v xml:space="preserve"> berperilaku syukur, </v>
      </c>
      <c r="AB9" s="327" t="str">
        <f t="shared" si="6"/>
        <v xml:space="preserve"> berdoa sebelum dan sesudah melakukan kegiatan, </v>
      </c>
      <c r="AC9" s="327" t="str">
        <f t="shared" si="7"/>
        <v xml:space="preserve"> toleransi dalam beribadah, </v>
      </c>
      <c r="AD9" s="327"/>
      <c r="AE9" s="327" t="str">
        <f t="shared" si="20"/>
        <v/>
      </c>
      <c r="AF9" s="327" t="str">
        <f t="shared" si="8"/>
        <v/>
      </c>
      <c r="AG9" s="327" t="str">
        <f t="shared" si="9"/>
        <v/>
      </c>
      <c r="AH9" s="327" t="str">
        <f t="shared" si="10"/>
        <v/>
      </c>
      <c r="AI9" s="327" t="str">
        <f t="shared" si="11"/>
        <v/>
      </c>
    </row>
    <row r="10" spans="1:38" ht="38.25" customHeight="1">
      <c r="A10" s="169">
        <v>6</v>
      </c>
      <c r="B10" s="165" t="str">
        <f>SISWA!B11</f>
        <v>1718250040310</v>
      </c>
      <c r="C10" s="166" t="str">
        <f>SISWA!E11</f>
        <v>CAHAYA</v>
      </c>
      <c r="D10" s="329"/>
      <c r="E10" s="329"/>
      <c r="F10" s="329"/>
      <c r="G10" s="329"/>
      <c r="H10" s="329"/>
      <c r="I10" s="329"/>
      <c r="J10" s="329"/>
      <c r="K10" s="329"/>
      <c r="L10" s="378" t="str">
        <f t="shared" si="12"/>
        <v>Ananda CAHAYA</v>
      </c>
      <c r="M10" s="379" t="str">
        <f t="shared" si="13"/>
        <v/>
      </c>
      <c r="N10" s="379" t="str">
        <f t="shared" si="14"/>
        <v xml:space="preserve">baik dalam </v>
      </c>
      <c r="O10" s="379" t="str">
        <f t="shared" si="15"/>
        <v/>
      </c>
      <c r="P10" s="326" t="str">
        <f t="shared" si="16"/>
        <v xml:space="preserve">Ananda CAHAYA baik dalam  ketaatan beribadah,  berperilaku syukur,  berdoa sebelum dan sesudah melakukan kegiatan,  toleransi dalam beribadah, </v>
      </c>
      <c r="R10" s="327" t="str">
        <f t="shared" si="17"/>
        <v>Ananda CAHAYA</v>
      </c>
      <c r="S10" s="327" t="str">
        <f t="shared" si="18"/>
        <v/>
      </c>
      <c r="T10" s="327" t="str">
        <f t="shared" si="0"/>
        <v/>
      </c>
      <c r="U10" s="327" t="str">
        <f t="shared" si="1"/>
        <v/>
      </c>
      <c r="V10" s="327" t="str">
        <f t="shared" si="2"/>
        <v/>
      </c>
      <c r="W10" s="327" t="str">
        <f t="shared" si="3"/>
        <v/>
      </c>
      <c r="X10" s="327"/>
      <c r="Y10" s="327" t="str">
        <f t="shared" si="19"/>
        <v xml:space="preserve">baik dalam </v>
      </c>
      <c r="Z10" s="327" t="str">
        <f t="shared" si="4"/>
        <v xml:space="preserve"> ketaatan beribadah, </v>
      </c>
      <c r="AA10" s="327" t="str">
        <f t="shared" si="5"/>
        <v xml:space="preserve"> berperilaku syukur, </v>
      </c>
      <c r="AB10" s="327" t="str">
        <f t="shared" si="6"/>
        <v xml:space="preserve"> berdoa sebelum dan sesudah melakukan kegiatan, </v>
      </c>
      <c r="AC10" s="327" t="str">
        <f t="shared" si="7"/>
        <v xml:space="preserve"> toleransi dalam beribadah, </v>
      </c>
      <c r="AD10" s="327"/>
      <c r="AE10" s="327" t="str">
        <f t="shared" si="20"/>
        <v/>
      </c>
      <c r="AF10" s="327" t="str">
        <f t="shared" si="8"/>
        <v/>
      </c>
      <c r="AG10" s="327" t="str">
        <f t="shared" si="9"/>
        <v/>
      </c>
      <c r="AH10" s="327" t="str">
        <f t="shared" si="10"/>
        <v/>
      </c>
      <c r="AI10" s="327" t="str">
        <f t="shared" si="11"/>
        <v/>
      </c>
    </row>
    <row r="11" spans="1:38" ht="38.25" customHeight="1">
      <c r="A11" s="164">
        <v>7</v>
      </c>
      <c r="B11" s="165" t="str">
        <f>SISWA!B12</f>
        <v>1718250040311</v>
      </c>
      <c r="C11" s="166" t="str">
        <f>SISWA!E12</f>
        <v>CALISTA</v>
      </c>
      <c r="D11" s="329"/>
      <c r="E11" s="329"/>
      <c r="F11" s="329"/>
      <c r="G11" s="329"/>
      <c r="H11" s="329"/>
      <c r="I11" s="329"/>
      <c r="J11" s="329"/>
      <c r="K11" s="329"/>
      <c r="L11" s="378" t="str">
        <f t="shared" si="12"/>
        <v>Ananda CALISTA</v>
      </c>
      <c r="M11" s="379" t="str">
        <f t="shared" si="13"/>
        <v/>
      </c>
      <c r="N11" s="379" t="str">
        <f t="shared" si="14"/>
        <v xml:space="preserve">baik dalam </v>
      </c>
      <c r="O11" s="379" t="str">
        <f t="shared" si="15"/>
        <v/>
      </c>
      <c r="P11" s="326" t="str">
        <f t="shared" si="16"/>
        <v xml:space="preserve">Ananda CALISTA baik dalam  ketaatan beribadah,  berperilaku syukur,  berdoa sebelum dan sesudah melakukan kegiatan,  toleransi dalam beribadah, </v>
      </c>
      <c r="R11" s="327" t="str">
        <f t="shared" si="17"/>
        <v>Ananda CALISTA</v>
      </c>
      <c r="S11" s="327" t="str">
        <f t="shared" si="18"/>
        <v/>
      </c>
      <c r="T11" s="327" t="str">
        <f t="shared" si="0"/>
        <v/>
      </c>
      <c r="U11" s="327" t="str">
        <f t="shared" si="1"/>
        <v/>
      </c>
      <c r="V11" s="327" t="str">
        <f t="shared" si="2"/>
        <v/>
      </c>
      <c r="W11" s="327" t="str">
        <f t="shared" si="3"/>
        <v/>
      </c>
      <c r="X11" s="327"/>
      <c r="Y11" s="327" t="str">
        <f t="shared" si="19"/>
        <v xml:space="preserve">baik dalam </v>
      </c>
      <c r="Z11" s="327" t="str">
        <f t="shared" si="4"/>
        <v xml:space="preserve"> ketaatan beribadah, </v>
      </c>
      <c r="AA11" s="327" t="str">
        <f t="shared" si="5"/>
        <v xml:space="preserve"> berperilaku syukur, </v>
      </c>
      <c r="AB11" s="327" t="str">
        <f t="shared" si="6"/>
        <v xml:space="preserve"> berdoa sebelum dan sesudah melakukan kegiatan, </v>
      </c>
      <c r="AC11" s="327" t="str">
        <f t="shared" si="7"/>
        <v xml:space="preserve"> toleransi dalam beribadah, </v>
      </c>
      <c r="AD11" s="327"/>
      <c r="AE11" s="327" t="str">
        <f t="shared" si="20"/>
        <v/>
      </c>
      <c r="AF11" s="327" t="str">
        <f t="shared" si="8"/>
        <v/>
      </c>
      <c r="AG11" s="327" t="str">
        <f t="shared" si="9"/>
        <v/>
      </c>
      <c r="AH11" s="327" t="str">
        <f t="shared" si="10"/>
        <v/>
      </c>
      <c r="AI11" s="327" t="str">
        <f t="shared" si="11"/>
        <v/>
      </c>
    </row>
    <row r="12" spans="1:38" ht="38.25" customHeight="1">
      <c r="A12" s="169">
        <v>8</v>
      </c>
      <c r="B12" s="165" t="str">
        <f>SISWA!B13</f>
        <v>1718250040312</v>
      </c>
      <c r="C12" s="166" t="str">
        <f>SISWA!E13</f>
        <v>CARISSA</v>
      </c>
      <c r="D12" s="329"/>
      <c r="E12" s="329"/>
      <c r="F12" s="329"/>
      <c r="G12" s="329"/>
      <c r="H12" s="329"/>
      <c r="I12" s="329"/>
      <c r="J12" s="329"/>
      <c r="K12" s="329"/>
      <c r="L12" s="378" t="str">
        <f t="shared" si="12"/>
        <v>Ananda CARISSA</v>
      </c>
      <c r="M12" s="379" t="str">
        <f t="shared" si="13"/>
        <v/>
      </c>
      <c r="N12" s="379" t="str">
        <f t="shared" si="14"/>
        <v xml:space="preserve">baik dalam </v>
      </c>
      <c r="O12" s="379" t="str">
        <f t="shared" si="15"/>
        <v/>
      </c>
      <c r="P12" s="326" t="str">
        <f t="shared" si="16"/>
        <v xml:space="preserve">Ananda CARISSA baik dalam  ketaatan beribadah,  berperilaku syukur,  berdoa sebelum dan sesudah melakukan kegiatan,  toleransi dalam beribadah, </v>
      </c>
      <c r="R12" s="327" t="str">
        <f t="shared" si="17"/>
        <v>Ananda CARISSA</v>
      </c>
      <c r="S12" s="327" t="str">
        <f t="shared" si="18"/>
        <v/>
      </c>
      <c r="T12" s="327" t="str">
        <f t="shared" si="0"/>
        <v/>
      </c>
      <c r="U12" s="327" t="str">
        <f t="shared" si="1"/>
        <v/>
      </c>
      <c r="V12" s="327" t="str">
        <f t="shared" si="2"/>
        <v/>
      </c>
      <c r="W12" s="327" t="str">
        <f t="shared" si="3"/>
        <v/>
      </c>
      <c r="X12" s="327"/>
      <c r="Y12" s="327" t="str">
        <f t="shared" si="19"/>
        <v xml:space="preserve">baik dalam </v>
      </c>
      <c r="Z12" s="327" t="str">
        <f t="shared" si="4"/>
        <v xml:space="preserve"> ketaatan beribadah, </v>
      </c>
      <c r="AA12" s="327" t="str">
        <f t="shared" si="5"/>
        <v xml:space="preserve"> berperilaku syukur, </v>
      </c>
      <c r="AB12" s="327" t="str">
        <f t="shared" si="6"/>
        <v xml:space="preserve"> berdoa sebelum dan sesudah melakukan kegiatan, </v>
      </c>
      <c r="AC12" s="327" t="str">
        <f t="shared" si="7"/>
        <v xml:space="preserve"> toleransi dalam beribadah, </v>
      </c>
      <c r="AD12" s="327"/>
      <c r="AE12" s="327" t="str">
        <f t="shared" si="20"/>
        <v/>
      </c>
      <c r="AF12" s="327" t="str">
        <f t="shared" si="8"/>
        <v/>
      </c>
      <c r="AG12" s="327" t="str">
        <f t="shared" si="9"/>
        <v/>
      </c>
      <c r="AH12" s="327" t="str">
        <f t="shared" si="10"/>
        <v/>
      </c>
      <c r="AI12" s="327" t="str">
        <f t="shared" si="11"/>
        <v/>
      </c>
    </row>
    <row r="13" spans="1:38" ht="38.25" customHeight="1">
      <c r="A13" s="164">
        <v>9</v>
      </c>
      <c r="B13" s="165" t="str">
        <f>SISWA!B14</f>
        <v>1718250040313</v>
      </c>
      <c r="C13" s="166" t="str">
        <f>SISWA!E14</f>
        <v>CHAIDAR</v>
      </c>
      <c r="D13" s="329"/>
      <c r="E13" s="329"/>
      <c r="F13" s="329"/>
      <c r="G13" s="329"/>
      <c r="H13" s="329"/>
      <c r="I13" s="329"/>
      <c r="J13" s="329"/>
      <c r="K13" s="329"/>
      <c r="L13" s="378" t="str">
        <f t="shared" si="12"/>
        <v>Ananda CHAIDAR</v>
      </c>
      <c r="M13" s="379" t="str">
        <f t="shared" si="13"/>
        <v/>
      </c>
      <c r="N13" s="379" t="str">
        <f t="shared" si="14"/>
        <v xml:space="preserve">baik dalam </v>
      </c>
      <c r="O13" s="379" t="str">
        <f t="shared" si="15"/>
        <v/>
      </c>
      <c r="P13" s="326" t="str">
        <f t="shared" si="16"/>
        <v xml:space="preserve">Ananda CHAIDAR baik dalam  ketaatan beribadah,  berperilaku syukur,  berdoa sebelum dan sesudah melakukan kegiatan,  toleransi dalam beribadah, </v>
      </c>
      <c r="R13" s="327" t="str">
        <f t="shared" si="17"/>
        <v>Ananda CHAIDAR</v>
      </c>
      <c r="S13" s="327" t="str">
        <f t="shared" si="18"/>
        <v/>
      </c>
      <c r="T13" s="327" t="str">
        <f t="shared" si="0"/>
        <v/>
      </c>
      <c r="U13" s="327" t="str">
        <f t="shared" si="1"/>
        <v/>
      </c>
      <c r="V13" s="327" t="str">
        <f t="shared" si="2"/>
        <v/>
      </c>
      <c r="W13" s="327" t="str">
        <f t="shared" si="3"/>
        <v/>
      </c>
      <c r="X13" s="327"/>
      <c r="Y13" s="327" t="str">
        <f t="shared" si="19"/>
        <v xml:space="preserve">baik dalam </v>
      </c>
      <c r="Z13" s="327" t="str">
        <f t="shared" si="4"/>
        <v xml:space="preserve"> ketaatan beribadah, </v>
      </c>
      <c r="AA13" s="327" t="str">
        <f t="shared" si="5"/>
        <v xml:space="preserve"> berperilaku syukur, </v>
      </c>
      <c r="AB13" s="327" t="str">
        <f t="shared" si="6"/>
        <v xml:space="preserve"> berdoa sebelum dan sesudah melakukan kegiatan, </v>
      </c>
      <c r="AC13" s="327" t="str">
        <f t="shared" si="7"/>
        <v xml:space="preserve"> toleransi dalam beribadah, </v>
      </c>
      <c r="AD13" s="327"/>
      <c r="AE13" s="327" t="str">
        <f t="shared" si="20"/>
        <v/>
      </c>
      <c r="AF13" s="327" t="str">
        <f t="shared" si="8"/>
        <v/>
      </c>
      <c r="AG13" s="327" t="str">
        <f t="shared" si="9"/>
        <v/>
      </c>
      <c r="AH13" s="327" t="str">
        <f t="shared" si="10"/>
        <v/>
      </c>
      <c r="AI13" s="327" t="str">
        <f t="shared" si="11"/>
        <v/>
      </c>
    </row>
    <row r="14" spans="1:38" ht="38.25" customHeight="1">
      <c r="A14" s="169">
        <v>10</v>
      </c>
      <c r="B14" s="165" t="str">
        <f>SISWA!B15</f>
        <v>1718250040314</v>
      </c>
      <c r="C14" s="166" t="str">
        <f>SISWA!E15</f>
        <v>DAVKA</v>
      </c>
      <c r="D14" s="329"/>
      <c r="E14" s="329"/>
      <c r="F14" s="329"/>
      <c r="G14" s="329"/>
      <c r="H14" s="329"/>
      <c r="I14" s="329"/>
      <c r="J14" s="329"/>
      <c r="K14" s="329"/>
      <c r="L14" s="378" t="str">
        <f t="shared" si="12"/>
        <v>Ananda DAVKA</v>
      </c>
      <c r="M14" s="379" t="str">
        <f t="shared" si="13"/>
        <v/>
      </c>
      <c r="N14" s="379" t="str">
        <f t="shared" si="14"/>
        <v xml:space="preserve">baik dalam </v>
      </c>
      <c r="O14" s="379" t="str">
        <f t="shared" si="15"/>
        <v/>
      </c>
      <c r="P14" s="326" t="str">
        <f t="shared" si="16"/>
        <v xml:space="preserve">Ananda DAVKA baik dalam  ketaatan beribadah,  berperilaku syukur,  berdoa sebelum dan sesudah melakukan kegiatan,  toleransi dalam beribadah, </v>
      </c>
      <c r="R14" s="327" t="str">
        <f t="shared" si="17"/>
        <v>Ananda DAVKA</v>
      </c>
      <c r="S14" s="327" t="str">
        <f t="shared" si="18"/>
        <v/>
      </c>
      <c r="T14" s="327" t="str">
        <f t="shared" si="0"/>
        <v/>
      </c>
      <c r="U14" s="327" t="str">
        <f t="shared" si="1"/>
        <v/>
      </c>
      <c r="V14" s="327" t="str">
        <f t="shared" si="2"/>
        <v/>
      </c>
      <c r="W14" s="327" t="str">
        <f t="shared" si="3"/>
        <v/>
      </c>
      <c r="X14" s="327"/>
      <c r="Y14" s="327" t="str">
        <f t="shared" si="19"/>
        <v xml:space="preserve">baik dalam </v>
      </c>
      <c r="Z14" s="327" t="str">
        <f t="shared" si="4"/>
        <v xml:space="preserve"> ketaatan beribadah, </v>
      </c>
      <c r="AA14" s="327" t="str">
        <f t="shared" si="5"/>
        <v xml:space="preserve"> berperilaku syukur, </v>
      </c>
      <c r="AB14" s="327" t="str">
        <f t="shared" si="6"/>
        <v xml:space="preserve"> berdoa sebelum dan sesudah melakukan kegiatan, </v>
      </c>
      <c r="AC14" s="327" t="str">
        <f t="shared" si="7"/>
        <v xml:space="preserve"> toleransi dalam beribadah, </v>
      </c>
      <c r="AD14" s="327"/>
      <c r="AE14" s="327" t="str">
        <f t="shared" si="20"/>
        <v/>
      </c>
      <c r="AF14" s="327" t="str">
        <f t="shared" si="8"/>
        <v/>
      </c>
      <c r="AG14" s="327" t="str">
        <f t="shared" si="9"/>
        <v/>
      </c>
      <c r="AH14" s="327" t="str">
        <f t="shared" si="10"/>
        <v/>
      </c>
      <c r="AI14" s="327" t="str">
        <f t="shared" si="11"/>
        <v/>
      </c>
    </row>
    <row r="15" spans="1:38" ht="38.25" customHeight="1">
      <c r="A15" s="164">
        <v>11</v>
      </c>
      <c r="B15" s="165" t="str">
        <f>SISWA!B16</f>
        <v>1718250040315</v>
      </c>
      <c r="C15" s="166" t="str">
        <f>SISWA!E16</f>
        <v>DZIBRIL</v>
      </c>
      <c r="D15" s="329"/>
      <c r="E15" s="329"/>
      <c r="F15" s="329"/>
      <c r="G15" s="329"/>
      <c r="H15" s="329"/>
      <c r="I15" s="329"/>
      <c r="J15" s="329"/>
      <c r="K15" s="329"/>
      <c r="L15" s="378" t="str">
        <f t="shared" si="12"/>
        <v>Ananda DZIBRIL</v>
      </c>
      <c r="M15" s="379" t="str">
        <f t="shared" si="13"/>
        <v/>
      </c>
      <c r="N15" s="379" t="str">
        <f t="shared" si="14"/>
        <v xml:space="preserve">baik dalam </v>
      </c>
      <c r="O15" s="379" t="str">
        <f t="shared" si="15"/>
        <v/>
      </c>
      <c r="P15" s="326" t="str">
        <f t="shared" si="16"/>
        <v xml:space="preserve">Ananda DZIBRIL baik dalam  ketaatan beribadah,  berperilaku syukur,  berdoa sebelum dan sesudah melakukan kegiatan,  toleransi dalam beribadah, </v>
      </c>
      <c r="R15" s="327" t="str">
        <f t="shared" si="17"/>
        <v>Ananda DZIBRIL</v>
      </c>
      <c r="S15" s="327" t="str">
        <f t="shared" si="18"/>
        <v/>
      </c>
      <c r="T15" s="327" t="str">
        <f t="shared" si="0"/>
        <v/>
      </c>
      <c r="U15" s="327" t="str">
        <f t="shared" si="1"/>
        <v/>
      </c>
      <c r="V15" s="327" t="str">
        <f t="shared" si="2"/>
        <v/>
      </c>
      <c r="W15" s="327" t="str">
        <f t="shared" si="3"/>
        <v/>
      </c>
      <c r="X15" s="327"/>
      <c r="Y15" s="327" t="str">
        <f t="shared" si="19"/>
        <v xml:space="preserve">baik dalam </v>
      </c>
      <c r="Z15" s="327" t="str">
        <f t="shared" si="4"/>
        <v xml:space="preserve"> ketaatan beribadah, </v>
      </c>
      <c r="AA15" s="327" t="str">
        <f t="shared" si="5"/>
        <v xml:space="preserve"> berperilaku syukur, </v>
      </c>
      <c r="AB15" s="327" t="str">
        <f t="shared" si="6"/>
        <v xml:space="preserve"> berdoa sebelum dan sesudah melakukan kegiatan, </v>
      </c>
      <c r="AC15" s="327" t="str">
        <f t="shared" si="7"/>
        <v xml:space="preserve"> toleransi dalam beribadah, </v>
      </c>
      <c r="AD15" s="327"/>
      <c r="AE15" s="327" t="str">
        <f t="shared" si="20"/>
        <v/>
      </c>
      <c r="AF15" s="327" t="str">
        <f t="shared" si="8"/>
        <v/>
      </c>
      <c r="AG15" s="327" t="str">
        <f t="shared" si="9"/>
        <v/>
      </c>
      <c r="AH15" s="327" t="str">
        <f t="shared" si="10"/>
        <v/>
      </c>
      <c r="AI15" s="327" t="str">
        <f t="shared" si="11"/>
        <v/>
      </c>
    </row>
    <row r="16" spans="1:38" ht="38.25" customHeight="1">
      <c r="A16" s="169">
        <v>12</v>
      </c>
      <c r="B16" s="165" t="str">
        <f>SISWA!B17</f>
        <v>1718250040316</v>
      </c>
      <c r="C16" s="166" t="str">
        <f>SISWA!E17</f>
        <v>ERICHA</v>
      </c>
      <c r="D16" s="329"/>
      <c r="E16" s="329"/>
      <c r="F16" s="329"/>
      <c r="G16" s="329"/>
      <c r="H16" s="329"/>
      <c r="I16" s="329"/>
      <c r="J16" s="329"/>
      <c r="K16" s="329"/>
      <c r="L16" s="378" t="str">
        <f t="shared" si="12"/>
        <v>Ananda ERICHA</v>
      </c>
      <c r="M16" s="379" t="str">
        <f t="shared" si="13"/>
        <v/>
      </c>
      <c r="N16" s="379" t="str">
        <f t="shared" si="14"/>
        <v xml:space="preserve">baik dalam </v>
      </c>
      <c r="O16" s="379" t="str">
        <f t="shared" si="15"/>
        <v/>
      </c>
      <c r="P16" s="326" t="str">
        <f t="shared" si="16"/>
        <v xml:space="preserve">Ananda ERICHA baik dalam  ketaatan beribadah,  berperilaku syukur,  berdoa sebelum dan sesudah melakukan kegiatan,  toleransi dalam beribadah, </v>
      </c>
      <c r="R16" s="327" t="str">
        <f t="shared" si="17"/>
        <v>Ananda ERICHA</v>
      </c>
      <c r="S16" s="327" t="str">
        <f t="shared" si="18"/>
        <v/>
      </c>
      <c r="T16" s="327" t="str">
        <f t="shared" si="0"/>
        <v/>
      </c>
      <c r="U16" s="327" t="str">
        <f t="shared" si="1"/>
        <v/>
      </c>
      <c r="V16" s="327" t="str">
        <f t="shared" si="2"/>
        <v/>
      </c>
      <c r="W16" s="327" t="str">
        <f t="shared" si="3"/>
        <v/>
      </c>
      <c r="X16" s="327"/>
      <c r="Y16" s="327" t="str">
        <f t="shared" si="19"/>
        <v xml:space="preserve">baik dalam </v>
      </c>
      <c r="Z16" s="327" t="str">
        <f t="shared" si="4"/>
        <v xml:space="preserve"> ketaatan beribadah, </v>
      </c>
      <c r="AA16" s="327" t="str">
        <f t="shared" si="5"/>
        <v xml:space="preserve"> berperilaku syukur, </v>
      </c>
      <c r="AB16" s="327" t="str">
        <f t="shared" si="6"/>
        <v xml:space="preserve"> berdoa sebelum dan sesudah melakukan kegiatan, </v>
      </c>
      <c r="AC16" s="327" t="str">
        <f t="shared" si="7"/>
        <v xml:space="preserve"> toleransi dalam beribadah, </v>
      </c>
      <c r="AD16" s="327"/>
      <c r="AE16" s="327" t="str">
        <f t="shared" si="20"/>
        <v/>
      </c>
      <c r="AF16" s="327" t="str">
        <f t="shared" si="8"/>
        <v/>
      </c>
      <c r="AG16" s="327" t="str">
        <f t="shared" si="9"/>
        <v/>
      </c>
      <c r="AH16" s="327" t="str">
        <f t="shared" si="10"/>
        <v/>
      </c>
      <c r="AI16" s="327" t="str">
        <f t="shared" si="11"/>
        <v/>
      </c>
    </row>
    <row r="17" spans="1:35" ht="38.25" customHeight="1">
      <c r="A17" s="164">
        <v>13</v>
      </c>
      <c r="B17" s="165" t="str">
        <f>SISWA!B18</f>
        <v>1718250040317</v>
      </c>
      <c r="C17" s="166" t="str">
        <f>SISWA!E18</f>
        <v>HISYAM</v>
      </c>
      <c r="D17" s="329"/>
      <c r="E17" s="329"/>
      <c r="F17" s="329"/>
      <c r="G17" s="329"/>
      <c r="H17" s="329"/>
      <c r="I17" s="329"/>
      <c r="J17" s="329"/>
      <c r="K17" s="329"/>
      <c r="L17" s="378" t="str">
        <f t="shared" si="12"/>
        <v>Ananda HISYAM</v>
      </c>
      <c r="M17" s="379" t="str">
        <f t="shared" si="13"/>
        <v/>
      </c>
      <c r="N17" s="379" t="str">
        <f t="shared" si="14"/>
        <v xml:space="preserve">baik dalam </v>
      </c>
      <c r="O17" s="379" t="str">
        <f t="shared" si="15"/>
        <v/>
      </c>
      <c r="P17" s="326" t="str">
        <f t="shared" si="16"/>
        <v xml:space="preserve">Ananda HISYAM baik dalam  ketaatan beribadah,  berperilaku syukur,  berdoa sebelum dan sesudah melakukan kegiatan,  toleransi dalam beribadah, </v>
      </c>
      <c r="R17" s="327" t="str">
        <f t="shared" si="17"/>
        <v>Ananda HISYAM</v>
      </c>
      <c r="S17" s="327" t="str">
        <f t="shared" si="18"/>
        <v/>
      </c>
      <c r="T17" s="327" t="str">
        <f t="shared" si="0"/>
        <v/>
      </c>
      <c r="U17" s="327" t="str">
        <f t="shared" si="1"/>
        <v/>
      </c>
      <c r="V17" s="327" t="str">
        <f t="shared" si="2"/>
        <v/>
      </c>
      <c r="W17" s="327" t="str">
        <f t="shared" si="3"/>
        <v/>
      </c>
      <c r="X17" s="327"/>
      <c r="Y17" s="327" t="str">
        <f t="shared" si="19"/>
        <v xml:space="preserve">baik dalam </v>
      </c>
      <c r="Z17" s="327" t="str">
        <f t="shared" si="4"/>
        <v xml:space="preserve"> ketaatan beribadah, </v>
      </c>
      <c r="AA17" s="327" t="str">
        <f t="shared" si="5"/>
        <v xml:space="preserve"> berperilaku syukur, </v>
      </c>
      <c r="AB17" s="327" t="str">
        <f t="shared" si="6"/>
        <v xml:space="preserve"> berdoa sebelum dan sesudah melakukan kegiatan, </v>
      </c>
      <c r="AC17" s="327" t="str">
        <f t="shared" si="7"/>
        <v xml:space="preserve"> toleransi dalam beribadah, </v>
      </c>
      <c r="AD17" s="327"/>
      <c r="AE17" s="327" t="str">
        <f t="shared" si="20"/>
        <v/>
      </c>
      <c r="AF17" s="327" t="str">
        <f t="shared" si="8"/>
        <v/>
      </c>
      <c r="AG17" s="327" t="str">
        <f t="shared" si="9"/>
        <v/>
      </c>
      <c r="AH17" s="327" t="str">
        <f t="shared" si="10"/>
        <v/>
      </c>
      <c r="AI17" s="327" t="str">
        <f t="shared" si="11"/>
        <v/>
      </c>
    </row>
    <row r="18" spans="1:35" ht="38.25" customHeight="1">
      <c r="A18" s="169">
        <v>14</v>
      </c>
      <c r="B18" s="165" t="str">
        <f>SISWA!B19</f>
        <v>1718250040318</v>
      </c>
      <c r="C18" s="166" t="str">
        <f>SISWA!E19</f>
        <v>FAUZI</v>
      </c>
      <c r="D18" s="329"/>
      <c r="E18" s="329"/>
      <c r="F18" s="329"/>
      <c r="G18" s="329"/>
      <c r="H18" s="329"/>
      <c r="I18" s="329"/>
      <c r="J18" s="329"/>
      <c r="K18" s="329"/>
      <c r="L18" s="378" t="str">
        <f t="shared" si="12"/>
        <v>Ananda FAUZI</v>
      </c>
      <c r="M18" s="379" t="str">
        <f t="shared" si="13"/>
        <v/>
      </c>
      <c r="N18" s="379" t="str">
        <f t="shared" si="14"/>
        <v xml:space="preserve">baik dalam </v>
      </c>
      <c r="O18" s="379" t="str">
        <f t="shared" si="15"/>
        <v/>
      </c>
      <c r="P18" s="326" t="str">
        <f t="shared" si="16"/>
        <v xml:space="preserve">Ananda FAUZI baik dalam  ketaatan beribadah,  berperilaku syukur,  berdoa sebelum dan sesudah melakukan kegiatan,  toleransi dalam beribadah, </v>
      </c>
      <c r="R18" s="327" t="str">
        <f t="shared" si="17"/>
        <v>Ananda FAUZI</v>
      </c>
      <c r="S18" s="327" t="str">
        <f t="shared" si="18"/>
        <v/>
      </c>
      <c r="T18" s="327" t="str">
        <f t="shared" si="0"/>
        <v/>
      </c>
      <c r="U18" s="327" t="str">
        <f t="shared" si="1"/>
        <v/>
      </c>
      <c r="V18" s="327" t="str">
        <f t="shared" si="2"/>
        <v/>
      </c>
      <c r="W18" s="327" t="str">
        <f t="shared" si="3"/>
        <v/>
      </c>
      <c r="X18" s="327"/>
      <c r="Y18" s="327" t="str">
        <f t="shared" si="19"/>
        <v xml:space="preserve">baik dalam </v>
      </c>
      <c r="Z18" s="327" t="str">
        <f t="shared" si="4"/>
        <v xml:space="preserve"> ketaatan beribadah, </v>
      </c>
      <c r="AA18" s="327" t="str">
        <f t="shared" si="5"/>
        <v xml:space="preserve"> berperilaku syukur, </v>
      </c>
      <c r="AB18" s="327" t="str">
        <f t="shared" si="6"/>
        <v xml:space="preserve"> berdoa sebelum dan sesudah melakukan kegiatan, </v>
      </c>
      <c r="AC18" s="327" t="str">
        <f t="shared" si="7"/>
        <v xml:space="preserve"> toleransi dalam beribadah, </v>
      </c>
      <c r="AD18" s="327"/>
      <c r="AE18" s="327" t="str">
        <f t="shared" si="20"/>
        <v/>
      </c>
      <c r="AF18" s="327" t="str">
        <f t="shared" si="8"/>
        <v/>
      </c>
      <c r="AG18" s="327" t="str">
        <f t="shared" si="9"/>
        <v/>
      </c>
      <c r="AH18" s="327" t="str">
        <f t="shared" si="10"/>
        <v/>
      </c>
      <c r="AI18" s="327" t="str">
        <f t="shared" si="11"/>
        <v/>
      </c>
    </row>
    <row r="19" spans="1:35" ht="38.25" customHeight="1">
      <c r="A19" s="164">
        <v>15</v>
      </c>
      <c r="B19" s="165" t="str">
        <f>SISWA!B20</f>
        <v>1718250040319</v>
      </c>
      <c r="C19" s="166" t="str">
        <f>SISWA!E20</f>
        <v>FIRLY</v>
      </c>
      <c r="D19" s="329"/>
      <c r="E19" s="329"/>
      <c r="F19" s="329"/>
      <c r="G19" s="329"/>
      <c r="H19" s="329"/>
      <c r="I19" s="329"/>
      <c r="J19" s="329"/>
      <c r="K19" s="329"/>
      <c r="L19" s="378" t="str">
        <f t="shared" si="12"/>
        <v>Ananda FIRLY</v>
      </c>
      <c r="M19" s="379" t="str">
        <f t="shared" si="13"/>
        <v/>
      </c>
      <c r="N19" s="379" t="str">
        <f t="shared" si="14"/>
        <v xml:space="preserve">baik dalam </v>
      </c>
      <c r="O19" s="379" t="str">
        <f t="shared" si="15"/>
        <v/>
      </c>
      <c r="P19" s="326" t="str">
        <f t="shared" si="16"/>
        <v xml:space="preserve">Ananda FIRLY baik dalam  ketaatan beribadah,  berperilaku syukur,  berdoa sebelum dan sesudah melakukan kegiatan,  toleransi dalam beribadah, </v>
      </c>
      <c r="R19" s="327" t="str">
        <f t="shared" si="17"/>
        <v>Ananda FIRLY</v>
      </c>
      <c r="S19" s="327" t="str">
        <f t="shared" si="18"/>
        <v/>
      </c>
      <c r="T19" s="327" t="str">
        <f t="shared" si="0"/>
        <v/>
      </c>
      <c r="U19" s="327" t="str">
        <f t="shared" si="1"/>
        <v/>
      </c>
      <c r="V19" s="327" t="str">
        <f t="shared" si="2"/>
        <v/>
      </c>
      <c r="W19" s="327" t="str">
        <f t="shared" si="3"/>
        <v/>
      </c>
      <c r="X19" s="327"/>
      <c r="Y19" s="327" t="str">
        <f t="shared" si="19"/>
        <v xml:space="preserve">baik dalam </v>
      </c>
      <c r="Z19" s="327" t="str">
        <f t="shared" si="4"/>
        <v xml:space="preserve"> ketaatan beribadah, </v>
      </c>
      <c r="AA19" s="327" t="str">
        <f t="shared" si="5"/>
        <v xml:space="preserve"> berperilaku syukur, </v>
      </c>
      <c r="AB19" s="327" t="str">
        <f t="shared" si="6"/>
        <v xml:space="preserve"> berdoa sebelum dan sesudah melakukan kegiatan, </v>
      </c>
      <c r="AC19" s="327" t="str">
        <f t="shared" si="7"/>
        <v xml:space="preserve"> toleransi dalam beribadah, </v>
      </c>
      <c r="AD19" s="327"/>
      <c r="AE19" s="327" t="str">
        <f t="shared" si="20"/>
        <v/>
      </c>
      <c r="AF19" s="327" t="str">
        <f t="shared" si="8"/>
        <v/>
      </c>
      <c r="AG19" s="327" t="str">
        <f t="shared" si="9"/>
        <v/>
      </c>
      <c r="AH19" s="327" t="str">
        <f t="shared" si="10"/>
        <v/>
      </c>
      <c r="AI19" s="327" t="str">
        <f t="shared" si="11"/>
        <v/>
      </c>
    </row>
    <row r="20" spans="1:35" ht="38.25" customHeight="1">
      <c r="A20" s="169">
        <v>16</v>
      </c>
      <c r="B20" s="165" t="str">
        <f>SISWA!B21</f>
        <v>1718250040320</v>
      </c>
      <c r="C20" s="166" t="str">
        <f>SISWA!E21</f>
        <v>HANA</v>
      </c>
      <c r="D20" s="329"/>
      <c r="E20" s="329"/>
      <c r="F20" s="329"/>
      <c r="G20" s="329"/>
      <c r="H20" s="329"/>
      <c r="I20" s="329"/>
      <c r="J20" s="329"/>
      <c r="K20" s="329"/>
      <c r="L20" s="378" t="str">
        <f t="shared" si="12"/>
        <v>Ananda HANA</v>
      </c>
      <c r="M20" s="379" t="str">
        <f t="shared" si="13"/>
        <v/>
      </c>
      <c r="N20" s="379" t="str">
        <f t="shared" si="14"/>
        <v xml:space="preserve">baik dalam </v>
      </c>
      <c r="O20" s="379" t="str">
        <f t="shared" si="15"/>
        <v/>
      </c>
      <c r="P20" s="326" t="str">
        <f t="shared" si="16"/>
        <v xml:space="preserve">Ananda HANA baik dalam  ketaatan beribadah,  berperilaku syukur,  berdoa sebelum dan sesudah melakukan kegiatan,  toleransi dalam beribadah, </v>
      </c>
      <c r="R20" s="327" t="str">
        <f t="shared" si="17"/>
        <v>Ananda HANA</v>
      </c>
      <c r="S20" s="327" t="str">
        <f t="shared" si="18"/>
        <v/>
      </c>
      <c r="T20" s="327" t="str">
        <f t="shared" si="0"/>
        <v/>
      </c>
      <c r="U20" s="327" t="str">
        <f t="shared" si="1"/>
        <v/>
      </c>
      <c r="V20" s="327" t="str">
        <f t="shared" si="2"/>
        <v/>
      </c>
      <c r="W20" s="327" t="str">
        <f t="shared" si="3"/>
        <v/>
      </c>
      <c r="X20" s="327"/>
      <c r="Y20" s="327" t="str">
        <f t="shared" si="19"/>
        <v xml:space="preserve">baik dalam </v>
      </c>
      <c r="Z20" s="327" t="str">
        <f t="shared" si="4"/>
        <v xml:space="preserve"> ketaatan beribadah, </v>
      </c>
      <c r="AA20" s="327" t="str">
        <f t="shared" si="5"/>
        <v xml:space="preserve"> berperilaku syukur, </v>
      </c>
      <c r="AB20" s="327" t="str">
        <f t="shared" si="6"/>
        <v xml:space="preserve"> berdoa sebelum dan sesudah melakukan kegiatan, </v>
      </c>
      <c r="AC20" s="327" t="str">
        <f t="shared" si="7"/>
        <v xml:space="preserve"> toleransi dalam beribadah, </v>
      </c>
      <c r="AD20" s="327"/>
      <c r="AE20" s="327" t="str">
        <f t="shared" si="20"/>
        <v/>
      </c>
      <c r="AF20" s="327" t="str">
        <f t="shared" si="8"/>
        <v/>
      </c>
      <c r="AG20" s="327" t="str">
        <f t="shared" si="9"/>
        <v/>
      </c>
      <c r="AH20" s="327" t="str">
        <f t="shared" si="10"/>
        <v/>
      </c>
      <c r="AI20" s="327" t="str">
        <f t="shared" si="11"/>
        <v/>
      </c>
    </row>
    <row r="21" spans="1:35" ht="38.25" customHeight="1">
      <c r="A21" s="164">
        <v>17</v>
      </c>
      <c r="B21" s="165" t="str">
        <f>SISWA!B22</f>
        <v>1718250040321</v>
      </c>
      <c r="C21" s="166" t="str">
        <f>SISWA!E22</f>
        <v>MALLA</v>
      </c>
      <c r="D21" s="329"/>
      <c r="E21" s="329"/>
      <c r="F21" s="329"/>
      <c r="G21" s="329"/>
      <c r="H21" s="329"/>
      <c r="I21" s="329"/>
      <c r="J21" s="329"/>
      <c r="K21" s="329"/>
      <c r="L21" s="378" t="str">
        <f t="shared" si="12"/>
        <v>Ananda MALLA</v>
      </c>
      <c r="M21" s="379" t="str">
        <f t="shared" si="13"/>
        <v/>
      </c>
      <c r="N21" s="379" t="str">
        <f t="shared" si="14"/>
        <v xml:space="preserve">baik dalam </v>
      </c>
      <c r="O21" s="379" t="str">
        <f t="shared" si="15"/>
        <v/>
      </c>
      <c r="P21" s="326" t="str">
        <f t="shared" si="16"/>
        <v xml:space="preserve">Ananda MALLA baik dalam  ketaatan beribadah,  berperilaku syukur,  berdoa sebelum dan sesudah melakukan kegiatan,  toleransi dalam beribadah, </v>
      </c>
      <c r="R21" s="327" t="str">
        <f t="shared" si="17"/>
        <v>Ananda MALLA</v>
      </c>
      <c r="S21" s="327" t="str">
        <f t="shared" si="18"/>
        <v/>
      </c>
      <c r="T21" s="327" t="str">
        <f t="shared" si="0"/>
        <v/>
      </c>
      <c r="U21" s="327" t="str">
        <f t="shared" si="1"/>
        <v/>
      </c>
      <c r="V21" s="327" t="str">
        <f t="shared" si="2"/>
        <v/>
      </c>
      <c r="W21" s="327" t="str">
        <f t="shared" si="3"/>
        <v/>
      </c>
      <c r="X21" s="327"/>
      <c r="Y21" s="327" t="str">
        <f t="shared" si="19"/>
        <v xml:space="preserve">baik dalam </v>
      </c>
      <c r="Z21" s="327" t="str">
        <f t="shared" si="4"/>
        <v xml:space="preserve"> ketaatan beribadah, </v>
      </c>
      <c r="AA21" s="327" t="str">
        <f t="shared" si="5"/>
        <v xml:space="preserve"> berperilaku syukur, </v>
      </c>
      <c r="AB21" s="327" t="str">
        <f t="shared" si="6"/>
        <v xml:space="preserve"> berdoa sebelum dan sesudah melakukan kegiatan, </v>
      </c>
      <c r="AC21" s="327" t="str">
        <f t="shared" si="7"/>
        <v xml:space="preserve"> toleransi dalam beribadah, </v>
      </c>
      <c r="AD21" s="327"/>
      <c r="AE21" s="327" t="str">
        <f t="shared" si="20"/>
        <v/>
      </c>
      <c r="AF21" s="327" t="str">
        <f t="shared" si="8"/>
        <v/>
      </c>
      <c r="AG21" s="327" t="str">
        <f t="shared" si="9"/>
        <v/>
      </c>
      <c r="AH21" s="327" t="str">
        <f t="shared" si="10"/>
        <v/>
      </c>
      <c r="AI21" s="327" t="str">
        <f t="shared" si="11"/>
        <v/>
      </c>
    </row>
    <row r="22" spans="1:35" ht="38.25" customHeight="1">
      <c r="A22" s="169">
        <v>18</v>
      </c>
      <c r="B22" s="165" t="str">
        <f>SISWA!B23</f>
        <v>1718250040322</v>
      </c>
      <c r="C22" s="166" t="str">
        <f>SISWA!E23</f>
        <v>INTAN</v>
      </c>
      <c r="D22" s="329"/>
      <c r="E22" s="329"/>
      <c r="F22" s="329"/>
      <c r="G22" s="329"/>
      <c r="H22" s="329"/>
      <c r="I22" s="329"/>
      <c r="J22" s="329"/>
      <c r="K22" s="329"/>
      <c r="L22" s="378" t="str">
        <f t="shared" si="12"/>
        <v>Ananda INTAN</v>
      </c>
      <c r="M22" s="379" t="str">
        <f t="shared" si="13"/>
        <v/>
      </c>
      <c r="N22" s="379" t="str">
        <f t="shared" si="14"/>
        <v xml:space="preserve">baik dalam </v>
      </c>
      <c r="O22" s="379" t="str">
        <f t="shared" si="15"/>
        <v/>
      </c>
      <c r="P22" s="326" t="str">
        <f t="shared" si="16"/>
        <v xml:space="preserve">Ananda INTAN baik dalam  ketaatan beribadah,  berperilaku syukur,  berdoa sebelum dan sesudah melakukan kegiatan,  toleransi dalam beribadah, </v>
      </c>
      <c r="R22" s="327" t="str">
        <f t="shared" si="17"/>
        <v>Ananda INTAN</v>
      </c>
      <c r="S22" s="327" t="str">
        <f t="shared" si="18"/>
        <v/>
      </c>
      <c r="T22" s="327" t="str">
        <f t="shared" si="0"/>
        <v/>
      </c>
      <c r="U22" s="327" t="str">
        <f t="shared" si="1"/>
        <v/>
      </c>
      <c r="V22" s="327" t="str">
        <f t="shared" si="2"/>
        <v/>
      </c>
      <c r="W22" s="327" t="str">
        <f t="shared" si="3"/>
        <v/>
      </c>
      <c r="X22" s="327"/>
      <c r="Y22" s="327" t="str">
        <f t="shared" si="19"/>
        <v xml:space="preserve">baik dalam </v>
      </c>
      <c r="Z22" s="327" t="str">
        <f t="shared" si="4"/>
        <v xml:space="preserve"> ketaatan beribadah, </v>
      </c>
      <c r="AA22" s="327" t="str">
        <f t="shared" si="5"/>
        <v xml:space="preserve"> berperilaku syukur, </v>
      </c>
      <c r="AB22" s="327" t="str">
        <f t="shared" si="6"/>
        <v xml:space="preserve"> berdoa sebelum dan sesudah melakukan kegiatan, </v>
      </c>
      <c r="AC22" s="327" t="str">
        <f t="shared" si="7"/>
        <v xml:space="preserve"> toleransi dalam beribadah, </v>
      </c>
      <c r="AD22" s="327"/>
      <c r="AE22" s="327" t="str">
        <f t="shared" si="20"/>
        <v/>
      </c>
      <c r="AF22" s="327" t="str">
        <f t="shared" si="8"/>
        <v/>
      </c>
      <c r="AG22" s="327" t="str">
        <f t="shared" si="9"/>
        <v/>
      </c>
      <c r="AH22" s="327" t="str">
        <f t="shared" si="10"/>
        <v/>
      </c>
      <c r="AI22" s="327" t="str">
        <f t="shared" si="11"/>
        <v/>
      </c>
    </row>
    <row r="23" spans="1:35" ht="38.25" customHeight="1">
      <c r="A23" s="164">
        <v>19</v>
      </c>
      <c r="B23" s="165" t="str">
        <f>SISWA!B24</f>
        <v>1718250040323</v>
      </c>
      <c r="C23" s="166" t="str">
        <f>SISWA!E24</f>
        <v>JORDY</v>
      </c>
      <c r="D23" s="329"/>
      <c r="E23" s="329"/>
      <c r="F23" s="329"/>
      <c r="G23" s="329"/>
      <c r="H23" s="329"/>
      <c r="I23" s="329"/>
      <c r="J23" s="329"/>
      <c r="K23" s="329"/>
      <c r="L23" s="378" t="str">
        <f t="shared" si="12"/>
        <v>Ananda JORDY</v>
      </c>
      <c r="M23" s="379" t="str">
        <f t="shared" si="13"/>
        <v/>
      </c>
      <c r="N23" s="379" t="str">
        <f t="shared" si="14"/>
        <v xml:space="preserve">baik dalam </v>
      </c>
      <c r="O23" s="379" t="str">
        <f t="shared" si="15"/>
        <v/>
      </c>
      <c r="P23" s="326" t="str">
        <f t="shared" si="16"/>
        <v xml:space="preserve">Ananda JORDY baik dalam  ketaatan beribadah,  berperilaku syukur,  berdoa sebelum dan sesudah melakukan kegiatan,  toleransi dalam beribadah, </v>
      </c>
      <c r="R23" s="327" t="str">
        <f t="shared" si="17"/>
        <v>Ananda JORDY</v>
      </c>
      <c r="S23" s="327" t="str">
        <f t="shared" si="18"/>
        <v/>
      </c>
      <c r="T23" s="327" t="str">
        <f t="shared" si="0"/>
        <v/>
      </c>
      <c r="U23" s="327" t="str">
        <f t="shared" si="1"/>
        <v/>
      </c>
      <c r="V23" s="327" t="str">
        <f t="shared" si="2"/>
        <v/>
      </c>
      <c r="W23" s="327" t="str">
        <f t="shared" si="3"/>
        <v/>
      </c>
      <c r="X23" s="327"/>
      <c r="Y23" s="327" t="str">
        <f t="shared" si="19"/>
        <v xml:space="preserve">baik dalam </v>
      </c>
      <c r="Z23" s="327" t="str">
        <f t="shared" si="4"/>
        <v xml:space="preserve"> ketaatan beribadah, </v>
      </c>
      <c r="AA23" s="327" t="str">
        <f t="shared" si="5"/>
        <v xml:space="preserve"> berperilaku syukur, </v>
      </c>
      <c r="AB23" s="327" t="str">
        <f t="shared" si="6"/>
        <v xml:space="preserve"> berdoa sebelum dan sesudah melakukan kegiatan, </v>
      </c>
      <c r="AC23" s="327" t="str">
        <f t="shared" si="7"/>
        <v xml:space="preserve"> toleransi dalam beribadah, </v>
      </c>
      <c r="AD23" s="327"/>
      <c r="AE23" s="327" t="str">
        <f t="shared" si="20"/>
        <v/>
      </c>
      <c r="AF23" s="327" t="str">
        <f t="shared" si="8"/>
        <v/>
      </c>
      <c r="AG23" s="327" t="str">
        <f t="shared" si="9"/>
        <v/>
      </c>
      <c r="AH23" s="327" t="str">
        <f t="shared" si="10"/>
        <v/>
      </c>
      <c r="AI23" s="327" t="str">
        <f t="shared" si="11"/>
        <v/>
      </c>
    </row>
    <row r="24" spans="1:35" ht="38.25" customHeight="1">
      <c r="A24" s="169">
        <v>20</v>
      </c>
      <c r="B24" s="165" t="str">
        <f>SISWA!B25</f>
        <v>1718250040324</v>
      </c>
      <c r="C24" s="166" t="str">
        <f>SISWA!E25</f>
        <v>KURNIA</v>
      </c>
      <c r="D24" s="329"/>
      <c r="E24" s="329"/>
      <c r="F24" s="329"/>
      <c r="G24" s="329"/>
      <c r="H24" s="329"/>
      <c r="I24" s="329"/>
      <c r="J24" s="329"/>
      <c r="K24" s="329"/>
      <c r="L24" s="378" t="str">
        <f t="shared" si="12"/>
        <v>Ananda KURNIA</v>
      </c>
      <c r="M24" s="379" t="str">
        <f t="shared" si="13"/>
        <v/>
      </c>
      <c r="N24" s="379" t="str">
        <f t="shared" si="14"/>
        <v xml:space="preserve">baik dalam </v>
      </c>
      <c r="O24" s="379" t="str">
        <f t="shared" si="15"/>
        <v/>
      </c>
      <c r="P24" s="326" t="str">
        <f t="shared" si="16"/>
        <v xml:space="preserve">Ananda KURNIA baik dalam  ketaatan beribadah,  berperilaku syukur,  berdoa sebelum dan sesudah melakukan kegiatan,  toleransi dalam beribadah, </v>
      </c>
      <c r="R24" s="327" t="str">
        <f t="shared" si="17"/>
        <v>Ananda KURNIA</v>
      </c>
      <c r="S24" s="327" t="str">
        <f t="shared" si="18"/>
        <v/>
      </c>
      <c r="T24" s="327" t="str">
        <f t="shared" si="0"/>
        <v/>
      </c>
      <c r="U24" s="327" t="str">
        <f t="shared" si="1"/>
        <v/>
      </c>
      <c r="V24" s="327" t="str">
        <f t="shared" si="2"/>
        <v/>
      </c>
      <c r="W24" s="327" t="str">
        <f t="shared" si="3"/>
        <v/>
      </c>
      <c r="X24" s="327"/>
      <c r="Y24" s="327" t="str">
        <f t="shared" si="19"/>
        <v xml:space="preserve">baik dalam </v>
      </c>
      <c r="Z24" s="327" t="str">
        <f t="shared" si="4"/>
        <v xml:space="preserve"> ketaatan beribadah, </v>
      </c>
      <c r="AA24" s="327" t="str">
        <f t="shared" si="5"/>
        <v xml:space="preserve"> berperilaku syukur, </v>
      </c>
      <c r="AB24" s="327" t="str">
        <f t="shared" si="6"/>
        <v xml:space="preserve"> berdoa sebelum dan sesudah melakukan kegiatan, </v>
      </c>
      <c r="AC24" s="327" t="str">
        <f t="shared" si="7"/>
        <v xml:space="preserve"> toleransi dalam beribadah, </v>
      </c>
      <c r="AD24" s="327"/>
      <c r="AE24" s="327" t="str">
        <f t="shared" si="20"/>
        <v/>
      </c>
      <c r="AF24" s="327" t="str">
        <f t="shared" si="8"/>
        <v/>
      </c>
      <c r="AG24" s="327" t="str">
        <f t="shared" si="9"/>
        <v/>
      </c>
      <c r="AH24" s="327" t="str">
        <f t="shared" si="10"/>
        <v/>
      </c>
      <c r="AI24" s="327" t="str">
        <f t="shared" si="11"/>
        <v/>
      </c>
    </row>
    <row r="25" spans="1:35" ht="38.25" customHeight="1">
      <c r="A25" s="164">
        <v>21</v>
      </c>
      <c r="B25" s="165" t="str">
        <f>SISWA!B26</f>
        <v>1718250040325</v>
      </c>
      <c r="C25" s="166" t="str">
        <f>SISWA!E26</f>
        <v>LATIZA</v>
      </c>
      <c r="D25" s="329"/>
      <c r="E25" s="329"/>
      <c r="F25" s="329"/>
      <c r="G25" s="329"/>
      <c r="H25" s="329"/>
      <c r="I25" s="329"/>
      <c r="J25" s="329"/>
      <c r="K25" s="329"/>
      <c r="L25" s="378" t="str">
        <f t="shared" si="12"/>
        <v>Ananda LATIZA</v>
      </c>
      <c r="M25" s="379" t="str">
        <f t="shared" si="13"/>
        <v/>
      </c>
      <c r="N25" s="379" t="str">
        <f t="shared" si="14"/>
        <v xml:space="preserve">baik dalam </v>
      </c>
      <c r="O25" s="379" t="str">
        <f t="shared" si="15"/>
        <v/>
      </c>
      <c r="P25" s="326" t="str">
        <f t="shared" si="16"/>
        <v xml:space="preserve">Ananda LATIZA baik dalam  ketaatan beribadah,  berperilaku syukur,  berdoa sebelum dan sesudah melakukan kegiatan,  toleransi dalam beribadah, </v>
      </c>
      <c r="R25" s="327" t="str">
        <f t="shared" si="17"/>
        <v>Ananda LATIZA</v>
      </c>
      <c r="S25" s="327" t="str">
        <f t="shared" si="18"/>
        <v/>
      </c>
      <c r="T25" s="327" t="str">
        <f t="shared" si="0"/>
        <v/>
      </c>
      <c r="U25" s="327" t="str">
        <f t="shared" si="1"/>
        <v/>
      </c>
      <c r="V25" s="327" t="str">
        <f t="shared" si="2"/>
        <v/>
      </c>
      <c r="W25" s="327" t="str">
        <f t="shared" si="3"/>
        <v/>
      </c>
      <c r="X25" s="327"/>
      <c r="Y25" s="327" t="str">
        <f t="shared" si="19"/>
        <v xml:space="preserve">baik dalam </v>
      </c>
      <c r="Z25" s="327" t="str">
        <f t="shared" si="4"/>
        <v xml:space="preserve"> ketaatan beribadah, </v>
      </c>
      <c r="AA25" s="327" t="str">
        <f t="shared" si="5"/>
        <v xml:space="preserve"> berperilaku syukur, </v>
      </c>
      <c r="AB25" s="327" t="str">
        <f t="shared" si="6"/>
        <v xml:space="preserve"> berdoa sebelum dan sesudah melakukan kegiatan, </v>
      </c>
      <c r="AC25" s="327" t="str">
        <f t="shared" si="7"/>
        <v xml:space="preserve"> toleransi dalam beribadah, </v>
      </c>
      <c r="AD25" s="327"/>
      <c r="AE25" s="327" t="str">
        <f t="shared" si="20"/>
        <v/>
      </c>
      <c r="AF25" s="327" t="str">
        <f t="shared" si="8"/>
        <v/>
      </c>
      <c r="AG25" s="327" t="str">
        <f t="shared" si="9"/>
        <v/>
      </c>
      <c r="AH25" s="327" t="str">
        <f t="shared" si="10"/>
        <v/>
      </c>
      <c r="AI25" s="327" t="str">
        <f t="shared" si="11"/>
        <v/>
      </c>
    </row>
    <row r="26" spans="1:35" ht="38.25" customHeight="1">
      <c r="A26" s="169">
        <v>22</v>
      </c>
      <c r="B26" s="165" t="str">
        <f>SISWA!B27</f>
        <v>1718250040326</v>
      </c>
      <c r="C26" s="166" t="str">
        <f>SISWA!E27</f>
        <v>RIZKY</v>
      </c>
      <c r="D26" s="329"/>
      <c r="E26" s="329"/>
      <c r="F26" s="329"/>
      <c r="G26" s="329"/>
      <c r="H26" s="329"/>
      <c r="I26" s="329"/>
      <c r="J26" s="329"/>
      <c r="K26" s="329"/>
      <c r="L26" s="378" t="str">
        <f t="shared" si="12"/>
        <v>Ananda RIZKY</v>
      </c>
      <c r="M26" s="379" t="str">
        <f t="shared" si="13"/>
        <v/>
      </c>
      <c r="N26" s="379" t="str">
        <f t="shared" si="14"/>
        <v xml:space="preserve">baik dalam </v>
      </c>
      <c r="O26" s="379" t="str">
        <f t="shared" si="15"/>
        <v/>
      </c>
      <c r="P26" s="326" t="str">
        <f t="shared" si="16"/>
        <v xml:space="preserve">Ananda RIZKY baik dalam  ketaatan beribadah,  berperilaku syukur,  berdoa sebelum dan sesudah melakukan kegiatan,  toleransi dalam beribadah, </v>
      </c>
      <c r="R26" s="327" t="str">
        <f t="shared" si="17"/>
        <v>Ananda RIZKY</v>
      </c>
      <c r="S26" s="327" t="str">
        <f t="shared" si="18"/>
        <v/>
      </c>
      <c r="T26" s="327" t="str">
        <f t="shared" si="0"/>
        <v/>
      </c>
      <c r="U26" s="327" t="str">
        <f t="shared" si="1"/>
        <v/>
      </c>
      <c r="V26" s="327" t="str">
        <f t="shared" si="2"/>
        <v/>
      </c>
      <c r="W26" s="327" t="str">
        <f t="shared" si="3"/>
        <v/>
      </c>
      <c r="X26" s="327"/>
      <c r="Y26" s="327" t="str">
        <f t="shared" si="19"/>
        <v xml:space="preserve">baik dalam </v>
      </c>
      <c r="Z26" s="327" t="str">
        <f t="shared" si="4"/>
        <v xml:space="preserve"> ketaatan beribadah, </v>
      </c>
      <c r="AA26" s="327" t="str">
        <f t="shared" si="5"/>
        <v xml:space="preserve"> berperilaku syukur, </v>
      </c>
      <c r="AB26" s="327" t="str">
        <f t="shared" si="6"/>
        <v xml:space="preserve"> berdoa sebelum dan sesudah melakukan kegiatan, </v>
      </c>
      <c r="AC26" s="327" t="str">
        <f t="shared" si="7"/>
        <v xml:space="preserve"> toleransi dalam beribadah, </v>
      </c>
      <c r="AD26" s="327"/>
      <c r="AE26" s="327" t="str">
        <f t="shared" si="20"/>
        <v/>
      </c>
      <c r="AF26" s="327" t="str">
        <f t="shared" si="8"/>
        <v/>
      </c>
      <c r="AG26" s="327" t="str">
        <f t="shared" si="9"/>
        <v/>
      </c>
      <c r="AH26" s="327" t="str">
        <f t="shared" si="10"/>
        <v/>
      </c>
      <c r="AI26" s="327" t="str">
        <f t="shared" si="11"/>
        <v/>
      </c>
    </row>
    <row r="27" spans="1:35" ht="38.25" customHeight="1">
      <c r="A27" s="164">
        <v>23</v>
      </c>
      <c r="B27" s="165" t="str">
        <f>SISWA!B28</f>
        <v>1718250040327</v>
      </c>
      <c r="C27" s="166" t="str">
        <f>SISWA!E28</f>
        <v>RAMADHANDANI</v>
      </c>
      <c r="D27" s="329"/>
      <c r="E27" s="329"/>
      <c r="F27" s="329"/>
      <c r="G27" s="329"/>
      <c r="H27" s="329"/>
      <c r="I27" s="329"/>
      <c r="J27" s="329"/>
      <c r="K27" s="329"/>
      <c r="L27" s="378" t="str">
        <f t="shared" si="12"/>
        <v>Ananda RAMADHANDANI</v>
      </c>
      <c r="M27" s="379" t="str">
        <f t="shared" si="13"/>
        <v/>
      </c>
      <c r="N27" s="379" t="str">
        <f t="shared" si="14"/>
        <v xml:space="preserve">baik dalam </v>
      </c>
      <c r="O27" s="379" t="str">
        <f t="shared" si="15"/>
        <v/>
      </c>
      <c r="P27" s="326" t="str">
        <f t="shared" si="16"/>
        <v xml:space="preserve">Ananda RAMADHANDANI baik dalam  ketaatan beribadah,  berperilaku syukur,  berdoa sebelum dan sesudah melakukan kegiatan,  toleransi dalam beribadah, </v>
      </c>
      <c r="R27" s="327" t="str">
        <f t="shared" si="17"/>
        <v>Ananda RAMADHANDANI</v>
      </c>
      <c r="S27" s="327" t="str">
        <f t="shared" si="18"/>
        <v/>
      </c>
      <c r="T27" s="327" t="str">
        <f t="shared" si="0"/>
        <v/>
      </c>
      <c r="U27" s="327" t="str">
        <f t="shared" si="1"/>
        <v/>
      </c>
      <c r="V27" s="327" t="str">
        <f t="shared" si="2"/>
        <v/>
      </c>
      <c r="W27" s="327" t="str">
        <f t="shared" si="3"/>
        <v/>
      </c>
      <c r="X27" s="327"/>
      <c r="Y27" s="327" t="str">
        <f t="shared" si="19"/>
        <v xml:space="preserve">baik dalam </v>
      </c>
      <c r="Z27" s="327" t="str">
        <f t="shared" si="4"/>
        <v xml:space="preserve"> ketaatan beribadah, </v>
      </c>
      <c r="AA27" s="327" t="str">
        <f t="shared" si="5"/>
        <v xml:space="preserve"> berperilaku syukur, </v>
      </c>
      <c r="AB27" s="327" t="str">
        <f t="shared" si="6"/>
        <v xml:space="preserve"> berdoa sebelum dan sesudah melakukan kegiatan, </v>
      </c>
      <c r="AC27" s="327" t="str">
        <f t="shared" si="7"/>
        <v xml:space="preserve"> toleransi dalam beribadah, </v>
      </c>
      <c r="AD27" s="327"/>
      <c r="AE27" s="327" t="str">
        <f t="shared" si="20"/>
        <v/>
      </c>
      <c r="AF27" s="327" t="str">
        <f t="shared" si="8"/>
        <v/>
      </c>
      <c r="AG27" s="327" t="str">
        <f t="shared" si="9"/>
        <v/>
      </c>
      <c r="AH27" s="327" t="str">
        <f t="shared" si="10"/>
        <v/>
      </c>
      <c r="AI27" s="327" t="str">
        <f t="shared" si="11"/>
        <v/>
      </c>
    </row>
    <row r="28" spans="1:35" ht="38.25" customHeight="1">
      <c r="A28" s="169">
        <v>24</v>
      </c>
      <c r="B28" s="165" t="str">
        <f>SISWA!B29</f>
        <v>1718250040328</v>
      </c>
      <c r="C28" s="166" t="str">
        <f>SISWA!E29</f>
        <v>SYAEPUL</v>
      </c>
      <c r="D28" s="329"/>
      <c r="E28" s="329"/>
      <c r="F28" s="329"/>
      <c r="G28" s="329"/>
      <c r="H28" s="329"/>
      <c r="I28" s="329"/>
      <c r="J28" s="329"/>
      <c r="K28" s="329"/>
      <c r="L28" s="378" t="str">
        <f t="shared" si="12"/>
        <v>Ananda SYAEPUL</v>
      </c>
      <c r="M28" s="379" t="str">
        <f t="shared" si="13"/>
        <v/>
      </c>
      <c r="N28" s="379" t="str">
        <f t="shared" si="14"/>
        <v xml:space="preserve">baik dalam </v>
      </c>
      <c r="O28" s="379" t="str">
        <f t="shared" si="15"/>
        <v/>
      </c>
      <c r="P28" s="326" t="str">
        <f t="shared" si="16"/>
        <v xml:space="preserve">Ananda SYAEPUL baik dalam  ketaatan beribadah,  berperilaku syukur,  berdoa sebelum dan sesudah melakukan kegiatan,  toleransi dalam beribadah, </v>
      </c>
      <c r="R28" s="327" t="str">
        <f t="shared" si="17"/>
        <v>Ananda SYAEPUL</v>
      </c>
      <c r="S28" s="327" t="str">
        <f t="shared" si="18"/>
        <v/>
      </c>
      <c r="T28" s="327" t="str">
        <f t="shared" si="0"/>
        <v/>
      </c>
      <c r="U28" s="327" t="str">
        <f t="shared" si="1"/>
        <v/>
      </c>
      <c r="V28" s="327" t="str">
        <f t="shared" si="2"/>
        <v/>
      </c>
      <c r="W28" s="327" t="str">
        <f t="shared" si="3"/>
        <v/>
      </c>
      <c r="X28" s="327"/>
      <c r="Y28" s="327" t="str">
        <f t="shared" si="19"/>
        <v xml:space="preserve">baik dalam </v>
      </c>
      <c r="Z28" s="327" t="str">
        <f t="shared" si="4"/>
        <v xml:space="preserve"> ketaatan beribadah, </v>
      </c>
      <c r="AA28" s="327" t="str">
        <f t="shared" si="5"/>
        <v xml:space="preserve"> berperilaku syukur, </v>
      </c>
      <c r="AB28" s="327" t="str">
        <f t="shared" si="6"/>
        <v xml:space="preserve"> berdoa sebelum dan sesudah melakukan kegiatan, </v>
      </c>
      <c r="AC28" s="327" t="str">
        <f t="shared" si="7"/>
        <v xml:space="preserve"> toleransi dalam beribadah, </v>
      </c>
      <c r="AD28" s="327"/>
      <c r="AE28" s="327" t="str">
        <f t="shared" si="20"/>
        <v/>
      </c>
      <c r="AF28" s="327" t="str">
        <f t="shared" si="8"/>
        <v/>
      </c>
      <c r="AG28" s="327" t="str">
        <f t="shared" si="9"/>
        <v/>
      </c>
      <c r="AH28" s="327" t="str">
        <f t="shared" si="10"/>
        <v/>
      </c>
      <c r="AI28" s="327" t="str">
        <f t="shared" si="11"/>
        <v/>
      </c>
    </row>
    <row r="29" spans="1:35" ht="38.25" customHeight="1">
      <c r="A29" s="164">
        <v>25</v>
      </c>
      <c r="B29" s="165" t="str">
        <f>SISWA!B30</f>
        <v>1718250040329</v>
      </c>
      <c r="C29" s="166" t="str">
        <f>SISWA!E30</f>
        <v>ALIF</v>
      </c>
      <c r="D29" s="329"/>
      <c r="E29" s="329"/>
      <c r="F29" s="329"/>
      <c r="G29" s="329"/>
      <c r="H29" s="329"/>
      <c r="I29" s="329"/>
      <c r="J29" s="329"/>
      <c r="K29" s="329"/>
      <c r="L29" s="378" t="str">
        <f t="shared" si="12"/>
        <v>Ananda ALIF</v>
      </c>
      <c r="M29" s="379" t="str">
        <f t="shared" si="13"/>
        <v/>
      </c>
      <c r="N29" s="379" t="str">
        <f t="shared" si="14"/>
        <v xml:space="preserve">baik dalam </v>
      </c>
      <c r="O29" s="379" t="str">
        <f t="shared" si="15"/>
        <v/>
      </c>
      <c r="P29" s="326" t="str">
        <f t="shared" si="16"/>
        <v xml:space="preserve">Ananda ALIF baik dalam  ketaatan beribadah,  berperilaku syukur,  berdoa sebelum dan sesudah melakukan kegiatan,  toleransi dalam beribadah, </v>
      </c>
      <c r="R29" s="327" t="str">
        <f t="shared" si="17"/>
        <v>Ananda ALIF</v>
      </c>
      <c r="S29" s="327" t="str">
        <f t="shared" si="18"/>
        <v/>
      </c>
      <c r="T29" s="327" t="str">
        <f t="shared" si="0"/>
        <v/>
      </c>
      <c r="U29" s="327" t="str">
        <f t="shared" si="1"/>
        <v/>
      </c>
      <c r="V29" s="327" t="str">
        <f t="shared" si="2"/>
        <v/>
      </c>
      <c r="W29" s="327" t="str">
        <f t="shared" si="3"/>
        <v/>
      </c>
      <c r="X29" s="327"/>
      <c r="Y29" s="327" t="str">
        <f t="shared" si="19"/>
        <v xml:space="preserve">baik dalam </v>
      </c>
      <c r="Z29" s="327" t="str">
        <f t="shared" si="4"/>
        <v xml:space="preserve"> ketaatan beribadah, </v>
      </c>
      <c r="AA29" s="327" t="str">
        <f t="shared" si="5"/>
        <v xml:space="preserve"> berperilaku syukur, </v>
      </c>
      <c r="AB29" s="327" t="str">
        <f t="shared" si="6"/>
        <v xml:space="preserve"> berdoa sebelum dan sesudah melakukan kegiatan, </v>
      </c>
      <c r="AC29" s="327" t="str">
        <f t="shared" si="7"/>
        <v xml:space="preserve"> toleransi dalam beribadah, </v>
      </c>
      <c r="AD29" s="327"/>
      <c r="AE29" s="327" t="str">
        <f t="shared" si="20"/>
        <v/>
      </c>
      <c r="AF29" s="327" t="str">
        <f t="shared" si="8"/>
        <v/>
      </c>
      <c r="AG29" s="327" t="str">
        <f t="shared" si="9"/>
        <v/>
      </c>
      <c r="AH29" s="327" t="str">
        <f t="shared" si="10"/>
        <v/>
      </c>
      <c r="AI29" s="327" t="str">
        <f t="shared" si="11"/>
        <v/>
      </c>
    </row>
    <row r="30" spans="1:35" ht="38.25" customHeight="1">
      <c r="A30" s="169">
        <v>26</v>
      </c>
      <c r="B30" s="165" t="str">
        <f>SISWA!B31</f>
        <v>1718250040330</v>
      </c>
      <c r="C30" s="166" t="str">
        <f>SISWA!E31</f>
        <v>HIZKIEL</v>
      </c>
      <c r="D30" s="329"/>
      <c r="E30" s="329"/>
      <c r="F30" s="329"/>
      <c r="G30" s="329"/>
      <c r="H30" s="329"/>
      <c r="I30" s="329"/>
      <c r="J30" s="329"/>
      <c r="K30" s="329"/>
      <c r="L30" s="378" t="str">
        <f t="shared" si="12"/>
        <v>Ananda HIZKIEL</v>
      </c>
      <c r="M30" s="379" t="str">
        <f t="shared" si="13"/>
        <v/>
      </c>
      <c r="N30" s="379" t="str">
        <f t="shared" si="14"/>
        <v xml:space="preserve">baik dalam </v>
      </c>
      <c r="O30" s="379" t="str">
        <f t="shared" si="15"/>
        <v/>
      </c>
      <c r="P30" s="326" t="str">
        <f t="shared" si="16"/>
        <v xml:space="preserve">Ananda HIZKIEL baik dalam  ketaatan beribadah,  berperilaku syukur,  berdoa sebelum dan sesudah melakukan kegiatan,  toleransi dalam beribadah, </v>
      </c>
      <c r="R30" s="327" t="str">
        <f t="shared" si="17"/>
        <v>Ananda HIZKIEL</v>
      </c>
      <c r="S30" s="327" t="str">
        <f t="shared" si="18"/>
        <v/>
      </c>
      <c r="T30" s="327" t="str">
        <f t="shared" si="0"/>
        <v/>
      </c>
      <c r="U30" s="327" t="str">
        <f t="shared" si="1"/>
        <v/>
      </c>
      <c r="V30" s="327" t="str">
        <f t="shared" si="2"/>
        <v/>
      </c>
      <c r="W30" s="327" t="str">
        <f t="shared" si="3"/>
        <v/>
      </c>
      <c r="X30" s="327"/>
      <c r="Y30" s="327" t="str">
        <f t="shared" si="19"/>
        <v xml:space="preserve">baik dalam </v>
      </c>
      <c r="Z30" s="327" t="str">
        <f t="shared" si="4"/>
        <v xml:space="preserve"> ketaatan beribadah, </v>
      </c>
      <c r="AA30" s="327" t="str">
        <f t="shared" si="5"/>
        <v xml:space="preserve"> berperilaku syukur, </v>
      </c>
      <c r="AB30" s="327" t="str">
        <f t="shared" si="6"/>
        <v xml:space="preserve"> berdoa sebelum dan sesudah melakukan kegiatan, </v>
      </c>
      <c r="AC30" s="327" t="str">
        <f t="shared" si="7"/>
        <v xml:space="preserve"> toleransi dalam beribadah, </v>
      </c>
      <c r="AD30" s="327"/>
      <c r="AE30" s="327" t="str">
        <f t="shared" si="20"/>
        <v/>
      </c>
      <c r="AF30" s="327" t="str">
        <f t="shared" si="8"/>
        <v/>
      </c>
      <c r="AG30" s="327" t="str">
        <f t="shared" si="9"/>
        <v/>
      </c>
      <c r="AH30" s="327" t="str">
        <f t="shared" si="10"/>
        <v/>
      </c>
      <c r="AI30" s="327" t="str">
        <f t="shared" si="11"/>
        <v/>
      </c>
    </row>
    <row r="31" spans="1:35" ht="38.25" customHeight="1">
      <c r="A31" s="164">
        <v>27</v>
      </c>
      <c r="B31" s="165" t="str">
        <f>SISWA!B32</f>
        <v>1718250040331</v>
      </c>
      <c r="C31" s="166" t="str">
        <f>SISWA!E32</f>
        <v>LAEL</v>
      </c>
      <c r="D31" s="329"/>
      <c r="E31" s="329"/>
      <c r="F31" s="329"/>
      <c r="G31" s="329"/>
      <c r="H31" s="329"/>
      <c r="I31" s="329"/>
      <c r="J31" s="329"/>
      <c r="K31" s="329"/>
      <c r="L31" s="378" t="str">
        <f t="shared" si="12"/>
        <v>Ananda LAEL</v>
      </c>
      <c r="M31" s="379" t="str">
        <f t="shared" si="13"/>
        <v/>
      </c>
      <c r="N31" s="379" t="str">
        <f t="shared" si="14"/>
        <v xml:space="preserve">baik dalam </v>
      </c>
      <c r="O31" s="379" t="str">
        <f t="shared" si="15"/>
        <v/>
      </c>
      <c r="P31" s="326" t="str">
        <f t="shared" si="16"/>
        <v xml:space="preserve">Ananda LAEL baik dalam  ketaatan beribadah,  berperilaku syukur,  berdoa sebelum dan sesudah melakukan kegiatan,  toleransi dalam beribadah, </v>
      </c>
      <c r="R31" s="327" t="str">
        <f t="shared" si="17"/>
        <v>Ananda LAEL</v>
      </c>
      <c r="S31" s="327" t="str">
        <f t="shared" si="18"/>
        <v/>
      </c>
      <c r="T31" s="327" t="str">
        <f t="shared" si="0"/>
        <v/>
      </c>
      <c r="U31" s="327" t="str">
        <f t="shared" si="1"/>
        <v/>
      </c>
      <c r="V31" s="327" t="str">
        <f t="shared" si="2"/>
        <v/>
      </c>
      <c r="W31" s="327" t="str">
        <f t="shared" si="3"/>
        <v/>
      </c>
      <c r="X31" s="327"/>
      <c r="Y31" s="327" t="str">
        <f t="shared" si="19"/>
        <v xml:space="preserve">baik dalam </v>
      </c>
      <c r="Z31" s="327" t="str">
        <f t="shared" si="4"/>
        <v xml:space="preserve"> ketaatan beribadah, </v>
      </c>
      <c r="AA31" s="327" t="str">
        <f t="shared" si="5"/>
        <v xml:space="preserve"> berperilaku syukur, </v>
      </c>
      <c r="AB31" s="327" t="str">
        <f t="shared" si="6"/>
        <v xml:space="preserve"> berdoa sebelum dan sesudah melakukan kegiatan, </v>
      </c>
      <c r="AC31" s="327" t="str">
        <f t="shared" si="7"/>
        <v xml:space="preserve"> toleransi dalam beribadah, </v>
      </c>
      <c r="AD31" s="327"/>
      <c r="AE31" s="327" t="str">
        <f t="shared" si="20"/>
        <v/>
      </c>
      <c r="AF31" s="327" t="str">
        <f t="shared" si="8"/>
        <v/>
      </c>
      <c r="AG31" s="327" t="str">
        <f t="shared" si="9"/>
        <v/>
      </c>
      <c r="AH31" s="327" t="str">
        <f t="shared" si="10"/>
        <v/>
      </c>
      <c r="AI31" s="327" t="str">
        <f t="shared" si="11"/>
        <v/>
      </c>
    </row>
    <row r="32" spans="1:35" ht="38.25" customHeight="1">
      <c r="A32" s="169">
        <v>28</v>
      </c>
      <c r="B32" s="165" t="str">
        <f>SISWA!B33</f>
        <v>1718250040332</v>
      </c>
      <c r="C32" s="166" t="str">
        <f>SISWA!E33</f>
        <v>NABIL</v>
      </c>
      <c r="D32" s="329"/>
      <c r="E32" s="329"/>
      <c r="F32" s="329"/>
      <c r="G32" s="329"/>
      <c r="H32" s="329"/>
      <c r="I32" s="329"/>
      <c r="J32" s="329"/>
      <c r="K32" s="329"/>
      <c r="L32" s="378" t="str">
        <f t="shared" si="12"/>
        <v>Ananda NABIL</v>
      </c>
      <c r="M32" s="379" t="str">
        <f t="shared" si="13"/>
        <v/>
      </c>
      <c r="N32" s="379" t="str">
        <f t="shared" si="14"/>
        <v xml:space="preserve">baik dalam </v>
      </c>
      <c r="O32" s="379" t="str">
        <f t="shared" si="15"/>
        <v/>
      </c>
      <c r="P32" s="326" t="str">
        <f t="shared" si="16"/>
        <v xml:space="preserve">Ananda NABIL baik dalam  ketaatan beribadah,  berperilaku syukur,  berdoa sebelum dan sesudah melakukan kegiatan,  toleransi dalam beribadah, </v>
      </c>
      <c r="R32" s="327" t="str">
        <f t="shared" si="17"/>
        <v>Ananda NABIL</v>
      </c>
      <c r="S32" s="327" t="str">
        <f t="shared" si="18"/>
        <v/>
      </c>
      <c r="T32" s="327" t="str">
        <f t="shared" si="0"/>
        <v/>
      </c>
      <c r="U32" s="327" t="str">
        <f t="shared" si="1"/>
        <v/>
      </c>
      <c r="V32" s="327" t="str">
        <f t="shared" si="2"/>
        <v/>
      </c>
      <c r="W32" s="327" t="str">
        <f t="shared" si="3"/>
        <v/>
      </c>
      <c r="X32" s="327"/>
      <c r="Y32" s="327" t="str">
        <f t="shared" si="19"/>
        <v xml:space="preserve">baik dalam </v>
      </c>
      <c r="Z32" s="327" t="str">
        <f t="shared" si="4"/>
        <v xml:space="preserve"> ketaatan beribadah, </v>
      </c>
      <c r="AA32" s="327" t="str">
        <f t="shared" si="5"/>
        <v xml:space="preserve"> berperilaku syukur, </v>
      </c>
      <c r="AB32" s="327" t="str">
        <f t="shared" si="6"/>
        <v xml:space="preserve"> berdoa sebelum dan sesudah melakukan kegiatan, </v>
      </c>
      <c r="AC32" s="327" t="str">
        <f t="shared" si="7"/>
        <v xml:space="preserve"> toleransi dalam beribadah, </v>
      </c>
      <c r="AD32" s="327"/>
      <c r="AE32" s="327" t="str">
        <f t="shared" si="20"/>
        <v/>
      </c>
      <c r="AF32" s="327" t="str">
        <f t="shared" si="8"/>
        <v/>
      </c>
      <c r="AG32" s="327" t="str">
        <f t="shared" si="9"/>
        <v/>
      </c>
      <c r="AH32" s="327" t="str">
        <f t="shared" si="10"/>
        <v/>
      </c>
      <c r="AI32" s="327" t="str">
        <f t="shared" si="11"/>
        <v/>
      </c>
    </row>
    <row r="33" spans="1:35" ht="38.25" customHeight="1">
      <c r="A33" s="164">
        <v>29</v>
      </c>
      <c r="B33" s="165" t="str">
        <f>SISWA!B34</f>
        <v>1718250040333</v>
      </c>
      <c r="C33" s="166" t="str">
        <f>SISWA!E34</f>
        <v>RASYA</v>
      </c>
      <c r="D33" s="329"/>
      <c r="E33" s="329"/>
      <c r="F33" s="329"/>
      <c r="G33" s="329"/>
      <c r="H33" s="329"/>
      <c r="I33" s="329"/>
      <c r="J33" s="329"/>
      <c r="K33" s="329"/>
      <c r="L33" s="378" t="str">
        <f t="shared" si="12"/>
        <v>Ananda RASYA</v>
      </c>
      <c r="M33" s="379" t="str">
        <f t="shared" si="13"/>
        <v/>
      </c>
      <c r="N33" s="379" t="str">
        <f t="shared" si="14"/>
        <v xml:space="preserve">baik dalam </v>
      </c>
      <c r="O33" s="379" t="str">
        <f t="shared" si="15"/>
        <v/>
      </c>
      <c r="P33" s="326" t="str">
        <f t="shared" si="16"/>
        <v xml:space="preserve">Ananda RASYA baik dalam  ketaatan beribadah,  berperilaku syukur,  berdoa sebelum dan sesudah melakukan kegiatan,  toleransi dalam beribadah, </v>
      </c>
      <c r="R33" s="327" t="str">
        <f t="shared" si="17"/>
        <v>Ananda RASYA</v>
      </c>
      <c r="S33" s="327" t="str">
        <f t="shared" si="18"/>
        <v/>
      </c>
      <c r="T33" s="327" t="str">
        <f t="shared" si="0"/>
        <v/>
      </c>
      <c r="U33" s="327" t="str">
        <f t="shared" si="1"/>
        <v/>
      </c>
      <c r="V33" s="327" t="str">
        <f t="shared" si="2"/>
        <v/>
      </c>
      <c r="W33" s="327" t="str">
        <f t="shared" si="3"/>
        <v/>
      </c>
      <c r="X33" s="327"/>
      <c r="Y33" s="327" t="str">
        <f t="shared" si="19"/>
        <v xml:space="preserve">baik dalam </v>
      </c>
      <c r="Z33" s="327" t="str">
        <f t="shared" si="4"/>
        <v xml:space="preserve"> ketaatan beribadah, </v>
      </c>
      <c r="AA33" s="327" t="str">
        <f t="shared" si="5"/>
        <v xml:space="preserve"> berperilaku syukur, </v>
      </c>
      <c r="AB33" s="327" t="str">
        <f t="shared" si="6"/>
        <v xml:space="preserve"> berdoa sebelum dan sesudah melakukan kegiatan, </v>
      </c>
      <c r="AC33" s="327" t="str">
        <f t="shared" si="7"/>
        <v xml:space="preserve"> toleransi dalam beribadah, </v>
      </c>
      <c r="AD33" s="327"/>
      <c r="AE33" s="327" t="str">
        <f t="shared" si="20"/>
        <v/>
      </c>
      <c r="AF33" s="327" t="str">
        <f t="shared" si="8"/>
        <v/>
      </c>
      <c r="AG33" s="327" t="str">
        <f t="shared" si="9"/>
        <v/>
      </c>
      <c r="AH33" s="327" t="str">
        <f t="shared" si="10"/>
        <v/>
      </c>
      <c r="AI33" s="327" t="str">
        <f t="shared" si="11"/>
        <v/>
      </c>
    </row>
    <row r="34" spans="1:35" ht="38.25" customHeight="1">
      <c r="A34" s="169">
        <v>30</v>
      </c>
      <c r="B34" s="165" t="str">
        <f>SISWA!B35</f>
        <v>1718250040334</v>
      </c>
      <c r="C34" s="166" t="str">
        <f>SISWA!E35</f>
        <v>RIZKI</v>
      </c>
      <c r="D34" s="329"/>
      <c r="E34" s="329"/>
      <c r="F34" s="329"/>
      <c r="G34" s="329"/>
      <c r="H34" s="329"/>
      <c r="I34" s="329"/>
      <c r="J34" s="329"/>
      <c r="K34" s="329"/>
      <c r="L34" s="378" t="str">
        <f t="shared" si="12"/>
        <v>Ananda RIZKI</v>
      </c>
      <c r="M34" s="379" t="str">
        <f t="shared" si="13"/>
        <v/>
      </c>
      <c r="N34" s="379" t="str">
        <f t="shared" si="14"/>
        <v xml:space="preserve">baik dalam </v>
      </c>
      <c r="O34" s="379" t="str">
        <f t="shared" si="15"/>
        <v/>
      </c>
      <c r="P34" s="326" t="str">
        <f t="shared" si="16"/>
        <v xml:space="preserve">Ananda RIZKI baik dalam  ketaatan beribadah,  berperilaku syukur,  berdoa sebelum dan sesudah melakukan kegiatan,  toleransi dalam beribadah, </v>
      </c>
      <c r="R34" s="327" t="str">
        <f t="shared" si="17"/>
        <v>Ananda RIZKI</v>
      </c>
      <c r="S34" s="327" t="str">
        <f t="shared" si="18"/>
        <v/>
      </c>
      <c r="T34" s="327" t="str">
        <f t="shared" si="0"/>
        <v/>
      </c>
      <c r="U34" s="327" t="str">
        <f t="shared" si="1"/>
        <v/>
      </c>
      <c r="V34" s="327" t="str">
        <f t="shared" si="2"/>
        <v/>
      </c>
      <c r="W34" s="327" t="str">
        <f t="shared" si="3"/>
        <v/>
      </c>
      <c r="X34" s="327"/>
      <c r="Y34" s="327" t="str">
        <f t="shared" si="19"/>
        <v xml:space="preserve">baik dalam </v>
      </c>
      <c r="Z34" s="327" t="str">
        <f t="shared" si="4"/>
        <v xml:space="preserve"> ketaatan beribadah, </v>
      </c>
      <c r="AA34" s="327" t="str">
        <f t="shared" si="5"/>
        <v xml:space="preserve"> berperilaku syukur, </v>
      </c>
      <c r="AB34" s="327" t="str">
        <f t="shared" si="6"/>
        <v xml:space="preserve"> berdoa sebelum dan sesudah melakukan kegiatan, </v>
      </c>
      <c r="AC34" s="327" t="str">
        <f t="shared" si="7"/>
        <v xml:space="preserve"> toleransi dalam beribadah, </v>
      </c>
      <c r="AD34" s="327"/>
      <c r="AE34" s="327" t="str">
        <f t="shared" si="20"/>
        <v/>
      </c>
      <c r="AF34" s="327" t="str">
        <f t="shared" si="8"/>
        <v/>
      </c>
      <c r="AG34" s="327" t="str">
        <f t="shared" si="9"/>
        <v/>
      </c>
      <c r="AH34" s="327" t="str">
        <f t="shared" si="10"/>
        <v/>
      </c>
      <c r="AI34" s="327" t="str">
        <f t="shared" si="11"/>
        <v/>
      </c>
    </row>
    <row r="35" spans="1:35" ht="38.25" customHeight="1">
      <c r="A35" s="164">
        <v>31</v>
      </c>
      <c r="B35" s="165" t="str">
        <f>SISWA!B36</f>
        <v>1718250040335</v>
      </c>
      <c r="C35" s="166" t="str">
        <f>SISWA!E36</f>
        <v>SATRIA</v>
      </c>
      <c r="D35" s="329"/>
      <c r="E35" s="329"/>
      <c r="F35" s="329"/>
      <c r="G35" s="329"/>
      <c r="H35" s="329"/>
      <c r="I35" s="329"/>
      <c r="J35" s="329"/>
      <c r="K35" s="329"/>
      <c r="L35" s="378" t="str">
        <f t="shared" si="12"/>
        <v>Ananda SATRIA</v>
      </c>
      <c r="M35" s="379" t="str">
        <f t="shared" si="13"/>
        <v/>
      </c>
      <c r="N35" s="379" t="str">
        <f t="shared" si="14"/>
        <v xml:space="preserve">baik dalam </v>
      </c>
      <c r="O35" s="379" t="str">
        <f t="shared" si="15"/>
        <v/>
      </c>
      <c r="P35" s="326" t="str">
        <f t="shared" si="16"/>
        <v xml:space="preserve">Ananda SATRIA baik dalam  ketaatan beribadah,  berperilaku syukur,  berdoa sebelum dan sesudah melakukan kegiatan,  toleransi dalam beribadah, </v>
      </c>
      <c r="R35" s="327" t="str">
        <f t="shared" si="17"/>
        <v>Ananda SATRIA</v>
      </c>
      <c r="S35" s="327" t="str">
        <f t="shared" si="18"/>
        <v/>
      </c>
      <c r="T35" s="327" t="str">
        <f t="shared" si="0"/>
        <v/>
      </c>
      <c r="U35" s="327" t="str">
        <f t="shared" si="1"/>
        <v/>
      </c>
      <c r="V35" s="327" t="str">
        <f t="shared" si="2"/>
        <v/>
      </c>
      <c r="W35" s="327" t="str">
        <f t="shared" si="3"/>
        <v/>
      </c>
      <c r="X35" s="327"/>
      <c r="Y35" s="327" t="str">
        <f t="shared" si="19"/>
        <v xml:space="preserve">baik dalam </v>
      </c>
      <c r="Z35" s="327" t="str">
        <f t="shared" si="4"/>
        <v xml:space="preserve"> ketaatan beribadah, </v>
      </c>
      <c r="AA35" s="327" t="str">
        <f t="shared" si="5"/>
        <v xml:space="preserve"> berperilaku syukur, </v>
      </c>
      <c r="AB35" s="327" t="str">
        <f t="shared" si="6"/>
        <v xml:space="preserve"> berdoa sebelum dan sesudah melakukan kegiatan, </v>
      </c>
      <c r="AC35" s="327" t="str">
        <f t="shared" si="7"/>
        <v xml:space="preserve"> toleransi dalam beribadah, </v>
      </c>
      <c r="AD35" s="327"/>
      <c r="AE35" s="327" t="str">
        <f t="shared" si="20"/>
        <v/>
      </c>
      <c r="AF35" s="327" t="str">
        <f t="shared" si="8"/>
        <v/>
      </c>
      <c r="AG35" s="327" t="str">
        <f t="shared" si="9"/>
        <v/>
      </c>
      <c r="AH35" s="327" t="str">
        <f t="shared" si="10"/>
        <v/>
      </c>
      <c r="AI35" s="327" t="str">
        <f t="shared" si="11"/>
        <v/>
      </c>
    </row>
    <row r="36" spans="1:35" ht="38.25" customHeight="1">
      <c r="A36" s="169">
        <v>32</v>
      </c>
      <c r="B36" s="165" t="str">
        <f>SISWA!B37</f>
        <v>1718250040336</v>
      </c>
      <c r="C36" s="166" t="str">
        <f>SISWA!E37</f>
        <v>NADIA</v>
      </c>
      <c r="D36" s="329"/>
      <c r="E36" s="329"/>
      <c r="F36" s="329"/>
      <c r="G36" s="329"/>
      <c r="H36" s="329"/>
      <c r="I36" s="329"/>
      <c r="J36" s="329"/>
      <c r="K36" s="329"/>
      <c r="L36" s="378" t="str">
        <f t="shared" si="12"/>
        <v>Ananda NADIA</v>
      </c>
      <c r="M36" s="379" t="str">
        <f t="shared" si="13"/>
        <v/>
      </c>
      <c r="N36" s="379" t="str">
        <f t="shared" si="14"/>
        <v xml:space="preserve">baik dalam </v>
      </c>
      <c r="O36" s="379" t="str">
        <f t="shared" si="15"/>
        <v/>
      </c>
      <c r="P36" s="326" t="str">
        <f t="shared" si="16"/>
        <v xml:space="preserve">Ananda NADIA baik dalam  ketaatan beribadah,  berperilaku syukur,  berdoa sebelum dan sesudah melakukan kegiatan,  toleransi dalam beribadah, </v>
      </c>
      <c r="R36" s="327" t="str">
        <f t="shared" si="17"/>
        <v>Ananda NADIA</v>
      </c>
      <c r="S36" s="327" t="str">
        <f t="shared" si="18"/>
        <v/>
      </c>
      <c r="T36" s="327" t="str">
        <f t="shared" si="0"/>
        <v/>
      </c>
      <c r="U36" s="327" t="str">
        <f t="shared" si="1"/>
        <v/>
      </c>
      <c r="V36" s="327" t="str">
        <f t="shared" si="2"/>
        <v/>
      </c>
      <c r="W36" s="327" t="str">
        <f t="shared" si="3"/>
        <v/>
      </c>
      <c r="X36" s="327"/>
      <c r="Y36" s="327" t="str">
        <f t="shared" si="19"/>
        <v xml:space="preserve">baik dalam </v>
      </c>
      <c r="Z36" s="327" t="str">
        <f t="shared" si="4"/>
        <v xml:space="preserve"> ketaatan beribadah, </v>
      </c>
      <c r="AA36" s="327" t="str">
        <f t="shared" si="5"/>
        <v xml:space="preserve"> berperilaku syukur, </v>
      </c>
      <c r="AB36" s="327" t="str">
        <f t="shared" si="6"/>
        <v xml:space="preserve"> berdoa sebelum dan sesudah melakukan kegiatan, </v>
      </c>
      <c r="AC36" s="327" t="str">
        <f t="shared" si="7"/>
        <v xml:space="preserve"> toleransi dalam beribadah, </v>
      </c>
      <c r="AD36" s="327"/>
      <c r="AE36" s="327" t="str">
        <f t="shared" si="20"/>
        <v/>
      </c>
      <c r="AF36" s="327" t="str">
        <f t="shared" si="8"/>
        <v/>
      </c>
      <c r="AG36" s="327" t="str">
        <f t="shared" si="9"/>
        <v/>
      </c>
      <c r="AH36" s="327" t="str">
        <f t="shared" si="10"/>
        <v/>
      </c>
      <c r="AI36" s="327" t="str">
        <f t="shared" si="11"/>
        <v/>
      </c>
    </row>
    <row r="37" spans="1:35" ht="38.25" customHeight="1">
      <c r="A37" s="164">
        <v>33</v>
      </c>
      <c r="B37" s="165" t="str">
        <f>SISWA!B38</f>
        <v>1718250040337</v>
      </c>
      <c r="C37" s="166" t="str">
        <f>SISWA!E38</f>
        <v>NAFILA</v>
      </c>
      <c r="D37" s="329"/>
      <c r="E37" s="329"/>
      <c r="F37" s="329"/>
      <c r="G37" s="329"/>
      <c r="H37" s="329"/>
      <c r="I37" s="329"/>
      <c r="J37" s="329"/>
      <c r="K37" s="329"/>
      <c r="L37" s="378" t="str">
        <f t="shared" si="12"/>
        <v>Ananda NAFILA</v>
      </c>
      <c r="M37" s="379" t="str">
        <f t="shared" si="13"/>
        <v/>
      </c>
      <c r="N37" s="379" t="str">
        <f t="shared" si="14"/>
        <v xml:space="preserve">baik dalam </v>
      </c>
      <c r="O37" s="379" t="str">
        <f t="shared" si="15"/>
        <v/>
      </c>
      <c r="P37" s="326" t="str">
        <f t="shared" si="16"/>
        <v xml:space="preserve">Ananda NAFILA baik dalam  ketaatan beribadah,  berperilaku syukur,  berdoa sebelum dan sesudah melakukan kegiatan,  toleransi dalam beribadah, </v>
      </c>
      <c r="R37" s="327" t="str">
        <f t="shared" si="17"/>
        <v>Ananda NAFILA</v>
      </c>
      <c r="S37" s="327" t="str">
        <f t="shared" si="18"/>
        <v/>
      </c>
      <c r="T37" s="327" t="str">
        <f t="shared" ref="T37:T54" si="21">IF($D37&gt;E37,($AL$5&amp;", "),"")</f>
        <v/>
      </c>
      <c r="U37" s="327" t="str">
        <f t="shared" ref="U37:U54" si="22">IF($F37&gt;G37,($AL$6&amp;", "),"")</f>
        <v/>
      </c>
      <c r="V37" s="327" t="str">
        <f t="shared" ref="V37:V54" si="23">IF($H37&gt;I37,($AL$7&amp;", "),"")</f>
        <v/>
      </c>
      <c r="W37" s="327" t="str">
        <f t="shared" ref="W37:W54" si="24">IF($J37&gt;K37,($AL$8&amp;", "),"")</f>
        <v/>
      </c>
      <c r="X37" s="327"/>
      <c r="Y37" s="327" t="str">
        <f t="shared" si="19"/>
        <v xml:space="preserve">baik dalam </v>
      </c>
      <c r="Z37" s="327" t="str">
        <f t="shared" ref="Z37:Z54" si="25">IF(AND($S37&lt;&gt;"",$AE37&lt;&gt;""),"",IF(AND(T37="",AF37=""),$AL$5&amp;", ",""))</f>
        <v xml:space="preserve"> ketaatan beribadah, </v>
      </c>
      <c r="AA37" s="327" t="str">
        <f t="shared" ref="AA37:AA54" si="26">IF(AND($S37&lt;&gt;"",$AE37&lt;&gt;""),"",IF(AND(U37="",AG37=""),$AL$6&amp;", ",""))</f>
        <v xml:space="preserve"> berperilaku syukur, </v>
      </c>
      <c r="AB37" s="327" t="str">
        <f t="shared" ref="AB37:AB54" si="27">IF(AND($S37&lt;&gt;"",$AE37&lt;&gt;""),"",IF(AND(V37="",AH37=""),$AL$7&amp;", ",""))</f>
        <v xml:space="preserve"> berdoa sebelum dan sesudah melakukan kegiatan, </v>
      </c>
      <c r="AC37" s="327" t="str">
        <f t="shared" ref="AC37:AC54" si="28">IF(AND($S37&lt;&gt;"",$AE37&lt;&gt;""),"",IF(AND(W37="",AI37=""),$AL$8&amp;", ",""))</f>
        <v xml:space="preserve"> toleransi dalam beribadah, </v>
      </c>
      <c r="AD37" s="327"/>
      <c r="AE37" s="327" t="str">
        <f t="shared" si="20"/>
        <v/>
      </c>
      <c r="AF37" s="327" t="str">
        <f t="shared" ref="AF37:AF54" si="29">IF($E37&gt;D37,($AL$5&amp;", "),"")</f>
        <v/>
      </c>
      <c r="AG37" s="327" t="str">
        <f t="shared" ref="AG37:AG54" si="30">IF($G37&gt;F37,($AL$6&amp;", "),"")</f>
        <v/>
      </c>
      <c r="AH37" s="327" t="str">
        <f t="shared" ref="AH37:AH54" si="31">IF($I37&gt;H37,($AL$7&amp;", "),"")</f>
        <v/>
      </c>
      <c r="AI37" s="327" t="str">
        <f t="shared" ref="AI37:AI54" si="32">IF($K37&gt;J37,($AL$8&amp;", "),"")</f>
        <v/>
      </c>
    </row>
    <row r="38" spans="1:35" ht="38.25" customHeight="1">
      <c r="A38" s="169">
        <v>34</v>
      </c>
      <c r="B38" s="165" t="str">
        <f>SISWA!B39</f>
        <v>1718250040338</v>
      </c>
      <c r="C38" s="166" t="str">
        <f>SISWA!E39</f>
        <v>NAZZALA</v>
      </c>
      <c r="D38" s="329"/>
      <c r="E38" s="329"/>
      <c r="F38" s="329"/>
      <c r="G38" s="329"/>
      <c r="H38" s="329"/>
      <c r="I38" s="329"/>
      <c r="J38" s="329"/>
      <c r="K38" s="329"/>
      <c r="L38" s="378" t="str">
        <f t="shared" si="12"/>
        <v>Ananda NAZZALA</v>
      </c>
      <c r="M38" s="379" t="str">
        <f t="shared" si="13"/>
        <v/>
      </c>
      <c r="N38" s="379" t="str">
        <f t="shared" si="14"/>
        <v xml:space="preserve">baik dalam </v>
      </c>
      <c r="O38" s="379" t="str">
        <f t="shared" si="15"/>
        <v/>
      </c>
      <c r="P38" s="326" t="str">
        <f t="shared" si="16"/>
        <v xml:space="preserve">Ananda NAZZALA baik dalam  ketaatan beribadah,  berperilaku syukur,  berdoa sebelum dan sesudah melakukan kegiatan,  toleransi dalam beribadah, </v>
      </c>
      <c r="R38" s="327" t="str">
        <f t="shared" si="17"/>
        <v>Ananda NAZZALA</v>
      </c>
      <c r="S38" s="327" t="str">
        <f t="shared" si="18"/>
        <v/>
      </c>
      <c r="T38" s="327" t="str">
        <f t="shared" si="21"/>
        <v/>
      </c>
      <c r="U38" s="327" t="str">
        <f t="shared" si="22"/>
        <v/>
      </c>
      <c r="V38" s="327" t="str">
        <f t="shared" si="23"/>
        <v/>
      </c>
      <c r="W38" s="327" t="str">
        <f t="shared" si="24"/>
        <v/>
      </c>
      <c r="X38" s="327"/>
      <c r="Y38" s="327" t="str">
        <f t="shared" si="19"/>
        <v xml:space="preserve">baik dalam </v>
      </c>
      <c r="Z38" s="327" t="str">
        <f t="shared" si="25"/>
        <v xml:space="preserve"> ketaatan beribadah, </v>
      </c>
      <c r="AA38" s="327" t="str">
        <f t="shared" si="26"/>
        <v xml:space="preserve"> berperilaku syukur, </v>
      </c>
      <c r="AB38" s="327" t="str">
        <f t="shared" si="27"/>
        <v xml:space="preserve"> berdoa sebelum dan sesudah melakukan kegiatan, </v>
      </c>
      <c r="AC38" s="327" t="str">
        <f t="shared" si="28"/>
        <v xml:space="preserve"> toleransi dalam beribadah, </v>
      </c>
      <c r="AD38" s="327"/>
      <c r="AE38" s="327" t="str">
        <f t="shared" si="20"/>
        <v/>
      </c>
      <c r="AF38" s="327" t="str">
        <f t="shared" si="29"/>
        <v/>
      </c>
      <c r="AG38" s="327" t="str">
        <f t="shared" si="30"/>
        <v/>
      </c>
      <c r="AH38" s="327" t="str">
        <f t="shared" si="31"/>
        <v/>
      </c>
      <c r="AI38" s="327" t="str">
        <f t="shared" si="32"/>
        <v/>
      </c>
    </row>
    <row r="39" spans="1:35" ht="38.25" customHeight="1">
      <c r="A39" s="164">
        <v>35</v>
      </c>
      <c r="B39" s="165" t="str">
        <f>SISWA!B40</f>
        <v>1718250040339</v>
      </c>
      <c r="C39" s="166" t="str">
        <f>SISWA!E40</f>
        <v>RAFAREL</v>
      </c>
      <c r="D39" s="329"/>
      <c r="E39" s="329"/>
      <c r="F39" s="329"/>
      <c r="G39" s="329"/>
      <c r="H39" s="329"/>
      <c r="I39" s="329"/>
      <c r="J39" s="329"/>
      <c r="K39" s="329"/>
      <c r="L39" s="378" t="str">
        <f t="shared" si="12"/>
        <v>Ananda RAFAREL</v>
      </c>
      <c r="M39" s="379" t="str">
        <f t="shared" si="13"/>
        <v/>
      </c>
      <c r="N39" s="379" t="str">
        <f t="shared" si="14"/>
        <v xml:space="preserve">baik dalam </v>
      </c>
      <c r="O39" s="379" t="str">
        <f t="shared" si="15"/>
        <v/>
      </c>
      <c r="P39" s="326" t="str">
        <f t="shared" si="16"/>
        <v xml:space="preserve">Ananda RAFAREL baik dalam  ketaatan beribadah,  berperilaku syukur,  berdoa sebelum dan sesudah melakukan kegiatan,  toleransi dalam beribadah, </v>
      </c>
      <c r="R39" s="327" t="str">
        <f t="shared" si="17"/>
        <v>Ananda RAFAREL</v>
      </c>
      <c r="S39" s="327" t="str">
        <f t="shared" si="18"/>
        <v/>
      </c>
      <c r="T39" s="327" t="str">
        <f t="shared" si="21"/>
        <v/>
      </c>
      <c r="U39" s="327" t="str">
        <f t="shared" si="22"/>
        <v/>
      </c>
      <c r="V39" s="327" t="str">
        <f t="shared" si="23"/>
        <v/>
      </c>
      <c r="W39" s="327" t="str">
        <f t="shared" si="24"/>
        <v/>
      </c>
      <c r="X39" s="327"/>
      <c r="Y39" s="327" t="str">
        <f t="shared" si="19"/>
        <v xml:space="preserve">baik dalam </v>
      </c>
      <c r="Z39" s="327" t="str">
        <f t="shared" si="25"/>
        <v xml:space="preserve"> ketaatan beribadah, </v>
      </c>
      <c r="AA39" s="327" t="str">
        <f t="shared" si="26"/>
        <v xml:space="preserve"> berperilaku syukur, </v>
      </c>
      <c r="AB39" s="327" t="str">
        <f t="shared" si="27"/>
        <v xml:space="preserve"> berdoa sebelum dan sesudah melakukan kegiatan, </v>
      </c>
      <c r="AC39" s="327" t="str">
        <f t="shared" si="28"/>
        <v xml:space="preserve"> toleransi dalam beribadah, </v>
      </c>
      <c r="AD39" s="327"/>
      <c r="AE39" s="327" t="str">
        <f t="shared" si="20"/>
        <v/>
      </c>
      <c r="AF39" s="327" t="str">
        <f t="shared" si="29"/>
        <v/>
      </c>
      <c r="AG39" s="327" t="str">
        <f t="shared" si="30"/>
        <v/>
      </c>
      <c r="AH39" s="327" t="str">
        <f t="shared" si="31"/>
        <v/>
      </c>
      <c r="AI39" s="327" t="str">
        <f t="shared" si="32"/>
        <v/>
      </c>
    </row>
    <row r="40" spans="1:35" ht="38.25" customHeight="1">
      <c r="A40" s="169">
        <v>36</v>
      </c>
      <c r="B40" s="165" t="str">
        <f>SISWA!B41</f>
        <v>1718250040340</v>
      </c>
      <c r="C40" s="166" t="str">
        <f>SISWA!E41</f>
        <v>RAKHA</v>
      </c>
      <c r="D40" s="329"/>
      <c r="E40" s="329"/>
      <c r="F40" s="329"/>
      <c r="G40" s="329"/>
      <c r="H40" s="329"/>
      <c r="I40" s="329"/>
      <c r="J40" s="329"/>
      <c r="K40" s="329"/>
      <c r="L40" s="378" t="str">
        <f t="shared" si="12"/>
        <v>Ananda RAKHA</v>
      </c>
      <c r="M40" s="379" t="str">
        <f t="shared" si="13"/>
        <v/>
      </c>
      <c r="N40" s="379" t="str">
        <f t="shared" si="14"/>
        <v xml:space="preserve">baik dalam </v>
      </c>
      <c r="O40" s="379" t="str">
        <f t="shared" si="15"/>
        <v/>
      </c>
      <c r="P40" s="326" t="str">
        <f t="shared" si="16"/>
        <v xml:space="preserve">Ananda RAKHA baik dalam  ketaatan beribadah,  berperilaku syukur,  berdoa sebelum dan sesudah melakukan kegiatan,  toleransi dalam beribadah, </v>
      </c>
      <c r="R40" s="327" t="str">
        <f t="shared" si="17"/>
        <v>Ananda RAKHA</v>
      </c>
      <c r="S40" s="327" t="str">
        <f t="shared" si="18"/>
        <v/>
      </c>
      <c r="T40" s="327" t="str">
        <f t="shared" si="21"/>
        <v/>
      </c>
      <c r="U40" s="327" t="str">
        <f t="shared" si="22"/>
        <v/>
      </c>
      <c r="V40" s="327" t="str">
        <f t="shared" si="23"/>
        <v/>
      </c>
      <c r="W40" s="327" t="str">
        <f t="shared" si="24"/>
        <v/>
      </c>
      <c r="X40" s="327"/>
      <c r="Y40" s="327" t="str">
        <f t="shared" si="19"/>
        <v xml:space="preserve">baik dalam </v>
      </c>
      <c r="Z40" s="327" t="str">
        <f t="shared" si="25"/>
        <v xml:space="preserve"> ketaatan beribadah, </v>
      </c>
      <c r="AA40" s="327" t="str">
        <f t="shared" si="26"/>
        <v xml:space="preserve"> berperilaku syukur, </v>
      </c>
      <c r="AB40" s="327" t="str">
        <f t="shared" si="27"/>
        <v xml:space="preserve"> berdoa sebelum dan sesudah melakukan kegiatan, </v>
      </c>
      <c r="AC40" s="327" t="str">
        <f t="shared" si="28"/>
        <v xml:space="preserve"> toleransi dalam beribadah, </v>
      </c>
      <c r="AD40" s="327"/>
      <c r="AE40" s="327" t="str">
        <f t="shared" si="20"/>
        <v/>
      </c>
      <c r="AF40" s="327" t="str">
        <f t="shared" si="29"/>
        <v/>
      </c>
      <c r="AG40" s="327" t="str">
        <f t="shared" si="30"/>
        <v/>
      </c>
      <c r="AH40" s="327" t="str">
        <f t="shared" si="31"/>
        <v/>
      </c>
      <c r="AI40" s="327" t="str">
        <f t="shared" si="32"/>
        <v/>
      </c>
    </row>
    <row r="41" spans="1:35" ht="38.25" customHeight="1">
      <c r="A41" s="164">
        <v>37</v>
      </c>
      <c r="B41" s="165" t="str">
        <f>SISWA!B42</f>
        <v>1718250040341</v>
      </c>
      <c r="C41" s="166" t="str">
        <f>SISWA!E42</f>
        <v>RYU</v>
      </c>
      <c r="D41" s="329"/>
      <c r="E41" s="329"/>
      <c r="F41" s="329"/>
      <c r="G41" s="329"/>
      <c r="H41" s="329"/>
      <c r="I41" s="329"/>
      <c r="J41" s="329"/>
      <c r="K41" s="329"/>
      <c r="L41" s="378" t="str">
        <f t="shared" si="12"/>
        <v>Ananda RYU</v>
      </c>
      <c r="M41" s="379" t="str">
        <f t="shared" si="13"/>
        <v/>
      </c>
      <c r="N41" s="379" t="str">
        <f t="shared" si="14"/>
        <v xml:space="preserve">baik dalam </v>
      </c>
      <c r="O41" s="379" t="str">
        <f t="shared" si="15"/>
        <v/>
      </c>
      <c r="P41" s="326" t="str">
        <f t="shared" si="16"/>
        <v xml:space="preserve">Ananda RYU baik dalam  ketaatan beribadah,  berperilaku syukur,  berdoa sebelum dan sesudah melakukan kegiatan,  toleransi dalam beribadah, </v>
      </c>
      <c r="R41" s="327" t="str">
        <f t="shared" si="17"/>
        <v>Ananda RYU</v>
      </c>
      <c r="S41" s="327" t="str">
        <f t="shared" si="18"/>
        <v/>
      </c>
      <c r="T41" s="327" t="str">
        <f t="shared" si="21"/>
        <v/>
      </c>
      <c r="U41" s="327" t="str">
        <f t="shared" si="22"/>
        <v/>
      </c>
      <c r="V41" s="327" t="str">
        <f t="shared" si="23"/>
        <v/>
      </c>
      <c r="W41" s="327" t="str">
        <f t="shared" si="24"/>
        <v/>
      </c>
      <c r="X41" s="327"/>
      <c r="Y41" s="327" t="str">
        <f t="shared" si="19"/>
        <v xml:space="preserve">baik dalam </v>
      </c>
      <c r="Z41" s="327" t="str">
        <f t="shared" si="25"/>
        <v xml:space="preserve"> ketaatan beribadah, </v>
      </c>
      <c r="AA41" s="327" t="str">
        <f t="shared" si="26"/>
        <v xml:space="preserve"> berperilaku syukur, </v>
      </c>
      <c r="AB41" s="327" t="str">
        <f t="shared" si="27"/>
        <v xml:space="preserve"> berdoa sebelum dan sesudah melakukan kegiatan, </v>
      </c>
      <c r="AC41" s="327" t="str">
        <f t="shared" si="28"/>
        <v xml:space="preserve"> toleransi dalam beribadah, </v>
      </c>
      <c r="AD41" s="327"/>
      <c r="AE41" s="327" t="str">
        <f t="shared" si="20"/>
        <v/>
      </c>
      <c r="AF41" s="327" t="str">
        <f t="shared" si="29"/>
        <v/>
      </c>
      <c r="AG41" s="327" t="str">
        <f t="shared" si="30"/>
        <v/>
      </c>
      <c r="AH41" s="327" t="str">
        <f t="shared" si="31"/>
        <v/>
      </c>
      <c r="AI41" s="327" t="str">
        <f t="shared" si="32"/>
        <v/>
      </c>
    </row>
    <row r="42" spans="1:35" ht="38.25" customHeight="1">
      <c r="A42" s="169">
        <v>38</v>
      </c>
      <c r="B42" s="165" t="str">
        <f>SISWA!B43</f>
        <v>1718250040342</v>
      </c>
      <c r="C42" s="166" t="str">
        <f>SISWA!E43</f>
        <v>SAEPUL</v>
      </c>
      <c r="D42" s="329"/>
      <c r="E42" s="329"/>
      <c r="F42" s="329"/>
      <c r="G42" s="329"/>
      <c r="H42" s="329"/>
      <c r="I42" s="329"/>
      <c r="J42" s="329"/>
      <c r="K42" s="329"/>
      <c r="L42" s="378" t="str">
        <f t="shared" si="12"/>
        <v>Ananda SAEPUL</v>
      </c>
      <c r="M42" s="379" t="str">
        <f t="shared" si="13"/>
        <v/>
      </c>
      <c r="N42" s="379" t="str">
        <f t="shared" si="14"/>
        <v xml:space="preserve">baik dalam </v>
      </c>
      <c r="O42" s="379" t="str">
        <f t="shared" si="15"/>
        <v/>
      </c>
      <c r="P42" s="326" t="str">
        <f t="shared" si="16"/>
        <v xml:space="preserve">Ananda SAEPUL baik dalam  ketaatan beribadah,  berperilaku syukur,  berdoa sebelum dan sesudah melakukan kegiatan,  toleransi dalam beribadah, </v>
      </c>
      <c r="R42" s="327" t="str">
        <f t="shared" si="17"/>
        <v>Ananda SAEPUL</v>
      </c>
      <c r="S42" s="327" t="str">
        <f t="shared" si="18"/>
        <v/>
      </c>
      <c r="T42" s="327" t="str">
        <f t="shared" si="21"/>
        <v/>
      </c>
      <c r="U42" s="327" t="str">
        <f t="shared" si="22"/>
        <v/>
      </c>
      <c r="V42" s="327" t="str">
        <f t="shared" si="23"/>
        <v/>
      </c>
      <c r="W42" s="327" t="str">
        <f t="shared" si="24"/>
        <v/>
      </c>
      <c r="X42" s="327"/>
      <c r="Y42" s="327" t="str">
        <f t="shared" si="19"/>
        <v xml:space="preserve">baik dalam </v>
      </c>
      <c r="Z42" s="327" t="str">
        <f t="shared" si="25"/>
        <v xml:space="preserve"> ketaatan beribadah, </v>
      </c>
      <c r="AA42" s="327" t="str">
        <f t="shared" si="26"/>
        <v xml:space="preserve"> berperilaku syukur, </v>
      </c>
      <c r="AB42" s="327" t="str">
        <f t="shared" si="27"/>
        <v xml:space="preserve"> berdoa sebelum dan sesudah melakukan kegiatan, </v>
      </c>
      <c r="AC42" s="327" t="str">
        <f t="shared" si="28"/>
        <v xml:space="preserve"> toleransi dalam beribadah, </v>
      </c>
      <c r="AD42" s="327"/>
      <c r="AE42" s="327" t="str">
        <f t="shared" si="20"/>
        <v/>
      </c>
      <c r="AF42" s="327" t="str">
        <f t="shared" si="29"/>
        <v/>
      </c>
      <c r="AG42" s="327" t="str">
        <f t="shared" si="30"/>
        <v/>
      </c>
      <c r="AH42" s="327" t="str">
        <f t="shared" si="31"/>
        <v/>
      </c>
      <c r="AI42" s="327" t="str">
        <f t="shared" si="32"/>
        <v/>
      </c>
    </row>
    <row r="43" spans="1:35" ht="38.25" customHeight="1">
      <c r="A43" s="164">
        <v>39</v>
      </c>
      <c r="B43" s="165" t="str">
        <f>SISWA!B44</f>
        <v>1718250040343</v>
      </c>
      <c r="C43" s="166" t="str">
        <f>SISWA!E44</f>
        <v>SALMA</v>
      </c>
      <c r="D43" s="329"/>
      <c r="E43" s="329"/>
      <c r="F43" s="329"/>
      <c r="G43" s="329"/>
      <c r="H43" s="329"/>
      <c r="I43" s="329"/>
      <c r="J43" s="329"/>
      <c r="K43" s="329"/>
      <c r="L43" s="378" t="str">
        <f t="shared" si="12"/>
        <v>Ananda SALMA</v>
      </c>
      <c r="M43" s="379" t="str">
        <f t="shared" si="13"/>
        <v/>
      </c>
      <c r="N43" s="379" t="str">
        <f t="shared" si="14"/>
        <v xml:space="preserve">baik dalam </v>
      </c>
      <c r="O43" s="379" t="str">
        <f t="shared" si="15"/>
        <v/>
      </c>
      <c r="P43" s="326" t="str">
        <f t="shared" si="16"/>
        <v xml:space="preserve">Ananda SALMA baik dalam  ketaatan beribadah,  berperilaku syukur,  berdoa sebelum dan sesudah melakukan kegiatan,  toleransi dalam beribadah, </v>
      </c>
      <c r="R43" s="327" t="str">
        <f t="shared" si="17"/>
        <v>Ananda SALMA</v>
      </c>
      <c r="S43" s="327" t="str">
        <f t="shared" si="18"/>
        <v/>
      </c>
      <c r="T43" s="327" t="str">
        <f t="shared" si="21"/>
        <v/>
      </c>
      <c r="U43" s="327" t="str">
        <f t="shared" si="22"/>
        <v/>
      </c>
      <c r="V43" s="327" t="str">
        <f t="shared" si="23"/>
        <v/>
      </c>
      <c r="W43" s="327" t="str">
        <f t="shared" si="24"/>
        <v/>
      </c>
      <c r="X43" s="327"/>
      <c r="Y43" s="327" t="str">
        <f t="shared" si="19"/>
        <v xml:space="preserve">baik dalam </v>
      </c>
      <c r="Z43" s="327" t="str">
        <f t="shared" si="25"/>
        <v xml:space="preserve"> ketaatan beribadah, </v>
      </c>
      <c r="AA43" s="327" t="str">
        <f t="shared" si="26"/>
        <v xml:space="preserve"> berperilaku syukur, </v>
      </c>
      <c r="AB43" s="327" t="str">
        <f t="shared" si="27"/>
        <v xml:space="preserve"> berdoa sebelum dan sesudah melakukan kegiatan, </v>
      </c>
      <c r="AC43" s="327" t="str">
        <f t="shared" si="28"/>
        <v xml:space="preserve"> toleransi dalam beribadah, </v>
      </c>
      <c r="AD43" s="327"/>
      <c r="AE43" s="327" t="str">
        <f t="shared" si="20"/>
        <v/>
      </c>
      <c r="AF43" s="327" t="str">
        <f t="shared" si="29"/>
        <v/>
      </c>
      <c r="AG43" s="327" t="str">
        <f t="shared" si="30"/>
        <v/>
      </c>
      <c r="AH43" s="327" t="str">
        <f t="shared" si="31"/>
        <v/>
      </c>
      <c r="AI43" s="327" t="str">
        <f t="shared" si="32"/>
        <v/>
      </c>
    </row>
    <row r="44" spans="1:35" ht="38.25" customHeight="1">
      <c r="A44" s="169">
        <v>40</v>
      </c>
      <c r="B44" s="165" t="str">
        <f>SISWA!B45</f>
        <v>1718250040344</v>
      </c>
      <c r="C44" s="166" t="str">
        <f>SISWA!E45</f>
        <v>SYAKILA</v>
      </c>
      <c r="D44" s="329"/>
      <c r="E44" s="329"/>
      <c r="F44" s="329"/>
      <c r="G44" s="329"/>
      <c r="H44" s="329"/>
      <c r="I44" s="329"/>
      <c r="J44" s="329"/>
      <c r="K44" s="329"/>
      <c r="L44" s="378" t="str">
        <f t="shared" si="12"/>
        <v>Ananda SYAKILA</v>
      </c>
      <c r="M44" s="379" t="str">
        <f t="shared" si="13"/>
        <v/>
      </c>
      <c r="N44" s="379" t="str">
        <f t="shared" si="14"/>
        <v xml:space="preserve">baik dalam </v>
      </c>
      <c r="O44" s="379" t="str">
        <f t="shared" si="15"/>
        <v/>
      </c>
      <c r="P44" s="326" t="str">
        <f t="shared" si="16"/>
        <v xml:space="preserve">Ananda SYAKILA baik dalam  ketaatan beribadah,  berperilaku syukur,  berdoa sebelum dan sesudah melakukan kegiatan,  toleransi dalam beribadah, </v>
      </c>
      <c r="R44" s="327" t="str">
        <f t="shared" si="17"/>
        <v>Ananda SYAKILA</v>
      </c>
      <c r="S44" s="327" t="str">
        <f t="shared" si="18"/>
        <v/>
      </c>
      <c r="T44" s="327" t="str">
        <f t="shared" si="21"/>
        <v/>
      </c>
      <c r="U44" s="327" t="str">
        <f t="shared" si="22"/>
        <v/>
      </c>
      <c r="V44" s="327" t="str">
        <f t="shared" si="23"/>
        <v/>
      </c>
      <c r="W44" s="327" t="str">
        <f t="shared" si="24"/>
        <v/>
      </c>
      <c r="X44" s="327"/>
      <c r="Y44" s="327" t="str">
        <f t="shared" si="19"/>
        <v xml:space="preserve">baik dalam </v>
      </c>
      <c r="Z44" s="327" t="str">
        <f t="shared" si="25"/>
        <v xml:space="preserve"> ketaatan beribadah, </v>
      </c>
      <c r="AA44" s="327" t="str">
        <f t="shared" si="26"/>
        <v xml:space="preserve"> berperilaku syukur, </v>
      </c>
      <c r="AB44" s="327" t="str">
        <f t="shared" si="27"/>
        <v xml:space="preserve"> berdoa sebelum dan sesudah melakukan kegiatan, </v>
      </c>
      <c r="AC44" s="327" t="str">
        <f t="shared" si="28"/>
        <v xml:space="preserve"> toleransi dalam beribadah, </v>
      </c>
      <c r="AD44" s="327"/>
      <c r="AE44" s="327" t="str">
        <f t="shared" si="20"/>
        <v/>
      </c>
      <c r="AF44" s="327" t="str">
        <f t="shared" si="29"/>
        <v/>
      </c>
      <c r="AG44" s="327" t="str">
        <f t="shared" si="30"/>
        <v/>
      </c>
      <c r="AH44" s="327" t="str">
        <f t="shared" si="31"/>
        <v/>
      </c>
      <c r="AI44" s="327" t="str">
        <f t="shared" si="32"/>
        <v/>
      </c>
    </row>
    <row r="45" spans="1:35" ht="38.25" customHeight="1">
      <c r="A45" s="164">
        <v>41</v>
      </c>
      <c r="B45" s="165" t="str">
        <f>SISWA!B46</f>
        <v>1718250040345</v>
      </c>
      <c r="C45" s="166" t="str">
        <f>SISWA!E46</f>
        <v>SYIFA</v>
      </c>
      <c r="D45" s="329"/>
      <c r="E45" s="329"/>
      <c r="F45" s="329"/>
      <c r="G45" s="329"/>
      <c r="H45" s="329"/>
      <c r="I45" s="329"/>
      <c r="J45" s="329"/>
      <c r="K45" s="329"/>
      <c r="L45" s="378" t="str">
        <f t="shared" si="12"/>
        <v>Ananda SYIFA</v>
      </c>
      <c r="M45" s="379" t="str">
        <f t="shared" si="13"/>
        <v/>
      </c>
      <c r="N45" s="379" t="str">
        <f t="shared" si="14"/>
        <v xml:space="preserve">baik dalam </v>
      </c>
      <c r="O45" s="379" t="str">
        <f t="shared" si="15"/>
        <v/>
      </c>
      <c r="P45" s="326" t="str">
        <f t="shared" si="16"/>
        <v xml:space="preserve">Ananda SYIFA baik dalam  ketaatan beribadah,  berperilaku syukur,  berdoa sebelum dan sesudah melakukan kegiatan,  toleransi dalam beribadah, </v>
      </c>
      <c r="R45" s="327" t="str">
        <f t="shared" si="17"/>
        <v>Ananda SYIFA</v>
      </c>
      <c r="S45" s="327" t="str">
        <f t="shared" si="18"/>
        <v/>
      </c>
      <c r="T45" s="327" t="str">
        <f t="shared" si="21"/>
        <v/>
      </c>
      <c r="U45" s="327" t="str">
        <f t="shared" si="22"/>
        <v/>
      </c>
      <c r="V45" s="327" t="str">
        <f t="shared" si="23"/>
        <v/>
      </c>
      <c r="W45" s="327" t="str">
        <f t="shared" si="24"/>
        <v/>
      </c>
      <c r="X45" s="327"/>
      <c r="Y45" s="327" t="str">
        <f t="shared" si="19"/>
        <v xml:space="preserve">baik dalam </v>
      </c>
      <c r="Z45" s="327" t="str">
        <f t="shared" si="25"/>
        <v xml:space="preserve"> ketaatan beribadah, </v>
      </c>
      <c r="AA45" s="327" t="str">
        <f t="shared" si="26"/>
        <v xml:space="preserve"> berperilaku syukur, </v>
      </c>
      <c r="AB45" s="327" t="str">
        <f t="shared" si="27"/>
        <v xml:space="preserve"> berdoa sebelum dan sesudah melakukan kegiatan, </v>
      </c>
      <c r="AC45" s="327" t="str">
        <f t="shared" si="28"/>
        <v xml:space="preserve"> toleransi dalam beribadah, </v>
      </c>
      <c r="AD45" s="327"/>
      <c r="AE45" s="327" t="str">
        <f t="shared" si="20"/>
        <v/>
      </c>
      <c r="AF45" s="327" t="str">
        <f t="shared" si="29"/>
        <v/>
      </c>
      <c r="AG45" s="327" t="str">
        <f t="shared" si="30"/>
        <v/>
      </c>
      <c r="AH45" s="327" t="str">
        <f t="shared" si="31"/>
        <v/>
      </c>
      <c r="AI45" s="327" t="str">
        <f t="shared" si="32"/>
        <v/>
      </c>
    </row>
    <row r="46" spans="1:35" ht="38.25" customHeight="1">
      <c r="A46" s="169">
        <v>42</v>
      </c>
      <c r="B46" s="165" t="str">
        <f>SISWA!B47</f>
        <v>1718250040346</v>
      </c>
      <c r="C46" s="166" t="str">
        <f>SISWA!E47</f>
        <v>WAFDAN</v>
      </c>
      <c r="D46" s="329"/>
      <c r="E46" s="329"/>
      <c r="F46" s="329"/>
      <c r="G46" s="329"/>
      <c r="H46" s="329"/>
      <c r="I46" s="329"/>
      <c r="J46" s="329"/>
      <c r="K46" s="329"/>
      <c r="L46" s="378" t="str">
        <f t="shared" si="12"/>
        <v>Ananda WAFDAN</v>
      </c>
      <c r="M46" s="379" t="str">
        <f t="shared" si="13"/>
        <v/>
      </c>
      <c r="N46" s="379" t="str">
        <f t="shared" si="14"/>
        <v xml:space="preserve">baik dalam </v>
      </c>
      <c r="O46" s="379" t="str">
        <f t="shared" si="15"/>
        <v/>
      </c>
      <c r="P46" s="326" t="str">
        <f t="shared" si="16"/>
        <v xml:space="preserve">Ananda WAFDAN baik dalam  ketaatan beribadah,  berperilaku syukur,  berdoa sebelum dan sesudah melakukan kegiatan,  toleransi dalam beribadah, </v>
      </c>
      <c r="R46" s="327" t="str">
        <f t="shared" si="17"/>
        <v>Ananda WAFDAN</v>
      </c>
      <c r="S46" s="327" t="str">
        <f t="shared" si="18"/>
        <v/>
      </c>
      <c r="T46" s="327" t="str">
        <f t="shared" si="21"/>
        <v/>
      </c>
      <c r="U46" s="327" t="str">
        <f t="shared" si="22"/>
        <v/>
      </c>
      <c r="V46" s="327" t="str">
        <f t="shared" si="23"/>
        <v/>
      </c>
      <c r="W46" s="327" t="str">
        <f t="shared" si="24"/>
        <v/>
      </c>
      <c r="X46" s="327"/>
      <c r="Y46" s="327" t="str">
        <f t="shared" si="19"/>
        <v xml:space="preserve">baik dalam </v>
      </c>
      <c r="Z46" s="327" t="str">
        <f t="shared" si="25"/>
        <v xml:space="preserve"> ketaatan beribadah, </v>
      </c>
      <c r="AA46" s="327" t="str">
        <f t="shared" si="26"/>
        <v xml:space="preserve"> berperilaku syukur, </v>
      </c>
      <c r="AB46" s="327" t="str">
        <f t="shared" si="27"/>
        <v xml:space="preserve"> berdoa sebelum dan sesudah melakukan kegiatan, </v>
      </c>
      <c r="AC46" s="327" t="str">
        <f t="shared" si="28"/>
        <v xml:space="preserve"> toleransi dalam beribadah, </v>
      </c>
      <c r="AD46" s="327"/>
      <c r="AE46" s="327" t="str">
        <f t="shared" si="20"/>
        <v/>
      </c>
      <c r="AF46" s="327" t="str">
        <f t="shared" si="29"/>
        <v/>
      </c>
      <c r="AG46" s="327" t="str">
        <f t="shared" si="30"/>
        <v/>
      </c>
      <c r="AH46" s="327" t="str">
        <f t="shared" si="31"/>
        <v/>
      </c>
      <c r="AI46" s="327" t="str">
        <f t="shared" si="32"/>
        <v/>
      </c>
    </row>
    <row r="47" spans="1:35" ht="38.25" customHeight="1">
      <c r="A47" s="164">
        <v>43</v>
      </c>
      <c r="B47" s="165" t="str">
        <f>SISWA!B48</f>
        <v>1718250040347</v>
      </c>
      <c r="C47" s="166" t="str">
        <f>SISWA!E48</f>
        <v>ZEVA</v>
      </c>
      <c r="D47" s="329"/>
      <c r="E47" s="329"/>
      <c r="F47" s="329"/>
      <c r="G47" s="329"/>
      <c r="H47" s="329"/>
      <c r="I47" s="329"/>
      <c r="J47" s="329"/>
      <c r="K47" s="329"/>
      <c r="L47" s="378" t="str">
        <f t="shared" si="12"/>
        <v>Ananda ZEVA</v>
      </c>
      <c r="M47" s="379" t="str">
        <f t="shared" si="13"/>
        <v/>
      </c>
      <c r="N47" s="379" t="str">
        <f t="shared" si="14"/>
        <v xml:space="preserve">baik dalam </v>
      </c>
      <c r="O47" s="379" t="str">
        <f t="shared" si="15"/>
        <v/>
      </c>
      <c r="P47" s="326" t="str">
        <f t="shared" si="16"/>
        <v xml:space="preserve">Ananda ZEVA baik dalam  ketaatan beribadah,  berperilaku syukur,  berdoa sebelum dan sesudah melakukan kegiatan,  toleransi dalam beribadah, </v>
      </c>
      <c r="R47" s="327" t="str">
        <f t="shared" si="17"/>
        <v>Ananda ZEVA</v>
      </c>
      <c r="S47" s="327" t="str">
        <f t="shared" si="18"/>
        <v/>
      </c>
      <c r="T47" s="327" t="str">
        <f t="shared" si="21"/>
        <v/>
      </c>
      <c r="U47" s="327" t="str">
        <f t="shared" si="22"/>
        <v/>
      </c>
      <c r="V47" s="327" t="str">
        <f t="shared" si="23"/>
        <v/>
      </c>
      <c r="W47" s="327" t="str">
        <f t="shared" si="24"/>
        <v/>
      </c>
      <c r="X47" s="327"/>
      <c r="Y47" s="327" t="str">
        <f t="shared" si="19"/>
        <v xml:space="preserve">baik dalam </v>
      </c>
      <c r="Z47" s="327" t="str">
        <f t="shared" si="25"/>
        <v xml:space="preserve"> ketaatan beribadah, </v>
      </c>
      <c r="AA47" s="327" t="str">
        <f t="shared" si="26"/>
        <v xml:space="preserve"> berperilaku syukur, </v>
      </c>
      <c r="AB47" s="327" t="str">
        <f t="shared" si="27"/>
        <v xml:space="preserve"> berdoa sebelum dan sesudah melakukan kegiatan, </v>
      </c>
      <c r="AC47" s="327" t="str">
        <f t="shared" si="28"/>
        <v xml:space="preserve"> toleransi dalam beribadah, </v>
      </c>
      <c r="AD47" s="327"/>
      <c r="AE47" s="327" t="str">
        <f t="shared" si="20"/>
        <v/>
      </c>
      <c r="AF47" s="327" t="str">
        <f t="shared" si="29"/>
        <v/>
      </c>
      <c r="AG47" s="327" t="str">
        <f t="shared" si="30"/>
        <v/>
      </c>
      <c r="AH47" s="327" t="str">
        <f t="shared" si="31"/>
        <v/>
      </c>
      <c r="AI47" s="327" t="str">
        <f t="shared" si="32"/>
        <v/>
      </c>
    </row>
    <row r="48" spans="1:35" ht="38.25" customHeight="1">
      <c r="A48" s="169">
        <v>44</v>
      </c>
      <c r="B48" s="165">
        <f>SISWA!B49</f>
        <v>0</v>
      </c>
      <c r="C48" s="166">
        <f>SISWA!E49</f>
        <v>0</v>
      </c>
      <c r="D48" s="329"/>
      <c r="E48" s="329"/>
      <c r="F48" s="329"/>
      <c r="G48" s="329"/>
      <c r="H48" s="329"/>
      <c r="I48" s="329"/>
      <c r="J48" s="329"/>
      <c r="K48" s="329"/>
      <c r="L48" s="378" t="str">
        <f t="shared" si="12"/>
        <v>Ananda 0</v>
      </c>
      <c r="M48" s="379" t="str">
        <f t="shared" si="13"/>
        <v/>
      </c>
      <c r="N48" s="379" t="str">
        <f t="shared" si="14"/>
        <v xml:space="preserve">baik dalam </v>
      </c>
      <c r="O48" s="379" t="str">
        <f t="shared" si="15"/>
        <v/>
      </c>
      <c r="P48" s="326" t="str">
        <f t="shared" si="16"/>
        <v xml:space="preserve">Ananda 0 baik dalam  ketaatan beribadah,  berperilaku syukur,  berdoa sebelum dan sesudah melakukan kegiatan,  toleransi dalam beribadah, </v>
      </c>
      <c r="R48" s="327" t="str">
        <f t="shared" si="17"/>
        <v>Ananda 0</v>
      </c>
      <c r="S48" s="327" t="str">
        <f t="shared" si="18"/>
        <v/>
      </c>
      <c r="T48" s="327" t="str">
        <f t="shared" si="21"/>
        <v/>
      </c>
      <c r="U48" s="327" t="str">
        <f t="shared" si="22"/>
        <v/>
      </c>
      <c r="V48" s="327" t="str">
        <f t="shared" si="23"/>
        <v/>
      </c>
      <c r="W48" s="327" t="str">
        <f t="shared" si="24"/>
        <v/>
      </c>
      <c r="X48" s="327"/>
      <c r="Y48" s="327" t="str">
        <f t="shared" si="19"/>
        <v xml:space="preserve">baik dalam </v>
      </c>
      <c r="Z48" s="327" t="str">
        <f t="shared" si="25"/>
        <v xml:space="preserve"> ketaatan beribadah, </v>
      </c>
      <c r="AA48" s="327" t="str">
        <f t="shared" si="26"/>
        <v xml:space="preserve"> berperilaku syukur, </v>
      </c>
      <c r="AB48" s="327" t="str">
        <f t="shared" si="27"/>
        <v xml:space="preserve"> berdoa sebelum dan sesudah melakukan kegiatan, </v>
      </c>
      <c r="AC48" s="327" t="str">
        <f t="shared" si="28"/>
        <v xml:space="preserve"> toleransi dalam beribadah, </v>
      </c>
      <c r="AD48" s="327"/>
      <c r="AE48" s="327" t="str">
        <f t="shared" si="20"/>
        <v/>
      </c>
      <c r="AF48" s="327" t="str">
        <f t="shared" si="29"/>
        <v/>
      </c>
      <c r="AG48" s="327" t="str">
        <f t="shared" si="30"/>
        <v/>
      </c>
      <c r="AH48" s="327" t="str">
        <f t="shared" si="31"/>
        <v/>
      </c>
      <c r="AI48" s="327" t="str">
        <f t="shared" si="32"/>
        <v/>
      </c>
    </row>
    <row r="49" spans="1:35" ht="38.25" customHeight="1">
      <c r="A49" s="164">
        <v>45</v>
      </c>
      <c r="B49" s="165">
        <f>SISWA!B50</f>
        <v>0</v>
      </c>
      <c r="C49" s="166">
        <f>SISWA!E50</f>
        <v>0</v>
      </c>
      <c r="D49" s="329"/>
      <c r="E49" s="329"/>
      <c r="F49" s="329"/>
      <c r="G49" s="329"/>
      <c r="H49" s="329"/>
      <c r="I49" s="329"/>
      <c r="J49" s="329"/>
      <c r="K49" s="329"/>
      <c r="L49" s="378" t="str">
        <f t="shared" si="12"/>
        <v>Ananda 0</v>
      </c>
      <c r="M49" s="379" t="str">
        <f t="shared" si="13"/>
        <v/>
      </c>
      <c r="N49" s="379" t="str">
        <f t="shared" si="14"/>
        <v xml:space="preserve">baik dalam </v>
      </c>
      <c r="O49" s="379" t="str">
        <f t="shared" si="15"/>
        <v/>
      </c>
      <c r="P49" s="326" t="str">
        <f t="shared" si="16"/>
        <v xml:space="preserve">Ananda 0 baik dalam  ketaatan beribadah,  berperilaku syukur,  berdoa sebelum dan sesudah melakukan kegiatan,  toleransi dalam beribadah, </v>
      </c>
      <c r="R49" s="327" t="str">
        <f t="shared" si="17"/>
        <v>Ananda 0</v>
      </c>
      <c r="S49" s="327" t="str">
        <f t="shared" si="18"/>
        <v/>
      </c>
      <c r="T49" s="327" t="str">
        <f t="shared" si="21"/>
        <v/>
      </c>
      <c r="U49" s="327" t="str">
        <f t="shared" si="22"/>
        <v/>
      </c>
      <c r="V49" s="327" t="str">
        <f t="shared" si="23"/>
        <v/>
      </c>
      <c r="W49" s="327" t="str">
        <f t="shared" si="24"/>
        <v/>
      </c>
      <c r="X49" s="327"/>
      <c r="Y49" s="327" t="str">
        <f t="shared" si="19"/>
        <v xml:space="preserve">baik dalam </v>
      </c>
      <c r="Z49" s="327" t="str">
        <f t="shared" si="25"/>
        <v xml:space="preserve"> ketaatan beribadah, </v>
      </c>
      <c r="AA49" s="327" t="str">
        <f t="shared" si="26"/>
        <v xml:space="preserve"> berperilaku syukur, </v>
      </c>
      <c r="AB49" s="327" t="str">
        <f t="shared" si="27"/>
        <v xml:space="preserve"> berdoa sebelum dan sesudah melakukan kegiatan, </v>
      </c>
      <c r="AC49" s="327" t="str">
        <f t="shared" si="28"/>
        <v xml:space="preserve"> toleransi dalam beribadah, </v>
      </c>
      <c r="AD49" s="327"/>
      <c r="AE49" s="327" t="str">
        <f t="shared" si="20"/>
        <v/>
      </c>
      <c r="AF49" s="327" t="str">
        <f t="shared" si="29"/>
        <v/>
      </c>
      <c r="AG49" s="327" t="str">
        <f t="shared" si="30"/>
        <v/>
      </c>
      <c r="AH49" s="327" t="str">
        <f t="shared" si="31"/>
        <v/>
      </c>
      <c r="AI49" s="327" t="str">
        <f t="shared" si="32"/>
        <v/>
      </c>
    </row>
    <row r="50" spans="1:35" ht="38.25" customHeight="1">
      <c r="A50" s="169">
        <v>46</v>
      </c>
      <c r="B50" s="165">
        <f>SISWA!B51</f>
        <v>0</v>
      </c>
      <c r="C50" s="166">
        <f>SISWA!E51</f>
        <v>0</v>
      </c>
      <c r="D50" s="329"/>
      <c r="E50" s="329"/>
      <c r="F50" s="329"/>
      <c r="G50" s="329"/>
      <c r="H50" s="329"/>
      <c r="I50" s="329"/>
      <c r="J50" s="329"/>
      <c r="K50" s="329"/>
      <c r="L50" s="378" t="str">
        <f t="shared" si="12"/>
        <v>Ananda 0</v>
      </c>
      <c r="M50" s="379" t="str">
        <f t="shared" si="13"/>
        <v/>
      </c>
      <c r="N50" s="379" t="str">
        <f t="shared" si="14"/>
        <v xml:space="preserve">baik dalam </v>
      </c>
      <c r="O50" s="379" t="str">
        <f t="shared" si="15"/>
        <v/>
      </c>
      <c r="P50" s="326" t="str">
        <f t="shared" si="16"/>
        <v xml:space="preserve">Ananda 0 baik dalam  ketaatan beribadah,  berperilaku syukur,  berdoa sebelum dan sesudah melakukan kegiatan,  toleransi dalam beribadah, </v>
      </c>
      <c r="R50" s="327" t="str">
        <f t="shared" si="17"/>
        <v>Ananda 0</v>
      </c>
      <c r="S50" s="327" t="str">
        <f t="shared" si="18"/>
        <v/>
      </c>
      <c r="T50" s="327" t="str">
        <f t="shared" si="21"/>
        <v/>
      </c>
      <c r="U50" s="327" t="str">
        <f t="shared" si="22"/>
        <v/>
      </c>
      <c r="V50" s="327" t="str">
        <f t="shared" si="23"/>
        <v/>
      </c>
      <c r="W50" s="327" t="str">
        <f t="shared" si="24"/>
        <v/>
      </c>
      <c r="X50" s="327"/>
      <c r="Y50" s="327" t="str">
        <f t="shared" si="19"/>
        <v xml:space="preserve">baik dalam </v>
      </c>
      <c r="Z50" s="327" t="str">
        <f t="shared" si="25"/>
        <v xml:space="preserve"> ketaatan beribadah, </v>
      </c>
      <c r="AA50" s="327" t="str">
        <f t="shared" si="26"/>
        <v xml:space="preserve"> berperilaku syukur, </v>
      </c>
      <c r="AB50" s="327" t="str">
        <f t="shared" si="27"/>
        <v xml:space="preserve"> berdoa sebelum dan sesudah melakukan kegiatan, </v>
      </c>
      <c r="AC50" s="327" t="str">
        <f t="shared" si="28"/>
        <v xml:space="preserve"> toleransi dalam beribadah, </v>
      </c>
      <c r="AD50" s="327"/>
      <c r="AE50" s="327" t="str">
        <f t="shared" si="20"/>
        <v/>
      </c>
      <c r="AF50" s="327" t="str">
        <f t="shared" si="29"/>
        <v/>
      </c>
      <c r="AG50" s="327" t="str">
        <f t="shared" si="30"/>
        <v/>
      </c>
      <c r="AH50" s="327" t="str">
        <f t="shared" si="31"/>
        <v/>
      </c>
      <c r="AI50" s="327" t="str">
        <f t="shared" si="32"/>
        <v/>
      </c>
    </row>
    <row r="51" spans="1:35" ht="38.25" customHeight="1">
      <c r="A51" s="164">
        <v>47</v>
      </c>
      <c r="B51" s="165">
        <f>SISWA!B52</f>
        <v>0</v>
      </c>
      <c r="C51" s="166">
        <f>SISWA!E52</f>
        <v>0</v>
      </c>
      <c r="D51" s="329"/>
      <c r="E51" s="329"/>
      <c r="F51" s="329"/>
      <c r="G51" s="329"/>
      <c r="H51" s="329"/>
      <c r="I51" s="329"/>
      <c r="J51" s="329"/>
      <c r="K51" s="329"/>
      <c r="L51" s="378" t="str">
        <f t="shared" si="12"/>
        <v>Ananda 0</v>
      </c>
      <c r="M51" s="379" t="str">
        <f t="shared" si="13"/>
        <v/>
      </c>
      <c r="N51" s="379" t="str">
        <f t="shared" si="14"/>
        <v xml:space="preserve">baik dalam </v>
      </c>
      <c r="O51" s="379" t="str">
        <f t="shared" si="15"/>
        <v/>
      </c>
      <c r="P51" s="326" t="str">
        <f t="shared" si="16"/>
        <v xml:space="preserve">Ananda 0 baik dalam  ketaatan beribadah,  berperilaku syukur,  berdoa sebelum dan sesudah melakukan kegiatan,  toleransi dalam beribadah, </v>
      </c>
      <c r="R51" s="327" t="str">
        <f t="shared" si="17"/>
        <v>Ananda 0</v>
      </c>
      <c r="S51" s="327" t="str">
        <f t="shared" si="18"/>
        <v/>
      </c>
      <c r="T51" s="327" t="str">
        <f t="shared" si="21"/>
        <v/>
      </c>
      <c r="U51" s="327" t="str">
        <f t="shared" si="22"/>
        <v/>
      </c>
      <c r="V51" s="327" t="str">
        <f t="shared" si="23"/>
        <v/>
      </c>
      <c r="W51" s="327" t="str">
        <f t="shared" si="24"/>
        <v/>
      </c>
      <c r="X51" s="327"/>
      <c r="Y51" s="327" t="str">
        <f t="shared" si="19"/>
        <v xml:space="preserve">baik dalam </v>
      </c>
      <c r="Z51" s="327" t="str">
        <f t="shared" si="25"/>
        <v xml:space="preserve"> ketaatan beribadah, </v>
      </c>
      <c r="AA51" s="327" t="str">
        <f t="shared" si="26"/>
        <v xml:space="preserve"> berperilaku syukur, </v>
      </c>
      <c r="AB51" s="327" t="str">
        <f t="shared" si="27"/>
        <v xml:space="preserve"> berdoa sebelum dan sesudah melakukan kegiatan, </v>
      </c>
      <c r="AC51" s="327" t="str">
        <f t="shared" si="28"/>
        <v xml:space="preserve"> toleransi dalam beribadah, </v>
      </c>
      <c r="AD51" s="327"/>
      <c r="AE51" s="327" t="str">
        <f t="shared" si="20"/>
        <v/>
      </c>
      <c r="AF51" s="327" t="str">
        <f t="shared" si="29"/>
        <v/>
      </c>
      <c r="AG51" s="327" t="str">
        <f t="shared" si="30"/>
        <v/>
      </c>
      <c r="AH51" s="327" t="str">
        <f t="shared" si="31"/>
        <v/>
      </c>
      <c r="AI51" s="327" t="str">
        <f t="shared" si="32"/>
        <v/>
      </c>
    </row>
    <row r="52" spans="1:35" ht="38.25" customHeight="1">
      <c r="A52" s="169">
        <v>48</v>
      </c>
      <c r="B52" s="165">
        <f>SISWA!B53</f>
        <v>0</v>
      </c>
      <c r="C52" s="166">
        <f>SISWA!E53</f>
        <v>0</v>
      </c>
      <c r="D52" s="329"/>
      <c r="E52" s="329"/>
      <c r="F52" s="329"/>
      <c r="G52" s="329"/>
      <c r="H52" s="329"/>
      <c r="I52" s="329"/>
      <c r="J52" s="329"/>
      <c r="K52" s="329"/>
      <c r="L52" s="378" t="str">
        <f t="shared" si="12"/>
        <v>Ananda 0</v>
      </c>
      <c r="M52" s="379" t="str">
        <f t="shared" si="13"/>
        <v/>
      </c>
      <c r="N52" s="379" t="str">
        <f t="shared" si="14"/>
        <v xml:space="preserve">baik dalam </v>
      </c>
      <c r="O52" s="379" t="str">
        <f t="shared" si="15"/>
        <v/>
      </c>
      <c r="P52" s="326" t="str">
        <f t="shared" si="16"/>
        <v xml:space="preserve">Ananda 0 baik dalam  ketaatan beribadah,  berperilaku syukur,  berdoa sebelum dan sesudah melakukan kegiatan,  toleransi dalam beribadah, </v>
      </c>
      <c r="R52" s="327" t="str">
        <f t="shared" si="17"/>
        <v>Ananda 0</v>
      </c>
      <c r="S52" s="327" t="str">
        <f t="shared" si="18"/>
        <v/>
      </c>
      <c r="T52" s="327" t="str">
        <f t="shared" si="21"/>
        <v/>
      </c>
      <c r="U52" s="327" t="str">
        <f t="shared" si="22"/>
        <v/>
      </c>
      <c r="V52" s="327" t="str">
        <f t="shared" si="23"/>
        <v/>
      </c>
      <c r="W52" s="327" t="str">
        <f t="shared" si="24"/>
        <v/>
      </c>
      <c r="X52" s="327"/>
      <c r="Y52" s="327" t="str">
        <f t="shared" si="19"/>
        <v xml:space="preserve">baik dalam </v>
      </c>
      <c r="Z52" s="327" t="str">
        <f t="shared" si="25"/>
        <v xml:space="preserve"> ketaatan beribadah, </v>
      </c>
      <c r="AA52" s="327" t="str">
        <f t="shared" si="26"/>
        <v xml:space="preserve"> berperilaku syukur, </v>
      </c>
      <c r="AB52" s="327" t="str">
        <f t="shared" si="27"/>
        <v xml:space="preserve"> berdoa sebelum dan sesudah melakukan kegiatan, </v>
      </c>
      <c r="AC52" s="327" t="str">
        <f t="shared" si="28"/>
        <v xml:space="preserve"> toleransi dalam beribadah, </v>
      </c>
      <c r="AD52" s="327"/>
      <c r="AE52" s="327" t="str">
        <f t="shared" si="20"/>
        <v/>
      </c>
      <c r="AF52" s="327" t="str">
        <f t="shared" si="29"/>
        <v/>
      </c>
      <c r="AG52" s="327" t="str">
        <f t="shared" si="30"/>
        <v/>
      </c>
      <c r="AH52" s="327" t="str">
        <f t="shared" si="31"/>
        <v/>
      </c>
      <c r="AI52" s="327" t="str">
        <f t="shared" si="32"/>
        <v/>
      </c>
    </row>
    <row r="53" spans="1:35" ht="38.25" customHeight="1">
      <c r="A53" s="164">
        <v>49</v>
      </c>
      <c r="B53" s="165">
        <f>SISWA!B54</f>
        <v>0</v>
      </c>
      <c r="C53" s="166">
        <f>SISWA!E54</f>
        <v>0</v>
      </c>
      <c r="D53" s="329"/>
      <c r="E53" s="329"/>
      <c r="F53" s="329"/>
      <c r="G53" s="329"/>
      <c r="H53" s="329"/>
      <c r="I53" s="329"/>
      <c r="J53" s="329"/>
      <c r="K53" s="329"/>
      <c r="L53" s="378" t="str">
        <f t="shared" si="12"/>
        <v>Ananda 0</v>
      </c>
      <c r="M53" s="379" t="str">
        <f t="shared" si="13"/>
        <v/>
      </c>
      <c r="N53" s="379" t="str">
        <f t="shared" si="14"/>
        <v xml:space="preserve">baik dalam </v>
      </c>
      <c r="O53" s="379" t="str">
        <f t="shared" si="15"/>
        <v/>
      </c>
      <c r="P53" s="326" t="str">
        <f t="shared" si="16"/>
        <v xml:space="preserve">Ananda 0 baik dalam  ketaatan beribadah,  berperilaku syukur,  berdoa sebelum dan sesudah melakukan kegiatan,  toleransi dalam beribadah, </v>
      </c>
      <c r="R53" s="327" t="str">
        <f t="shared" si="17"/>
        <v>Ananda 0</v>
      </c>
      <c r="S53" s="327" t="str">
        <f t="shared" si="18"/>
        <v/>
      </c>
      <c r="T53" s="327" t="str">
        <f t="shared" si="21"/>
        <v/>
      </c>
      <c r="U53" s="327" t="str">
        <f t="shared" si="22"/>
        <v/>
      </c>
      <c r="V53" s="327" t="str">
        <f t="shared" si="23"/>
        <v/>
      </c>
      <c r="W53" s="327" t="str">
        <f t="shared" si="24"/>
        <v/>
      </c>
      <c r="X53" s="327"/>
      <c r="Y53" s="327" t="str">
        <f t="shared" si="19"/>
        <v xml:space="preserve">baik dalam </v>
      </c>
      <c r="Z53" s="327" t="str">
        <f t="shared" si="25"/>
        <v xml:space="preserve"> ketaatan beribadah, </v>
      </c>
      <c r="AA53" s="327" t="str">
        <f t="shared" si="26"/>
        <v xml:space="preserve"> berperilaku syukur, </v>
      </c>
      <c r="AB53" s="327" t="str">
        <f t="shared" si="27"/>
        <v xml:space="preserve"> berdoa sebelum dan sesudah melakukan kegiatan, </v>
      </c>
      <c r="AC53" s="327" t="str">
        <f t="shared" si="28"/>
        <v xml:space="preserve"> toleransi dalam beribadah, </v>
      </c>
      <c r="AD53" s="327"/>
      <c r="AE53" s="327" t="str">
        <f t="shared" si="20"/>
        <v/>
      </c>
      <c r="AF53" s="327" t="str">
        <f t="shared" si="29"/>
        <v/>
      </c>
      <c r="AG53" s="327" t="str">
        <f t="shared" si="30"/>
        <v/>
      </c>
      <c r="AH53" s="327" t="str">
        <f t="shared" si="31"/>
        <v/>
      </c>
      <c r="AI53" s="327" t="str">
        <f t="shared" si="32"/>
        <v/>
      </c>
    </row>
    <row r="54" spans="1:35" ht="38.25" customHeight="1">
      <c r="A54" s="169">
        <v>50</v>
      </c>
      <c r="B54" s="165">
        <f>SISWA!B55</f>
        <v>0</v>
      </c>
      <c r="C54" s="166">
        <f>SISWA!E55</f>
        <v>0</v>
      </c>
      <c r="D54" s="329"/>
      <c r="E54" s="329"/>
      <c r="F54" s="329"/>
      <c r="G54" s="329"/>
      <c r="H54" s="329"/>
      <c r="I54" s="329"/>
      <c r="J54" s="329"/>
      <c r="K54" s="329"/>
      <c r="L54" s="378" t="str">
        <f t="shared" si="12"/>
        <v>Ananda 0</v>
      </c>
      <c r="M54" s="379" t="str">
        <f t="shared" si="13"/>
        <v/>
      </c>
      <c r="N54" s="379" t="str">
        <f t="shared" si="14"/>
        <v xml:space="preserve">baik dalam </v>
      </c>
      <c r="O54" s="379" t="str">
        <f t="shared" si="15"/>
        <v/>
      </c>
      <c r="P54" s="326" t="str">
        <f t="shared" si="16"/>
        <v xml:space="preserve">Ananda 0 baik dalam  ketaatan beribadah,  berperilaku syukur,  berdoa sebelum dan sesudah melakukan kegiatan,  toleransi dalam beribadah, </v>
      </c>
      <c r="R54" s="327" t="str">
        <f t="shared" si="17"/>
        <v>Ananda 0</v>
      </c>
      <c r="S54" s="327" t="str">
        <f t="shared" si="18"/>
        <v/>
      </c>
      <c r="T54" s="327" t="str">
        <f t="shared" si="21"/>
        <v/>
      </c>
      <c r="U54" s="327" t="str">
        <f t="shared" si="22"/>
        <v/>
      </c>
      <c r="V54" s="327" t="str">
        <f t="shared" si="23"/>
        <v/>
      </c>
      <c r="W54" s="327" t="str">
        <f t="shared" si="24"/>
        <v/>
      </c>
      <c r="X54" s="327"/>
      <c r="Y54" s="327" t="str">
        <f t="shared" si="19"/>
        <v xml:space="preserve">baik dalam </v>
      </c>
      <c r="Z54" s="327" t="str">
        <f t="shared" si="25"/>
        <v xml:space="preserve"> ketaatan beribadah, </v>
      </c>
      <c r="AA54" s="327" t="str">
        <f t="shared" si="26"/>
        <v xml:space="preserve"> berperilaku syukur, </v>
      </c>
      <c r="AB54" s="327" t="str">
        <f t="shared" si="27"/>
        <v xml:space="preserve"> berdoa sebelum dan sesudah melakukan kegiatan, </v>
      </c>
      <c r="AC54" s="327" t="str">
        <f t="shared" si="28"/>
        <v xml:space="preserve"> toleransi dalam beribadah, </v>
      </c>
      <c r="AD54" s="327"/>
      <c r="AE54" s="327" t="str">
        <f t="shared" si="20"/>
        <v/>
      </c>
      <c r="AF54" s="327" t="str">
        <f t="shared" si="29"/>
        <v/>
      </c>
      <c r="AG54" s="327" t="str">
        <f t="shared" si="30"/>
        <v/>
      </c>
      <c r="AH54" s="327" t="str">
        <f t="shared" si="31"/>
        <v/>
      </c>
      <c r="AI54" s="327" t="str">
        <f t="shared" si="32"/>
        <v/>
      </c>
    </row>
    <row r="55" spans="1:35">
      <c r="Z55" s="162"/>
      <c r="AA55" s="161"/>
      <c r="AB55" s="161"/>
      <c r="AC55" s="161"/>
    </row>
  </sheetData>
  <mergeCells count="15">
    <mergeCell ref="AE3:AI3"/>
    <mergeCell ref="A1:P1"/>
    <mergeCell ref="AK1:AL4"/>
    <mergeCell ref="A2:P2"/>
    <mergeCell ref="A3:A4"/>
    <mergeCell ref="B3:B4"/>
    <mergeCell ref="C3:C4"/>
    <mergeCell ref="D3:E3"/>
    <mergeCell ref="F3:G3"/>
    <mergeCell ref="H3:I3"/>
    <mergeCell ref="J3:K3"/>
    <mergeCell ref="P3:P4"/>
    <mergeCell ref="S3:W3"/>
    <mergeCell ref="Y3:AC3"/>
    <mergeCell ref="L3:O4"/>
  </mergeCells>
  <dataValidations xWindow="335" yWindow="509" count="3">
    <dataValidation allowBlank="1" showInputMessage="1" showErrorMessage="1" promptTitle="PERLU BIMBINGAN" prompt="Isi dng rekap kegiatan PERLU BIMBINGAN siswa yg berkaitan dgn sikap di atas dlm satu semester" sqref="E5:E54 G5:G54 I5:I54 K5:K54"/>
    <dataValidation allowBlank="1" showInputMessage="1" showErrorMessage="1" promptTitle="SANGAT BAIK" prompt="Isi dng rekap kegiatan SANGAT BAIK siswa yg berkaitan dgn sikap di atas dlm satu semester" sqref="D5:D54 F5:F54 H5:H54 J5:J54"/>
    <dataValidation allowBlank="1" showErrorMessage="1" sqref="L5:O54"/>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V54"/>
  <sheetViews>
    <sheetView zoomScale="85" zoomScaleNormal="85" workbookViewId="0">
      <pane ySplit="4" topLeftCell="A5" activePane="bottomLeft" state="frozen"/>
      <selection pane="bottomLeft" activeCell="K8" sqref="K8"/>
    </sheetView>
  </sheetViews>
  <sheetFormatPr defaultColWidth="9.140625" defaultRowHeight="15"/>
  <cols>
    <col min="1" max="1" width="5.28515625" style="57" customWidth="1"/>
    <col min="2" max="2" width="7.140625" style="57" customWidth="1"/>
    <col min="3" max="3" width="21.7109375" style="57" customWidth="1"/>
    <col min="4" max="15" width="5.28515625" style="57" customWidth="1"/>
    <col min="16" max="16" width="18.140625" style="57" customWidth="1"/>
    <col min="17" max="17" width="7.7109375" style="57" customWidth="1"/>
    <col min="18" max="18" width="9.28515625" style="57" customWidth="1"/>
    <col min="19" max="19" width="15.140625" style="57" customWidth="1"/>
    <col min="20" max="20" width="62.7109375" style="57" customWidth="1"/>
    <col min="21" max="21" width="5" style="57" customWidth="1"/>
    <col min="22" max="22" width="13" style="57" hidden="1" customWidth="1"/>
    <col min="23" max="45" width="7.28515625" style="57" hidden="1" customWidth="1"/>
    <col min="46" max="46" width="9.140625" style="57" hidden="1" customWidth="1"/>
    <col min="47" max="47" width="48" style="57" customWidth="1"/>
    <col min="48" max="48" width="32.7109375" style="57" hidden="1" customWidth="1"/>
    <col min="49" max="50" width="9.140625" style="57" customWidth="1"/>
    <col min="51" max="16384" width="9.140625" style="57"/>
  </cols>
  <sheetData>
    <row r="1" spans="1:48" ht="43.5" customHeight="1">
      <c r="A1" s="668" t="s">
        <v>211</v>
      </c>
      <c r="B1" s="668"/>
      <c r="C1" s="668"/>
      <c r="D1" s="668"/>
      <c r="E1" s="668"/>
      <c r="F1" s="668"/>
      <c r="G1" s="668"/>
      <c r="H1" s="668"/>
      <c r="I1" s="668"/>
      <c r="J1" s="668"/>
      <c r="K1" s="668"/>
      <c r="L1" s="668"/>
      <c r="M1" s="668"/>
      <c r="N1" s="668"/>
      <c r="O1" s="668"/>
      <c r="P1" s="668"/>
      <c r="Q1" s="668"/>
      <c r="R1" s="668"/>
      <c r="S1" s="668"/>
      <c r="T1" s="668"/>
      <c r="U1" s="314"/>
      <c r="V1" s="161"/>
      <c r="W1" s="161"/>
      <c r="X1" s="161"/>
      <c r="Y1" s="161"/>
      <c r="Z1" s="161"/>
      <c r="AA1" s="161"/>
      <c r="AB1" s="161"/>
      <c r="AU1" s="649" t="s">
        <v>48</v>
      </c>
      <c r="AV1" s="649"/>
    </row>
    <row r="2" spans="1:48" ht="43.5" customHeight="1" thickBot="1">
      <c r="A2" s="669" t="s">
        <v>244</v>
      </c>
      <c r="B2" s="670"/>
      <c r="C2" s="670"/>
      <c r="D2" s="670"/>
      <c r="E2" s="670"/>
      <c r="F2" s="670"/>
      <c r="G2" s="670"/>
      <c r="H2" s="670"/>
      <c r="I2" s="670"/>
      <c r="J2" s="670"/>
      <c r="K2" s="670"/>
      <c r="L2" s="670"/>
      <c r="M2" s="670"/>
      <c r="N2" s="670"/>
      <c r="O2" s="670"/>
      <c r="P2" s="670"/>
      <c r="Q2" s="670"/>
      <c r="R2" s="670"/>
      <c r="S2" s="670"/>
      <c r="T2" s="670"/>
      <c r="U2" s="314"/>
      <c r="V2" s="161"/>
      <c r="W2" s="161"/>
      <c r="X2" s="161"/>
      <c r="Y2" s="161"/>
      <c r="Z2" s="161"/>
      <c r="AA2" s="161"/>
      <c r="AB2" s="161"/>
      <c r="AU2" s="649"/>
      <c r="AV2" s="649"/>
    </row>
    <row r="3" spans="1:48" ht="33.75" customHeight="1">
      <c r="A3" s="654" t="s">
        <v>4</v>
      </c>
      <c r="B3" s="654" t="s">
        <v>49</v>
      </c>
      <c r="C3" s="654" t="s">
        <v>50</v>
      </c>
      <c r="D3" s="656" t="s">
        <v>258</v>
      </c>
      <c r="E3" s="656"/>
      <c r="F3" s="657" t="s">
        <v>259</v>
      </c>
      <c r="G3" s="657"/>
      <c r="H3" s="658" t="s">
        <v>260</v>
      </c>
      <c r="I3" s="658"/>
      <c r="J3" s="659" t="s">
        <v>261</v>
      </c>
      <c r="K3" s="659"/>
      <c r="L3" s="671" t="s">
        <v>262</v>
      </c>
      <c r="M3" s="671"/>
      <c r="N3" s="672" t="s">
        <v>263</v>
      </c>
      <c r="O3" s="672"/>
      <c r="P3" s="662" t="s">
        <v>290</v>
      </c>
      <c r="Q3" s="663"/>
      <c r="R3" s="663"/>
      <c r="S3" s="664"/>
      <c r="T3" s="676" t="s">
        <v>3</v>
      </c>
      <c r="U3" s="314"/>
      <c r="V3" s="330" t="s">
        <v>44</v>
      </c>
      <c r="W3" s="673" t="s">
        <v>264</v>
      </c>
      <c r="X3" s="674"/>
      <c r="Y3" s="674"/>
      <c r="Z3" s="674"/>
      <c r="AA3" s="674"/>
      <c r="AB3" s="674"/>
      <c r="AC3" s="675"/>
      <c r="AD3" s="331"/>
      <c r="AE3" s="673" t="s">
        <v>108</v>
      </c>
      <c r="AF3" s="674"/>
      <c r="AG3" s="674"/>
      <c r="AH3" s="674"/>
      <c r="AI3" s="674"/>
      <c r="AJ3" s="674"/>
      <c r="AK3" s="675"/>
      <c r="AL3" s="332"/>
      <c r="AM3" s="673" t="s">
        <v>265</v>
      </c>
      <c r="AN3" s="674"/>
      <c r="AO3" s="674"/>
      <c r="AP3" s="674"/>
      <c r="AQ3" s="674"/>
      <c r="AR3" s="674"/>
      <c r="AS3" s="675"/>
      <c r="AU3" s="649"/>
      <c r="AV3" s="649"/>
    </row>
    <row r="4" spans="1:48" s="163" customFormat="1" ht="29.25" customHeight="1">
      <c r="A4" s="655"/>
      <c r="B4" s="655"/>
      <c r="C4" s="655"/>
      <c r="D4" s="318" t="s">
        <v>249</v>
      </c>
      <c r="E4" s="318" t="s">
        <v>250</v>
      </c>
      <c r="F4" s="319" t="s">
        <v>249</v>
      </c>
      <c r="G4" s="319" t="s">
        <v>250</v>
      </c>
      <c r="H4" s="320" t="s">
        <v>249</v>
      </c>
      <c r="I4" s="320" t="s">
        <v>250</v>
      </c>
      <c r="J4" s="321" t="s">
        <v>249</v>
      </c>
      <c r="K4" s="321" t="s">
        <v>250</v>
      </c>
      <c r="L4" s="333" t="s">
        <v>249</v>
      </c>
      <c r="M4" s="333" t="s">
        <v>250</v>
      </c>
      <c r="N4" s="334" t="s">
        <v>249</v>
      </c>
      <c r="O4" s="334" t="s">
        <v>250</v>
      </c>
      <c r="P4" s="665"/>
      <c r="Q4" s="666"/>
      <c r="R4" s="666"/>
      <c r="S4" s="667"/>
      <c r="T4" s="677"/>
      <c r="U4" s="322"/>
      <c r="V4" s="335"/>
      <c r="W4" s="336"/>
      <c r="X4" s="337">
        <v>1</v>
      </c>
      <c r="Y4" s="337">
        <v>2</v>
      </c>
      <c r="Z4" s="337">
        <v>3</v>
      </c>
      <c r="AA4" s="337">
        <v>4</v>
      </c>
      <c r="AB4" s="337">
        <v>5</v>
      </c>
      <c r="AC4" s="337">
        <v>6</v>
      </c>
      <c r="AD4" s="338"/>
      <c r="AE4" s="337"/>
      <c r="AF4" s="337">
        <v>1</v>
      </c>
      <c r="AG4" s="337">
        <v>2</v>
      </c>
      <c r="AH4" s="337">
        <v>3</v>
      </c>
      <c r="AI4" s="337">
        <v>4</v>
      </c>
      <c r="AJ4" s="337">
        <v>5</v>
      </c>
      <c r="AK4" s="337">
        <v>6</v>
      </c>
      <c r="AL4" s="338"/>
      <c r="AM4" s="336"/>
      <c r="AN4" s="337">
        <v>1</v>
      </c>
      <c r="AO4" s="337">
        <v>2</v>
      </c>
      <c r="AP4" s="337">
        <v>3</v>
      </c>
      <c r="AQ4" s="337">
        <v>4</v>
      </c>
      <c r="AR4" s="337">
        <v>5</v>
      </c>
      <c r="AS4" s="337">
        <v>6</v>
      </c>
      <c r="AU4" s="650"/>
      <c r="AV4" s="650"/>
    </row>
    <row r="5" spans="1:48" ht="38.25" customHeight="1">
      <c r="A5" s="164">
        <v>1</v>
      </c>
      <c r="B5" s="165" t="str">
        <f>SISWA!B6</f>
        <v>1718250040305</v>
      </c>
      <c r="C5" s="166" t="str">
        <f>SISWA!E6</f>
        <v>YAHYA</v>
      </c>
      <c r="D5" s="329"/>
      <c r="E5" s="329"/>
      <c r="F5" s="329"/>
      <c r="G5" s="329"/>
      <c r="H5" s="329"/>
      <c r="I5" s="329"/>
      <c r="J5" s="329"/>
      <c r="K5" s="329"/>
      <c r="L5" s="329"/>
      <c r="M5" s="329"/>
      <c r="N5" s="329"/>
      <c r="O5" s="329"/>
      <c r="P5" s="381" t="str">
        <f>"Ananda "&amp;C5</f>
        <v>Ananda YAHYA</v>
      </c>
      <c r="Q5" s="381" t="str">
        <f>IF(AND(X5="",Y5="",Z5="",AA5="",AB5="",AC5=""),"","sangat ")</f>
        <v/>
      </c>
      <c r="R5" s="381" t="str">
        <f>IF(AND(AF5="",AG5="",AH5="",AI5="",AJ5="",AK5=""),"","baik dalam sikap ")</f>
        <v xml:space="preserve">baik dalam sikap </v>
      </c>
      <c r="S5" s="381" t="str">
        <f>IF(AND(AN5="",AO5="",AP5="",AQ5="",AR5="",AS5=""),"","dan sudah mampu meningkatkan sikap ")</f>
        <v/>
      </c>
      <c r="T5" s="339" t="str">
        <f>P5&amp;" "&amp;Q5&amp;X5&amp;Y5&amp;Z5&amp;AA5&amp;AB5&amp;AC5&amp;R5&amp;AF5&amp;AG5&amp;AH5&amp;AI5&amp;AJ5&amp;AK5&amp;AL5&amp;S5&amp;AN5&amp;AO5&amp;AP5&amp;AQ5&amp;AR5&amp;AS5</f>
        <v xml:space="preserve">Ananda YAHYA baik dalam sikap jujur, disiplin, tanggung jawab, santun, peduli, percaya diri, </v>
      </c>
      <c r="U5" s="167"/>
      <c r="V5" s="340" t="str">
        <f>"Ananda "&amp;C5</f>
        <v>Ananda YAHYA</v>
      </c>
      <c r="W5" s="341" t="str">
        <f>IF(AND(X5="",Y5="",Z5="",AA5="",AB5="",AC5=""),"","sangat ")</f>
        <v/>
      </c>
      <c r="X5" s="341" t="str">
        <f>IF($D5&gt;E5,($AU$5&amp;", "),"")</f>
        <v/>
      </c>
      <c r="Y5" s="341" t="str">
        <f>IF($F5&gt;G5,($AU$6&amp;", "),"")</f>
        <v/>
      </c>
      <c r="Z5" s="341" t="str">
        <f>IF($H5&gt;I5,($AU$7&amp;", "),"")</f>
        <v/>
      </c>
      <c r="AA5" s="341" t="str">
        <f>IF($J5&gt;K5,($AU$8&amp;", "),"")</f>
        <v/>
      </c>
      <c r="AB5" s="341" t="str">
        <f>IF($L5&gt;M5,($AU$9&amp;", "),"")</f>
        <v/>
      </c>
      <c r="AC5" s="341" t="str">
        <f>IF($N5&gt;O5,($AU$10&amp;", "),"")</f>
        <v/>
      </c>
      <c r="AD5" s="342"/>
      <c r="AE5" s="341" t="str">
        <f>IF(AND(AF5="",AG5="",AH5="",AI5="",AJ5="",AK5=""),"","baik dalam sikap ")</f>
        <v xml:space="preserve">baik dalam sikap </v>
      </c>
      <c r="AF5" s="343" t="str">
        <f>IF(AND($W5&lt;&gt;"",$AM5&lt;&gt;""),"",IF(AND(X5="",AN5=""),$AU$5&amp;", ",""))</f>
        <v xml:space="preserve">jujur, </v>
      </c>
      <c r="AG5" s="343" t="str">
        <f>IF(AND($W5&lt;&gt;"",$AM5&lt;&gt;""),"",IF(AND(Y5="",AO5=""),$AU$6&amp;", ",""))</f>
        <v xml:space="preserve">disiplin, </v>
      </c>
      <c r="AH5" s="343" t="str">
        <f>IF(AND($W5&lt;&gt;"",$AM5&lt;&gt;""),"",IF(AND(Z5="",AP5=""),$AU$7&amp;", ",""))</f>
        <v xml:space="preserve">tanggung jawab, </v>
      </c>
      <c r="AI5" s="343" t="str">
        <f>IF(AND($W5&lt;&gt;"",$AM5&lt;&gt;""),"",IF(AND(AA5="",AQ5=""),$AU$8&amp;", ",""))</f>
        <v xml:space="preserve">santun, </v>
      </c>
      <c r="AJ5" s="343" t="str">
        <f>IF(AND($W5&lt;&gt;"",$AM5&lt;&gt;""),"",IF(AND(AB5="",AR5=""),$AU$9&amp;", ",""))</f>
        <v xml:space="preserve">peduli, </v>
      </c>
      <c r="AK5" s="343" t="str">
        <f>IF(AND($W5&lt;&gt;"",$AM5&lt;&gt;""),"",IF(AND(AC5="",AS5=""),$AU$10&amp;", ",""))</f>
        <v xml:space="preserve">percaya diri, </v>
      </c>
      <c r="AL5" s="342"/>
      <c r="AM5" s="341" t="str">
        <f>IF(AND(AN5="",AO5="",AP5="",AQ5="",AR5="",AS5=""),"","dan sudah mampu meningkatkan sikap ")</f>
        <v/>
      </c>
      <c r="AN5" s="341" t="str">
        <f>IF($E5&gt;D5,($AU$5&amp;", "),"")</f>
        <v/>
      </c>
      <c r="AO5" s="341" t="str">
        <f>IF($G5&gt;F5,($AU$6&amp;", "),"")</f>
        <v/>
      </c>
      <c r="AP5" s="341" t="str">
        <f>IF($I5&gt;H5,($AU$7&amp;", "),"")</f>
        <v/>
      </c>
      <c r="AQ5" s="341" t="str">
        <f>IF($K5&gt;J5,($AU$8&amp;", "),"")</f>
        <v/>
      </c>
      <c r="AR5" s="341" t="str">
        <f>IF($M5&gt;L5,($AU$9&amp;", "),"")</f>
        <v/>
      </c>
      <c r="AS5" s="341" t="str">
        <f>IF($O5&gt;N5,($AU$10&amp;"."),"")</f>
        <v/>
      </c>
      <c r="AT5" s="168" t="str">
        <f>IF(N5=1,$N$3," ")</f>
        <v xml:space="preserve"> </v>
      </c>
      <c r="AU5" s="246" t="s">
        <v>258</v>
      </c>
      <c r="AV5" s="344"/>
    </row>
    <row r="6" spans="1:48" ht="38.25" customHeight="1">
      <c r="A6" s="169">
        <v>2</v>
      </c>
      <c r="B6" s="165" t="str">
        <f>SISWA!B7</f>
        <v>1718250040306</v>
      </c>
      <c r="C6" s="166" t="str">
        <f>SISWA!E7</f>
        <v>ADHWA</v>
      </c>
      <c r="D6" s="329"/>
      <c r="E6" s="329"/>
      <c r="F6" s="329"/>
      <c r="G6" s="329"/>
      <c r="H6" s="329"/>
      <c r="I6" s="329"/>
      <c r="J6" s="329"/>
      <c r="K6" s="329"/>
      <c r="L6" s="329"/>
      <c r="M6" s="329"/>
      <c r="N6" s="329"/>
      <c r="O6" s="329"/>
      <c r="P6" s="381" t="str">
        <f t="shared" ref="P6:P54" si="0">"Ananda "&amp;C6</f>
        <v>Ananda ADHWA</v>
      </c>
      <c r="Q6" s="381" t="str">
        <f t="shared" ref="Q6:Q54" si="1">IF(AND(X6="",Y6="",Z6="",AA6="",AB6="",AC6=""),"","sangat ")</f>
        <v/>
      </c>
      <c r="R6" s="381" t="str">
        <f t="shared" ref="R6:R54" si="2">IF(AND(AF6="",AG6="",AH6="",AI6="",AJ6="",AK6=""),"","baik dalam sikap ")</f>
        <v xml:space="preserve">baik dalam sikap </v>
      </c>
      <c r="S6" s="381" t="str">
        <f t="shared" ref="S6:S54" si="3">IF(AND(AN6="",AO6="",AP6="",AQ6="",AR6="",AS6=""),"","dan sudah mampu meningkatkan sikap ")</f>
        <v/>
      </c>
      <c r="T6" s="339" t="str">
        <f t="shared" ref="T6:T54" si="4">P6&amp;" "&amp;Q6&amp;X6&amp;Y6&amp;Z6&amp;AA6&amp;AB6&amp;AC6&amp;R6&amp;AF6&amp;AG6&amp;AH6&amp;AI6&amp;AJ6&amp;AK6&amp;AL6&amp;S6&amp;AN6&amp;AO6&amp;AP6&amp;AQ6&amp;AR6&amp;AS6</f>
        <v xml:space="preserve">Ananda ADHWA baik dalam sikap jujur, disiplin, tanggung jawab, santun, peduli, percaya diri, </v>
      </c>
      <c r="V6" s="340" t="str">
        <f t="shared" ref="V6:V54" si="5">"Ananda "&amp;C6</f>
        <v>Ananda ADHWA</v>
      </c>
      <c r="W6" s="341" t="str">
        <f t="shared" ref="W6:W54" si="6">IF(AND(X6="",Y6="",Z6="",AA6="",AB6="",AC6=""),"","sangat ")</f>
        <v/>
      </c>
      <c r="X6" s="341" t="str">
        <f t="shared" ref="X6:X54" si="7">IF($D6&gt;E6,($AU$5&amp;", "),"")</f>
        <v/>
      </c>
      <c r="Y6" s="341" t="str">
        <f t="shared" ref="Y6:Y54" si="8">IF($F6&gt;G6,($AU$6&amp;", "),"")</f>
        <v/>
      </c>
      <c r="Z6" s="341" t="str">
        <f t="shared" ref="Z6:Z54" si="9">IF($H6&gt;I6,($AU$7&amp;", "),"")</f>
        <v/>
      </c>
      <c r="AA6" s="341" t="str">
        <f t="shared" ref="AA6:AA54" si="10">IF($J6&gt;K6,($AU$8&amp;", "),"")</f>
        <v/>
      </c>
      <c r="AB6" s="341" t="str">
        <f t="shared" ref="AB6:AB54" si="11">IF($L6&gt;M6,($AU$9&amp;", "),"")</f>
        <v/>
      </c>
      <c r="AC6" s="341" t="str">
        <f t="shared" ref="AC6:AC54" si="12">IF($N6&gt;O6,($AU$10&amp;", "),"")</f>
        <v/>
      </c>
      <c r="AD6" s="342"/>
      <c r="AE6" s="341" t="str">
        <f t="shared" ref="AE6:AE54" si="13">IF(AND(AF6="",AG6="",AH6="",AI6="",AJ6="",AK6=""),"","baik dalam sikap ")</f>
        <v xml:space="preserve">baik dalam sikap </v>
      </c>
      <c r="AF6" s="343" t="str">
        <f t="shared" ref="AF6:AF54" si="14">IF(AND($W6&lt;&gt;"",$AM6&lt;&gt;""),"",IF(AND(X6="",AN6=""),$AU$5&amp;", ",""))</f>
        <v xml:space="preserve">jujur, </v>
      </c>
      <c r="AG6" s="343" t="str">
        <f t="shared" ref="AG6:AG54" si="15">IF(AND($W6&lt;&gt;"",$AM6&lt;&gt;""),"",IF(AND(Y6="",AO6=""),$AU$6&amp;", ",""))</f>
        <v xml:space="preserve">disiplin, </v>
      </c>
      <c r="AH6" s="343" t="str">
        <f t="shared" ref="AH6:AH54" si="16">IF(AND($W6&lt;&gt;"",$AM6&lt;&gt;""),"",IF(AND(Z6="",AP6=""),$AU$7&amp;", ",""))</f>
        <v xml:space="preserve">tanggung jawab, </v>
      </c>
      <c r="AI6" s="343" t="str">
        <f t="shared" ref="AI6:AI54" si="17">IF(AND($W6&lt;&gt;"",$AM6&lt;&gt;""),"",IF(AND(AA6="",AQ6=""),$AU$8&amp;", ",""))</f>
        <v xml:space="preserve">santun, </v>
      </c>
      <c r="AJ6" s="343" t="str">
        <f t="shared" ref="AJ6:AJ54" si="18">IF(AND($W6&lt;&gt;"",$AM6&lt;&gt;""),"",IF(AND(AB6="",AR6=""),$AU$9&amp;", ",""))</f>
        <v xml:space="preserve">peduli, </v>
      </c>
      <c r="AK6" s="343" t="str">
        <f t="shared" ref="AK6:AK54" si="19">IF(AND($W6&lt;&gt;"",$AM6&lt;&gt;""),"",IF(AND(AC6="",AS6=""),$AU$10&amp;", ",""))</f>
        <v xml:space="preserve">percaya diri, </v>
      </c>
      <c r="AL6" s="342"/>
      <c r="AM6" s="341" t="str">
        <f t="shared" ref="AM6:AM54" si="20">IF(AND(AN6="",AO6="",AP6="",AQ6="",AR6="",AS6=""),"","dan sudah mampu meningkatkan sikap ")</f>
        <v/>
      </c>
      <c r="AN6" s="341" t="str">
        <f t="shared" ref="AN6:AN54" si="21">IF($E6&gt;D6,($AU$5&amp;", "),"")</f>
        <v/>
      </c>
      <c r="AO6" s="341" t="str">
        <f t="shared" ref="AO6:AO54" si="22">IF($G6&gt;F6,($AU$6&amp;", "),"")</f>
        <v/>
      </c>
      <c r="AP6" s="341" t="str">
        <f t="shared" ref="AP6:AP54" si="23">IF($I6&gt;H6,($AU$7&amp;", "),"")</f>
        <v/>
      </c>
      <c r="AQ6" s="341" t="str">
        <f t="shared" ref="AQ6:AQ54" si="24">IF($K6&gt;J6,($AU$8&amp;", "),"")</f>
        <v/>
      </c>
      <c r="AR6" s="341" t="str">
        <f t="shared" ref="AR6:AR54" si="25">IF($M6&gt;L6,($AU$9&amp;", "),"")</f>
        <v/>
      </c>
      <c r="AS6" s="341" t="str">
        <f t="shared" ref="AS6:AS54" si="26">IF($O6&gt;N6,($AU$10&amp;"."),"")</f>
        <v/>
      </c>
      <c r="AT6" s="168" t="str">
        <f t="shared" ref="AT6:AT54" si="27">IF(N6=1,$N$3," ")</f>
        <v xml:space="preserve"> </v>
      </c>
      <c r="AU6" s="247" t="s">
        <v>259</v>
      </c>
      <c r="AV6" s="345"/>
    </row>
    <row r="7" spans="1:48" ht="38.25" customHeight="1">
      <c r="A7" s="164">
        <v>3</v>
      </c>
      <c r="B7" s="165" t="str">
        <f>SISWA!B8</f>
        <v xml:space="preserve"> 1718250040307</v>
      </c>
      <c r="C7" s="166" t="str">
        <f>SISWA!E8</f>
        <v>ANDHIKA</v>
      </c>
      <c r="D7" s="329"/>
      <c r="E7" s="329"/>
      <c r="F7" s="329"/>
      <c r="G7" s="329"/>
      <c r="H7" s="329"/>
      <c r="I7" s="329"/>
      <c r="J7" s="329"/>
      <c r="K7" s="329"/>
      <c r="L7" s="329"/>
      <c r="M7" s="329"/>
      <c r="N7" s="329"/>
      <c r="O7" s="329"/>
      <c r="P7" s="381" t="str">
        <f t="shared" si="0"/>
        <v>Ananda ANDHIKA</v>
      </c>
      <c r="Q7" s="381" t="str">
        <f t="shared" si="1"/>
        <v/>
      </c>
      <c r="R7" s="381" t="str">
        <f t="shared" si="2"/>
        <v xml:space="preserve">baik dalam sikap </v>
      </c>
      <c r="S7" s="381" t="str">
        <f t="shared" si="3"/>
        <v/>
      </c>
      <c r="T7" s="339" t="str">
        <f t="shared" si="4"/>
        <v xml:space="preserve">Ananda ANDHIKA baik dalam sikap jujur, disiplin, tanggung jawab, santun, peduli, percaya diri, </v>
      </c>
      <c r="V7" s="340" t="str">
        <f t="shared" si="5"/>
        <v>Ananda ANDHIKA</v>
      </c>
      <c r="W7" s="341" t="str">
        <f t="shared" si="6"/>
        <v/>
      </c>
      <c r="X7" s="341" t="str">
        <f t="shared" si="7"/>
        <v/>
      </c>
      <c r="Y7" s="341" t="str">
        <f t="shared" si="8"/>
        <v/>
      </c>
      <c r="Z7" s="341" t="str">
        <f t="shared" si="9"/>
        <v/>
      </c>
      <c r="AA7" s="341" t="str">
        <f t="shared" si="10"/>
        <v/>
      </c>
      <c r="AB7" s="341" t="str">
        <f t="shared" si="11"/>
        <v/>
      </c>
      <c r="AC7" s="341" t="str">
        <f t="shared" si="12"/>
        <v/>
      </c>
      <c r="AD7" s="342"/>
      <c r="AE7" s="341" t="str">
        <f t="shared" si="13"/>
        <v xml:space="preserve">baik dalam sikap </v>
      </c>
      <c r="AF7" s="343" t="str">
        <f t="shared" si="14"/>
        <v xml:space="preserve">jujur, </v>
      </c>
      <c r="AG7" s="343" t="str">
        <f t="shared" si="15"/>
        <v xml:space="preserve">disiplin, </v>
      </c>
      <c r="AH7" s="343" t="str">
        <f t="shared" si="16"/>
        <v xml:space="preserve">tanggung jawab, </v>
      </c>
      <c r="AI7" s="343" t="str">
        <f t="shared" si="17"/>
        <v xml:space="preserve">santun, </v>
      </c>
      <c r="AJ7" s="343" t="str">
        <f t="shared" si="18"/>
        <v xml:space="preserve">peduli, </v>
      </c>
      <c r="AK7" s="343" t="str">
        <f t="shared" si="19"/>
        <v xml:space="preserve">percaya diri, </v>
      </c>
      <c r="AL7" s="342"/>
      <c r="AM7" s="341" t="str">
        <f t="shared" si="20"/>
        <v/>
      </c>
      <c r="AN7" s="341" t="str">
        <f t="shared" si="21"/>
        <v/>
      </c>
      <c r="AO7" s="341" t="str">
        <f t="shared" si="22"/>
        <v/>
      </c>
      <c r="AP7" s="341" t="str">
        <f t="shared" si="23"/>
        <v/>
      </c>
      <c r="AQ7" s="341" t="str">
        <f t="shared" si="24"/>
        <v/>
      </c>
      <c r="AR7" s="341" t="str">
        <f t="shared" si="25"/>
        <v/>
      </c>
      <c r="AS7" s="341" t="str">
        <f t="shared" si="26"/>
        <v/>
      </c>
      <c r="AT7" s="168" t="str">
        <f t="shared" si="27"/>
        <v xml:space="preserve"> </v>
      </c>
      <c r="AU7" s="247" t="s">
        <v>260</v>
      </c>
      <c r="AV7" s="345"/>
    </row>
    <row r="8" spans="1:48" ht="38.25" customHeight="1">
      <c r="A8" s="169">
        <v>4</v>
      </c>
      <c r="B8" s="165" t="str">
        <f>SISWA!B9</f>
        <v xml:space="preserve"> 1718250040308</v>
      </c>
      <c r="C8" s="166" t="str">
        <f>SISWA!E9</f>
        <v>ANGGARA</v>
      </c>
      <c r="D8" s="329"/>
      <c r="E8" s="329"/>
      <c r="F8" s="329"/>
      <c r="G8" s="329"/>
      <c r="H8" s="329"/>
      <c r="I8" s="329"/>
      <c r="J8" s="329"/>
      <c r="K8" s="329"/>
      <c r="L8" s="329"/>
      <c r="M8" s="329"/>
      <c r="N8" s="329"/>
      <c r="O8" s="329"/>
      <c r="P8" s="381" t="str">
        <f t="shared" si="0"/>
        <v>Ananda ANGGARA</v>
      </c>
      <c r="Q8" s="381" t="str">
        <f t="shared" si="1"/>
        <v/>
      </c>
      <c r="R8" s="381" t="str">
        <f t="shared" si="2"/>
        <v xml:space="preserve">baik dalam sikap </v>
      </c>
      <c r="S8" s="381" t="str">
        <f t="shared" si="3"/>
        <v/>
      </c>
      <c r="T8" s="339" t="str">
        <f t="shared" si="4"/>
        <v xml:space="preserve">Ananda ANGGARA baik dalam sikap jujur, disiplin, tanggung jawab, santun, peduli, percaya diri, </v>
      </c>
      <c r="V8" s="340" t="str">
        <f t="shared" si="5"/>
        <v>Ananda ANGGARA</v>
      </c>
      <c r="W8" s="341" t="str">
        <f t="shared" si="6"/>
        <v/>
      </c>
      <c r="X8" s="341" t="str">
        <f t="shared" si="7"/>
        <v/>
      </c>
      <c r="Y8" s="341" t="str">
        <f t="shared" si="8"/>
        <v/>
      </c>
      <c r="Z8" s="341" t="str">
        <f t="shared" si="9"/>
        <v/>
      </c>
      <c r="AA8" s="341" t="str">
        <f t="shared" si="10"/>
        <v/>
      </c>
      <c r="AB8" s="341" t="str">
        <f t="shared" si="11"/>
        <v/>
      </c>
      <c r="AC8" s="341" t="str">
        <f t="shared" si="12"/>
        <v/>
      </c>
      <c r="AD8" s="342"/>
      <c r="AE8" s="341" t="str">
        <f t="shared" si="13"/>
        <v xml:space="preserve">baik dalam sikap </v>
      </c>
      <c r="AF8" s="343" t="str">
        <f t="shared" si="14"/>
        <v xml:space="preserve">jujur, </v>
      </c>
      <c r="AG8" s="343" t="str">
        <f t="shared" si="15"/>
        <v xml:space="preserve">disiplin, </v>
      </c>
      <c r="AH8" s="343" t="str">
        <f t="shared" si="16"/>
        <v xml:space="preserve">tanggung jawab, </v>
      </c>
      <c r="AI8" s="343" t="str">
        <f t="shared" si="17"/>
        <v xml:space="preserve">santun, </v>
      </c>
      <c r="AJ8" s="343" t="str">
        <f t="shared" si="18"/>
        <v xml:space="preserve">peduli, </v>
      </c>
      <c r="AK8" s="343" t="str">
        <f t="shared" si="19"/>
        <v xml:space="preserve">percaya diri, </v>
      </c>
      <c r="AL8" s="342"/>
      <c r="AM8" s="341" t="str">
        <f t="shared" si="20"/>
        <v/>
      </c>
      <c r="AN8" s="341" t="str">
        <f t="shared" si="21"/>
        <v/>
      </c>
      <c r="AO8" s="341" t="str">
        <f t="shared" si="22"/>
        <v/>
      </c>
      <c r="AP8" s="341" t="str">
        <f t="shared" si="23"/>
        <v/>
      </c>
      <c r="AQ8" s="341" t="str">
        <f t="shared" si="24"/>
        <v/>
      </c>
      <c r="AR8" s="341" t="str">
        <f t="shared" si="25"/>
        <v/>
      </c>
      <c r="AS8" s="341" t="str">
        <f t="shared" si="26"/>
        <v/>
      </c>
      <c r="AT8" s="168" t="str">
        <f t="shared" si="27"/>
        <v xml:space="preserve"> </v>
      </c>
      <c r="AU8" s="247" t="s">
        <v>261</v>
      </c>
      <c r="AV8" s="345"/>
    </row>
    <row r="9" spans="1:48" ht="38.25" customHeight="1">
      <c r="A9" s="164">
        <v>5</v>
      </c>
      <c r="B9" s="165" t="str">
        <f>SISWA!B10</f>
        <v>1718250040309</v>
      </c>
      <c r="C9" s="166" t="str">
        <f>SISWA!E10</f>
        <v>ARIA</v>
      </c>
      <c r="D9" s="329"/>
      <c r="E9" s="329"/>
      <c r="F9" s="329"/>
      <c r="G9" s="329"/>
      <c r="H9" s="329"/>
      <c r="I9" s="329"/>
      <c r="J9" s="329"/>
      <c r="K9" s="329"/>
      <c r="L9" s="329"/>
      <c r="M9" s="329"/>
      <c r="N9" s="329"/>
      <c r="O9" s="329"/>
      <c r="P9" s="381" t="str">
        <f t="shared" si="0"/>
        <v>Ananda ARIA</v>
      </c>
      <c r="Q9" s="381" t="str">
        <f t="shared" si="1"/>
        <v/>
      </c>
      <c r="R9" s="381" t="str">
        <f t="shared" si="2"/>
        <v xml:space="preserve">baik dalam sikap </v>
      </c>
      <c r="S9" s="381" t="str">
        <f t="shared" si="3"/>
        <v/>
      </c>
      <c r="T9" s="339" t="str">
        <f t="shared" si="4"/>
        <v xml:space="preserve">Ananda ARIA baik dalam sikap jujur, disiplin, tanggung jawab, santun, peduli, percaya diri, </v>
      </c>
      <c r="V9" s="340" t="str">
        <f t="shared" si="5"/>
        <v>Ananda ARIA</v>
      </c>
      <c r="W9" s="341" t="str">
        <f t="shared" si="6"/>
        <v/>
      </c>
      <c r="X9" s="341" t="str">
        <f t="shared" si="7"/>
        <v/>
      </c>
      <c r="Y9" s="341" t="str">
        <f t="shared" si="8"/>
        <v/>
      </c>
      <c r="Z9" s="341" t="str">
        <f t="shared" si="9"/>
        <v/>
      </c>
      <c r="AA9" s="341" t="str">
        <f t="shared" si="10"/>
        <v/>
      </c>
      <c r="AB9" s="341" t="str">
        <f t="shared" si="11"/>
        <v/>
      </c>
      <c r="AC9" s="341" t="str">
        <f t="shared" si="12"/>
        <v/>
      </c>
      <c r="AD9" s="342"/>
      <c r="AE9" s="341" t="str">
        <f t="shared" si="13"/>
        <v xml:space="preserve">baik dalam sikap </v>
      </c>
      <c r="AF9" s="343" t="str">
        <f t="shared" si="14"/>
        <v xml:space="preserve">jujur, </v>
      </c>
      <c r="AG9" s="343" t="str">
        <f t="shared" si="15"/>
        <v xml:space="preserve">disiplin, </v>
      </c>
      <c r="AH9" s="343" t="str">
        <f t="shared" si="16"/>
        <v xml:space="preserve">tanggung jawab, </v>
      </c>
      <c r="AI9" s="343" t="str">
        <f t="shared" si="17"/>
        <v xml:space="preserve">santun, </v>
      </c>
      <c r="AJ9" s="343" t="str">
        <f t="shared" si="18"/>
        <v xml:space="preserve">peduli, </v>
      </c>
      <c r="AK9" s="343" t="str">
        <f t="shared" si="19"/>
        <v xml:space="preserve">percaya diri, </v>
      </c>
      <c r="AL9" s="342"/>
      <c r="AM9" s="341" t="str">
        <f t="shared" si="20"/>
        <v/>
      </c>
      <c r="AN9" s="341" t="str">
        <f t="shared" si="21"/>
        <v/>
      </c>
      <c r="AO9" s="341" t="str">
        <f t="shared" si="22"/>
        <v/>
      </c>
      <c r="AP9" s="341" t="str">
        <f t="shared" si="23"/>
        <v/>
      </c>
      <c r="AQ9" s="341" t="str">
        <f t="shared" si="24"/>
        <v/>
      </c>
      <c r="AR9" s="341" t="str">
        <f t="shared" si="25"/>
        <v/>
      </c>
      <c r="AS9" s="341" t="str">
        <f t="shared" si="26"/>
        <v/>
      </c>
      <c r="AT9" s="168" t="str">
        <f t="shared" si="27"/>
        <v xml:space="preserve"> </v>
      </c>
      <c r="AU9" s="247" t="s">
        <v>262</v>
      </c>
      <c r="AV9" s="345"/>
    </row>
    <row r="10" spans="1:48" ht="38.25" customHeight="1">
      <c r="A10" s="169">
        <v>6</v>
      </c>
      <c r="B10" s="165" t="str">
        <f>SISWA!B11</f>
        <v>1718250040310</v>
      </c>
      <c r="C10" s="166" t="str">
        <f>SISWA!E11</f>
        <v>CAHAYA</v>
      </c>
      <c r="D10" s="329"/>
      <c r="E10" s="329"/>
      <c r="F10" s="329"/>
      <c r="G10" s="329"/>
      <c r="H10" s="329"/>
      <c r="I10" s="329"/>
      <c r="J10" s="329"/>
      <c r="K10" s="329"/>
      <c r="L10" s="329"/>
      <c r="M10" s="329"/>
      <c r="N10" s="329"/>
      <c r="O10" s="329"/>
      <c r="P10" s="381" t="str">
        <f t="shared" si="0"/>
        <v>Ananda CAHAYA</v>
      </c>
      <c r="Q10" s="381" t="str">
        <f t="shared" si="1"/>
        <v/>
      </c>
      <c r="R10" s="381" t="str">
        <f t="shared" si="2"/>
        <v xml:space="preserve">baik dalam sikap </v>
      </c>
      <c r="S10" s="381" t="str">
        <f t="shared" si="3"/>
        <v/>
      </c>
      <c r="T10" s="339" t="str">
        <f t="shared" si="4"/>
        <v xml:space="preserve">Ananda CAHAYA baik dalam sikap jujur, disiplin, tanggung jawab, santun, peduli, percaya diri, </v>
      </c>
      <c r="V10" s="340" t="str">
        <f t="shared" si="5"/>
        <v>Ananda CAHAYA</v>
      </c>
      <c r="W10" s="341" t="str">
        <f t="shared" si="6"/>
        <v/>
      </c>
      <c r="X10" s="341" t="str">
        <f t="shared" si="7"/>
        <v/>
      </c>
      <c r="Y10" s="341" t="str">
        <f t="shared" si="8"/>
        <v/>
      </c>
      <c r="Z10" s="341" t="str">
        <f t="shared" si="9"/>
        <v/>
      </c>
      <c r="AA10" s="341" t="str">
        <f t="shared" si="10"/>
        <v/>
      </c>
      <c r="AB10" s="341" t="str">
        <f t="shared" si="11"/>
        <v/>
      </c>
      <c r="AC10" s="341" t="str">
        <f t="shared" si="12"/>
        <v/>
      </c>
      <c r="AD10" s="342"/>
      <c r="AE10" s="341" t="str">
        <f t="shared" si="13"/>
        <v xml:space="preserve">baik dalam sikap </v>
      </c>
      <c r="AF10" s="343" t="str">
        <f t="shared" si="14"/>
        <v xml:space="preserve">jujur, </v>
      </c>
      <c r="AG10" s="343" t="str">
        <f t="shared" si="15"/>
        <v xml:space="preserve">disiplin, </v>
      </c>
      <c r="AH10" s="343" t="str">
        <f t="shared" si="16"/>
        <v xml:space="preserve">tanggung jawab, </v>
      </c>
      <c r="AI10" s="343" t="str">
        <f t="shared" si="17"/>
        <v xml:space="preserve">santun, </v>
      </c>
      <c r="AJ10" s="343" t="str">
        <f t="shared" si="18"/>
        <v xml:space="preserve">peduli, </v>
      </c>
      <c r="AK10" s="343" t="str">
        <f t="shared" si="19"/>
        <v xml:space="preserve">percaya diri, </v>
      </c>
      <c r="AL10" s="342"/>
      <c r="AM10" s="341" t="str">
        <f t="shared" si="20"/>
        <v/>
      </c>
      <c r="AN10" s="341" t="str">
        <f t="shared" si="21"/>
        <v/>
      </c>
      <c r="AO10" s="341" t="str">
        <f t="shared" si="22"/>
        <v/>
      </c>
      <c r="AP10" s="341" t="str">
        <f t="shared" si="23"/>
        <v/>
      </c>
      <c r="AQ10" s="341" t="str">
        <f t="shared" si="24"/>
        <v/>
      </c>
      <c r="AR10" s="341" t="str">
        <f t="shared" si="25"/>
        <v/>
      </c>
      <c r="AS10" s="341" t="str">
        <f t="shared" si="26"/>
        <v/>
      </c>
      <c r="AT10" s="168" t="str">
        <f t="shared" si="27"/>
        <v xml:space="preserve"> </v>
      </c>
      <c r="AU10" s="247" t="s">
        <v>263</v>
      </c>
      <c r="AV10" s="345"/>
    </row>
    <row r="11" spans="1:48" ht="38.25" customHeight="1">
      <c r="A11" s="164">
        <v>7</v>
      </c>
      <c r="B11" s="165" t="str">
        <f>SISWA!B12</f>
        <v>1718250040311</v>
      </c>
      <c r="C11" s="166" t="str">
        <f>SISWA!E12</f>
        <v>CALISTA</v>
      </c>
      <c r="D11" s="329"/>
      <c r="E11" s="329"/>
      <c r="F11" s="329"/>
      <c r="G11" s="329"/>
      <c r="H11" s="329"/>
      <c r="I11" s="329"/>
      <c r="J11" s="329"/>
      <c r="K11" s="329"/>
      <c r="L11" s="329"/>
      <c r="M11" s="329"/>
      <c r="N11" s="329"/>
      <c r="O11" s="329"/>
      <c r="P11" s="381" t="str">
        <f t="shared" si="0"/>
        <v>Ananda CALISTA</v>
      </c>
      <c r="Q11" s="381" t="str">
        <f t="shared" si="1"/>
        <v/>
      </c>
      <c r="R11" s="381" t="str">
        <f t="shared" si="2"/>
        <v xml:space="preserve">baik dalam sikap </v>
      </c>
      <c r="S11" s="381" t="str">
        <f t="shared" si="3"/>
        <v/>
      </c>
      <c r="T11" s="339" t="str">
        <f t="shared" si="4"/>
        <v xml:space="preserve">Ananda CALISTA baik dalam sikap jujur, disiplin, tanggung jawab, santun, peduli, percaya diri, </v>
      </c>
      <c r="V11" s="340" t="str">
        <f t="shared" si="5"/>
        <v>Ananda CALISTA</v>
      </c>
      <c r="W11" s="341" t="str">
        <f t="shared" si="6"/>
        <v/>
      </c>
      <c r="X11" s="341" t="str">
        <f t="shared" si="7"/>
        <v/>
      </c>
      <c r="Y11" s="341" t="str">
        <f t="shared" si="8"/>
        <v/>
      </c>
      <c r="Z11" s="341" t="str">
        <f t="shared" si="9"/>
        <v/>
      </c>
      <c r="AA11" s="341" t="str">
        <f t="shared" si="10"/>
        <v/>
      </c>
      <c r="AB11" s="341" t="str">
        <f t="shared" si="11"/>
        <v/>
      </c>
      <c r="AC11" s="341" t="str">
        <f t="shared" si="12"/>
        <v/>
      </c>
      <c r="AD11" s="342"/>
      <c r="AE11" s="341" t="str">
        <f t="shared" si="13"/>
        <v xml:space="preserve">baik dalam sikap </v>
      </c>
      <c r="AF11" s="343" t="str">
        <f t="shared" si="14"/>
        <v xml:space="preserve">jujur, </v>
      </c>
      <c r="AG11" s="343" t="str">
        <f t="shared" si="15"/>
        <v xml:space="preserve">disiplin, </v>
      </c>
      <c r="AH11" s="343" t="str">
        <f t="shared" si="16"/>
        <v xml:space="preserve">tanggung jawab, </v>
      </c>
      <c r="AI11" s="343" t="str">
        <f t="shared" si="17"/>
        <v xml:space="preserve">santun, </v>
      </c>
      <c r="AJ11" s="343" t="str">
        <f t="shared" si="18"/>
        <v xml:space="preserve">peduli, </v>
      </c>
      <c r="AK11" s="343" t="str">
        <f t="shared" si="19"/>
        <v xml:space="preserve">percaya diri, </v>
      </c>
      <c r="AL11" s="342"/>
      <c r="AM11" s="341" t="str">
        <f t="shared" si="20"/>
        <v/>
      </c>
      <c r="AN11" s="341" t="str">
        <f t="shared" si="21"/>
        <v/>
      </c>
      <c r="AO11" s="341" t="str">
        <f t="shared" si="22"/>
        <v/>
      </c>
      <c r="AP11" s="341" t="str">
        <f t="shared" si="23"/>
        <v/>
      </c>
      <c r="AQ11" s="341" t="str">
        <f t="shared" si="24"/>
        <v/>
      </c>
      <c r="AR11" s="341" t="str">
        <f t="shared" si="25"/>
        <v/>
      </c>
      <c r="AS11" s="341" t="str">
        <f t="shared" si="26"/>
        <v/>
      </c>
      <c r="AT11" s="168" t="str">
        <f t="shared" si="27"/>
        <v xml:space="preserve"> </v>
      </c>
    </row>
    <row r="12" spans="1:48" ht="38.25" customHeight="1">
      <c r="A12" s="169">
        <v>8</v>
      </c>
      <c r="B12" s="165" t="str">
        <f>SISWA!B13</f>
        <v>1718250040312</v>
      </c>
      <c r="C12" s="166" t="str">
        <f>SISWA!E13</f>
        <v>CARISSA</v>
      </c>
      <c r="D12" s="329"/>
      <c r="E12" s="329"/>
      <c r="F12" s="329"/>
      <c r="G12" s="329"/>
      <c r="H12" s="329"/>
      <c r="I12" s="329"/>
      <c r="J12" s="329"/>
      <c r="K12" s="329"/>
      <c r="L12" s="329"/>
      <c r="M12" s="329"/>
      <c r="N12" s="329"/>
      <c r="O12" s="329"/>
      <c r="P12" s="381" t="str">
        <f t="shared" si="0"/>
        <v>Ananda CARISSA</v>
      </c>
      <c r="Q12" s="381" t="str">
        <f t="shared" si="1"/>
        <v/>
      </c>
      <c r="R12" s="381" t="str">
        <f t="shared" si="2"/>
        <v xml:space="preserve">baik dalam sikap </v>
      </c>
      <c r="S12" s="381" t="str">
        <f t="shared" si="3"/>
        <v/>
      </c>
      <c r="T12" s="339" t="str">
        <f t="shared" si="4"/>
        <v xml:space="preserve">Ananda CARISSA baik dalam sikap jujur, disiplin, tanggung jawab, santun, peduli, percaya diri, </v>
      </c>
      <c r="V12" s="340" t="str">
        <f t="shared" si="5"/>
        <v>Ananda CARISSA</v>
      </c>
      <c r="W12" s="341" t="str">
        <f t="shared" si="6"/>
        <v/>
      </c>
      <c r="X12" s="341" t="str">
        <f t="shared" si="7"/>
        <v/>
      </c>
      <c r="Y12" s="341" t="str">
        <f t="shared" si="8"/>
        <v/>
      </c>
      <c r="Z12" s="341" t="str">
        <f t="shared" si="9"/>
        <v/>
      </c>
      <c r="AA12" s="341" t="str">
        <f t="shared" si="10"/>
        <v/>
      </c>
      <c r="AB12" s="341" t="str">
        <f t="shared" si="11"/>
        <v/>
      </c>
      <c r="AC12" s="341" t="str">
        <f t="shared" si="12"/>
        <v/>
      </c>
      <c r="AD12" s="342"/>
      <c r="AE12" s="341" t="str">
        <f t="shared" si="13"/>
        <v xml:space="preserve">baik dalam sikap </v>
      </c>
      <c r="AF12" s="343" t="str">
        <f t="shared" si="14"/>
        <v xml:space="preserve">jujur, </v>
      </c>
      <c r="AG12" s="343" t="str">
        <f t="shared" si="15"/>
        <v xml:space="preserve">disiplin, </v>
      </c>
      <c r="AH12" s="343" t="str">
        <f t="shared" si="16"/>
        <v xml:space="preserve">tanggung jawab, </v>
      </c>
      <c r="AI12" s="343" t="str">
        <f t="shared" si="17"/>
        <v xml:space="preserve">santun, </v>
      </c>
      <c r="AJ12" s="343" t="str">
        <f t="shared" si="18"/>
        <v xml:space="preserve">peduli, </v>
      </c>
      <c r="AK12" s="343" t="str">
        <f t="shared" si="19"/>
        <v xml:space="preserve">percaya diri, </v>
      </c>
      <c r="AL12" s="342"/>
      <c r="AM12" s="341" t="str">
        <f t="shared" si="20"/>
        <v/>
      </c>
      <c r="AN12" s="341" t="str">
        <f t="shared" si="21"/>
        <v/>
      </c>
      <c r="AO12" s="341" t="str">
        <f t="shared" si="22"/>
        <v/>
      </c>
      <c r="AP12" s="341" t="str">
        <f t="shared" si="23"/>
        <v/>
      </c>
      <c r="AQ12" s="341" t="str">
        <f t="shared" si="24"/>
        <v/>
      </c>
      <c r="AR12" s="341" t="str">
        <f t="shared" si="25"/>
        <v/>
      </c>
      <c r="AS12" s="341" t="str">
        <f t="shared" si="26"/>
        <v/>
      </c>
      <c r="AT12" s="168" t="str">
        <f t="shared" si="27"/>
        <v xml:space="preserve"> </v>
      </c>
    </row>
    <row r="13" spans="1:48" ht="38.25" customHeight="1">
      <c r="A13" s="164">
        <v>9</v>
      </c>
      <c r="B13" s="165" t="str">
        <f>SISWA!B14</f>
        <v>1718250040313</v>
      </c>
      <c r="C13" s="166" t="str">
        <f>SISWA!E14</f>
        <v>CHAIDAR</v>
      </c>
      <c r="D13" s="329"/>
      <c r="E13" s="329"/>
      <c r="F13" s="329"/>
      <c r="G13" s="329"/>
      <c r="H13" s="329"/>
      <c r="I13" s="329"/>
      <c r="J13" s="329"/>
      <c r="K13" s="329"/>
      <c r="L13" s="329"/>
      <c r="M13" s="329"/>
      <c r="N13" s="329"/>
      <c r="O13" s="329"/>
      <c r="P13" s="381" t="str">
        <f t="shared" si="0"/>
        <v>Ananda CHAIDAR</v>
      </c>
      <c r="Q13" s="381" t="str">
        <f t="shared" si="1"/>
        <v/>
      </c>
      <c r="R13" s="381" t="str">
        <f t="shared" si="2"/>
        <v xml:space="preserve">baik dalam sikap </v>
      </c>
      <c r="S13" s="381" t="str">
        <f t="shared" si="3"/>
        <v/>
      </c>
      <c r="T13" s="339" t="str">
        <f t="shared" si="4"/>
        <v xml:space="preserve">Ananda CHAIDAR baik dalam sikap jujur, disiplin, tanggung jawab, santun, peduli, percaya diri, </v>
      </c>
      <c r="V13" s="340" t="str">
        <f t="shared" si="5"/>
        <v>Ananda CHAIDAR</v>
      </c>
      <c r="W13" s="341" t="str">
        <f t="shared" si="6"/>
        <v/>
      </c>
      <c r="X13" s="341" t="str">
        <f t="shared" si="7"/>
        <v/>
      </c>
      <c r="Y13" s="341" t="str">
        <f t="shared" si="8"/>
        <v/>
      </c>
      <c r="Z13" s="341" t="str">
        <f t="shared" si="9"/>
        <v/>
      </c>
      <c r="AA13" s="341" t="str">
        <f t="shared" si="10"/>
        <v/>
      </c>
      <c r="AB13" s="341" t="str">
        <f t="shared" si="11"/>
        <v/>
      </c>
      <c r="AC13" s="341" t="str">
        <f t="shared" si="12"/>
        <v/>
      </c>
      <c r="AD13" s="342"/>
      <c r="AE13" s="341" t="str">
        <f t="shared" si="13"/>
        <v xml:space="preserve">baik dalam sikap </v>
      </c>
      <c r="AF13" s="343" t="str">
        <f t="shared" si="14"/>
        <v xml:space="preserve">jujur, </v>
      </c>
      <c r="AG13" s="343" t="str">
        <f t="shared" si="15"/>
        <v xml:space="preserve">disiplin, </v>
      </c>
      <c r="AH13" s="343" t="str">
        <f t="shared" si="16"/>
        <v xml:space="preserve">tanggung jawab, </v>
      </c>
      <c r="AI13" s="343" t="str">
        <f t="shared" si="17"/>
        <v xml:space="preserve">santun, </v>
      </c>
      <c r="AJ13" s="343" t="str">
        <f t="shared" si="18"/>
        <v xml:space="preserve">peduli, </v>
      </c>
      <c r="AK13" s="343" t="str">
        <f t="shared" si="19"/>
        <v xml:space="preserve">percaya diri, </v>
      </c>
      <c r="AL13" s="342"/>
      <c r="AM13" s="341" t="str">
        <f t="shared" si="20"/>
        <v/>
      </c>
      <c r="AN13" s="341" t="str">
        <f t="shared" si="21"/>
        <v/>
      </c>
      <c r="AO13" s="341" t="str">
        <f t="shared" si="22"/>
        <v/>
      </c>
      <c r="AP13" s="341" t="str">
        <f t="shared" si="23"/>
        <v/>
      </c>
      <c r="AQ13" s="341" t="str">
        <f t="shared" si="24"/>
        <v/>
      </c>
      <c r="AR13" s="341" t="str">
        <f t="shared" si="25"/>
        <v/>
      </c>
      <c r="AS13" s="341" t="str">
        <f t="shared" si="26"/>
        <v/>
      </c>
      <c r="AT13" s="168" t="str">
        <f t="shared" si="27"/>
        <v xml:space="preserve"> </v>
      </c>
    </row>
    <row r="14" spans="1:48" ht="38.25" customHeight="1">
      <c r="A14" s="169">
        <v>10</v>
      </c>
      <c r="B14" s="165" t="str">
        <f>SISWA!B15</f>
        <v>1718250040314</v>
      </c>
      <c r="C14" s="166" t="str">
        <f>SISWA!E15</f>
        <v>DAVKA</v>
      </c>
      <c r="D14" s="329"/>
      <c r="E14" s="329"/>
      <c r="F14" s="329"/>
      <c r="G14" s="329"/>
      <c r="H14" s="329"/>
      <c r="I14" s="329"/>
      <c r="J14" s="329"/>
      <c r="K14" s="329"/>
      <c r="L14" s="329"/>
      <c r="M14" s="329"/>
      <c r="N14" s="329"/>
      <c r="O14" s="329"/>
      <c r="P14" s="381" t="str">
        <f t="shared" si="0"/>
        <v>Ananda DAVKA</v>
      </c>
      <c r="Q14" s="381" t="str">
        <f t="shared" si="1"/>
        <v/>
      </c>
      <c r="R14" s="381" t="str">
        <f t="shared" si="2"/>
        <v xml:space="preserve">baik dalam sikap </v>
      </c>
      <c r="S14" s="381" t="str">
        <f t="shared" si="3"/>
        <v/>
      </c>
      <c r="T14" s="339" t="str">
        <f t="shared" si="4"/>
        <v xml:space="preserve">Ananda DAVKA baik dalam sikap jujur, disiplin, tanggung jawab, santun, peduli, percaya diri, </v>
      </c>
      <c r="V14" s="340" t="str">
        <f t="shared" si="5"/>
        <v>Ananda DAVKA</v>
      </c>
      <c r="W14" s="341" t="str">
        <f t="shared" si="6"/>
        <v/>
      </c>
      <c r="X14" s="341" t="str">
        <f t="shared" si="7"/>
        <v/>
      </c>
      <c r="Y14" s="341" t="str">
        <f t="shared" si="8"/>
        <v/>
      </c>
      <c r="Z14" s="341" t="str">
        <f t="shared" si="9"/>
        <v/>
      </c>
      <c r="AA14" s="341" t="str">
        <f t="shared" si="10"/>
        <v/>
      </c>
      <c r="AB14" s="341" t="str">
        <f t="shared" si="11"/>
        <v/>
      </c>
      <c r="AC14" s="341" t="str">
        <f t="shared" si="12"/>
        <v/>
      </c>
      <c r="AD14" s="342"/>
      <c r="AE14" s="341" t="str">
        <f t="shared" si="13"/>
        <v xml:space="preserve">baik dalam sikap </v>
      </c>
      <c r="AF14" s="343" t="str">
        <f t="shared" si="14"/>
        <v xml:space="preserve">jujur, </v>
      </c>
      <c r="AG14" s="343" t="str">
        <f t="shared" si="15"/>
        <v xml:space="preserve">disiplin, </v>
      </c>
      <c r="AH14" s="343" t="str">
        <f t="shared" si="16"/>
        <v xml:space="preserve">tanggung jawab, </v>
      </c>
      <c r="AI14" s="343" t="str">
        <f t="shared" si="17"/>
        <v xml:space="preserve">santun, </v>
      </c>
      <c r="AJ14" s="343" t="str">
        <f t="shared" si="18"/>
        <v xml:space="preserve">peduli, </v>
      </c>
      <c r="AK14" s="343" t="str">
        <f t="shared" si="19"/>
        <v xml:space="preserve">percaya diri, </v>
      </c>
      <c r="AL14" s="342"/>
      <c r="AM14" s="341" t="str">
        <f t="shared" si="20"/>
        <v/>
      </c>
      <c r="AN14" s="341" t="str">
        <f t="shared" si="21"/>
        <v/>
      </c>
      <c r="AO14" s="341" t="str">
        <f t="shared" si="22"/>
        <v/>
      </c>
      <c r="AP14" s="341" t="str">
        <f t="shared" si="23"/>
        <v/>
      </c>
      <c r="AQ14" s="341" t="str">
        <f t="shared" si="24"/>
        <v/>
      </c>
      <c r="AR14" s="341" t="str">
        <f t="shared" si="25"/>
        <v/>
      </c>
      <c r="AS14" s="341" t="str">
        <f t="shared" si="26"/>
        <v/>
      </c>
      <c r="AT14" s="168" t="str">
        <f t="shared" si="27"/>
        <v xml:space="preserve"> </v>
      </c>
    </row>
    <row r="15" spans="1:48" ht="38.25" customHeight="1">
      <c r="A15" s="164">
        <v>11</v>
      </c>
      <c r="B15" s="165" t="str">
        <f>SISWA!B16</f>
        <v>1718250040315</v>
      </c>
      <c r="C15" s="166" t="str">
        <f>SISWA!E16</f>
        <v>DZIBRIL</v>
      </c>
      <c r="D15" s="329"/>
      <c r="E15" s="329"/>
      <c r="F15" s="329"/>
      <c r="G15" s="329"/>
      <c r="H15" s="329"/>
      <c r="I15" s="329"/>
      <c r="J15" s="329"/>
      <c r="K15" s="329"/>
      <c r="L15" s="329"/>
      <c r="M15" s="329"/>
      <c r="N15" s="329"/>
      <c r="O15" s="329"/>
      <c r="P15" s="381" t="str">
        <f t="shared" si="0"/>
        <v>Ananda DZIBRIL</v>
      </c>
      <c r="Q15" s="381" t="str">
        <f t="shared" si="1"/>
        <v/>
      </c>
      <c r="R15" s="381" t="str">
        <f t="shared" si="2"/>
        <v xml:space="preserve">baik dalam sikap </v>
      </c>
      <c r="S15" s="381" t="str">
        <f t="shared" si="3"/>
        <v/>
      </c>
      <c r="T15" s="339" t="str">
        <f t="shared" si="4"/>
        <v xml:space="preserve">Ananda DZIBRIL baik dalam sikap jujur, disiplin, tanggung jawab, santun, peduli, percaya diri, </v>
      </c>
      <c r="V15" s="340" t="str">
        <f t="shared" si="5"/>
        <v>Ananda DZIBRIL</v>
      </c>
      <c r="W15" s="341" t="str">
        <f t="shared" si="6"/>
        <v/>
      </c>
      <c r="X15" s="341" t="str">
        <f t="shared" si="7"/>
        <v/>
      </c>
      <c r="Y15" s="341" t="str">
        <f t="shared" si="8"/>
        <v/>
      </c>
      <c r="Z15" s="341" t="str">
        <f t="shared" si="9"/>
        <v/>
      </c>
      <c r="AA15" s="341" t="str">
        <f t="shared" si="10"/>
        <v/>
      </c>
      <c r="AB15" s="341" t="str">
        <f t="shared" si="11"/>
        <v/>
      </c>
      <c r="AC15" s="341" t="str">
        <f t="shared" si="12"/>
        <v/>
      </c>
      <c r="AD15" s="342"/>
      <c r="AE15" s="341" t="str">
        <f t="shared" si="13"/>
        <v xml:space="preserve">baik dalam sikap </v>
      </c>
      <c r="AF15" s="343" t="str">
        <f t="shared" si="14"/>
        <v xml:space="preserve">jujur, </v>
      </c>
      <c r="AG15" s="343" t="str">
        <f t="shared" si="15"/>
        <v xml:space="preserve">disiplin, </v>
      </c>
      <c r="AH15" s="343" t="str">
        <f t="shared" si="16"/>
        <v xml:space="preserve">tanggung jawab, </v>
      </c>
      <c r="AI15" s="343" t="str">
        <f t="shared" si="17"/>
        <v xml:space="preserve">santun, </v>
      </c>
      <c r="AJ15" s="343" t="str">
        <f t="shared" si="18"/>
        <v xml:space="preserve">peduli, </v>
      </c>
      <c r="AK15" s="343" t="str">
        <f t="shared" si="19"/>
        <v xml:space="preserve">percaya diri, </v>
      </c>
      <c r="AL15" s="342"/>
      <c r="AM15" s="341" t="str">
        <f t="shared" si="20"/>
        <v/>
      </c>
      <c r="AN15" s="341" t="str">
        <f t="shared" si="21"/>
        <v/>
      </c>
      <c r="AO15" s="341" t="str">
        <f t="shared" si="22"/>
        <v/>
      </c>
      <c r="AP15" s="341" t="str">
        <f t="shared" si="23"/>
        <v/>
      </c>
      <c r="AQ15" s="341" t="str">
        <f t="shared" si="24"/>
        <v/>
      </c>
      <c r="AR15" s="341" t="str">
        <f t="shared" si="25"/>
        <v/>
      </c>
      <c r="AS15" s="341" t="str">
        <f t="shared" si="26"/>
        <v/>
      </c>
      <c r="AT15" s="168" t="str">
        <f t="shared" si="27"/>
        <v xml:space="preserve"> </v>
      </c>
    </row>
    <row r="16" spans="1:48" ht="38.25" customHeight="1">
      <c r="A16" s="169">
        <v>12</v>
      </c>
      <c r="B16" s="165" t="str">
        <f>SISWA!B17</f>
        <v>1718250040316</v>
      </c>
      <c r="C16" s="166" t="str">
        <f>SISWA!E17</f>
        <v>ERICHA</v>
      </c>
      <c r="D16" s="329"/>
      <c r="E16" s="329"/>
      <c r="F16" s="329"/>
      <c r="G16" s="329"/>
      <c r="H16" s="329"/>
      <c r="I16" s="329"/>
      <c r="J16" s="329"/>
      <c r="K16" s="329"/>
      <c r="L16" s="329"/>
      <c r="M16" s="329"/>
      <c r="N16" s="329"/>
      <c r="O16" s="329"/>
      <c r="P16" s="381" t="str">
        <f t="shared" si="0"/>
        <v>Ananda ERICHA</v>
      </c>
      <c r="Q16" s="381" t="str">
        <f t="shared" si="1"/>
        <v/>
      </c>
      <c r="R16" s="381" t="str">
        <f t="shared" si="2"/>
        <v xml:space="preserve">baik dalam sikap </v>
      </c>
      <c r="S16" s="381" t="str">
        <f t="shared" si="3"/>
        <v/>
      </c>
      <c r="T16" s="339" t="str">
        <f t="shared" si="4"/>
        <v xml:space="preserve">Ananda ERICHA baik dalam sikap jujur, disiplin, tanggung jawab, santun, peduli, percaya diri, </v>
      </c>
      <c r="V16" s="340" t="str">
        <f t="shared" si="5"/>
        <v>Ananda ERICHA</v>
      </c>
      <c r="W16" s="341" t="str">
        <f t="shared" si="6"/>
        <v/>
      </c>
      <c r="X16" s="341" t="str">
        <f t="shared" si="7"/>
        <v/>
      </c>
      <c r="Y16" s="341" t="str">
        <f t="shared" si="8"/>
        <v/>
      </c>
      <c r="Z16" s="341" t="str">
        <f t="shared" si="9"/>
        <v/>
      </c>
      <c r="AA16" s="341" t="str">
        <f t="shared" si="10"/>
        <v/>
      </c>
      <c r="AB16" s="341" t="str">
        <f t="shared" si="11"/>
        <v/>
      </c>
      <c r="AC16" s="341" t="str">
        <f t="shared" si="12"/>
        <v/>
      </c>
      <c r="AD16" s="342"/>
      <c r="AE16" s="341" t="str">
        <f t="shared" si="13"/>
        <v xml:space="preserve">baik dalam sikap </v>
      </c>
      <c r="AF16" s="343" t="str">
        <f t="shared" si="14"/>
        <v xml:space="preserve">jujur, </v>
      </c>
      <c r="AG16" s="343" t="str">
        <f t="shared" si="15"/>
        <v xml:space="preserve">disiplin, </v>
      </c>
      <c r="AH16" s="343" t="str">
        <f t="shared" si="16"/>
        <v xml:space="preserve">tanggung jawab, </v>
      </c>
      <c r="AI16" s="343" t="str">
        <f t="shared" si="17"/>
        <v xml:space="preserve">santun, </v>
      </c>
      <c r="AJ16" s="343" t="str">
        <f t="shared" si="18"/>
        <v xml:space="preserve">peduli, </v>
      </c>
      <c r="AK16" s="343" t="str">
        <f t="shared" si="19"/>
        <v xml:space="preserve">percaya diri, </v>
      </c>
      <c r="AL16" s="342"/>
      <c r="AM16" s="341" t="str">
        <f t="shared" si="20"/>
        <v/>
      </c>
      <c r="AN16" s="341" t="str">
        <f t="shared" si="21"/>
        <v/>
      </c>
      <c r="AO16" s="341" t="str">
        <f t="shared" si="22"/>
        <v/>
      </c>
      <c r="AP16" s="341" t="str">
        <f t="shared" si="23"/>
        <v/>
      </c>
      <c r="AQ16" s="341" t="str">
        <f t="shared" si="24"/>
        <v/>
      </c>
      <c r="AR16" s="341" t="str">
        <f t="shared" si="25"/>
        <v/>
      </c>
      <c r="AS16" s="341" t="str">
        <f t="shared" si="26"/>
        <v/>
      </c>
      <c r="AT16" s="168" t="str">
        <f t="shared" si="27"/>
        <v xml:space="preserve"> </v>
      </c>
    </row>
    <row r="17" spans="1:46" ht="38.25" customHeight="1">
      <c r="A17" s="164">
        <v>13</v>
      </c>
      <c r="B17" s="165" t="str">
        <f>SISWA!B18</f>
        <v>1718250040317</v>
      </c>
      <c r="C17" s="166" t="str">
        <f>SISWA!E18</f>
        <v>HISYAM</v>
      </c>
      <c r="D17" s="329"/>
      <c r="E17" s="329"/>
      <c r="F17" s="329"/>
      <c r="G17" s="329"/>
      <c r="H17" s="329"/>
      <c r="I17" s="329"/>
      <c r="J17" s="329"/>
      <c r="K17" s="329"/>
      <c r="L17" s="329"/>
      <c r="M17" s="329"/>
      <c r="N17" s="329"/>
      <c r="O17" s="329"/>
      <c r="P17" s="381" t="str">
        <f t="shared" si="0"/>
        <v>Ananda HISYAM</v>
      </c>
      <c r="Q17" s="381" t="str">
        <f t="shared" si="1"/>
        <v/>
      </c>
      <c r="R17" s="381" t="str">
        <f t="shared" si="2"/>
        <v xml:space="preserve">baik dalam sikap </v>
      </c>
      <c r="S17" s="381" t="str">
        <f t="shared" si="3"/>
        <v/>
      </c>
      <c r="T17" s="339" t="str">
        <f t="shared" si="4"/>
        <v xml:space="preserve">Ananda HISYAM baik dalam sikap jujur, disiplin, tanggung jawab, santun, peduli, percaya diri, </v>
      </c>
      <c r="V17" s="340" t="str">
        <f t="shared" si="5"/>
        <v>Ananda HISYAM</v>
      </c>
      <c r="W17" s="341" t="str">
        <f t="shared" si="6"/>
        <v/>
      </c>
      <c r="X17" s="341" t="str">
        <f t="shared" si="7"/>
        <v/>
      </c>
      <c r="Y17" s="341" t="str">
        <f t="shared" si="8"/>
        <v/>
      </c>
      <c r="Z17" s="341" t="str">
        <f t="shared" si="9"/>
        <v/>
      </c>
      <c r="AA17" s="341" t="str">
        <f t="shared" si="10"/>
        <v/>
      </c>
      <c r="AB17" s="341" t="str">
        <f t="shared" si="11"/>
        <v/>
      </c>
      <c r="AC17" s="341" t="str">
        <f t="shared" si="12"/>
        <v/>
      </c>
      <c r="AD17" s="342"/>
      <c r="AE17" s="341" t="str">
        <f t="shared" si="13"/>
        <v xml:space="preserve">baik dalam sikap </v>
      </c>
      <c r="AF17" s="343" t="str">
        <f t="shared" si="14"/>
        <v xml:space="preserve">jujur, </v>
      </c>
      <c r="AG17" s="343" t="str">
        <f t="shared" si="15"/>
        <v xml:space="preserve">disiplin, </v>
      </c>
      <c r="AH17" s="343" t="str">
        <f t="shared" si="16"/>
        <v xml:space="preserve">tanggung jawab, </v>
      </c>
      <c r="AI17" s="343" t="str">
        <f t="shared" si="17"/>
        <v xml:space="preserve">santun, </v>
      </c>
      <c r="AJ17" s="343" t="str">
        <f t="shared" si="18"/>
        <v xml:space="preserve">peduli, </v>
      </c>
      <c r="AK17" s="343" t="str">
        <f t="shared" si="19"/>
        <v xml:space="preserve">percaya diri, </v>
      </c>
      <c r="AL17" s="342"/>
      <c r="AM17" s="341" t="str">
        <f t="shared" si="20"/>
        <v/>
      </c>
      <c r="AN17" s="341" t="str">
        <f t="shared" si="21"/>
        <v/>
      </c>
      <c r="AO17" s="341" t="str">
        <f t="shared" si="22"/>
        <v/>
      </c>
      <c r="AP17" s="341" t="str">
        <f t="shared" si="23"/>
        <v/>
      </c>
      <c r="AQ17" s="341" t="str">
        <f t="shared" si="24"/>
        <v/>
      </c>
      <c r="AR17" s="341" t="str">
        <f t="shared" si="25"/>
        <v/>
      </c>
      <c r="AS17" s="341" t="str">
        <f t="shared" si="26"/>
        <v/>
      </c>
      <c r="AT17" s="168" t="str">
        <f t="shared" si="27"/>
        <v xml:space="preserve"> </v>
      </c>
    </row>
    <row r="18" spans="1:46" ht="38.25" customHeight="1">
      <c r="A18" s="169">
        <v>14</v>
      </c>
      <c r="B18" s="165" t="str">
        <f>SISWA!B19</f>
        <v>1718250040318</v>
      </c>
      <c r="C18" s="166" t="str">
        <f>SISWA!E19</f>
        <v>FAUZI</v>
      </c>
      <c r="D18" s="329"/>
      <c r="E18" s="329"/>
      <c r="F18" s="329"/>
      <c r="G18" s="329"/>
      <c r="H18" s="329"/>
      <c r="I18" s="329"/>
      <c r="J18" s="329"/>
      <c r="K18" s="329"/>
      <c r="L18" s="329"/>
      <c r="M18" s="329"/>
      <c r="N18" s="329"/>
      <c r="O18" s="329"/>
      <c r="P18" s="381" t="str">
        <f t="shared" si="0"/>
        <v>Ananda FAUZI</v>
      </c>
      <c r="Q18" s="381" t="str">
        <f t="shared" si="1"/>
        <v/>
      </c>
      <c r="R18" s="381" t="str">
        <f t="shared" si="2"/>
        <v xml:space="preserve">baik dalam sikap </v>
      </c>
      <c r="S18" s="381" t="str">
        <f t="shared" si="3"/>
        <v/>
      </c>
      <c r="T18" s="339" t="str">
        <f t="shared" si="4"/>
        <v xml:space="preserve">Ananda FAUZI baik dalam sikap jujur, disiplin, tanggung jawab, santun, peduli, percaya diri, </v>
      </c>
      <c r="V18" s="340" t="str">
        <f t="shared" si="5"/>
        <v>Ananda FAUZI</v>
      </c>
      <c r="W18" s="341" t="str">
        <f t="shared" si="6"/>
        <v/>
      </c>
      <c r="X18" s="341" t="str">
        <f t="shared" si="7"/>
        <v/>
      </c>
      <c r="Y18" s="341" t="str">
        <f t="shared" si="8"/>
        <v/>
      </c>
      <c r="Z18" s="341" t="str">
        <f t="shared" si="9"/>
        <v/>
      </c>
      <c r="AA18" s="341" t="str">
        <f t="shared" si="10"/>
        <v/>
      </c>
      <c r="AB18" s="341" t="str">
        <f t="shared" si="11"/>
        <v/>
      </c>
      <c r="AC18" s="341" t="str">
        <f t="shared" si="12"/>
        <v/>
      </c>
      <c r="AD18" s="342"/>
      <c r="AE18" s="341" t="str">
        <f t="shared" si="13"/>
        <v xml:space="preserve">baik dalam sikap </v>
      </c>
      <c r="AF18" s="343" t="str">
        <f t="shared" si="14"/>
        <v xml:space="preserve">jujur, </v>
      </c>
      <c r="AG18" s="343" t="str">
        <f t="shared" si="15"/>
        <v xml:space="preserve">disiplin, </v>
      </c>
      <c r="AH18" s="343" t="str">
        <f t="shared" si="16"/>
        <v xml:space="preserve">tanggung jawab, </v>
      </c>
      <c r="AI18" s="343" t="str">
        <f t="shared" si="17"/>
        <v xml:space="preserve">santun, </v>
      </c>
      <c r="AJ18" s="343" t="str">
        <f t="shared" si="18"/>
        <v xml:space="preserve">peduli, </v>
      </c>
      <c r="AK18" s="343" t="str">
        <f t="shared" si="19"/>
        <v xml:space="preserve">percaya diri, </v>
      </c>
      <c r="AL18" s="342"/>
      <c r="AM18" s="341" t="str">
        <f t="shared" si="20"/>
        <v/>
      </c>
      <c r="AN18" s="341" t="str">
        <f t="shared" si="21"/>
        <v/>
      </c>
      <c r="AO18" s="341" t="str">
        <f t="shared" si="22"/>
        <v/>
      </c>
      <c r="AP18" s="341" t="str">
        <f t="shared" si="23"/>
        <v/>
      </c>
      <c r="AQ18" s="341" t="str">
        <f t="shared" si="24"/>
        <v/>
      </c>
      <c r="AR18" s="341" t="str">
        <f t="shared" si="25"/>
        <v/>
      </c>
      <c r="AS18" s="341" t="str">
        <f t="shared" si="26"/>
        <v/>
      </c>
      <c r="AT18" s="168" t="str">
        <f t="shared" si="27"/>
        <v xml:space="preserve"> </v>
      </c>
    </row>
    <row r="19" spans="1:46" ht="38.25" customHeight="1">
      <c r="A19" s="164">
        <v>15</v>
      </c>
      <c r="B19" s="165" t="str">
        <f>SISWA!B20</f>
        <v>1718250040319</v>
      </c>
      <c r="C19" s="166" t="str">
        <f>SISWA!E20</f>
        <v>FIRLY</v>
      </c>
      <c r="D19" s="329"/>
      <c r="E19" s="329"/>
      <c r="F19" s="329"/>
      <c r="G19" s="329"/>
      <c r="H19" s="329"/>
      <c r="I19" s="329"/>
      <c r="J19" s="329"/>
      <c r="K19" s="329"/>
      <c r="L19" s="329"/>
      <c r="M19" s="329"/>
      <c r="N19" s="329"/>
      <c r="O19" s="329"/>
      <c r="P19" s="381" t="str">
        <f t="shared" si="0"/>
        <v>Ananda FIRLY</v>
      </c>
      <c r="Q19" s="381" t="str">
        <f t="shared" si="1"/>
        <v/>
      </c>
      <c r="R19" s="381" t="str">
        <f t="shared" si="2"/>
        <v xml:space="preserve">baik dalam sikap </v>
      </c>
      <c r="S19" s="381" t="str">
        <f t="shared" si="3"/>
        <v/>
      </c>
      <c r="T19" s="339" t="str">
        <f t="shared" si="4"/>
        <v xml:space="preserve">Ananda FIRLY baik dalam sikap jujur, disiplin, tanggung jawab, santun, peduli, percaya diri, </v>
      </c>
      <c r="V19" s="340" t="str">
        <f t="shared" si="5"/>
        <v>Ananda FIRLY</v>
      </c>
      <c r="W19" s="341" t="str">
        <f t="shared" si="6"/>
        <v/>
      </c>
      <c r="X19" s="341" t="str">
        <f t="shared" si="7"/>
        <v/>
      </c>
      <c r="Y19" s="341" t="str">
        <f t="shared" si="8"/>
        <v/>
      </c>
      <c r="Z19" s="341" t="str">
        <f t="shared" si="9"/>
        <v/>
      </c>
      <c r="AA19" s="341" t="str">
        <f t="shared" si="10"/>
        <v/>
      </c>
      <c r="AB19" s="341" t="str">
        <f t="shared" si="11"/>
        <v/>
      </c>
      <c r="AC19" s="341" t="str">
        <f t="shared" si="12"/>
        <v/>
      </c>
      <c r="AD19" s="342"/>
      <c r="AE19" s="341" t="str">
        <f t="shared" si="13"/>
        <v xml:space="preserve">baik dalam sikap </v>
      </c>
      <c r="AF19" s="343" t="str">
        <f t="shared" si="14"/>
        <v xml:space="preserve">jujur, </v>
      </c>
      <c r="AG19" s="343" t="str">
        <f t="shared" si="15"/>
        <v xml:space="preserve">disiplin, </v>
      </c>
      <c r="AH19" s="343" t="str">
        <f t="shared" si="16"/>
        <v xml:space="preserve">tanggung jawab, </v>
      </c>
      <c r="AI19" s="343" t="str">
        <f t="shared" si="17"/>
        <v xml:space="preserve">santun, </v>
      </c>
      <c r="AJ19" s="343" t="str">
        <f t="shared" si="18"/>
        <v xml:space="preserve">peduli, </v>
      </c>
      <c r="AK19" s="343" t="str">
        <f t="shared" si="19"/>
        <v xml:space="preserve">percaya diri, </v>
      </c>
      <c r="AL19" s="342"/>
      <c r="AM19" s="341" t="str">
        <f t="shared" si="20"/>
        <v/>
      </c>
      <c r="AN19" s="341" t="str">
        <f t="shared" si="21"/>
        <v/>
      </c>
      <c r="AO19" s="341" t="str">
        <f t="shared" si="22"/>
        <v/>
      </c>
      <c r="AP19" s="341" t="str">
        <f t="shared" si="23"/>
        <v/>
      </c>
      <c r="AQ19" s="341" t="str">
        <f t="shared" si="24"/>
        <v/>
      </c>
      <c r="AR19" s="341" t="str">
        <f t="shared" si="25"/>
        <v/>
      </c>
      <c r="AS19" s="341" t="str">
        <f t="shared" si="26"/>
        <v/>
      </c>
      <c r="AT19" s="168" t="str">
        <f t="shared" si="27"/>
        <v xml:space="preserve"> </v>
      </c>
    </row>
    <row r="20" spans="1:46" ht="38.25" customHeight="1">
      <c r="A20" s="169">
        <v>16</v>
      </c>
      <c r="B20" s="165" t="str">
        <f>SISWA!B21</f>
        <v>1718250040320</v>
      </c>
      <c r="C20" s="166" t="str">
        <f>SISWA!E21</f>
        <v>HANA</v>
      </c>
      <c r="D20" s="329"/>
      <c r="E20" s="329"/>
      <c r="F20" s="329"/>
      <c r="G20" s="329"/>
      <c r="H20" s="329"/>
      <c r="I20" s="329"/>
      <c r="J20" s="329"/>
      <c r="K20" s="329"/>
      <c r="L20" s="329"/>
      <c r="M20" s="329"/>
      <c r="N20" s="329"/>
      <c r="O20" s="329"/>
      <c r="P20" s="381" t="str">
        <f t="shared" si="0"/>
        <v>Ananda HANA</v>
      </c>
      <c r="Q20" s="381" t="str">
        <f t="shared" si="1"/>
        <v/>
      </c>
      <c r="R20" s="381" t="str">
        <f t="shared" si="2"/>
        <v xml:space="preserve">baik dalam sikap </v>
      </c>
      <c r="S20" s="381" t="str">
        <f t="shared" si="3"/>
        <v/>
      </c>
      <c r="T20" s="339" t="str">
        <f t="shared" si="4"/>
        <v xml:space="preserve">Ananda HANA baik dalam sikap jujur, disiplin, tanggung jawab, santun, peduli, percaya diri, </v>
      </c>
      <c r="V20" s="340" t="str">
        <f t="shared" si="5"/>
        <v>Ananda HANA</v>
      </c>
      <c r="W20" s="341" t="str">
        <f t="shared" si="6"/>
        <v/>
      </c>
      <c r="X20" s="341" t="str">
        <f t="shared" si="7"/>
        <v/>
      </c>
      <c r="Y20" s="341" t="str">
        <f t="shared" si="8"/>
        <v/>
      </c>
      <c r="Z20" s="341" t="str">
        <f t="shared" si="9"/>
        <v/>
      </c>
      <c r="AA20" s="341" t="str">
        <f t="shared" si="10"/>
        <v/>
      </c>
      <c r="AB20" s="341" t="str">
        <f t="shared" si="11"/>
        <v/>
      </c>
      <c r="AC20" s="341" t="str">
        <f t="shared" si="12"/>
        <v/>
      </c>
      <c r="AD20" s="342"/>
      <c r="AE20" s="341" t="str">
        <f t="shared" si="13"/>
        <v xml:space="preserve">baik dalam sikap </v>
      </c>
      <c r="AF20" s="343" t="str">
        <f t="shared" si="14"/>
        <v xml:space="preserve">jujur, </v>
      </c>
      <c r="AG20" s="343" t="str">
        <f t="shared" si="15"/>
        <v xml:space="preserve">disiplin, </v>
      </c>
      <c r="AH20" s="343" t="str">
        <f t="shared" si="16"/>
        <v xml:space="preserve">tanggung jawab, </v>
      </c>
      <c r="AI20" s="343" t="str">
        <f t="shared" si="17"/>
        <v xml:space="preserve">santun, </v>
      </c>
      <c r="AJ20" s="343" t="str">
        <f t="shared" si="18"/>
        <v xml:space="preserve">peduli, </v>
      </c>
      <c r="AK20" s="343" t="str">
        <f t="shared" si="19"/>
        <v xml:space="preserve">percaya diri, </v>
      </c>
      <c r="AL20" s="342"/>
      <c r="AM20" s="341" t="str">
        <f t="shared" si="20"/>
        <v/>
      </c>
      <c r="AN20" s="341" t="str">
        <f t="shared" si="21"/>
        <v/>
      </c>
      <c r="AO20" s="341" t="str">
        <f t="shared" si="22"/>
        <v/>
      </c>
      <c r="AP20" s="341" t="str">
        <f t="shared" si="23"/>
        <v/>
      </c>
      <c r="AQ20" s="341" t="str">
        <f t="shared" si="24"/>
        <v/>
      </c>
      <c r="AR20" s="341" t="str">
        <f t="shared" si="25"/>
        <v/>
      </c>
      <c r="AS20" s="341" t="str">
        <f t="shared" si="26"/>
        <v/>
      </c>
      <c r="AT20" s="168" t="str">
        <f t="shared" si="27"/>
        <v xml:space="preserve"> </v>
      </c>
    </row>
    <row r="21" spans="1:46" ht="38.25" customHeight="1">
      <c r="A21" s="164">
        <v>17</v>
      </c>
      <c r="B21" s="165" t="str">
        <f>SISWA!B22</f>
        <v>1718250040321</v>
      </c>
      <c r="C21" s="166" t="str">
        <f>SISWA!E22</f>
        <v>MALLA</v>
      </c>
      <c r="D21" s="329"/>
      <c r="E21" s="329"/>
      <c r="F21" s="329"/>
      <c r="G21" s="329"/>
      <c r="H21" s="329"/>
      <c r="I21" s="329"/>
      <c r="J21" s="329"/>
      <c r="K21" s="329"/>
      <c r="L21" s="329"/>
      <c r="M21" s="329"/>
      <c r="N21" s="329"/>
      <c r="O21" s="329"/>
      <c r="P21" s="381" t="str">
        <f t="shared" si="0"/>
        <v>Ananda MALLA</v>
      </c>
      <c r="Q21" s="381" t="str">
        <f t="shared" si="1"/>
        <v/>
      </c>
      <c r="R21" s="381" t="str">
        <f t="shared" si="2"/>
        <v xml:space="preserve">baik dalam sikap </v>
      </c>
      <c r="S21" s="381" t="str">
        <f t="shared" si="3"/>
        <v/>
      </c>
      <c r="T21" s="339" t="str">
        <f t="shared" si="4"/>
        <v xml:space="preserve">Ananda MALLA baik dalam sikap jujur, disiplin, tanggung jawab, santun, peduli, percaya diri, </v>
      </c>
      <c r="V21" s="340" t="str">
        <f t="shared" si="5"/>
        <v>Ananda MALLA</v>
      </c>
      <c r="W21" s="341" t="str">
        <f t="shared" si="6"/>
        <v/>
      </c>
      <c r="X21" s="341" t="str">
        <f t="shared" si="7"/>
        <v/>
      </c>
      <c r="Y21" s="341" t="str">
        <f t="shared" si="8"/>
        <v/>
      </c>
      <c r="Z21" s="341" t="str">
        <f t="shared" si="9"/>
        <v/>
      </c>
      <c r="AA21" s="341" t="str">
        <f t="shared" si="10"/>
        <v/>
      </c>
      <c r="AB21" s="341" t="str">
        <f t="shared" si="11"/>
        <v/>
      </c>
      <c r="AC21" s="341" t="str">
        <f t="shared" si="12"/>
        <v/>
      </c>
      <c r="AD21" s="342"/>
      <c r="AE21" s="341" t="str">
        <f t="shared" si="13"/>
        <v xml:space="preserve">baik dalam sikap </v>
      </c>
      <c r="AF21" s="343" t="str">
        <f t="shared" si="14"/>
        <v xml:space="preserve">jujur, </v>
      </c>
      <c r="AG21" s="343" t="str">
        <f t="shared" si="15"/>
        <v xml:space="preserve">disiplin, </v>
      </c>
      <c r="AH21" s="343" t="str">
        <f t="shared" si="16"/>
        <v xml:space="preserve">tanggung jawab, </v>
      </c>
      <c r="AI21" s="343" t="str">
        <f t="shared" si="17"/>
        <v xml:space="preserve">santun, </v>
      </c>
      <c r="AJ21" s="343" t="str">
        <f t="shared" si="18"/>
        <v xml:space="preserve">peduli, </v>
      </c>
      <c r="AK21" s="343" t="str">
        <f t="shared" si="19"/>
        <v xml:space="preserve">percaya diri, </v>
      </c>
      <c r="AL21" s="342"/>
      <c r="AM21" s="341" t="str">
        <f t="shared" si="20"/>
        <v/>
      </c>
      <c r="AN21" s="341" t="str">
        <f t="shared" si="21"/>
        <v/>
      </c>
      <c r="AO21" s="341" t="str">
        <f t="shared" si="22"/>
        <v/>
      </c>
      <c r="AP21" s="341" t="str">
        <f t="shared" si="23"/>
        <v/>
      </c>
      <c r="AQ21" s="341" t="str">
        <f t="shared" si="24"/>
        <v/>
      </c>
      <c r="AR21" s="341" t="str">
        <f t="shared" si="25"/>
        <v/>
      </c>
      <c r="AS21" s="341" t="str">
        <f t="shared" si="26"/>
        <v/>
      </c>
      <c r="AT21" s="168" t="str">
        <f t="shared" si="27"/>
        <v xml:space="preserve"> </v>
      </c>
    </row>
    <row r="22" spans="1:46" ht="38.25" customHeight="1">
      <c r="A22" s="169">
        <v>18</v>
      </c>
      <c r="B22" s="165" t="str">
        <f>SISWA!B23</f>
        <v>1718250040322</v>
      </c>
      <c r="C22" s="166" t="str">
        <f>SISWA!E23</f>
        <v>INTAN</v>
      </c>
      <c r="D22" s="329"/>
      <c r="E22" s="329"/>
      <c r="F22" s="329"/>
      <c r="G22" s="329"/>
      <c r="H22" s="329"/>
      <c r="I22" s="329"/>
      <c r="J22" s="329"/>
      <c r="K22" s="329"/>
      <c r="L22" s="329"/>
      <c r="M22" s="329"/>
      <c r="N22" s="329"/>
      <c r="O22" s="329"/>
      <c r="P22" s="381" t="str">
        <f t="shared" si="0"/>
        <v>Ananda INTAN</v>
      </c>
      <c r="Q22" s="381" t="str">
        <f t="shared" si="1"/>
        <v/>
      </c>
      <c r="R22" s="381" t="str">
        <f t="shared" si="2"/>
        <v xml:space="preserve">baik dalam sikap </v>
      </c>
      <c r="S22" s="381" t="str">
        <f t="shared" si="3"/>
        <v/>
      </c>
      <c r="T22" s="339" t="str">
        <f t="shared" si="4"/>
        <v xml:space="preserve">Ananda INTAN baik dalam sikap jujur, disiplin, tanggung jawab, santun, peduli, percaya diri, </v>
      </c>
      <c r="V22" s="340" t="str">
        <f t="shared" si="5"/>
        <v>Ananda INTAN</v>
      </c>
      <c r="W22" s="341" t="str">
        <f t="shared" si="6"/>
        <v/>
      </c>
      <c r="X22" s="341" t="str">
        <f t="shared" si="7"/>
        <v/>
      </c>
      <c r="Y22" s="341" t="str">
        <f t="shared" si="8"/>
        <v/>
      </c>
      <c r="Z22" s="341" t="str">
        <f t="shared" si="9"/>
        <v/>
      </c>
      <c r="AA22" s="341" t="str">
        <f t="shared" si="10"/>
        <v/>
      </c>
      <c r="AB22" s="341" t="str">
        <f t="shared" si="11"/>
        <v/>
      </c>
      <c r="AC22" s="341" t="str">
        <f t="shared" si="12"/>
        <v/>
      </c>
      <c r="AD22" s="342"/>
      <c r="AE22" s="341" t="str">
        <f t="shared" si="13"/>
        <v xml:space="preserve">baik dalam sikap </v>
      </c>
      <c r="AF22" s="343" t="str">
        <f t="shared" si="14"/>
        <v xml:space="preserve">jujur, </v>
      </c>
      <c r="AG22" s="343" t="str">
        <f t="shared" si="15"/>
        <v xml:space="preserve">disiplin, </v>
      </c>
      <c r="AH22" s="343" t="str">
        <f t="shared" si="16"/>
        <v xml:space="preserve">tanggung jawab, </v>
      </c>
      <c r="AI22" s="343" t="str">
        <f t="shared" si="17"/>
        <v xml:space="preserve">santun, </v>
      </c>
      <c r="AJ22" s="343" t="str">
        <f t="shared" si="18"/>
        <v xml:space="preserve">peduli, </v>
      </c>
      <c r="AK22" s="343" t="str">
        <f t="shared" si="19"/>
        <v xml:space="preserve">percaya diri, </v>
      </c>
      <c r="AL22" s="342"/>
      <c r="AM22" s="341" t="str">
        <f t="shared" si="20"/>
        <v/>
      </c>
      <c r="AN22" s="341" t="str">
        <f t="shared" si="21"/>
        <v/>
      </c>
      <c r="AO22" s="341" t="str">
        <f t="shared" si="22"/>
        <v/>
      </c>
      <c r="AP22" s="341" t="str">
        <f t="shared" si="23"/>
        <v/>
      </c>
      <c r="AQ22" s="341" t="str">
        <f t="shared" si="24"/>
        <v/>
      </c>
      <c r="AR22" s="341" t="str">
        <f t="shared" si="25"/>
        <v/>
      </c>
      <c r="AS22" s="341" t="str">
        <f t="shared" si="26"/>
        <v/>
      </c>
      <c r="AT22" s="168" t="str">
        <f t="shared" si="27"/>
        <v xml:space="preserve"> </v>
      </c>
    </row>
    <row r="23" spans="1:46" ht="38.25" customHeight="1">
      <c r="A23" s="164">
        <v>19</v>
      </c>
      <c r="B23" s="165" t="str">
        <f>SISWA!B24</f>
        <v>1718250040323</v>
      </c>
      <c r="C23" s="166" t="str">
        <f>SISWA!E24</f>
        <v>JORDY</v>
      </c>
      <c r="D23" s="329"/>
      <c r="E23" s="329"/>
      <c r="F23" s="329"/>
      <c r="G23" s="329"/>
      <c r="H23" s="329"/>
      <c r="I23" s="329"/>
      <c r="J23" s="329"/>
      <c r="K23" s="329"/>
      <c r="L23" s="329"/>
      <c r="M23" s="329"/>
      <c r="N23" s="329"/>
      <c r="O23" s="329"/>
      <c r="P23" s="381" t="str">
        <f t="shared" si="0"/>
        <v>Ananda JORDY</v>
      </c>
      <c r="Q23" s="381" t="str">
        <f t="shared" si="1"/>
        <v/>
      </c>
      <c r="R23" s="381" t="str">
        <f t="shared" si="2"/>
        <v xml:space="preserve">baik dalam sikap </v>
      </c>
      <c r="S23" s="381" t="str">
        <f t="shared" si="3"/>
        <v/>
      </c>
      <c r="T23" s="339" t="str">
        <f t="shared" si="4"/>
        <v xml:space="preserve">Ananda JORDY baik dalam sikap jujur, disiplin, tanggung jawab, santun, peduli, percaya diri, </v>
      </c>
      <c r="V23" s="340" t="str">
        <f t="shared" si="5"/>
        <v>Ananda JORDY</v>
      </c>
      <c r="W23" s="341" t="str">
        <f t="shared" si="6"/>
        <v/>
      </c>
      <c r="X23" s="341" t="str">
        <f t="shared" si="7"/>
        <v/>
      </c>
      <c r="Y23" s="341" t="str">
        <f t="shared" si="8"/>
        <v/>
      </c>
      <c r="Z23" s="341" t="str">
        <f t="shared" si="9"/>
        <v/>
      </c>
      <c r="AA23" s="341" t="str">
        <f t="shared" si="10"/>
        <v/>
      </c>
      <c r="AB23" s="341" t="str">
        <f t="shared" si="11"/>
        <v/>
      </c>
      <c r="AC23" s="341" t="str">
        <f t="shared" si="12"/>
        <v/>
      </c>
      <c r="AD23" s="342"/>
      <c r="AE23" s="341" t="str">
        <f t="shared" si="13"/>
        <v xml:space="preserve">baik dalam sikap </v>
      </c>
      <c r="AF23" s="343" t="str">
        <f t="shared" si="14"/>
        <v xml:space="preserve">jujur, </v>
      </c>
      <c r="AG23" s="343" t="str">
        <f t="shared" si="15"/>
        <v xml:space="preserve">disiplin, </v>
      </c>
      <c r="AH23" s="343" t="str">
        <f t="shared" si="16"/>
        <v xml:space="preserve">tanggung jawab, </v>
      </c>
      <c r="AI23" s="343" t="str">
        <f t="shared" si="17"/>
        <v xml:space="preserve">santun, </v>
      </c>
      <c r="AJ23" s="343" t="str">
        <f t="shared" si="18"/>
        <v xml:space="preserve">peduli, </v>
      </c>
      <c r="AK23" s="343" t="str">
        <f t="shared" si="19"/>
        <v xml:space="preserve">percaya diri, </v>
      </c>
      <c r="AL23" s="342"/>
      <c r="AM23" s="341" t="str">
        <f t="shared" si="20"/>
        <v/>
      </c>
      <c r="AN23" s="341" t="str">
        <f t="shared" si="21"/>
        <v/>
      </c>
      <c r="AO23" s="341" t="str">
        <f t="shared" si="22"/>
        <v/>
      </c>
      <c r="AP23" s="341" t="str">
        <f t="shared" si="23"/>
        <v/>
      </c>
      <c r="AQ23" s="341" t="str">
        <f t="shared" si="24"/>
        <v/>
      </c>
      <c r="AR23" s="341" t="str">
        <f t="shared" si="25"/>
        <v/>
      </c>
      <c r="AS23" s="341" t="str">
        <f t="shared" si="26"/>
        <v/>
      </c>
      <c r="AT23" s="168" t="str">
        <f t="shared" si="27"/>
        <v xml:space="preserve"> </v>
      </c>
    </row>
    <row r="24" spans="1:46" ht="38.25" customHeight="1">
      <c r="A24" s="169">
        <v>20</v>
      </c>
      <c r="B24" s="165" t="str">
        <f>SISWA!B25</f>
        <v>1718250040324</v>
      </c>
      <c r="C24" s="166" t="str">
        <f>SISWA!E25</f>
        <v>KURNIA</v>
      </c>
      <c r="D24" s="329"/>
      <c r="E24" s="329"/>
      <c r="F24" s="329"/>
      <c r="G24" s="329"/>
      <c r="H24" s="329"/>
      <c r="I24" s="329"/>
      <c r="J24" s="329"/>
      <c r="K24" s="329"/>
      <c r="L24" s="329"/>
      <c r="M24" s="329"/>
      <c r="N24" s="329"/>
      <c r="O24" s="329"/>
      <c r="P24" s="381" t="str">
        <f t="shared" si="0"/>
        <v>Ananda KURNIA</v>
      </c>
      <c r="Q24" s="381" t="str">
        <f t="shared" si="1"/>
        <v/>
      </c>
      <c r="R24" s="381" t="str">
        <f t="shared" si="2"/>
        <v xml:space="preserve">baik dalam sikap </v>
      </c>
      <c r="S24" s="381" t="str">
        <f t="shared" si="3"/>
        <v/>
      </c>
      <c r="T24" s="339" t="str">
        <f t="shared" si="4"/>
        <v xml:space="preserve">Ananda KURNIA baik dalam sikap jujur, disiplin, tanggung jawab, santun, peduli, percaya diri, </v>
      </c>
      <c r="V24" s="340" t="str">
        <f t="shared" si="5"/>
        <v>Ananda KURNIA</v>
      </c>
      <c r="W24" s="341" t="str">
        <f t="shared" si="6"/>
        <v/>
      </c>
      <c r="X24" s="341" t="str">
        <f t="shared" si="7"/>
        <v/>
      </c>
      <c r="Y24" s="341" t="str">
        <f t="shared" si="8"/>
        <v/>
      </c>
      <c r="Z24" s="341" t="str">
        <f t="shared" si="9"/>
        <v/>
      </c>
      <c r="AA24" s="341" t="str">
        <f t="shared" si="10"/>
        <v/>
      </c>
      <c r="AB24" s="341" t="str">
        <f t="shared" si="11"/>
        <v/>
      </c>
      <c r="AC24" s="341" t="str">
        <f t="shared" si="12"/>
        <v/>
      </c>
      <c r="AD24" s="342"/>
      <c r="AE24" s="341" t="str">
        <f t="shared" si="13"/>
        <v xml:space="preserve">baik dalam sikap </v>
      </c>
      <c r="AF24" s="343" t="str">
        <f t="shared" si="14"/>
        <v xml:space="preserve">jujur, </v>
      </c>
      <c r="AG24" s="343" t="str">
        <f t="shared" si="15"/>
        <v xml:space="preserve">disiplin, </v>
      </c>
      <c r="AH24" s="343" t="str">
        <f t="shared" si="16"/>
        <v xml:space="preserve">tanggung jawab, </v>
      </c>
      <c r="AI24" s="343" t="str">
        <f t="shared" si="17"/>
        <v xml:space="preserve">santun, </v>
      </c>
      <c r="AJ24" s="343" t="str">
        <f t="shared" si="18"/>
        <v xml:space="preserve">peduli, </v>
      </c>
      <c r="AK24" s="343" t="str">
        <f t="shared" si="19"/>
        <v xml:space="preserve">percaya diri, </v>
      </c>
      <c r="AL24" s="342"/>
      <c r="AM24" s="341" t="str">
        <f t="shared" si="20"/>
        <v/>
      </c>
      <c r="AN24" s="341" t="str">
        <f t="shared" si="21"/>
        <v/>
      </c>
      <c r="AO24" s="341" t="str">
        <f t="shared" si="22"/>
        <v/>
      </c>
      <c r="AP24" s="341" t="str">
        <f t="shared" si="23"/>
        <v/>
      </c>
      <c r="AQ24" s="341" t="str">
        <f t="shared" si="24"/>
        <v/>
      </c>
      <c r="AR24" s="341" t="str">
        <f t="shared" si="25"/>
        <v/>
      </c>
      <c r="AS24" s="341" t="str">
        <f t="shared" si="26"/>
        <v/>
      </c>
      <c r="AT24" s="168" t="str">
        <f t="shared" si="27"/>
        <v xml:space="preserve"> </v>
      </c>
    </row>
    <row r="25" spans="1:46" ht="38.25" customHeight="1">
      <c r="A25" s="164">
        <v>21</v>
      </c>
      <c r="B25" s="165" t="str">
        <f>SISWA!B26</f>
        <v>1718250040325</v>
      </c>
      <c r="C25" s="166" t="str">
        <f>SISWA!E26</f>
        <v>LATIZA</v>
      </c>
      <c r="D25" s="329"/>
      <c r="E25" s="329"/>
      <c r="F25" s="329"/>
      <c r="G25" s="329"/>
      <c r="H25" s="329"/>
      <c r="I25" s="329"/>
      <c r="J25" s="329"/>
      <c r="K25" s="329"/>
      <c r="L25" s="329"/>
      <c r="M25" s="329"/>
      <c r="N25" s="329"/>
      <c r="O25" s="329"/>
      <c r="P25" s="381" t="str">
        <f t="shared" si="0"/>
        <v>Ananda LATIZA</v>
      </c>
      <c r="Q25" s="381" t="str">
        <f t="shared" si="1"/>
        <v/>
      </c>
      <c r="R25" s="381" t="str">
        <f t="shared" si="2"/>
        <v xml:space="preserve">baik dalam sikap </v>
      </c>
      <c r="S25" s="381" t="str">
        <f t="shared" si="3"/>
        <v/>
      </c>
      <c r="T25" s="339" t="str">
        <f t="shared" si="4"/>
        <v xml:space="preserve">Ananda LATIZA baik dalam sikap jujur, disiplin, tanggung jawab, santun, peduli, percaya diri, </v>
      </c>
      <c r="V25" s="340" t="str">
        <f t="shared" si="5"/>
        <v>Ananda LATIZA</v>
      </c>
      <c r="W25" s="341" t="str">
        <f t="shared" si="6"/>
        <v/>
      </c>
      <c r="X25" s="341" t="str">
        <f t="shared" si="7"/>
        <v/>
      </c>
      <c r="Y25" s="341" t="str">
        <f t="shared" si="8"/>
        <v/>
      </c>
      <c r="Z25" s="341" t="str">
        <f t="shared" si="9"/>
        <v/>
      </c>
      <c r="AA25" s="341" t="str">
        <f t="shared" si="10"/>
        <v/>
      </c>
      <c r="AB25" s="341" t="str">
        <f t="shared" si="11"/>
        <v/>
      </c>
      <c r="AC25" s="341" t="str">
        <f t="shared" si="12"/>
        <v/>
      </c>
      <c r="AD25" s="342"/>
      <c r="AE25" s="341" t="str">
        <f t="shared" si="13"/>
        <v xml:space="preserve">baik dalam sikap </v>
      </c>
      <c r="AF25" s="343" t="str">
        <f t="shared" si="14"/>
        <v xml:space="preserve">jujur, </v>
      </c>
      <c r="AG25" s="343" t="str">
        <f t="shared" si="15"/>
        <v xml:space="preserve">disiplin, </v>
      </c>
      <c r="AH25" s="343" t="str">
        <f t="shared" si="16"/>
        <v xml:space="preserve">tanggung jawab, </v>
      </c>
      <c r="AI25" s="343" t="str">
        <f t="shared" si="17"/>
        <v xml:space="preserve">santun, </v>
      </c>
      <c r="AJ25" s="343" t="str">
        <f t="shared" si="18"/>
        <v xml:space="preserve">peduli, </v>
      </c>
      <c r="AK25" s="343" t="str">
        <f t="shared" si="19"/>
        <v xml:space="preserve">percaya diri, </v>
      </c>
      <c r="AL25" s="342"/>
      <c r="AM25" s="341" t="str">
        <f t="shared" si="20"/>
        <v/>
      </c>
      <c r="AN25" s="341" t="str">
        <f t="shared" si="21"/>
        <v/>
      </c>
      <c r="AO25" s="341" t="str">
        <f t="shared" si="22"/>
        <v/>
      </c>
      <c r="AP25" s="341" t="str">
        <f t="shared" si="23"/>
        <v/>
      </c>
      <c r="AQ25" s="341" t="str">
        <f t="shared" si="24"/>
        <v/>
      </c>
      <c r="AR25" s="341" t="str">
        <f t="shared" si="25"/>
        <v/>
      </c>
      <c r="AS25" s="341" t="str">
        <f t="shared" si="26"/>
        <v/>
      </c>
      <c r="AT25" s="168" t="str">
        <f t="shared" si="27"/>
        <v xml:space="preserve"> </v>
      </c>
    </row>
    <row r="26" spans="1:46" ht="38.25" customHeight="1">
      <c r="A26" s="169">
        <v>22</v>
      </c>
      <c r="B26" s="165" t="str">
        <f>SISWA!B27</f>
        <v>1718250040326</v>
      </c>
      <c r="C26" s="166" t="str">
        <f>SISWA!E27</f>
        <v>RIZKY</v>
      </c>
      <c r="D26" s="329"/>
      <c r="E26" s="329"/>
      <c r="F26" s="329"/>
      <c r="G26" s="329"/>
      <c r="H26" s="329"/>
      <c r="I26" s="329"/>
      <c r="J26" s="329"/>
      <c r="K26" s="329"/>
      <c r="L26" s="329"/>
      <c r="M26" s="329"/>
      <c r="N26" s="329"/>
      <c r="O26" s="329"/>
      <c r="P26" s="381" t="str">
        <f t="shared" si="0"/>
        <v>Ananda RIZKY</v>
      </c>
      <c r="Q26" s="381" t="str">
        <f t="shared" si="1"/>
        <v/>
      </c>
      <c r="R26" s="381" t="str">
        <f t="shared" si="2"/>
        <v xml:space="preserve">baik dalam sikap </v>
      </c>
      <c r="S26" s="381" t="str">
        <f t="shared" si="3"/>
        <v/>
      </c>
      <c r="T26" s="339" t="str">
        <f t="shared" si="4"/>
        <v xml:space="preserve">Ananda RIZKY baik dalam sikap jujur, disiplin, tanggung jawab, santun, peduli, percaya diri, </v>
      </c>
      <c r="V26" s="340" t="str">
        <f t="shared" si="5"/>
        <v>Ananda RIZKY</v>
      </c>
      <c r="W26" s="341" t="str">
        <f t="shared" si="6"/>
        <v/>
      </c>
      <c r="X26" s="341" t="str">
        <f t="shared" si="7"/>
        <v/>
      </c>
      <c r="Y26" s="341" t="str">
        <f t="shared" si="8"/>
        <v/>
      </c>
      <c r="Z26" s="341" t="str">
        <f t="shared" si="9"/>
        <v/>
      </c>
      <c r="AA26" s="341" t="str">
        <f t="shared" si="10"/>
        <v/>
      </c>
      <c r="AB26" s="341" t="str">
        <f t="shared" si="11"/>
        <v/>
      </c>
      <c r="AC26" s="341" t="str">
        <f t="shared" si="12"/>
        <v/>
      </c>
      <c r="AD26" s="342"/>
      <c r="AE26" s="341" t="str">
        <f t="shared" si="13"/>
        <v xml:space="preserve">baik dalam sikap </v>
      </c>
      <c r="AF26" s="343" t="str">
        <f t="shared" si="14"/>
        <v xml:space="preserve">jujur, </v>
      </c>
      <c r="AG26" s="343" t="str">
        <f t="shared" si="15"/>
        <v xml:space="preserve">disiplin, </v>
      </c>
      <c r="AH26" s="343" t="str">
        <f t="shared" si="16"/>
        <v xml:space="preserve">tanggung jawab, </v>
      </c>
      <c r="AI26" s="343" t="str">
        <f t="shared" si="17"/>
        <v xml:space="preserve">santun, </v>
      </c>
      <c r="AJ26" s="343" t="str">
        <f t="shared" si="18"/>
        <v xml:space="preserve">peduli, </v>
      </c>
      <c r="AK26" s="343" t="str">
        <f t="shared" si="19"/>
        <v xml:space="preserve">percaya diri, </v>
      </c>
      <c r="AL26" s="342"/>
      <c r="AM26" s="341" t="str">
        <f t="shared" si="20"/>
        <v/>
      </c>
      <c r="AN26" s="341" t="str">
        <f t="shared" si="21"/>
        <v/>
      </c>
      <c r="AO26" s="341" t="str">
        <f t="shared" si="22"/>
        <v/>
      </c>
      <c r="AP26" s="341" t="str">
        <f t="shared" si="23"/>
        <v/>
      </c>
      <c r="AQ26" s="341" t="str">
        <f t="shared" si="24"/>
        <v/>
      </c>
      <c r="AR26" s="341" t="str">
        <f t="shared" si="25"/>
        <v/>
      </c>
      <c r="AS26" s="341" t="str">
        <f t="shared" si="26"/>
        <v/>
      </c>
      <c r="AT26" s="168" t="str">
        <f t="shared" si="27"/>
        <v xml:space="preserve"> </v>
      </c>
    </row>
    <row r="27" spans="1:46" ht="38.25" customHeight="1">
      <c r="A27" s="164">
        <v>23</v>
      </c>
      <c r="B27" s="165" t="str">
        <f>SISWA!B28</f>
        <v>1718250040327</v>
      </c>
      <c r="C27" s="166" t="str">
        <f>SISWA!E28</f>
        <v>RAMADHANDANI</v>
      </c>
      <c r="D27" s="329"/>
      <c r="E27" s="329"/>
      <c r="F27" s="329"/>
      <c r="G27" s="329"/>
      <c r="H27" s="329"/>
      <c r="I27" s="329"/>
      <c r="J27" s="329"/>
      <c r="K27" s="329"/>
      <c r="L27" s="329"/>
      <c r="M27" s="329"/>
      <c r="N27" s="329"/>
      <c r="O27" s="329"/>
      <c r="P27" s="381" t="str">
        <f t="shared" si="0"/>
        <v>Ananda RAMADHANDANI</v>
      </c>
      <c r="Q27" s="381" t="str">
        <f t="shared" si="1"/>
        <v/>
      </c>
      <c r="R27" s="381" t="str">
        <f t="shared" si="2"/>
        <v xml:space="preserve">baik dalam sikap </v>
      </c>
      <c r="S27" s="381" t="str">
        <f t="shared" si="3"/>
        <v/>
      </c>
      <c r="T27" s="339" t="str">
        <f t="shared" si="4"/>
        <v xml:space="preserve">Ananda RAMADHANDANI baik dalam sikap jujur, disiplin, tanggung jawab, santun, peduli, percaya diri, </v>
      </c>
      <c r="V27" s="340" t="str">
        <f t="shared" si="5"/>
        <v>Ananda RAMADHANDANI</v>
      </c>
      <c r="W27" s="341" t="str">
        <f t="shared" si="6"/>
        <v/>
      </c>
      <c r="X27" s="341" t="str">
        <f t="shared" si="7"/>
        <v/>
      </c>
      <c r="Y27" s="341" t="str">
        <f t="shared" si="8"/>
        <v/>
      </c>
      <c r="Z27" s="341" t="str">
        <f t="shared" si="9"/>
        <v/>
      </c>
      <c r="AA27" s="341" t="str">
        <f t="shared" si="10"/>
        <v/>
      </c>
      <c r="AB27" s="341" t="str">
        <f t="shared" si="11"/>
        <v/>
      </c>
      <c r="AC27" s="341" t="str">
        <f t="shared" si="12"/>
        <v/>
      </c>
      <c r="AD27" s="342"/>
      <c r="AE27" s="341" t="str">
        <f t="shared" si="13"/>
        <v xml:space="preserve">baik dalam sikap </v>
      </c>
      <c r="AF27" s="343" t="str">
        <f t="shared" si="14"/>
        <v xml:space="preserve">jujur, </v>
      </c>
      <c r="AG27" s="343" t="str">
        <f t="shared" si="15"/>
        <v xml:space="preserve">disiplin, </v>
      </c>
      <c r="AH27" s="343" t="str">
        <f t="shared" si="16"/>
        <v xml:space="preserve">tanggung jawab, </v>
      </c>
      <c r="AI27" s="343" t="str">
        <f t="shared" si="17"/>
        <v xml:space="preserve">santun, </v>
      </c>
      <c r="AJ27" s="343" t="str">
        <f t="shared" si="18"/>
        <v xml:space="preserve">peduli, </v>
      </c>
      <c r="AK27" s="343" t="str">
        <f t="shared" si="19"/>
        <v xml:space="preserve">percaya diri, </v>
      </c>
      <c r="AL27" s="342"/>
      <c r="AM27" s="341" t="str">
        <f t="shared" si="20"/>
        <v/>
      </c>
      <c r="AN27" s="341" t="str">
        <f t="shared" si="21"/>
        <v/>
      </c>
      <c r="AO27" s="341" t="str">
        <f t="shared" si="22"/>
        <v/>
      </c>
      <c r="AP27" s="341" t="str">
        <f t="shared" si="23"/>
        <v/>
      </c>
      <c r="AQ27" s="341" t="str">
        <f t="shared" si="24"/>
        <v/>
      </c>
      <c r="AR27" s="341" t="str">
        <f t="shared" si="25"/>
        <v/>
      </c>
      <c r="AS27" s="341" t="str">
        <f t="shared" si="26"/>
        <v/>
      </c>
      <c r="AT27" s="168" t="str">
        <f t="shared" si="27"/>
        <v xml:space="preserve"> </v>
      </c>
    </row>
    <row r="28" spans="1:46" ht="38.25" customHeight="1">
      <c r="A28" s="169">
        <v>24</v>
      </c>
      <c r="B28" s="165" t="str">
        <f>SISWA!B29</f>
        <v>1718250040328</v>
      </c>
      <c r="C28" s="166" t="str">
        <f>SISWA!E29</f>
        <v>SYAEPUL</v>
      </c>
      <c r="D28" s="329"/>
      <c r="E28" s="329"/>
      <c r="F28" s="329"/>
      <c r="G28" s="329"/>
      <c r="H28" s="329"/>
      <c r="I28" s="329"/>
      <c r="J28" s="329"/>
      <c r="K28" s="329"/>
      <c r="L28" s="329"/>
      <c r="M28" s="329"/>
      <c r="N28" s="329"/>
      <c r="O28" s="329"/>
      <c r="P28" s="381" t="str">
        <f t="shared" si="0"/>
        <v>Ananda SYAEPUL</v>
      </c>
      <c r="Q28" s="381" t="str">
        <f t="shared" si="1"/>
        <v/>
      </c>
      <c r="R28" s="381" t="str">
        <f t="shared" si="2"/>
        <v xml:space="preserve">baik dalam sikap </v>
      </c>
      <c r="S28" s="381" t="str">
        <f t="shared" si="3"/>
        <v/>
      </c>
      <c r="T28" s="339" t="str">
        <f t="shared" si="4"/>
        <v xml:space="preserve">Ananda SYAEPUL baik dalam sikap jujur, disiplin, tanggung jawab, santun, peduli, percaya diri, </v>
      </c>
      <c r="V28" s="340" t="str">
        <f t="shared" si="5"/>
        <v>Ananda SYAEPUL</v>
      </c>
      <c r="W28" s="341" t="str">
        <f t="shared" si="6"/>
        <v/>
      </c>
      <c r="X28" s="341" t="str">
        <f t="shared" si="7"/>
        <v/>
      </c>
      <c r="Y28" s="341" t="str">
        <f t="shared" si="8"/>
        <v/>
      </c>
      <c r="Z28" s="341" t="str">
        <f t="shared" si="9"/>
        <v/>
      </c>
      <c r="AA28" s="341" t="str">
        <f t="shared" si="10"/>
        <v/>
      </c>
      <c r="AB28" s="341" t="str">
        <f t="shared" si="11"/>
        <v/>
      </c>
      <c r="AC28" s="341" t="str">
        <f t="shared" si="12"/>
        <v/>
      </c>
      <c r="AD28" s="342"/>
      <c r="AE28" s="341" t="str">
        <f t="shared" si="13"/>
        <v xml:space="preserve">baik dalam sikap </v>
      </c>
      <c r="AF28" s="343" t="str">
        <f t="shared" si="14"/>
        <v xml:space="preserve">jujur, </v>
      </c>
      <c r="AG28" s="343" t="str">
        <f t="shared" si="15"/>
        <v xml:space="preserve">disiplin, </v>
      </c>
      <c r="AH28" s="343" t="str">
        <f t="shared" si="16"/>
        <v xml:space="preserve">tanggung jawab, </v>
      </c>
      <c r="AI28" s="343" t="str">
        <f t="shared" si="17"/>
        <v xml:space="preserve">santun, </v>
      </c>
      <c r="AJ28" s="343" t="str">
        <f t="shared" si="18"/>
        <v xml:space="preserve">peduli, </v>
      </c>
      <c r="AK28" s="343" t="str">
        <f t="shared" si="19"/>
        <v xml:space="preserve">percaya diri, </v>
      </c>
      <c r="AL28" s="342"/>
      <c r="AM28" s="341" t="str">
        <f t="shared" si="20"/>
        <v/>
      </c>
      <c r="AN28" s="341" t="str">
        <f t="shared" si="21"/>
        <v/>
      </c>
      <c r="AO28" s="341" t="str">
        <f t="shared" si="22"/>
        <v/>
      </c>
      <c r="AP28" s="341" t="str">
        <f t="shared" si="23"/>
        <v/>
      </c>
      <c r="AQ28" s="341" t="str">
        <f t="shared" si="24"/>
        <v/>
      </c>
      <c r="AR28" s="341" t="str">
        <f t="shared" si="25"/>
        <v/>
      </c>
      <c r="AS28" s="341" t="str">
        <f t="shared" si="26"/>
        <v/>
      </c>
      <c r="AT28" s="168" t="str">
        <f t="shared" si="27"/>
        <v xml:space="preserve"> </v>
      </c>
    </row>
    <row r="29" spans="1:46" ht="38.25" customHeight="1">
      <c r="A29" s="164">
        <v>25</v>
      </c>
      <c r="B29" s="165" t="str">
        <f>SISWA!B30</f>
        <v>1718250040329</v>
      </c>
      <c r="C29" s="166" t="str">
        <f>SISWA!E30</f>
        <v>ALIF</v>
      </c>
      <c r="D29" s="329"/>
      <c r="E29" s="329"/>
      <c r="F29" s="329"/>
      <c r="G29" s="329"/>
      <c r="H29" s="329"/>
      <c r="I29" s="329"/>
      <c r="J29" s="329"/>
      <c r="K29" s="329"/>
      <c r="L29" s="329"/>
      <c r="M29" s="329"/>
      <c r="N29" s="329"/>
      <c r="O29" s="329"/>
      <c r="P29" s="381" t="str">
        <f t="shared" si="0"/>
        <v>Ananda ALIF</v>
      </c>
      <c r="Q29" s="381" t="str">
        <f t="shared" si="1"/>
        <v/>
      </c>
      <c r="R29" s="381" t="str">
        <f t="shared" si="2"/>
        <v xml:space="preserve">baik dalam sikap </v>
      </c>
      <c r="S29" s="381" t="str">
        <f t="shared" si="3"/>
        <v/>
      </c>
      <c r="T29" s="339" t="str">
        <f t="shared" si="4"/>
        <v xml:space="preserve">Ananda ALIF baik dalam sikap jujur, disiplin, tanggung jawab, santun, peduli, percaya diri, </v>
      </c>
      <c r="V29" s="340" t="str">
        <f t="shared" si="5"/>
        <v>Ananda ALIF</v>
      </c>
      <c r="W29" s="341" t="str">
        <f t="shared" si="6"/>
        <v/>
      </c>
      <c r="X29" s="341" t="str">
        <f t="shared" si="7"/>
        <v/>
      </c>
      <c r="Y29" s="341" t="str">
        <f t="shared" si="8"/>
        <v/>
      </c>
      <c r="Z29" s="341" t="str">
        <f t="shared" si="9"/>
        <v/>
      </c>
      <c r="AA29" s="341" t="str">
        <f t="shared" si="10"/>
        <v/>
      </c>
      <c r="AB29" s="341" t="str">
        <f t="shared" si="11"/>
        <v/>
      </c>
      <c r="AC29" s="341" t="str">
        <f t="shared" si="12"/>
        <v/>
      </c>
      <c r="AD29" s="342"/>
      <c r="AE29" s="341" t="str">
        <f t="shared" si="13"/>
        <v xml:space="preserve">baik dalam sikap </v>
      </c>
      <c r="AF29" s="343" t="str">
        <f t="shared" si="14"/>
        <v xml:space="preserve">jujur, </v>
      </c>
      <c r="AG29" s="343" t="str">
        <f t="shared" si="15"/>
        <v xml:space="preserve">disiplin, </v>
      </c>
      <c r="AH29" s="343" t="str">
        <f t="shared" si="16"/>
        <v xml:space="preserve">tanggung jawab, </v>
      </c>
      <c r="AI29" s="343" t="str">
        <f t="shared" si="17"/>
        <v xml:space="preserve">santun, </v>
      </c>
      <c r="AJ29" s="343" t="str">
        <f t="shared" si="18"/>
        <v xml:space="preserve">peduli, </v>
      </c>
      <c r="AK29" s="343" t="str">
        <f t="shared" si="19"/>
        <v xml:space="preserve">percaya diri, </v>
      </c>
      <c r="AL29" s="342"/>
      <c r="AM29" s="341" t="str">
        <f t="shared" si="20"/>
        <v/>
      </c>
      <c r="AN29" s="341" t="str">
        <f t="shared" si="21"/>
        <v/>
      </c>
      <c r="AO29" s="341" t="str">
        <f t="shared" si="22"/>
        <v/>
      </c>
      <c r="AP29" s="341" t="str">
        <f t="shared" si="23"/>
        <v/>
      </c>
      <c r="AQ29" s="341" t="str">
        <f t="shared" si="24"/>
        <v/>
      </c>
      <c r="AR29" s="341" t="str">
        <f t="shared" si="25"/>
        <v/>
      </c>
      <c r="AS29" s="341" t="str">
        <f t="shared" si="26"/>
        <v/>
      </c>
      <c r="AT29" s="168" t="str">
        <f t="shared" si="27"/>
        <v xml:space="preserve"> </v>
      </c>
    </row>
    <row r="30" spans="1:46" ht="38.25" customHeight="1">
      <c r="A30" s="169">
        <v>26</v>
      </c>
      <c r="B30" s="165" t="str">
        <f>SISWA!B31</f>
        <v>1718250040330</v>
      </c>
      <c r="C30" s="166" t="str">
        <f>SISWA!E31</f>
        <v>HIZKIEL</v>
      </c>
      <c r="D30" s="329"/>
      <c r="E30" s="329"/>
      <c r="F30" s="329"/>
      <c r="G30" s="329"/>
      <c r="H30" s="329"/>
      <c r="I30" s="329"/>
      <c r="J30" s="329"/>
      <c r="K30" s="329"/>
      <c r="L30" s="329"/>
      <c r="M30" s="329"/>
      <c r="N30" s="329"/>
      <c r="O30" s="329"/>
      <c r="P30" s="381" t="str">
        <f t="shared" si="0"/>
        <v>Ananda HIZKIEL</v>
      </c>
      <c r="Q30" s="381" t="str">
        <f t="shared" si="1"/>
        <v/>
      </c>
      <c r="R30" s="381" t="str">
        <f t="shared" si="2"/>
        <v xml:space="preserve">baik dalam sikap </v>
      </c>
      <c r="S30" s="381" t="str">
        <f t="shared" si="3"/>
        <v/>
      </c>
      <c r="T30" s="339" t="str">
        <f t="shared" si="4"/>
        <v xml:space="preserve">Ananda HIZKIEL baik dalam sikap jujur, disiplin, tanggung jawab, santun, peduli, percaya diri, </v>
      </c>
      <c r="V30" s="340" t="str">
        <f t="shared" si="5"/>
        <v>Ananda HIZKIEL</v>
      </c>
      <c r="W30" s="341" t="str">
        <f t="shared" si="6"/>
        <v/>
      </c>
      <c r="X30" s="341" t="str">
        <f t="shared" si="7"/>
        <v/>
      </c>
      <c r="Y30" s="341" t="str">
        <f t="shared" si="8"/>
        <v/>
      </c>
      <c r="Z30" s="341" t="str">
        <f t="shared" si="9"/>
        <v/>
      </c>
      <c r="AA30" s="341" t="str">
        <f t="shared" si="10"/>
        <v/>
      </c>
      <c r="AB30" s="341" t="str">
        <f t="shared" si="11"/>
        <v/>
      </c>
      <c r="AC30" s="341" t="str">
        <f t="shared" si="12"/>
        <v/>
      </c>
      <c r="AD30" s="342"/>
      <c r="AE30" s="341" t="str">
        <f t="shared" si="13"/>
        <v xml:space="preserve">baik dalam sikap </v>
      </c>
      <c r="AF30" s="343" t="str">
        <f t="shared" si="14"/>
        <v xml:space="preserve">jujur, </v>
      </c>
      <c r="AG30" s="343" t="str">
        <f t="shared" si="15"/>
        <v xml:space="preserve">disiplin, </v>
      </c>
      <c r="AH30" s="343" t="str">
        <f t="shared" si="16"/>
        <v xml:space="preserve">tanggung jawab, </v>
      </c>
      <c r="AI30" s="343" t="str">
        <f t="shared" si="17"/>
        <v xml:space="preserve">santun, </v>
      </c>
      <c r="AJ30" s="343" t="str">
        <f t="shared" si="18"/>
        <v xml:space="preserve">peduli, </v>
      </c>
      <c r="AK30" s="343" t="str">
        <f t="shared" si="19"/>
        <v xml:space="preserve">percaya diri, </v>
      </c>
      <c r="AL30" s="342"/>
      <c r="AM30" s="341" t="str">
        <f t="shared" si="20"/>
        <v/>
      </c>
      <c r="AN30" s="341" t="str">
        <f t="shared" si="21"/>
        <v/>
      </c>
      <c r="AO30" s="341" t="str">
        <f t="shared" si="22"/>
        <v/>
      </c>
      <c r="AP30" s="341" t="str">
        <f t="shared" si="23"/>
        <v/>
      </c>
      <c r="AQ30" s="341" t="str">
        <f t="shared" si="24"/>
        <v/>
      </c>
      <c r="AR30" s="341" t="str">
        <f t="shared" si="25"/>
        <v/>
      </c>
      <c r="AS30" s="341" t="str">
        <f t="shared" si="26"/>
        <v/>
      </c>
      <c r="AT30" s="168" t="str">
        <f t="shared" si="27"/>
        <v xml:space="preserve"> </v>
      </c>
    </row>
    <row r="31" spans="1:46" ht="38.25" customHeight="1">
      <c r="A31" s="164">
        <v>27</v>
      </c>
      <c r="B31" s="165" t="str">
        <f>SISWA!B32</f>
        <v>1718250040331</v>
      </c>
      <c r="C31" s="166" t="str">
        <f>SISWA!E32</f>
        <v>LAEL</v>
      </c>
      <c r="D31" s="329"/>
      <c r="E31" s="329"/>
      <c r="F31" s="329"/>
      <c r="G31" s="329"/>
      <c r="H31" s="329"/>
      <c r="I31" s="329"/>
      <c r="J31" s="329"/>
      <c r="K31" s="329"/>
      <c r="L31" s="329"/>
      <c r="M31" s="329"/>
      <c r="N31" s="329"/>
      <c r="O31" s="329"/>
      <c r="P31" s="381" t="str">
        <f t="shared" si="0"/>
        <v>Ananda LAEL</v>
      </c>
      <c r="Q31" s="381" t="str">
        <f t="shared" si="1"/>
        <v/>
      </c>
      <c r="R31" s="381" t="str">
        <f t="shared" si="2"/>
        <v xml:space="preserve">baik dalam sikap </v>
      </c>
      <c r="S31" s="381" t="str">
        <f t="shared" si="3"/>
        <v/>
      </c>
      <c r="T31" s="339" t="str">
        <f t="shared" si="4"/>
        <v xml:space="preserve">Ananda LAEL baik dalam sikap jujur, disiplin, tanggung jawab, santun, peduli, percaya diri, </v>
      </c>
      <c r="V31" s="340" t="str">
        <f t="shared" si="5"/>
        <v>Ananda LAEL</v>
      </c>
      <c r="W31" s="341" t="str">
        <f t="shared" si="6"/>
        <v/>
      </c>
      <c r="X31" s="341" t="str">
        <f t="shared" si="7"/>
        <v/>
      </c>
      <c r="Y31" s="341" t="str">
        <f t="shared" si="8"/>
        <v/>
      </c>
      <c r="Z31" s="341" t="str">
        <f t="shared" si="9"/>
        <v/>
      </c>
      <c r="AA31" s="341" t="str">
        <f t="shared" si="10"/>
        <v/>
      </c>
      <c r="AB31" s="341" t="str">
        <f t="shared" si="11"/>
        <v/>
      </c>
      <c r="AC31" s="341" t="str">
        <f t="shared" si="12"/>
        <v/>
      </c>
      <c r="AD31" s="342"/>
      <c r="AE31" s="341" t="str">
        <f t="shared" si="13"/>
        <v xml:space="preserve">baik dalam sikap </v>
      </c>
      <c r="AF31" s="343" t="str">
        <f t="shared" si="14"/>
        <v xml:space="preserve">jujur, </v>
      </c>
      <c r="AG31" s="343" t="str">
        <f t="shared" si="15"/>
        <v xml:space="preserve">disiplin, </v>
      </c>
      <c r="AH31" s="343" t="str">
        <f t="shared" si="16"/>
        <v xml:space="preserve">tanggung jawab, </v>
      </c>
      <c r="AI31" s="343" t="str">
        <f t="shared" si="17"/>
        <v xml:space="preserve">santun, </v>
      </c>
      <c r="AJ31" s="343" t="str">
        <f t="shared" si="18"/>
        <v xml:space="preserve">peduli, </v>
      </c>
      <c r="AK31" s="343" t="str">
        <f t="shared" si="19"/>
        <v xml:space="preserve">percaya diri, </v>
      </c>
      <c r="AL31" s="342"/>
      <c r="AM31" s="341" t="str">
        <f t="shared" si="20"/>
        <v/>
      </c>
      <c r="AN31" s="341" t="str">
        <f t="shared" si="21"/>
        <v/>
      </c>
      <c r="AO31" s="341" t="str">
        <f t="shared" si="22"/>
        <v/>
      </c>
      <c r="AP31" s="341" t="str">
        <f t="shared" si="23"/>
        <v/>
      </c>
      <c r="AQ31" s="341" t="str">
        <f t="shared" si="24"/>
        <v/>
      </c>
      <c r="AR31" s="341" t="str">
        <f t="shared" si="25"/>
        <v/>
      </c>
      <c r="AS31" s="341" t="str">
        <f t="shared" si="26"/>
        <v/>
      </c>
      <c r="AT31" s="168" t="str">
        <f t="shared" si="27"/>
        <v xml:space="preserve"> </v>
      </c>
    </row>
    <row r="32" spans="1:46" ht="38.25" customHeight="1">
      <c r="A32" s="169">
        <v>28</v>
      </c>
      <c r="B32" s="165" t="str">
        <f>SISWA!B33</f>
        <v>1718250040332</v>
      </c>
      <c r="C32" s="166" t="str">
        <f>SISWA!E33</f>
        <v>NABIL</v>
      </c>
      <c r="D32" s="329"/>
      <c r="E32" s="329"/>
      <c r="F32" s="329"/>
      <c r="G32" s="329"/>
      <c r="H32" s="329"/>
      <c r="I32" s="329"/>
      <c r="J32" s="329"/>
      <c r="K32" s="329"/>
      <c r="L32" s="329"/>
      <c r="M32" s="329"/>
      <c r="N32" s="329"/>
      <c r="O32" s="329"/>
      <c r="P32" s="381" t="str">
        <f t="shared" si="0"/>
        <v>Ananda NABIL</v>
      </c>
      <c r="Q32" s="381" t="str">
        <f t="shared" si="1"/>
        <v/>
      </c>
      <c r="R32" s="381" t="str">
        <f t="shared" si="2"/>
        <v xml:space="preserve">baik dalam sikap </v>
      </c>
      <c r="S32" s="381" t="str">
        <f t="shared" si="3"/>
        <v/>
      </c>
      <c r="T32" s="339" t="str">
        <f t="shared" si="4"/>
        <v xml:space="preserve">Ananda NABIL baik dalam sikap jujur, disiplin, tanggung jawab, santun, peduli, percaya diri, </v>
      </c>
      <c r="V32" s="340" t="str">
        <f t="shared" si="5"/>
        <v>Ananda NABIL</v>
      </c>
      <c r="W32" s="341" t="str">
        <f t="shared" si="6"/>
        <v/>
      </c>
      <c r="X32" s="341" t="str">
        <f t="shared" si="7"/>
        <v/>
      </c>
      <c r="Y32" s="341" t="str">
        <f t="shared" si="8"/>
        <v/>
      </c>
      <c r="Z32" s="341" t="str">
        <f t="shared" si="9"/>
        <v/>
      </c>
      <c r="AA32" s="341" t="str">
        <f t="shared" si="10"/>
        <v/>
      </c>
      <c r="AB32" s="341" t="str">
        <f t="shared" si="11"/>
        <v/>
      </c>
      <c r="AC32" s="341" t="str">
        <f t="shared" si="12"/>
        <v/>
      </c>
      <c r="AD32" s="342"/>
      <c r="AE32" s="341" t="str">
        <f t="shared" si="13"/>
        <v xml:space="preserve">baik dalam sikap </v>
      </c>
      <c r="AF32" s="343" t="str">
        <f t="shared" si="14"/>
        <v xml:space="preserve">jujur, </v>
      </c>
      <c r="AG32" s="343" t="str">
        <f t="shared" si="15"/>
        <v xml:space="preserve">disiplin, </v>
      </c>
      <c r="AH32" s="343" t="str">
        <f t="shared" si="16"/>
        <v xml:space="preserve">tanggung jawab, </v>
      </c>
      <c r="AI32" s="343" t="str">
        <f t="shared" si="17"/>
        <v xml:space="preserve">santun, </v>
      </c>
      <c r="AJ32" s="343" t="str">
        <f t="shared" si="18"/>
        <v xml:space="preserve">peduli, </v>
      </c>
      <c r="AK32" s="343" t="str">
        <f t="shared" si="19"/>
        <v xml:space="preserve">percaya diri, </v>
      </c>
      <c r="AL32" s="342"/>
      <c r="AM32" s="341" t="str">
        <f t="shared" si="20"/>
        <v/>
      </c>
      <c r="AN32" s="341" t="str">
        <f t="shared" si="21"/>
        <v/>
      </c>
      <c r="AO32" s="341" t="str">
        <f t="shared" si="22"/>
        <v/>
      </c>
      <c r="AP32" s="341" t="str">
        <f t="shared" si="23"/>
        <v/>
      </c>
      <c r="AQ32" s="341" t="str">
        <f t="shared" si="24"/>
        <v/>
      </c>
      <c r="AR32" s="341" t="str">
        <f t="shared" si="25"/>
        <v/>
      </c>
      <c r="AS32" s="341" t="str">
        <f t="shared" si="26"/>
        <v/>
      </c>
      <c r="AT32" s="168" t="str">
        <f t="shared" si="27"/>
        <v xml:space="preserve"> </v>
      </c>
    </row>
    <row r="33" spans="1:46" ht="38.25" customHeight="1">
      <c r="A33" s="164">
        <v>29</v>
      </c>
      <c r="B33" s="165" t="str">
        <f>SISWA!B34</f>
        <v>1718250040333</v>
      </c>
      <c r="C33" s="166" t="str">
        <f>SISWA!E34</f>
        <v>RASYA</v>
      </c>
      <c r="D33" s="329"/>
      <c r="E33" s="329"/>
      <c r="F33" s="329"/>
      <c r="G33" s="329"/>
      <c r="H33" s="329"/>
      <c r="I33" s="329"/>
      <c r="J33" s="329"/>
      <c r="K33" s="329"/>
      <c r="L33" s="329"/>
      <c r="M33" s="329"/>
      <c r="N33" s="329"/>
      <c r="O33" s="329"/>
      <c r="P33" s="381" t="str">
        <f t="shared" si="0"/>
        <v>Ananda RASYA</v>
      </c>
      <c r="Q33" s="381" t="str">
        <f t="shared" si="1"/>
        <v/>
      </c>
      <c r="R33" s="381" t="str">
        <f t="shared" si="2"/>
        <v xml:space="preserve">baik dalam sikap </v>
      </c>
      <c r="S33" s="381" t="str">
        <f t="shared" si="3"/>
        <v/>
      </c>
      <c r="T33" s="339" t="str">
        <f t="shared" si="4"/>
        <v xml:space="preserve">Ananda RASYA baik dalam sikap jujur, disiplin, tanggung jawab, santun, peduli, percaya diri, </v>
      </c>
      <c r="V33" s="340" t="str">
        <f t="shared" si="5"/>
        <v>Ananda RASYA</v>
      </c>
      <c r="W33" s="341" t="str">
        <f t="shared" si="6"/>
        <v/>
      </c>
      <c r="X33" s="341" t="str">
        <f t="shared" si="7"/>
        <v/>
      </c>
      <c r="Y33" s="341" t="str">
        <f t="shared" si="8"/>
        <v/>
      </c>
      <c r="Z33" s="341" t="str">
        <f t="shared" si="9"/>
        <v/>
      </c>
      <c r="AA33" s="341" t="str">
        <f t="shared" si="10"/>
        <v/>
      </c>
      <c r="AB33" s="341" t="str">
        <f t="shared" si="11"/>
        <v/>
      </c>
      <c r="AC33" s="341" t="str">
        <f t="shared" si="12"/>
        <v/>
      </c>
      <c r="AD33" s="342"/>
      <c r="AE33" s="341" t="str">
        <f t="shared" si="13"/>
        <v xml:space="preserve">baik dalam sikap </v>
      </c>
      <c r="AF33" s="343" t="str">
        <f t="shared" si="14"/>
        <v xml:space="preserve">jujur, </v>
      </c>
      <c r="AG33" s="343" t="str">
        <f t="shared" si="15"/>
        <v xml:space="preserve">disiplin, </v>
      </c>
      <c r="AH33" s="343" t="str">
        <f t="shared" si="16"/>
        <v xml:space="preserve">tanggung jawab, </v>
      </c>
      <c r="AI33" s="343" t="str">
        <f t="shared" si="17"/>
        <v xml:space="preserve">santun, </v>
      </c>
      <c r="AJ33" s="343" t="str">
        <f t="shared" si="18"/>
        <v xml:space="preserve">peduli, </v>
      </c>
      <c r="AK33" s="343" t="str">
        <f t="shared" si="19"/>
        <v xml:space="preserve">percaya diri, </v>
      </c>
      <c r="AL33" s="342"/>
      <c r="AM33" s="341" t="str">
        <f t="shared" si="20"/>
        <v/>
      </c>
      <c r="AN33" s="341" t="str">
        <f t="shared" si="21"/>
        <v/>
      </c>
      <c r="AO33" s="341" t="str">
        <f t="shared" si="22"/>
        <v/>
      </c>
      <c r="AP33" s="341" t="str">
        <f t="shared" si="23"/>
        <v/>
      </c>
      <c r="AQ33" s="341" t="str">
        <f t="shared" si="24"/>
        <v/>
      </c>
      <c r="AR33" s="341" t="str">
        <f t="shared" si="25"/>
        <v/>
      </c>
      <c r="AS33" s="341" t="str">
        <f t="shared" si="26"/>
        <v/>
      </c>
      <c r="AT33" s="168" t="str">
        <f t="shared" si="27"/>
        <v xml:space="preserve"> </v>
      </c>
    </row>
    <row r="34" spans="1:46" ht="38.25" customHeight="1">
      <c r="A34" s="169">
        <v>30</v>
      </c>
      <c r="B34" s="165" t="str">
        <f>SISWA!B35</f>
        <v>1718250040334</v>
      </c>
      <c r="C34" s="166" t="str">
        <f>SISWA!E35</f>
        <v>RIZKI</v>
      </c>
      <c r="D34" s="329"/>
      <c r="E34" s="329"/>
      <c r="F34" s="329"/>
      <c r="G34" s="329"/>
      <c r="H34" s="329"/>
      <c r="I34" s="329"/>
      <c r="J34" s="329"/>
      <c r="K34" s="329"/>
      <c r="L34" s="329"/>
      <c r="M34" s="329"/>
      <c r="N34" s="329"/>
      <c r="O34" s="329"/>
      <c r="P34" s="381" t="str">
        <f t="shared" si="0"/>
        <v>Ananda RIZKI</v>
      </c>
      <c r="Q34" s="381" t="str">
        <f t="shared" si="1"/>
        <v/>
      </c>
      <c r="R34" s="381" t="str">
        <f t="shared" si="2"/>
        <v xml:space="preserve">baik dalam sikap </v>
      </c>
      <c r="S34" s="381" t="str">
        <f t="shared" si="3"/>
        <v/>
      </c>
      <c r="T34" s="339" t="str">
        <f t="shared" si="4"/>
        <v xml:space="preserve">Ananda RIZKI baik dalam sikap jujur, disiplin, tanggung jawab, santun, peduli, percaya diri, </v>
      </c>
      <c r="V34" s="340" t="str">
        <f t="shared" si="5"/>
        <v>Ananda RIZKI</v>
      </c>
      <c r="W34" s="341" t="str">
        <f t="shared" si="6"/>
        <v/>
      </c>
      <c r="X34" s="341" t="str">
        <f t="shared" si="7"/>
        <v/>
      </c>
      <c r="Y34" s="341" t="str">
        <f t="shared" si="8"/>
        <v/>
      </c>
      <c r="Z34" s="341" t="str">
        <f t="shared" si="9"/>
        <v/>
      </c>
      <c r="AA34" s="341" t="str">
        <f t="shared" si="10"/>
        <v/>
      </c>
      <c r="AB34" s="341" t="str">
        <f t="shared" si="11"/>
        <v/>
      </c>
      <c r="AC34" s="341" t="str">
        <f t="shared" si="12"/>
        <v/>
      </c>
      <c r="AD34" s="342"/>
      <c r="AE34" s="341" t="str">
        <f t="shared" si="13"/>
        <v xml:space="preserve">baik dalam sikap </v>
      </c>
      <c r="AF34" s="343" t="str">
        <f t="shared" si="14"/>
        <v xml:space="preserve">jujur, </v>
      </c>
      <c r="AG34" s="343" t="str">
        <f t="shared" si="15"/>
        <v xml:space="preserve">disiplin, </v>
      </c>
      <c r="AH34" s="343" t="str">
        <f t="shared" si="16"/>
        <v xml:space="preserve">tanggung jawab, </v>
      </c>
      <c r="AI34" s="343" t="str">
        <f t="shared" si="17"/>
        <v xml:space="preserve">santun, </v>
      </c>
      <c r="AJ34" s="343" t="str">
        <f t="shared" si="18"/>
        <v xml:space="preserve">peduli, </v>
      </c>
      <c r="AK34" s="343" t="str">
        <f t="shared" si="19"/>
        <v xml:space="preserve">percaya diri, </v>
      </c>
      <c r="AL34" s="342"/>
      <c r="AM34" s="341" t="str">
        <f t="shared" si="20"/>
        <v/>
      </c>
      <c r="AN34" s="341" t="str">
        <f t="shared" si="21"/>
        <v/>
      </c>
      <c r="AO34" s="341" t="str">
        <f t="shared" si="22"/>
        <v/>
      </c>
      <c r="AP34" s="341" t="str">
        <f t="shared" si="23"/>
        <v/>
      </c>
      <c r="AQ34" s="341" t="str">
        <f t="shared" si="24"/>
        <v/>
      </c>
      <c r="AR34" s="341" t="str">
        <f t="shared" si="25"/>
        <v/>
      </c>
      <c r="AS34" s="341" t="str">
        <f t="shared" si="26"/>
        <v/>
      </c>
      <c r="AT34" s="168" t="str">
        <f t="shared" si="27"/>
        <v xml:space="preserve"> </v>
      </c>
    </row>
    <row r="35" spans="1:46" ht="38.25" customHeight="1">
      <c r="A35" s="164">
        <v>31</v>
      </c>
      <c r="B35" s="165" t="str">
        <f>SISWA!B36</f>
        <v>1718250040335</v>
      </c>
      <c r="C35" s="166" t="str">
        <f>SISWA!E36</f>
        <v>SATRIA</v>
      </c>
      <c r="D35" s="329"/>
      <c r="E35" s="329"/>
      <c r="F35" s="329"/>
      <c r="G35" s="329"/>
      <c r="H35" s="329"/>
      <c r="I35" s="329"/>
      <c r="J35" s="329"/>
      <c r="K35" s="329"/>
      <c r="L35" s="329"/>
      <c r="M35" s="329"/>
      <c r="N35" s="329"/>
      <c r="O35" s="329"/>
      <c r="P35" s="381" t="str">
        <f t="shared" si="0"/>
        <v>Ananda SATRIA</v>
      </c>
      <c r="Q35" s="381" t="str">
        <f t="shared" si="1"/>
        <v/>
      </c>
      <c r="R35" s="381" t="str">
        <f t="shared" si="2"/>
        <v xml:space="preserve">baik dalam sikap </v>
      </c>
      <c r="S35" s="381" t="str">
        <f t="shared" si="3"/>
        <v/>
      </c>
      <c r="T35" s="339" t="str">
        <f t="shared" si="4"/>
        <v xml:space="preserve">Ananda SATRIA baik dalam sikap jujur, disiplin, tanggung jawab, santun, peduli, percaya diri, </v>
      </c>
      <c r="V35" s="340" t="str">
        <f t="shared" si="5"/>
        <v>Ananda SATRIA</v>
      </c>
      <c r="W35" s="341" t="str">
        <f t="shared" si="6"/>
        <v/>
      </c>
      <c r="X35" s="341" t="str">
        <f t="shared" si="7"/>
        <v/>
      </c>
      <c r="Y35" s="341" t="str">
        <f t="shared" si="8"/>
        <v/>
      </c>
      <c r="Z35" s="341" t="str">
        <f t="shared" si="9"/>
        <v/>
      </c>
      <c r="AA35" s="341" t="str">
        <f t="shared" si="10"/>
        <v/>
      </c>
      <c r="AB35" s="341" t="str">
        <f t="shared" si="11"/>
        <v/>
      </c>
      <c r="AC35" s="341" t="str">
        <f t="shared" si="12"/>
        <v/>
      </c>
      <c r="AD35" s="342"/>
      <c r="AE35" s="341" t="str">
        <f t="shared" si="13"/>
        <v xml:space="preserve">baik dalam sikap </v>
      </c>
      <c r="AF35" s="343" t="str">
        <f t="shared" si="14"/>
        <v xml:space="preserve">jujur, </v>
      </c>
      <c r="AG35" s="343" t="str">
        <f t="shared" si="15"/>
        <v xml:space="preserve">disiplin, </v>
      </c>
      <c r="AH35" s="343" t="str">
        <f t="shared" si="16"/>
        <v xml:space="preserve">tanggung jawab, </v>
      </c>
      <c r="AI35" s="343" t="str">
        <f t="shared" si="17"/>
        <v xml:space="preserve">santun, </v>
      </c>
      <c r="AJ35" s="343" t="str">
        <f t="shared" si="18"/>
        <v xml:space="preserve">peduli, </v>
      </c>
      <c r="AK35" s="343" t="str">
        <f t="shared" si="19"/>
        <v xml:space="preserve">percaya diri, </v>
      </c>
      <c r="AL35" s="342"/>
      <c r="AM35" s="341" t="str">
        <f t="shared" si="20"/>
        <v/>
      </c>
      <c r="AN35" s="341" t="str">
        <f t="shared" si="21"/>
        <v/>
      </c>
      <c r="AO35" s="341" t="str">
        <f t="shared" si="22"/>
        <v/>
      </c>
      <c r="AP35" s="341" t="str">
        <f t="shared" si="23"/>
        <v/>
      </c>
      <c r="AQ35" s="341" t="str">
        <f t="shared" si="24"/>
        <v/>
      </c>
      <c r="AR35" s="341" t="str">
        <f t="shared" si="25"/>
        <v/>
      </c>
      <c r="AS35" s="341" t="str">
        <f t="shared" si="26"/>
        <v/>
      </c>
      <c r="AT35" s="168" t="str">
        <f t="shared" si="27"/>
        <v xml:space="preserve"> </v>
      </c>
    </row>
    <row r="36" spans="1:46" ht="38.25" customHeight="1">
      <c r="A36" s="169">
        <v>32</v>
      </c>
      <c r="B36" s="165" t="str">
        <f>SISWA!B37</f>
        <v>1718250040336</v>
      </c>
      <c r="C36" s="166" t="str">
        <f>SISWA!E37</f>
        <v>NADIA</v>
      </c>
      <c r="D36" s="329"/>
      <c r="E36" s="329"/>
      <c r="F36" s="329"/>
      <c r="G36" s="329"/>
      <c r="H36" s="329"/>
      <c r="I36" s="329"/>
      <c r="J36" s="329"/>
      <c r="K36" s="329"/>
      <c r="L36" s="329"/>
      <c r="M36" s="329"/>
      <c r="N36" s="329"/>
      <c r="O36" s="329"/>
      <c r="P36" s="381" t="str">
        <f t="shared" si="0"/>
        <v>Ananda NADIA</v>
      </c>
      <c r="Q36" s="381" t="str">
        <f t="shared" si="1"/>
        <v/>
      </c>
      <c r="R36" s="381" t="str">
        <f t="shared" si="2"/>
        <v xml:space="preserve">baik dalam sikap </v>
      </c>
      <c r="S36" s="381" t="str">
        <f t="shared" si="3"/>
        <v/>
      </c>
      <c r="T36" s="339" t="str">
        <f t="shared" si="4"/>
        <v xml:space="preserve">Ananda NADIA baik dalam sikap jujur, disiplin, tanggung jawab, santun, peduli, percaya diri, </v>
      </c>
      <c r="V36" s="340" t="str">
        <f t="shared" si="5"/>
        <v>Ananda NADIA</v>
      </c>
      <c r="W36" s="341" t="str">
        <f t="shared" si="6"/>
        <v/>
      </c>
      <c r="X36" s="341" t="str">
        <f t="shared" si="7"/>
        <v/>
      </c>
      <c r="Y36" s="341" t="str">
        <f t="shared" si="8"/>
        <v/>
      </c>
      <c r="Z36" s="341" t="str">
        <f t="shared" si="9"/>
        <v/>
      </c>
      <c r="AA36" s="341" t="str">
        <f t="shared" si="10"/>
        <v/>
      </c>
      <c r="AB36" s="341" t="str">
        <f t="shared" si="11"/>
        <v/>
      </c>
      <c r="AC36" s="341" t="str">
        <f t="shared" si="12"/>
        <v/>
      </c>
      <c r="AD36" s="342"/>
      <c r="AE36" s="341" t="str">
        <f t="shared" si="13"/>
        <v xml:space="preserve">baik dalam sikap </v>
      </c>
      <c r="AF36" s="343" t="str">
        <f t="shared" si="14"/>
        <v xml:space="preserve">jujur, </v>
      </c>
      <c r="AG36" s="343" t="str">
        <f t="shared" si="15"/>
        <v xml:space="preserve">disiplin, </v>
      </c>
      <c r="AH36" s="343" t="str">
        <f t="shared" si="16"/>
        <v xml:space="preserve">tanggung jawab, </v>
      </c>
      <c r="AI36" s="343" t="str">
        <f t="shared" si="17"/>
        <v xml:space="preserve">santun, </v>
      </c>
      <c r="AJ36" s="343" t="str">
        <f t="shared" si="18"/>
        <v xml:space="preserve">peduli, </v>
      </c>
      <c r="AK36" s="343" t="str">
        <f t="shared" si="19"/>
        <v xml:space="preserve">percaya diri, </v>
      </c>
      <c r="AL36" s="342"/>
      <c r="AM36" s="341" t="str">
        <f t="shared" si="20"/>
        <v/>
      </c>
      <c r="AN36" s="341" t="str">
        <f t="shared" si="21"/>
        <v/>
      </c>
      <c r="AO36" s="341" t="str">
        <f t="shared" si="22"/>
        <v/>
      </c>
      <c r="AP36" s="341" t="str">
        <f t="shared" si="23"/>
        <v/>
      </c>
      <c r="AQ36" s="341" t="str">
        <f t="shared" si="24"/>
        <v/>
      </c>
      <c r="AR36" s="341" t="str">
        <f t="shared" si="25"/>
        <v/>
      </c>
      <c r="AS36" s="341" t="str">
        <f t="shared" si="26"/>
        <v/>
      </c>
      <c r="AT36" s="168" t="str">
        <f t="shared" si="27"/>
        <v xml:space="preserve"> </v>
      </c>
    </row>
    <row r="37" spans="1:46" ht="38.25" customHeight="1">
      <c r="A37" s="164">
        <v>33</v>
      </c>
      <c r="B37" s="165" t="str">
        <f>SISWA!B38</f>
        <v>1718250040337</v>
      </c>
      <c r="C37" s="166" t="str">
        <f>SISWA!E38</f>
        <v>NAFILA</v>
      </c>
      <c r="D37" s="329"/>
      <c r="E37" s="329"/>
      <c r="F37" s="329"/>
      <c r="G37" s="329"/>
      <c r="H37" s="329"/>
      <c r="I37" s="329"/>
      <c r="J37" s="329"/>
      <c r="K37" s="329"/>
      <c r="L37" s="329"/>
      <c r="M37" s="329"/>
      <c r="N37" s="329"/>
      <c r="O37" s="329"/>
      <c r="P37" s="381" t="str">
        <f t="shared" si="0"/>
        <v>Ananda NAFILA</v>
      </c>
      <c r="Q37" s="381" t="str">
        <f t="shared" si="1"/>
        <v/>
      </c>
      <c r="R37" s="381" t="str">
        <f t="shared" si="2"/>
        <v xml:space="preserve">baik dalam sikap </v>
      </c>
      <c r="S37" s="381" t="str">
        <f t="shared" si="3"/>
        <v/>
      </c>
      <c r="T37" s="339" t="str">
        <f t="shared" si="4"/>
        <v xml:space="preserve">Ananda NAFILA baik dalam sikap jujur, disiplin, tanggung jawab, santun, peduli, percaya diri, </v>
      </c>
      <c r="V37" s="340" t="str">
        <f t="shared" si="5"/>
        <v>Ananda NAFILA</v>
      </c>
      <c r="W37" s="341" t="str">
        <f t="shared" si="6"/>
        <v/>
      </c>
      <c r="X37" s="341" t="str">
        <f t="shared" si="7"/>
        <v/>
      </c>
      <c r="Y37" s="341" t="str">
        <f t="shared" si="8"/>
        <v/>
      </c>
      <c r="Z37" s="341" t="str">
        <f t="shared" si="9"/>
        <v/>
      </c>
      <c r="AA37" s="341" t="str">
        <f t="shared" si="10"/>
        <v/>
      </c>
      <c r="AB37" s="341" t="str">
        <f t="shared" si="11"/>
        <v/>
      </c>
      <c r="AC37" s="341" t="str">
        <f t="shared" si="12"/>
        <v/>
      </c>
      <c r="AD37" s="342"/>
      <c r="AE37" s="341" t="str">
        <f t="shared" si="13"/>
        <v xml:space="preserve">baik dalam sikap </v>
      </c>
      <c r="AF37" s="343" t="str">
        <f t="shared" si="14"/>
        <v xml:space="preserve">jujur, </v>
      </c>
      <c r="AG37" s="343" t="str">
        <f t="shared" si="15"/>
        <v xml:space="preserve">disiplin, </v>
      </c>
      <c r="AH37" s="343" t="str">
        <f t="shared" si="16"/>
        <v xml:space="preserve">tanggung jawab, </v>
      </c>
      <c r="AI37" s="343" t="str">
        <f t="shared" si="17"/>
        <v xml:space="preserve">santun, </v>
      </c>
      <c r="AJ37" s="343" t="str">
        <f t="shared" si="18"/>
        <v xml:space="preserve">peduli, </v>
      </c>
      <c r="AK37" s="343" t="str">
        <f t="shared" si="19"/>
        <v xml:space="preserve">percaya diri, </v>
      </c>
      <c r="AL37" s="342"/>
      <c r="AM37" s="341" t="str">
        <f t="shared" si="20"/>
        <v/>
      </c>
      <c r="AN37" s="341" t="str">
        <f t="shared" si="21"/>
        <v/>
      </c>
      <c r="AO37" s="341" t="str">
        <f t="shared" si="22"/>
        <v/>
      </c>
      <c r="AP37" s="341" t="str">
        <f t="shared" si="23"/>
        <v/>
      </c>
      <c r="AQ37" s="341" t="str">
        <f t="shared" si="24"/>
        <v/>
      </c>
      <c r="AR37" s="341" t="str">
        <f t="shared" si="25"/>
        <v/>
      </c>
      <c r="AS37" s="341" t="str">
        <f t="shared" si="26"/>
        <v/>
      </c>
      <c r="AT37" s="168" t="str">
        <f t="shared" si="27"/>
        <v xml:space="preserve"> </v>
      </c>
    </row>
    <row r="38" spans="1:46" ht="38.25" customHeight="1">
      <c r="A38" s="169">
        <v>34</v>
      </c>
      <c r="B38" s="165" t="str">
        <f>SISWA!B39</f>
        <v>1718250040338</v>
      </c>
      <c r="C38" s="166" t="str">
        <f>SISWA!E39</f>
        <v>NAZZALA</v>
      </c>
      <c r="D38" s="329"/>
      <c r="E38" s="329"/>
      <c r="F38" s="329"/>
      <c r="G38" s="329"/>
      <c r="H38" s="329"/>
      <c r="I38" s="329"/>
      <c r="J38" s="329"/>
      <c r="K38" s="329"/>
      <c r="L38" s="329"/>
      <c r="M38" s="329"/>
      <c r="N38" s="329"/>
      <c r="O38" s="329"/>
      <c r="P38" s="381" t="str">
        <f t="shared" si="0"/>
        <v>Ananda NAZZALA</v>
      </c>
      <c r="Q38" s="381" t="str">
        <f t="shared" si="1"/>
        <v/>
      </c>
      <c r="R38" s="381" t="str">
        <f t="shared" si="2"/>
        <v xml:space="preserve">baik dalam sikap </v>
      </c>
      <c r="S38" s="381" t="str">
        <f t="shared" si="3"/>
        <v/>
      </c>
      <c r="T38" s="339" t="str">
        <f t="shared" si="4"/>
        <v xml:space="preserve">Ananda NAZZALA baik dalam sikap jujur, disiplin, tanggung jawab, santun, peduli, percaya diri, </v>
      </c>
      <c r="V38" s="340" t="str">
        <f t="shared" si="5"/>
        <v>Ananda NAZZALA</v>
      </c>
      <c r="W38" s="341" t="str">
        <f t="shared" si="6"/>
        <v/>
      </c>
      <c r="X38" s="341" t="str">
        <f t="shared" si="7"/>
        <v/>
      </c>
      <c r="Y38" s="341" t="str">
        <f t="shared" si="8"/>
        <v/>
      </c>
      <c r="Z38" s="341" t="str">
        <f t="shared" si="9"/>
        <v/>
      </c>
      <c r="AA38" s="341" t="str">
        <f t="shared" si="10"/>
        <v/>
      </c>
      <c r="AB38" s="341" t="str">
        <f t="shared" si="11"/>
        <v/>
      </c>
      <c r="AC38" s="341" t="str">
        <f t="shared" si="12"/>
        <v/>
      </c>
      <c r="AD38" s="342"/>
      <c r="AE38" s="341" t="str">
        <f t="shared" si="13"/>
        <v xml:space="preserve">baik dalam sikap </v>
      </c>
      <c r="AF38" s="343" t="str">
        <f t="shared" si="14"/>
        <v xml:space="preserve">jujur, </v>
      </c>
      <c r="AG38" s="343" t="str">
        <f t="shared" si="15"/>
        <v xml:space="preserve">disiplin, </v>
      </c>
      <c r="AH38" s="343" t="str">
        <f t="shared" si="16"/>
        <v xml:space="preserve">tanggung jawab, </v>
      </c>
      <c r="AI38" s="343" t="str">
        <f t="shared" si="17"/>
        <v xml:space="preserve">santun, </v>
      </c>
      <c r="AJ38" s="343" t="str">
        <f t="shared" si="18"/>
        <v xml:space="preserve">peduli, </v>
      </c>
      <c r="AK38" s="343" t="str">
        <f t="shared" si="19"/>
        <v xml:space="preserve">percaya diri, </v>
      </c>
      <c r="AL38" s="342"/>
      <c r="AM38" s="341" t="str">
        <f t="shared" si="20"/>
        <v/>
      </c>
      <c r="AN38" s="341" t="str">
        <f t="shared" si="21"/>
        <v/>
      </c>
      <c r="AO38" s="341" t="str">
        <f t="shared" si="22"/>
        <v/>
      </c>
      <c r="AP38" s="341" t="str">
        <f t="shared" si="23"/>
        <v/>
      </c>
      <c r="AQ38" s="341" t="str">
        <f t="shared" si="24"/>
        <v/>
      </c>
      <c r="AR38" s="341" t="str">
        <f t="shared" si="25"/>
        <v/>
      </c>
      <c r="AS38" s="341" t="str">
        <f t="shared" si="26"/>
        <v/>
      </c>
      <c r="AT38" s="168" t="str">
        <f t="shared" si="27"/>
        <v xml:space="preserve"> </v>
      </c>
    </row>
    <row r="39" spans="1:46" ht="38.25" customHeight="1">
      <c r="A39" s="164">
        <v>35</v>
      </c>
      <c r="B39" s="165" t="str">
        <f>SISWA!B40</f>
        <v>1718250040339</v>
      </c>
      <c r="C39" s="166" t="str">
        <f>SISWA!E40</f>
        <v>RAFAREL</v>
      </c>
      <c r="D39" s="329"/>
      <c r="E39" s="329"/>
      <c r="F39" s="329"/>
      <c r="G39" s="329"/>
      <c r="H39" s="329"/>
      <c r="I39" s="329"/>
      <c r="J39" s="329"/>
      <c r="K39" s="329"/>
      <c r="L39" s="329"/>
      <c r="M39" s="329"/>
      <c r="N39" s="329"/>
      <c r="O39" s="329"/>
      <c r="P39" s="381" t="str">
        <f t="shared" si="0"/>
        <v>Ananda RAFAREL</v>
      </c>
      <c r="Q39" s="381" t="str">
        <f t="shared" si="1"/>
        <v/>
      </c>
      <c r="R39" s="381" t="str">
        <f t="shared" si="2"/>
        <v xml:space="preserve">baik dalam sikap </v>
      </c>
      <c r="S39" s="381" t="str">
        <f t="shared" si="3"/>
        <v/>
      </c>
      <c r="T39" s="339" t="str">
        <f t="shared" si="4"/>
        <v xml:space="preserve">Ananda RAFAREL baik dalam sikap jujur, disiplin, tanggung jawab, santun, peduli, percaya diri, </v>
      </c>
      <c r="V39" s="340" t="str">
        <f t="shared" si="5"/>
        <v>Ananda RAFAREL</v>
      </c>
      <c r="W39" s="341" t="str">
        <f t="shared" si="6"/>
        <v/>
      </c>
      <c r="X39" s="341" t="str">
        <f t="shared" si="7"/>
        <v/>
      </c>
      <c r="Y39" s="341" t="str">
        <f t="shared" si="8"/>
        <v/>
      </c>
      <c r="Z39" s="341" t="str">
        <f t="shared" si="9"/>
        <v/>
      </c>
      <c r="AA39" s="341" t="str">
        <f t="shared" si="10"/>
        <v/>
      </c>
      <c r="AB39" s="341" t="str">
        <f t="shared" si="11"/>
        <v/>
      </c>
      <c r="AC39" s="341" t="str">
        <f t="shared" si="12"/>
        <v/>
      </c>
      <c r="AD39" s="342"/>
      <c r="AE39" s="341" t="str">
        <f t="shared" si="13"/>
        <v xml:space="preserve">baik dalam sikap </v>
      </c>
      <c r="AF39" s="343" t="str">
        <f t="shared" si="14"/>
        <v xml:space="preserve">jujur, </v>
      </c>
      <c r="AG39" s="343" t="str">
        <f t="shared" si="15"/>
        <v xml:space="preserve">disiplin, </v>
      </c>
      <c r="AH39" s="343" t="str">
        <f t="shared" si="16"/>
        <v xml:space="preserve">tanggung jawab, </v>
      </c>
      <c r="AI39" s="343" t="str">
        <f t="shared" si="17"/>
        <v xml:space="preserve">santun, </v>
      </c>
      <c r="AJ39" s="343" t="str">
        <f t="shared" si="18"/>
        <v xml:space="preserve">peduli, </v>
      </c>
      <c r="AK39" s="343" t="str">
        <f t="shared" si="19"/>
        <v xml:space="preserve">percaya diri, </v>
      </c>
      <c r="AL39" s="342"/>
      <c r="AM39" s="341" t="str">
        <f t="shared" si="20"/>
        <v/>
      </c>
      <c r="AN39" s="341" t="str">
        <f t="shared" si="21"/>
        <v/>
      </c>
      <c r="AO39" s="341" t="str">
        <f t="shared" si="22"/>
        <v/>
      </c>
      <c r="AP39" s="341" t="str">
        <f t="shared" si="23"/>
        <v/>
      </c>
      <c r="AQ39" s="341" t="str">
        <f t="shared" si="24"/>
        <v/>
      </c>
      <c r="AR39" s="341" t="str">
        <f t="shared" si="25"/>
        <v/>
      </c>
      <c r="AS39" s="341" t="str">
        <f t="shared" si="26"/>
        <v/>
      </c>
      <c r="AT39" s="168" t="str">
        <f t="shared" si="27"/>
        <v xml:space="preserve"> </v>
      </c>
    </row>
    <row r="40" spans="1:46" ht="38.25" customHeight="1">
      <c r="A40" s="169">
        <v>36</v>
      </c>
      <c r="B40" s="165" t="str">
        <f>SISWA!B41</f>
        <v>1718250040340</v>
      </c>
      <c r="C40" s="166" t="str">
        <f>SISWA!E41</f>
        <v>RAKHA</v>
      </c>
      <c r="D40" s="329"/>
      <c r="E40" s="329"/>
      <c r="F40" s="329"/>
      <c r="G40" s="329"/>
      <c r="H40" s="329"/>
      <c r="I40" s="329"/>
      <c r="J40" s="329"/>
      <c r="K40" s="329"/>
      <c r="L40" s="329"/>
      <c r="M40" s="329"/>
      <c r="N40" s="329"/>
      <c r="O40" s="329"/>
      <c r="P40" s="381" t="str">
        <f t="shared" si="0"/>
        <v>Ananda RAKHA</v>
      </c>
      <c r="Q40" s="381" t="str">
        <f t="shared" si="1"/>
        <v/>
      </c>
      <c r="R40" s="381" t="str">
        <f t="shared" si="2"/>
        <v xml:space="preserve">baik dalam sikap </v>
      </c>
      <c r="S40" s="381" t="str">
        <f t="shared" si="3"/>
        <v/>
      </c>
      <c r="T40" s="339" t="str">
        <f t="shared" si="4"/>
        <v xml:space="preserve">Ananda RAKHA baik dalam sikap jujur, disiplin, tanggung jawab, santun, peduli, percaya diri, </v>
      </c>
      <c r="V40" s="340" t="str">
        <f t="shared" si="5"/>
        <v>Ananda RAKHA</v>
      </c>
      <c r="W40" s="341" t="str">
        <f t="shared" si="6"/>
        <v/>
      </c>
      <c r="X40" s="341" t="str">
        <f t="shared" si="7"/>
        <v/>
      </c>
      <c r="Y40" s="341" t="str">
        <f t="shared" si="8"/>
        <v/>
      </c>
      <c r="Z40" s="341" t="str">
        <f t="shared" si="9"/>
        <v/>
      </c>
      <c r="AA40" s="341" t="str">
        <f t="shared" si="10"/>
        <v/>
      </c>
      <c r="AB40" s="341" t="str">
        <f t="shared" si="11"/>
        <v/>
      </c>
      <c r="AC40" s="341" t="str">
        <f t="shared" si="12"/>
        <v/>
      </c>
      <c r="AD40" s="342"/>
      <c r="AE40" s="341" t="str">
        <f t="shared" si="13"/>
        <v xml:space="preserve">baik dalam sikap </v>
      </c>
      <c r="AF40" s="343" t="str">
        <f t="shared" si="14"/>
        <v xml:space="preserve">jujur, </v>
      </c>
      <c r="AG40" s="343" t="str">
        <f t="shared" si="15"/>
        <v xml:space="preserve">disiplin, </v>
      </c>
      <c r="AH40" s="343" t="str">
        <f t="shared" si="16"/>
        <v xml:space="preserve">tanggung jawab, </v>
      </c>
      <c r="AI40" s="343" t="str">
        <f t="shared" si="17"/>
        <v xml:space="preserve">santun, </v>
      </c>
      <c r="AJ40" s="343" t="str">
        <f t="shared" si="18"/>
        <v xml:space="preserve">peduli, </v>
      </c>
      <c r="AK40" s="343" t="str">
        <f t="shared" si="19"/>
        <v xml:space="preserve">percaya diri, </v>
      </c>
      <c r="AL40" s="342"/>
      <c r="AM40" s="341" t="str">
        <f t="shared" si="20"/>
        <v/>
      </c>
      <c r="AN40" s="341" t="str">
        <f t="shared" si="21"/>
        <v/>
      </c>
      <c r="AO40" s="341" t="str">
        <f t="shared" si="22"/>
        <v/>
      </c>
      <c r="AP40" s="341" t="str">
        <f t="shared" si="23"/>
        <v/>
      </c>
      <c r="AQ40" s="341" t="str">
        <f t="shared" si="24"/>
        <v/>
      </c>
      <c r="AR40" s="341" t="str">
        <f t="shared" si="25"/>
        <v/>
      </c>
      <c r="AS40" s="341" t="str">
        <f t="shared" si="26"/>
        <v/>
      </c>
      <c r="AT40" s="168" t="str">
        <f t="shared" si="27"/>
        <v xml:space="preserve"> </v>
      </c>
    </row>
    <row r="41" spans="1:46" ht="38.25" customHeight="1">
      <c r="A41" s="164">
        <v>37</v>
      </c>
      <c r="B41" s="165" t="str">
        <f>SISWA!B42</f>
        <v>1718250040341</v>
      </c>
      <c r="C41" s="166" t="str">
        <f>SISWA!E42</f>
        <v>RYU</v>
      </c>
      <c r="D41" s="329"/>
      <c r="E41" s="329"/>
      <c r="F41" s="329"/>
      <c r="G41" s="329"/>
      <c r="H41" s="329"/>
      <c r="I41" s="329"/>
      <c r="J41" s="329"/>
      <c r="K41" s="329"/>
      <c r="L41" s="329"/>
      <c r="M41" s="329"/>
      <c r="N41" s="329"/>
      <c r="O41" s="329"/>
      <c r="P41" s="381" t="str">
        <f t="shared" si="0"/>
        <v>Ananda RYU</v>
      </c>
      <c r="Q41" s="381" t="str">
        <f t="shared" si="1"/>
        <v/>
      </c>
      <c r="R41" s="381" t="str">
        <f t="shared" si="2"/>
        <v xml:space="preserve">baik dalam sikap </v>
      </c>
      <c r="S41" s="381" t="str">
        <f t="shared" si="3"/>
        <v/>
      </c>
      <c r="T41" s="339" t="str">
        <f t="shared" si="4"/>
        <v xml:space="preserve">Ananda RYU baik dalam sikap jujur, disiplin, tanggung jawab, santun, peduli, percaya diri, </v>
      </c>
      <c r="V41" s="340" t="str">
        <f t="shared" si="5"/>
        <v>Ananda RYU</v>
      </c>
      <c r="W41" s="341" t="str">
        <f t="shared" si="6"/>
        <v/>
      </c>
      <c r="X41" s="341" t="str">
        <f t="shared" si="7"/>
        <v/>
      </c>
      <c r="Y41" s="341" t="str">
        <f t="shared" si="8"/>
        <v/>
      </c>
      <c r="Z41" s="341" t="str">
        <f t="shared" si="9"/>
        <v/>
      </c>
      <c r="AA41" s="341" t="str">
        <f t="shared" si="10"/>
        <v/>
      </c>
      <c r="AB41" s="341" t="str">
        <f t="shared" si="11"/>
        <v/>
      </c>
      <c r="AC41" s="341" t="str">
        <f t="shared" si="12"/>
        <v/>
      </c>
      <c r="AD41" s="342"/>
      <c r="AE41" s="341" t="str">
        <f t="shared" si="13"/>
        <v xml:space="preserve">baik dalam sikap </v>
      </c>
      <c r="AF41" s="343" t="str">
        <f t="shared" si="14"/>
        <v xml:space="preserve">jujur, </v>
      </c>
      <c r="AG41" s="343" t="str">
        <f t="shared" si="15"/>
        <v xml:space="preserve">disiplin, </v>
      </c>
      <c r="AH41" s="343" t="str">
        <f t="shared" si="16"/>
        <v xml:space="preserve">tanggung jawab, </v>
      </c>
      <c r="AI41" s="343" t="str">
        <f t="shared" si="17"/>
        <v xml:space="preserve">santun, </v>
      </c>
      <c r="AJ41" s="343" t="str">
        <f t="shared" si="18"/>
        <v xml:space="preserve">peduli, </v>
      </c>
      <c r="AK41" s="343" t="str">
        <f t="shared" si="19"/>
        <v xml:space="preserve">percaya diri, </v>
      </c>
      <c r="AL41" s="342"/>
      <c r="AM41" s="341" t="str">
        <f t="shared" si="20"/>
        <v/>
      </c>
      <c r="AN41" s="341" t="str">
        <f t="shared" si="21"/>
        <v/>
      </c>
      <c r="AO41" s="341" t="str">
        <f t="shared" si="22"/>
        <v/>
      </c>
      <c r="AP41" s="341" t="str">
        <f t="shared" si="23"/>
        <v/>
      </c>
      <c r="AQ41" s="341" t="str">
        <f t="shared" si="24"/>
        <v/>
      </c>
      <c r="AR41" s="341" t="str">
        <f t="shared" si="25"/>
        <v/>
      </c>
      <c r="AS41" s="341" t="str">
        <f t="shared" si="26"/>
        <v/>
      </c>
      <c r="AT41" s="168" t="str">
        <f t="shared" si="27"/>
        <v xml:space="preserve"> </v>
      </c>
    </row>
    <row r="42" spans="1:46" ht="38.25" customHeight="1">
      <c r="A42" s="169">
        <v>38</v>
      </c>
      <c r="B42" s="165" t="str">
        <f>SISWA!B43</f>
        <v>1718250040342</v>
      </c>
      <c r="C42" s="166" t="str">
        <f>SISWA!E43</f>
        <v>SAEPUL</v>
      </c>
      <c r="D42" s="329"/>
      <c r="E42" s="329"/>
      <c r="F42" s="329"/>
      <c r="G42" s="329"/>
      <c r="H42" s="329"/>
      <c r="I42" s="329"/>
      <c r="J42" s="329"/>
      <c r="K42" s="329"/>
      <c r="L42" s="329"/>
      <c r="M42" s="329"/>
      <c r="N42" s="329"/>
      <c r="O42" s="329"/>
      <c r="P42" s="381" t="str">
        <f t="shared" si="0"/>
        <v>Ananda SAEPUL</v>
      </c>
      <c r="Q42" s="381" t="str">
        <f t="shared" si="1"/>
        <v/>
      </c>
      <c r="R42" s="381" t="str">
        <f t="shared" si="2"/>
        <v xml:space="preserve">baik dalam sikap </v>
      </c>
      <c r="S42" s="381" t="str">
        <f t="shared" si="3"/>
        <v/>
      </c>
      <c r="T42" s="339" t="str">
        <f t="shared" si="4"/>
        <v xml:space="preserve">Ananda SAEPUL baik dalam sikap jujur, disiplin, tanggung jawab, santun, peduli, percaya diri, </v>
      </c>
      <c r="V42" s="340" t="str">
        <f t="shared" si="5"/>
        <v>Ananda SAEPUL</v>
      </c>
      <c r="W42" s="341" t="str">
        <f t="shared" si="6"/>
        <v/>
      </c>
      <c r="X42" s="341" t="str">
        <f t="shared" si="7"/>
        <v/>
      </c>
      <c r="Y42" s="341" t="str">
        <f t="shared" si="8"/>
        <v/>
      </c>
      <c r="Z42" s="341" t="str">
        <f t="shared" si="9"/>
        <v/>
      </c>
      <c r="AA42" s="341" t="str">
        <f t="shared" si="10"/>
        <v/>
      </c>
      <c r="AB42" s="341" t="str">
        <f t="shared" si="11"/>
        <v/>
      </c>
      <c r="AC42" s="341" t="str">
        <f t="shared" si="12"/>
        <v/>
      </c>
      <c r="AD42" s="342"/>
      <c r="AE42" s="341" t="str">
        <f t="shared" si="13"/>
        <v xml:space="preserve">baik dalam sikap </v>
      </c>
      <c r="AF42" s="343" t="str">
        <f t="shared" si="14"/>
        <v xml:space="preserve">jujur, </v>
      </c>
      <c r="AG42" s="343" t="str">
        <f t="shared" si="15"/>
        <v xml:space="preserve">disiplin, </v>
      </c>
      <c r="AH42" s="343" t="str">
        <f t="shared" si="16"/>
        <v xml:space="preserve">tanggung jawab, </v>
      </c>
      <c r="AI42" s="343" t="str">
        <f t="shared" si="17"/>
        <v xml:space="preserve">santun, </v>
      </c>
      <c r="AJ42" s="343" t="str">
        <f t="shared" si="18"/>
        <v xml:space="preserve">peduli, </v>
      </c>
      <c r="AK42" s="343" t="str">
        <f t="shared" si="19"/>
        <v xml:space="preserve">percaya diri, </v>
      </c>
      <c r="AL42" s="342"/>
      <c r="AM42" s="341" t="str">
        <f t="shared" si="20"/>
        <v/>
      </c>
      <c r="AN42" s="341" t="str">
        <f t="shared" si="21"/>
        <v/>
      </c>
      <c r="AO42" s="341" t="str">
        <f t="shared" si="22"/>
        <v/>
      </c>
      <c r="AP42" s="341" t="str">
        <f t="shared" si="23"/>
        <v/>
      </c>
      <c r="AQ42" s="341" t="str">
        <f t="shared" si="24"/>
        <v/>
      </c>
      <c r="AR42" s="341" t="str">
        <f t="shared" si="25"/>
        <v/>
      </c>
      <c r="AS42" s="341" t="str">
        <f t="shared" si="26"/>
        <v/>
      </c>
      <c r="AT42" s="168" t="str">
        <f t="shared" si="27"/>
        <v xml:space="preserve"> </v>
      </c>
    </row>
    <row r="43" spans="1:46" ht="38.25" customHeight="1">
      <c r="A43" s="164">
        <v>39</v>
      </c>
      <c r="B43" s="165" t="str">
        <f>SISWA!B44</f>
        <v>1718250040343</v>
      </c>
      <c r="C43" s="166" t="str">
        <f>SISWA!E44</f>
        <v>SALMA</v>
      </c>
      <c r="D43" s="329"/>
      <c r="E43" s="329"/>
      <c r="F43" s="329"/>
      <c r="G43" s="329"/>
      <c r="H43" s="329"/>
      <c r="I43" s="329"/>
      <c r="J43" s="329"/>
      <c r="K43" s="329"/>
      <c r="L43" s="329"/>
      <c r="M43" s="329"/>
      <c r="N43" s="329"/>
      <c r="O43" s="329"/>
      <c r="P43" s="381" t="str">
        <f t="shared" si="0"/>
        <v>Ananda SALMA</v>
      </c>
      <c r="Q43" s="381" t="str">
        <f t="shared" si="1"/>
        <v/>
      </c>
      <c r="R43" s="381" t="str">
        <f t="shared" si="2"/>
        <v xml:space="preserve">baik dalam sikap </v>
      </c>
      <c r="S43" s="381" t="str">
        <f t="shared" si="3"/>
        <v/>
      </c>
      <c r="T43" s="339" t="str">
        <f t="shared" si="4"/>
        <v xml:space="preserve">Ananda SALMA baik dalam sikap jujur, disiplin, tanggung jawab, santun, peduli, percaya diri, </v>
      </c>
      <c r="V43" s="340" t="str">
        <f t="shared" si="5"/>
        <v>Ananda SALMA</v>
      </c>
      <c r="W43" s="341" t="str">
        <f t="shared" si="6"/>
        <v/>
      </c>
      <c r="X43" s="341" t="str">
        <f t="shared" si="7"/>
        <v/>
      </c>
      <c r="Y43" s="341" t="str">
        <f t="shared" si="8"/>
        <v/>
      </c>
      <c r="Z43" s="341" t="str">
        <f t="shared" si="9"/>
        <v/>
      </c>
      <c r="AA43" s="341" t="str">
        <f t="shared" si="10"/>
        <v/>
      </c>
      <c r="AB43" s="341" t="str">
        <f t="shared" si="11"/>
        <v/>
      </c>
      <c r="AC43" s="341" t="str">
        <f t="shared" si="12"/>
        <v/>
      </c>
      <c r="AD43" s="342"/>
      <c r="AE43" s="341" t="str">
        <f t="shared" si="13"/>
        <v xml:space="preserve">baik dalam sikap </v>
      </c>
      <c r="AF43" s="343" t="str">
        <f t="shared" si="14"/>
        <v xml:space="preserve">jujur, </v>
      </c>
      <c r="AG43" s="343" t="str">
        <f t="shared" si="15"/>
        <v xml:space="preserve">disiplin, </v>
      </c>
      <c r="AH43" s="343" t="str">
        <f t="shared" si="16"/>
        <v xml:space="preserve">tanggung jawab, </v>
      </c>
      <c r="AI43" s="343" t="str">
        <f t="shared" si="17"/>
        <v xml:space="preserve">santun, </v>
      </c>
      <c r="AJ43" s="343" t="str">
        <f t="shared" si="18"/>
        <v xml:space="preserve">peduli, </v>
      </c>
      <c r="AK43" s="343" t="str">
        <f t="shared" si="19"/>
        <v xml:space="preserve">percaya diri, </v>
      </c>
      <c r="AL43" s="342"/>
      <c r="AM43" s="341" t="str">
        <f t="shared" si="20"/>
        <v/>
      </c>
      <c r="AN43" s="341" t="str">
        <f t="shared" si="21"/>
        <v/>
      </c>
      <c r="AO43" s="341" t="str">
        <f t="shared" si="22"/>
        <v/>
      </c>
      <c r="AP43" s="341" t="str">
        <f t="shared" si="23"/>
        <v/>
      </c>
      <c r="AQ43" s="341" t="str">
        <f t="shared" si="24"/>
        <v/>
      </c>
      <c r="AR43" s="341" t="str">
        <f t="shared" si="25"/>
        <v/>
      </c>
      <c r="AS43" s="341" t="str">
        <f t="shared" si="26"/>
        <v/>
      </c>
      <c r="AT43" s="168" t="str">
        <f t="shared" si="27"/>
        <v xml:space="preserve"> </v>
      </c>
    </row>
    <row r="44" spans="1:46" ht="38.25" customHeight="1">
      <c r="A44" s="169">
        <v>40</v>
      </c>
      <c r="B44" s="165" t="str">
        <f>SISWA!B45</f>
        <v>1718250040344</v>
      </c>
      <c r="C44" s="166" t="str">
        <f>SISWA!E45</f>
        <v>SYAKILA</v>
      </c>
      <c r="D44" s="329"/>
      <c r="E44" s="329"/>
      <c r="F44" s="329"/>
      <c r="G44" s="329"/>
      <c r="H44" s="329"/>
      <c r="I44" s="329"/>
      <c r="J44" s="329"/>
      <c r="K44" s="329"/>
      <c r="L44" s="329"/>
      <c r="M44" s="329"/>
      <c r="N44" s="329"/>
      <c r="O44" s="329"/>
      <c r="P44" s="381" t="str">
        <f t="shared" si="0"/>
        <v>Ananda SYAKILA</v>
      </c>
      <c r="Q44" s="381" t="str">
        <f t="shared" si="1"/>
        <v/>
      </c>
      <c r="R44" s="381" t="str">
        <f t="shared" si="2"/>
        <v xml:space="preserve">baik dalam sikap </v>
      </c>
      <c r="S44" s="381" t="str">
        <f t="shared" si="3"/>
        <v/>
      </c>
      <c r="T44" s="339" t="str">
        <f t="shared" si="4"/>
        <v xml:space="preserve">Ananda SYAKILA baik dalam sikap jujur, disiplin, tanggung jawab, santun, peduli, percaya diri, </v>
      </c>
      <c r="V44" s="340" t="str">
        <f t="shared" si="5"/>
        <v>Ananda SYAKILA</v>
      </c>
      <c r="W44" s="341" t="str">
        <f t="shared" si="6"/>
        <v/>
      </c>
      <c r="X44" s="341" t="str">
        <f t="shared" si="7"/>
        <v/>
      </c>
      <c r="Y44" s="341" t="str">
        <f t="shared" si="8"/>
        <v/>
      </c>
      <c r="Z44" s="341" t="str">
        <f t="shared" si="9"/>
        <v/>
      </c>
      <c r="AA44" s="341" t="str">
        <f t="shared" si="10"/>
        <v/>
      </c>
      <c r="AB44" s="341" t="str">
        <f t="shared" si="11"/>
        <v/>
      </c>
      <c r="AC44" s="341" t="str">
        <f t="shared" si="12"/>
        <v/>
      </c>
      <c r="AD44" s="342"/>
      <c r="AE44" s="341" t="str">
        <f t="shared" si="13"/>
        <v xml:space="preserve">baik dalam sikap </v>
      </c>
      <c r="AF44" s="343" t="str">
        <f t="shared" si="14"/>
        <v xml:space="preserve">jujur, </v>
      </c>
      <c r="AG44" s="343" t="str">
        <f t="shared" si="15"/>
        <v xml:space="preserve">disiplin, </v>
      </c>
      <c r="AH44" s="343" t="str">
        <f t="shared" si="16"/>
        <v xml:space="preserve">tanggung jawab, </v>
      </c>
      <c r="AI44" s="343" t="str">
        <f t="shared" si="17"/>
        <v xml:space="preserve">santun, </v>
      </c>
      <c r="AJ44" s="343" t="str">
        <f t="shared" si="18"/>
        <v xml:space="preserve">peduli, </v>
      </c>
      <c r="AK44" s="343" t="str">
        <f t="shared" si="19"/>
        <v xml:space="preserve">percaya diri, </v>
      </c>
      <c r="AL44" s="342"/>
      <c r="AM44" s="341" t="str">
        <f t="shared" si="20"/>
        <v/>
      </c>
      <c r="AN44" s="341" t="str">
        <f t="shared" si="21"/>
        <v/>
      </c>
      <c r="AO44" s="341" t="str">
        <f t="shared" si="22"/>
        <v/>
      </c>
      <c r="AP44" s="341" t="str">
        <f t="shared" si="23"/>
        <v/>
      </c>
      <c r="AQ44" s="341" t="str">
        <f t="shared" si="24"/>
        <v/>
      </c>
      <c r="AR44" s="341" t="str">
        <f t="shared" si="25"/>
        <v/>
      </c>
      <c r="AS44" s="341" t="str">
        <f t="shared" si="26"/>
        <v/>
      </c>
      <c r="AT44" s="168" t="str">
        <f t="shared" si="27"/>
        <v xml:space="preserve"> </v>
      </c>
    </row>
    <row r="45" spans="1:46" ht="38.25" customHeight="1">
      <c r="A45" s="164">
        <v>41</v>
      </c>
      <c r="B45" s="165" t="str">
        <f>SISWA!B46</f>
        <v>1718250040345</v>
      </c>
      <c r="C45" s="166" t="str">
        <f>SISWA!E46</f>
        <v>SYIFA</v>
      </c>
      <c r="D45" s="329"/>
      <c r="E45" s="329"/>
      <c r="F45" s="329"/>
      <c r="G45" s="329"/>
      <c r="H45" s="329"/>
      <c r="I45" s="329"/>
      <c r="J45" s="329"/>
      <c r="K45" s="329"/>
      <c r="L45" s="329"/>
      <c r="M45" s="329"/>
      <c r="N45" s="329"/>
      <c r="O45" s="329"/>
      <c r="P45" s="381" t="str">
        <f t="shared" si="0"/>
        <v>Ananda SYIFA</v>
      </c>
      <c r="Q45" s="381" t="str">
        <f t="shared" si="1"/>
        <v/>
      </c>
      <c r="R45" s="381" t="str">
        <f t="shared" si="2"/>
        <v xml:space="preserve">baik dalam sikap </v>
      </c>
      <c r="S45" s="381" t="str">
        <f t="shared" si="3"/>
        <v/>
      </c>
      <c r="T45" s="339" t="str">
        <f t="shared" si="4"/>
        <v xml:space="preserve">Ananda SYIFA baik dalam sikap jujur, disiplin, tanggung jawab, santun, peduli, percaya diri, </v>
      </c>
      <c r="V45" s="340" t="str">
        <f t="shared" si="5"/>
        <v>Ananda SYIFA</v>
      </c>
      <c r="W45" s="341" t="str">
        <f t="shared" si="6"/>
        <v/>
      </c>
      <c r="X45" s="341" t="str">
        <f t="shared" si="7"/>
        <v/>
      </c>
      <c r="Y45" s="341" t="str">
        <f t="shared" si="8"/>
        <v/>
      </c>
      <c r="Z45" s="341" t="str">
        <f t="shared" si="9"/>
        <v/>
      </c>
      <c r="AA45" s="341" t="str">
        <f t="shared" si="10"/>
        <v/>
      </c>
      <c r="AB45" s="341" t="str">
        <f t="shared" si="11"/>
        <v/>
      </c>
      <c r="AC45" s="341" t="str">
        <f t="shared" si="12"/>
        <v/>
      </c>
      <c r="AD45" s="342"/>
      <c r="AE45" s="341" t="str">
        <f t="shared" si="13"/>
        <v xml:space="preserve">baik dalam sikap </v>
      </c>
      <c r="AF45" s="343" t="str">
        <f t="shared" si="14"/>
        <v xml:space="preserve">jujur, </v>
      </c>
      <c r="AG45" s="343" t="str">
        <f t="shared" si="15"/>
        <v xml:space="preserve">disiplin, </v>
      </c>
      <c r="AH45" s="343" t="str">
        <f t="shared" si="16"/>
        <v xml:space="preserve">tanggung jawab, </v>
      </c>
      <c r="AI45" s="343" t="str">
        <f t="shared" si="17"/>
        <v xml:space="preserve">santun, </v>
      </c>
      <c r="AJ45" s="343" t="str">
        <f t="shared" si="18"/>
        <v xml:space="preserve">peduli, </v>
      </c>
      <c r="AK45" s="343" t="str">
        <f t="shared" si="19"/>
        <v xml:space="preserve">percaya diri, </v>
      </c>
      <c r="AL45" s="342"/>
      <c r="AM45" s="341" t="str">
        <f t="shared" si="20"/>
        <v/>
      </c>
      <c r="AN45" s="341" t="str">
        <f t="shared" si="21"/>
        <v/>
      </c>
      <c r="AO45" s="341" t="str">
        <f t="shared" si="22"/>
        <v/>
      </c>
      <c r="AP45" s="341" t="str">
        <f t="shared" si="23"/>
        <v/>
      </c>
      <c r="AQ45" s="341" t="str">
        <f t="shared" si="24"/>
        <v/>
      </c>
      <c r="AR45" s="341" t="str">
        <f t="shared" si="25"/>
        <v/>
      </c>
      <c r="AS45" s="341" t="str">
        <f t="shared" si="26"/>
        <v/>
      </c>
      <c r="AT45" s="168" t="str">
        <f t="shared" si="27"/>
        <v xml:space="preserve"> </v>
      </c>
    </row>
    <row r="46" spans="1:46" ht="38.25" customHeight="1">
      <c r="A46" s="169">
        <v>42</v>
      </c>
      <c r="B46" s="165" t="str">
        <f>SISWA!B47</f>
        <v>1718250040346</v>
      </c>
      <c r="C46" s="166" t="str">
        <f>SISWA!E47</f>
        <v>WAFDAN</v>
      </c>
      <c r="D46" s="329"/>
      <c r="E46" s="329"/>
      <c r="F46" s="329"/>
      <c r="G46" s="329"/>
      <c r="H46" s="329"/>
      <c r="I46" s="329"/>
      <c r="J46" s="329"/>
      <c r="K46" s="329"/>
      <c r="L46" s="329"/>
      <c r="M46" s="329"/>
      <c r="N46" s="329"/>
      <c r="O46" s="329"/>
      <c r="P46" s="381" t="str">
        <f t="shared" si="0"/>
        <v>Ananda WAFDAN</v>
      </c>
      <c r="Q46" s="381" t="str">
        <f t="shared" si="1"/>
        <v/>
      </c>
      <c r="R46" s="381" t="str">
        <f t="shared" si="2"/>
        <v xml:space="preserve">baik dalam sikap </v>
      </c>
      <c r="S46" s="381" t="str">
        <f t="shared" si="3"/>
        <v/>
      </c>
      <c r="T46" s="339" t="str">
        <f t="shared" si="4"/>
        <v xml:space="preserve">Ananda WAFDAN baik dalam sikap jujur, disiplin, tanggung jawab, santun, peduli, percaya diri, </v>
      </c>
      <c r="V46" s="340" t="str">
        <f t="shared" si="5"/>
        <v>Ananda WAFDAN</v>
      </c>
      <c r="W46" s="341" t="str">
        <f t="shared" si="6"/>
        <v/>
      </c>
      <c r="X46" s="341" t="str">
        <f t="shared" si="7"/>
        <v/>
      </c>
      <c r="Y46" s="341" t="str">
        <f t="shared" si="8"/>
        <v/>
      </c>
      <c r="Z46" s="341" t="str">
        <f t="shared" si="9"/>
        <v/>
      </c>
      <c r="AA46" s="341" t="str">
        <f t="shared" si="10"/>
        <v/>
      </c>
      <c r="AB46" s="341" t="str">
        <f t="shared" si="11"/>
        <v/>
      </c>
      <c r="AC46" s="341" t="str">
        <f t="shared" si="12"/>
        <v/>
      </c>
      <c r="AD46" s="342"/>
      <c r="AE46" s="341" t="str">
        <f t="shared" si="13"/>
        <v xml:space="preserve">baik dalam sikap </v>
      </c>
      <c r="AF46" s="343" t="str">
        <f t="shared" si="14"/>
        <v xml:space="preserve">jujur, </v>
      </c>
      <c r="AG46" s="343" t="str">
        <f t="shared" si="15"/>
        <v xml:space="preserve">disiplin, </v>
      </c>
      <c r="AH46" s="343" t="str">
        <f t="shared" si="16"/>
        <v xml:space="preserve">tanggung jawab, </v>
      </c>
      <c r="AI46" s="343" t="str">
        <f t="shared" si="17"/>
        <v xml:space="preserve">santun, </v>
      </c>
      <c r="AJ46" s="343" t="str">
        <f t="shared" si="18"/>
        <v xml:space="preserve">peduli, </v>
      </c>
      <c r="AK46" s="343" t="str">
        <f t="shared" si="19"/>
        <v xml:space="preserve">percaya diri, </v>
      </c>
      <c r="AL46" s="342"/>
      <c r="AM46" s="341" t="str">
        <f t="shared" si="20"/>
        <v/>
      </c>
      <c r="AN46" s="341" t="str">
        <f t="shared" si="21"/>
        <v/>
      </c>
      <c r="AO46" s="341" t="str">
        <f t="shared" si="22"/>
        <v/>
      </c>
      <c r="AP46" s="341" t="str">
        <f t="shared" si="23"/>
        <v/>
      </c>
      <c r="AQ46" s="341" t="str">
        <f t="shared" si="24"/>
        <v/>
      </c>
      <c r="AR46" s="341" t="str">
        <f t="shared" si="25"/>
        <v/>
      </c>
      <c r="AS46" s="341" t="str">
        <f t="shared" si="26"/>
        <v/>
      </c>
      <c r="AT46" s="168" t="str">
        <f t="shared" si="27"/>
        <v xml:space="preserve"> </v>
      </c>
    </row>
    <row r="47" spans="1:46" ht="38.25" customHeight="1">
      <c r="A47" s="164">
        <v>43</v>
      </c>
      <c r="B47" s="165" t="str">
        <f>SISWA!B48</f>
        <v>1718250040347</v>
      </c>
      <c r="C47" s="166" t="str">
        <f>SISWA!E48</f>
        <v>ZEVA</v>
      </c>
      <c r="D47" s="329"/>
      <c r="E47" s="329"/>
      <c r="F47" s="329"/>
      <c r="G47" s="329"/>
      <c r="H47" s="329"/>
      <c r="I47" s="329"/>
      <c r="J47" s="329"/>
      <c r="K47" s="329"/>
      <c r="L47" s="329"/>
      <c r="M47" s="329"/>
      <c r="N47" s="329"/>
      <c r="O47" s="329"/>
      <c r="P47" s="381" t="str">
        <f t="shared" si="0"/>
        <v>Ananda ZEVA</v>
      </c>
      <c r="Q47" s="381" t="str">
        <f t="shared" si="1"/>
        <v/>
      </c>
      <c r="R47" s="381" t="str">
        <f t="shared" si="2"/>
        <v xml:space="preserve">baik dalam sikap </v>
      </c>
      <c r="S47" s="381" t="str">
        <f t="shared" si="3"/>
        <v/>
      </c>
      <c r="T47" s="339" t="str">
        <f t="shared" si="4"/>
        <v xml:space="preserve">Ananda ZEVA baik dalam sikap jujur, disiplin, tanggung jawab, santun, peduli, percaya diri, </v>
      </c>
      <c r="V47" s="340" t="str">
        <f t="shared" si="5"/>
        <v>Ananda ZEVA</v>
      </c>
      <c r="W47" s="341" t="str">
        <f t="shared" si="6"/>
        <v/>
      </c>
      <c r="X47" s="341" t="str">
        <f t="shared" si="7"/>
        <v/>
      </c>
      <c r="Y47" s="341" t="str">
        <f t="shared" si="8"/>
        <v/>
      </c>
      <c r="Z47" s="341" t="str">
        <f t="shared" si="9"/>
        <v/>
      </c>
      <c r="AA47" s="341" t="str">
        <f t="shared" si="10"/>
        <v/>
      </c>
      <c r="AB47" s="341" t="str">
        <f t="shared" si="11"/>
        <v/>
      </c>
      <c r="AC47" s="341" t="str">
        <f t="shared" si="12"/>
        <v/>
      </c>
      <c r="AD47" s="342"/>
      <c r="AE47" s="341" t="str">
        <f t="shared" si="13"/>
        <v xml:space="preserve">baik dalam sikap </v>
      </c>
      <c r="AF47" s="343" t="str">
        <f t="shared" si="14"/>
        <v xml:space="preserve">jujur, </v>
      </c>
      <c r="AG47" s="343" t="str">
        <f t="shared" si="15"/>
        <v xml:space="preserve">disiplin, </v>
      </c>
      <c r="AH47" s="343" t="str">
        <f t="shared" si="16"/>
        <v xml:space="preserve">tanggung jawab, </v>
      </c>
      <c r="AI47" s="343" t="str">
        <f t="shared" si="17"/>
        <v xml:space="preserve">santun, </v>
      </c>
      <c r="AJ47" s="343" t="str">
        <f t="shared" si="18"/>
        <v xml:space="preserve">peduli, </v>
      </c>
      <c r="AK47" s="343" t="str">
        <f t="shared" si="19"/>
        <v xml:space="preserve">percaya diri, </v>
      </c>
      <c r="AL47" s="342"/>
      <c r="AM47" s="341" t="str">
        <f t="shared" si="20"/>
        <v/>
      </c>
      <c r="AN47" s="341" t="str">
        <f t="shared" si="21"/>
        <v/>
      </c>
      <c r="AO47" s="341" t="str">
        <f t="shared" si="22"/>
        <v/>
      </c>
      <c r="AP47" s="341" t="str">
        <f t="shared" si="23"/>
        <v/>
      </c>
      <c r="AQ47" s="341" t="str">
        <f t="shared" si="24"/>
        <v/>
      </c>
      <c r="AR47" s="341" t="str">
        <f t="shared" si="25"/>
        <v/>
      </c>
      <c r="AS47" s="341" t="str">
        <f t="shared" si="26"/>
        <v/>
      </c>
      <c r="AT47" s="168" t="str">
        <f t="shared" si="27"/>
        <v xml:space="preserve"> </v>
      </c>
    </row>
    <row r="48" spans="1:46" ht="38.25" customHeight="1">
      <c r="A48" s="169">
        <v>44</v>
      </c>
      <c r="B48" s="165">
        <f>SISWA!B49</f>
        <v>0</v>
      </c>
      <c r="C48" s="166">
        <f>SISWA!E49</f>
        <v>0</v>
      </c>
      <c r="D48" s="329"/>
      <c r="E48" s="329"/>
      <c r="F48" s="329"/>
      <c r="G48" s="329"/>
      <c r="H48" s="329"/>
      <c r="I48" s="329"/>
      <c r="J48" s="329"/>
      <c r="K48" s="329"/>
      <c r="L48" s="329"/>
      <c r="M48" s="329"/>
      <c r="N48" s="329"/>
      <c r="O48" s="329"/>
      <c r="P48" s="381" t="str">
        <f t="shared" si="0"/>
        <v>Ananda 0</v>
      </c>
      <c r="Q48" s="381" t="str">
        <f t="shared" si="1"/>
        <v/>
      </c>
      <c r="R48" s="381" t="str">
        <f t="shared" si="2"/>
        <v xml:space="preserve">baik dalam sikap </v>
      </c>
      <c r="S48" s="381" t="str">
        <f t="shared" si="3"/>
        <v/>
      </c>
      <c r="T48" s="339" t="str">
        <f t="shared" si="4"/>
        <v xml:space="preserve">Ananda 0 baik dalam sikap jujur, disiplin, tanggung jawab, santun, peduli, percaya diri, </v>
      </c>
      <c r="V48" s="340" t="str">
        <f t="shared" si="5"/>
        <v>Ananda 0</v>
      </c>
      <c r="W48" s="341" t="str">
        <f t="shared" si="6"/>
        <v/>
      </c>
      <c r="X48" s="341" t="str">
        <f t="shared" si="7"/>
        <v/>
      </c>
      <c r="Y48" s="341" t="str">
        <f t="shared" si="8"/>
        <v/>
      </c>
      <c r="Z48" s="341" t="str">
        <f t="shared" si="9"/>
        <v/>
      </c>
      <c r="AA48" s="341" t="str">
        <f t="shared" si="10"/>
        <v/>
      </c>
      <c r="AB48" s="341" t="str">
        <f t="shared" si="11"/>
        <v/>
      </c>
      <c r="AC48" s="341" t="str">
        <f t="shared" si="12"/>
        <v/>
      </c>
      <c r="AD48" s="342"/>
      <c r="AE48" s="341" t="str">
        <f t="shared" si="13"/>
        <v xml:space="preserve">baik dalam sikap </v>
      </c>
      <c r="AF48" s="343" t="str">
        <f t="shared" si="14"/>
        <v xml:space="preserve">jujur, </v>
      </c>
      <c r="AG48" s="343" t="str">
        <f t="shared" si="15"/>
        <v xml:space="preserve">disiplin, </v>
      </c>
      <c r="AH48" s="343" t="str">
        <f t="shared" si="16"/>
        <v xml:space="preserve">tanggung jawab, </v>
      </c>
      <c r="AI48" s="343" t="str">
        <f t="shared" si="17"/>
        <v xml:space="preserve">santun, </v>
      </c>
      <c r="AJ48" s="343" t="str">
        <f t="shared" si="18"/>
        <v xml:space="preserve">peduli, </v>
      </c>
      <c r="AK48" s="343" t="str">
        <f t="shared" si="19"/>
        <v xml:space="preserve">percaya diri, </v>
      </c>
      <c r="AL48" s="342"/>
      <c r="AM48" s="341" t="str">
        <f t="shared" si="20"/>
        <v/>
      </c>
      <c r="AN48" s="341" t="str">
        <f t="shared" si="21"/>
        <v/>
      </c>
      <c r="AO48" s="341" t="str">
        <f t="shared" si="22"/>
        <v/>
      </c>
      <c r="AP48" s="341" t="str">
        <f t="shared" si="23"/>
        <v/>
      </c>
      <c r="AQ48" s="341" t="str">
        <f t="shared" si="24"/>
        <v/>
      </c>
      <c r="AR48" s="341" t="str">
        <f t="shared" si="25"/>
        <v/>
      </c>
      <c r="AS48" s="341" t="str">
        <f t="shared" si="26"/>
        <v/>
      </c>
      <c r="AT48" s="168" t="str">
        <f t="shared" si="27"/>
        <v xml:space="preserve"> </v>
      </c>
    </row>
    <row r="49" spans="1:46" ht="38.25" customHeight="1">
      <c r="A49" s="164">
        <v>45</v>
      </c>
      <c r="B49" s="165">
        <f>SISWA!B50</f>
        <v>0</v>
      </c>
      <c r="C49" s="166">
        <f>SISWA!E50</f>
        <v>0</v>
      </c>
      <c r="D49" s="329"/>
      <c r="E49" s="329"/>
      <c r="F49" s="329"/>
      <c r="G49" s="329"/>
      <c r="H49" s="329"/>
      <c r="I49" s="329"/>
      <c r="J49" s="329"/>
      <c r="K49" s="329"/>
      <c r="L49" s="329"/>
      <c r="M49" s="329"/>
      <c r="N49" s="329"/>
      <c r="O49" s="329"/>
      <c r="P49" s="381" t="str">
        <f t="shared" si="0"/>
        <v>Ananda 0</v>
      </c>
      <c r="Q49" s="381" t="str">
        <f t="shared" si="1"/>
        <v/>
      </c>
      <c r="R49" s="381" t="str">
        <f t="shared" si="2"/>
        <v xml:space="preserve">baik dalam sikap </v>
      </c>
      <c r="S49" s="381" t="str">
        <f t="shared" si="3"/>
        <v/>
      </c>
      <c r="T49" s="339" t="str">
        <f t="shared" si="4"/>
        <v xml:space="preserve">Ananda 0 baik dalam sikap jujur, disiplin, tanggung jawab, santun, peduli, percaya diri, </v>
      </c>
      <c r="V49" s="340" t="str">
        <f t="shared" si="5"/>
        <v>Ananda 0</v>
      </c>
      <c r="W49" s="341" t="str">
        <f t="shared" si="6"/>
        <v/>
      </c>
      <c r="X49" s="341" t="str">
        <f t="shared" si="7"/>
        <v/>
      </c>
      <c r="Y49" s="341" t="str">
        <f t="shared" si="8"/>
        <v/>
      </c>
      <c r="Z49" s="341" t="str">
        <f t="shared" si="9"/>
        <v/>
      </c>
      <c r="AA49" s="341" t="str">
        <f t="shared" si="10"/>
        <v/>
      </c>
      <c r="AB49" s="341" t="str">
        <f t="shared" si="11"/>
        <v/>
      </c>
      <c r="AC49" s="341" t="str">
        <f t="shared" si="12"/>
        <v/>
      </c>
      <c r="AD49" s="342"/>
      <c r="AE49" s="341" t="str">
        <f t="shared" si="13"/>
        <v xml:space="preserve">baik dalam sikap </v>
      </c>
      <c r="AF49" s="343" t="str">
        <f t="shared" si="14"/>
        <v xml:space="preserve">jujur, </v>
      </c>
      <c r="AG49" s="343" t="str">
        <f t="shared" si="15"/>
        <v xml:space="preserve">disiplin, </v>
      </c>
      <c r="AH49" s="343" t="str">
        <f t="shared" si="16"/>
        <v xml:space="preserve">tanggung jawab, </v>
      </c>
      <c r="AI49" s="343" t="str">
        <f t="shared" si="17"/>
        <v xml:space="preserve">santun, </v>
      </c>
      <c r="AJ49" s="343" t="str">
        <f t="shared" si="18"/>
        <v xml:space="preserve">peduli, </v>
      </c>
      <c r="AK49" s="343" t="str">
        <f t="shared" si="19"/>
        <v xml:space="preserve">percaya diri, </v>
      </c>
      <c r="AL49" s="342"/>
      <c r="AM49" s="341" t="str">
        <f t="shared" si="20"/>
        <v/>
      </c>
      <c r="AN49" s="341" t="str">
        <f t="shared" si="21"/>
        <v/>
      </c>
      <c r="AO49" s="341" t="str">
        <f t="shared" si="22"/>
        <v/>
      </c>
      <c r="AP49" s="341" t="str">
        <f t="shared" si="23"/>
        <v/>
      </c>
      <c r="AQ49" s="341" t="str">
        <f t="shared" si="24"/>
        <v/>
      </c>
      <c r="AR49" s="341" t="str">
        <f t="shared" si="25"/>
        <v/>
      </c>
      <c r="AS49" s="341" t="str">
        <f t="shared" si="26"/>
        <v/>
      </c>
      <c r="AT49" s="168" t="str">
        <f t="shared" si="27"/>
        <v xml:space="preserve"> </v>
      </c>
    </row>
    <row r="50" spans="1:46" ht="38.25" customHeight="1">
      <c r="A50" s="169">
        <v>46</v>
      </c>
      <c r="B50" s="165">
        <f>SISWA!B51</f>
        <v>0</v>
      </c>
      <c r="C50" s="166">
        <f>SISWA!E51</f>
        <v>0</v>
      </c>
      <c r="D50" s="329"/>
      <c r="E50" s="329"/>
      <c r="F50" s="329"/>
      <c r="G50" s="329"/>
      <c r="H50" s="329"/>
      <c r="I50" s="329"/>
      <c r="J50" s="329"/>
      <c r="K50" s="329"/>
      <c r="L50" s="329"/>
      <c r="M50" s="329"/>
      <c r="N50" s="329"/>
      <c r="O50" s="329"/>
      <c r="P50" s="381" t="str">
        <f t="shared" si="0"/>
        <v>Ananda 0</v>
      </c>
      <c r="Q50" s="381" t="str">
        <f t="shared" si="1"/>
        <v/>
      </c>
      <c r="R50" s="381" t="str">
        <f t="shared" si="2"/>
        <v xml:space="preserve">baik dalam sikap </v>
      </c>
      <c r="S50" s="381" t="str">
        <f t="shared" si="3"/>
        <v/>
      </c>
      <c r="T50" s="339" t="str">
        <f t="shared" si="4"/>
        <v xml:space="preserve">Ananda 0 baik dalam sikap jujur, disiplin, tanggung jawab, santun, peduli, percaya diri, </v>
      </c>
      <c r="V50" s="340" t="str">
        <f t="shared" si="5"/>
        <v>Ananda 0</v>
      </c>
      <c r="W50" s="341" t="str">
        <f t="shared" si="6"/>
        <v/>
      </c>
      <c r="X50" s="341" t="str">
        <f t="shared" si="7"/>
        <v/>
      </c>
      <c r="Y50" s="341" t="str">
        <f t="shared" si="8"/>
        <v/>
      </c>
      <c r="Z50" s="341" t="str">
        <f t="shared" si="9"/>
        <v/>
      </c>
      <c r="AA50" s="341" t="str">
        <f t="shared" si="10"/>
        <v/>
      </c>
      <c r="AB50" s="341" t="str">
        <f t="shared" si="11"/>
        <v/>
      </c>
      <c r="AC50" s="341" t="str">
        <f t="shared" si="12"/>
        <v/>
      </c>
      <c r="AD50" s="342"/>
      <c r="AE50" s="341" t="str">
        <f t="shared" si="13"/>
        <v xml:space="preserve">baik dalam sikap </v>
      </c>
      <c r="AF50" s="343" t="str">
        <f t="shared" si="14"/>
        <v xml:space="preserve">jujur, </v>
      </c>
      <c r="AG50" s="343" t="str">
        <f t="shared" si="15"/>
        <v xml:space="preserve">disiplin, </v>
      </c>
      <c r="AH50" s="343" t="str">
        <f t="shared" si="16"/>
        <v xml:space="preserve">tanggung jawab, </v>
      </c>
      <c r="AI50" s="343" t="str">
        <f t="shared" si="17"/>
        <v xml:space="preserve">santun, </v>
      </c>
      <c r="AJ50" s="343" t="str">
        <f t="shared" si="18"/>
        <v xml:space="preserve">peduli, </v>
      </c>
      <c r="AK50" s="343" t="str">
        <f t="shared" si="19"/>
        <v xml:space="preserve">percaya diri, </v>
      </c>
      <c r="AL50" s="342"/>
      <c r="AM50" s="341" t="str">
        <f t="shared" si="20"/>
        <v/>
      </c>
      <c r="AN50" s="341" t="str">
        <f t="shared" si="21"/>
        <v/>
      </c>
      <c r="AO50" s="341" t="str">
        <f t="shared" si="22"/>
        <v/>
      </c>
      <c r="AP50" s="341" t="str">
        <f t="shared" si="23"/>
        <v/>
      </c>
      <c r="AQ50" s="341" t="str">
        <f t="shared" si="24"/>
        <v/>
      </c>
      <c r="AR50" s="341" t="str">
        <f t="shared" si="25"/>
        <v/>
      </c>
      <c r="AS50" s="341" t="str">
        <f t="shared" si="26"/>
        <v/>
      </c>
      <c r="AT50" s="168" t="str">
        <f t="shared" si="27"/>
        <v xml:space="preserve"> </v>
      </c>
    </row>
    <row r="51" spans="1:46" ht="38.25" customHeight="1">
      <c r="A51" s="164">
        <v>47</v>
      </c>
      <c r="B51" s="165">
        <f>SISWA!B52</f>
        <v>0</v>
      </c>
      <c r="C51" s="166">
        <f>SISWA!E52</f>
        <v>0</v>
      </c>
      <c r="D51" s="329"/>
      <c r="E51" s="329"/>
      <c r="F51" s="329"/>
      <c r="G51" s="329"/>
      <c r="H51" s="329"/>
      <c r="I51" s="329"/>
      <c r="J51" s="329"/>
      <c r="K51" s="329"/>
      <c r="L51" s="329"/>
      <c r="M51" s="329"/>
      <c r="N51" s="329"/>
      <c r="O51" s="329"/>
      <c r="P51" s="381" t="str">
        <f t="shared" si="0"/>
        <v>Ananda 0</v>
      </c>
      <c r="Q51" s="381" t="str">
        <f t="shared" si="1"/>
        <v/>
      </c>
      <c r="R51" s="381" t="str">
        <f t="shared" si="2"/>
        <v xml:space="preserve">baik dalam sikap </v>
      </c>
      <c r="S51" s="381" t="str">
        <f t="shared" si="3"/>
        <v/>
      </c>
      <c r="T51" s="339" t="str">
        <f t="shared" si="4"/>
        <v xml:space="preserve">Ananda 0 baik dalam sikap jujur, disiplin, tanggung jawab, santun, peduli, percaya diri, </v>
      </c>
      <c r="V51" s="340" t="str">
        <f t="shared" si="5"/>
        <v>Ananda 0</v>
      </c>
      <c r="W51" s="341" t="str">
        <f t="shared" si="6"/>
        <v/>
      </c>
      <c r="X51" s="341" t="str">
        <f t="shared" si="7"/>
        <v/>
      </c>
      <c r="Y51" s="341" t="str">
        <f t="shared" si="8"/>
        <v/>
      </c>
      <c r="Z51" s="341" t="str">
        <f t="shared" si="9"/>
        <v/>
      </c>
      <c r="AA51" s="341" t="str">
        <f t="shared" si="10"/>
        <v/>
      </c>
      <c r="AB51" s="341" t="str">
        <f t="shared" si="11"/>
        <v/>
      </c>
      <c r="AC51" s="341" t="str">
        <f t="shared" si="12"/>
        <v/>
      </c>
      <c r="AD51" s="342"/>
      <c r="AE51" s="341" t="str">
        <f t="shared" si="13"/>
        <v xml:space="preserve">baik dalam sikap </v>
      </c>
      <c r="AF51" s="343" t="str">
        <f t="shared" si="14"/>
        <v xml:space="preserve">jujur, </v>
      </c>
      <c r="AG51" s="343" t="str">
        <f t="shared" si="15"/>
        <v xml:space="preserve">disiplin, </v>
      </c>
      <c r="AH51" s="343" t="str">
        <f t="shared" si="16"/>
        <v xml:space="preserve">tanggung jawab, </v>
      </c>
      <c r="AI51" s="343" t="str">
        <f t="shared" si="17"/>
        <v xml:space="preserve">santun, </v>
      </c>
      <c r="AJ51" s="343" t="str">
        <f t="shared" si="18"/>
        <v xml:space="preserve">peduli, </v>
      </c>
      <c r="AK51" s="343" t="str">
        <f t="shared" si="19"/>
        <v xml:space="preserve">percaya diri, </v>
      </c>
      <c r="AL51" s="342"/>
      <c r="AM51" s="341" t="str">
        <f t="shared" si="20"/>
        <v/>
      </c>
      <c r="AN51" s="341" t="str">
        <f t="shared" si="21"/>
        <v/>
      </c>
      <c r="AO51" s="341" t="str">
        <f t="shared" si="22"/>
        <v/>
      </c>
      <c r="AP51" s="341" t="str">
        <f t="shared" si="23"/>
        <v/>
      </c>
      <c r="AQ51" s="341" t="str">
        <f t="shared" si="24"/>
        <v/>
      </c>
      <c r="AR51" s="341" t="str">
        <f t="shared" si="25"/>
        <v/>
      </c>
      <c r="AS51" s="341" t="str">
        <f t="shared" si="26"/>
        <v/>
      </c>
      <c r="AT51" s="168" t="str">
        <f t="shared" si="27"/>
        <v xml:space="preserve"> </v>
      </c>
    </row>
    <row r="52" spans="1:46" ht="38.25" customHeight="1">
      <c r="A52" s="169">
        <v>48</v>
      </c>
      <c r="B52" s="165">
        <f>SISWA!B53</f>
        <v>0</v>
      </c>
      <c r="C52" s="166">
        <f>SISWA!E53</f>
        <v>0</v>
      </c>
      <c r="D52" s="329"/>
      <c r="E52" s="329"/>
      <c r="F52" s="329"/>
      <c r="G52" s="329"/>
      <c r="H52" s="329"/>
      <c r="I52" s="329"/>
      <c r="J52" s="329"/>
      <c r="K52" s="329"/>
      <c r="L52" s="329"/>
      <c r="M52" s="329"/>
      <c r="N52" s="329"/>
      <c r="O52" s="329"/>
      <c r="P52" s="381" t="str">
        <f t="shared" si="0"/>
        <v>Ananda 0</v>
      </c>
      <c r="Q52" s="381" t="str">
        <f t="shared" si="1"/>
        <v/>
      </c>
      <c r="R52" s="381" t="str">
        <f t="shared" si="2"/>
        <v xml:space="preserve">baik dalam sikap </v>
      </c>
      <c r="S52" s="381" t="str">
        <f t="shared" si="3"/>
        <v/>
      </c>
      <c r="T52" s="339" t="str">
        <f t="shared" si="4"/>
        <v xml:space="preserve">Ananda 0 baik dalam sikap jujur, disiplin, tanggung jawab, santun, peduli, percaya diri, </v>
      </c>
      <c r="V52" s="340" t="str">
        <f t="shared" si="5"/>
        <v>Ananda 0</v>
      </c>
      <c r="W52" s="341" t="str">
        <f t="shared" si="6"/>
        <v/>
      </c>
      <c r="X52" s="341" t="str">
        <f t="shared" si="7"/>
        <v/>
      </c>
      <c r="Y52" s="341" t="str">
        <f t="shared" si="8"/>
        <v/>
      </c>
      <c r="Z52" s="341" t="str">
        <f t="shared" si="9"/>
        <v/>
      </c>
      <c r="AA52" s="341" t="str">
        <f t="shared" si="10"/>
        <v/>
      </c>
      <c r="AB52" s="341" t="str">
        <f t="shared" si="11"/>
        <v/>
      </c>
      <c r="AC52" s="341" t="str">
        <f t="shared" si="12"/>
        <v/>
      </c>
      <c r="AD52" s="342"/>
      <c r="AE52" s="341" t="str">
        <f t="shared" si="13"/>
        <v xml:space="preserve">baik dalam sikap </v>
      </c>
      <c r="AF52" s="343" t="str">
        <f t="shared" si="14"/>
        <v xml:space="preserve">jujur, </v>
      </c>
      <c r="AG52" s="343" t="str">
        <f t="shared" si="15"/>
        <v xml:space="preserve">disiplin, </v>
      </c>
      <c r="AH52" s="343" t="str">
        <f t="shared" si="16"/>
        <v xml:space="preserve">tanggung jawab, </v>
      </c>
      <c r="AI52" s="343" t="str">
        <f t="shared" si="17"/>
        <v xml:space="preserve">santun, </v>
      </c>
      <c r="AJ52" s="343" t="str">
        <f t="shared" si="18"/>
        <v xml:space="preserve">peduli, </v>
      </c>
      <c r="AK52" s="343" t="str">
        <f t="shared" si="19"/>
        <v xml:space="preserve">percaya diri, </v>
      </c>
      <c r="AL52" s="342"/>
      <c r="AM52" s="341" t="str">
        <f t="shared" si="20"/>
        <v/>
      </c>
      <c r="AN52" s="341" t="str">
        <f t="shared" si="21"/>
        <v/>
      </c>
      <c r="AO52" s="341" t="str">
        <f t="shared" si="22"/>
        <v/>
      </c>
      <c r="AP52" s="341" t="str">
        <f t="shared" si="23"/>
        <v/>
      </c>
      <c r="AQ52" s="341" t="str">
        <f t="shared" si="24"/>
        <v/>
      </c>
      <c r="AR52" s="341" t="str">
        <f t="shared" si="25"/>
        <v/>
      </c>
      <c r="AS52" s="341" t="str">
        <f t="shared" si="26"/>
        <v/>
      </c>
      <c r="AT52" s="168" t="str">
        <f t="shared" si="27"/>
        <v xml:space="preserve"> </v>
      </c>
    </row>
    <row r="53" spans="1:46" ht="38.25" customHeight="1">
      <c r="A53" s="164">
        <v>49</v>
      </c>
      <c r="B53" s="165">
        <f>SISWA!B54</f>
        <v>0</v>
      </c>
      <c r="C53" s="166">
        <f>SISWA!E54</f>
        <v>0</v>
      </c>
      <c r="D53" s="329"/>
      <c r="E53" s="329"/>
      <c r="F53" s="329"/>
      <c r="G53" s="329"/>
      <c r="H53" s="329"/>
      <c r="I53" s="329"/>
      <c r="J53" s="329"/>
      <c r="K53" s="329"/>
      <c r="L53" s="329"/>
      <c r="M53" s="329"/>
      <c r="N53" s="329"/>
      <c r="O53" s="329"/>
      <c r="P53" s="381" t="str">
        <f t="shared" si="0"/>
        <v>Ananda 0</v>
      </c>
      <c r="Q53" s="381" t="str">
        <f t="shared" si="1"/>
        <v/>
      </c>
      <c r="R53" s="381" t="str">
        <f t="shared" si="2"/>
        <v xml:space="preserve">baik dalam sikap </v>
      </c>
      <c r="S53" s="381" t="str">
        <f t="shared" si="3"/>
        <v/>
      </c>
      <c r="T53" s="339" t="str">
        <f t="shared" si="4"/>
        <v xml:space="preserve">Ananda 0 baik dalam sikap jujur, disiplin, tanggung jawab, santun, peduli, percaya diri, </v>
      </c>
      <c r="V53" s="340" t="str">
        <f t="shared" si="5"/>
        <v>Ananda 0</v>
      </c>
      <c r="W53" s="341" t="str">
        <f t="shared" si="6"/>
        <v/>
      </c>
      <c r="X53" s="341" t="str">
        <f t="shared" si="7"/>
        <v/>
      </c>
      <c r="Y53" s="341" t="str">
        <f t="shared" si="8"/>
        <v/>
      </c>
      <c r="Z53" s="341" t="str">
        <f t="shared" si="9"/>
        <v/>
      </c>
      <c r="AA53" s="341" t="str">
        <f t="shared" si="10"/>
        <v/>
      </c>
      <c r="AB53" s="341" t="str">
        <f t="shared" si="11"/>
        <v/>
      </c>
      <c r="AC53" s="341" t="str">
        <f t="shared" si="12"/>
        <v/>
      </c>
      <c r="AD53" s="342"/>
      <c r="AE53" s="341" t="str">
        <f t="shared" si="13"/>
        <v xml:space="preserve">baik dalam sikap </v>
      </c>
      <c r="AF53" s="343" t="str">
        <f t="shared" si="14"/>
        <v xml:space="preserve">jujur, </v>
      </c>
      <c r="AG53" s="343" t="str">
        <f t="shared" si="15"/>
        <v xml:space="preserve">disiplin, </v>
      </c>
      <c r="AH53" s="343" t="str">
        <f t="shared" si="16"/>
        <v xml:space="preserve">tanggung jawab, </v>
      </c>
      <c r="AI53" s="343" t="str">
        <f t="shared" si="17"/>
        <v xml:space="preserve">santun, </v>
      </c>
      <c r="AJ53" s="343" t="str">
        <f t="shared" si="18"/>
        <v xml:space="preserve">peduli, </v>
      </c>
      <c r="AK53" s="343" t="str">
        <f t="shared" si="19"/>
        <v xml:space="preserve">percaya diri, </v>
      </c>
      <c r="AL53" s="342"/>
      <c r="AM53" s="341" t="str">
        <f t="shared" si="20"/>
        <v/>
      </c>
      <c r="AN53" s="341" t="str">
        <f t="shared" si="21"/>
        <v/>
      </c>
      <c r="AO53" s="341" t="str">
        <f t="shared" si="22"/>
        <v/>
      </c>
      <c r="AP53" s="341" t="str">
        <f t="shared" si="23"/>
        <v/>
      </c>
      <c r="AQ53" s="341" t="str">
        <f t="shared" si="24"/>
        <v/>
      </c>
      <c r="AR53" s="341" t="str">
        <f t="shared" si="25"/>
        <v/>
      </c>
      <c r="AS53" s="341" t="str">
        <f t="shared" si="26"/>
        <v/>
      </c>
      <c r="AT53" s="168" t="str">
        <f t="shared" si="27"/>
        <v xml:space="preserve"> </v>
      </c>
    </row>
    <row r="54" spans="1:46" ht="38.25" customHeight="1">
      <c r="A54" s="169">
        <v>50</v>
      </c>
      <c r="B54" s="165">
        <f>SISWA!B55</f>
        <v>0</v>
      </c>
      <c r="C54" s="166">
        <f>SISWA!E55</f>
        <v>0</v>
      </c>
      <c r="D54" s="329"/>
      <c r="E54" s="329"/>
      <c r="F54" s="329"/>
      <c r="G54" s="329"/>
      <c r="H54" s="329"/>
      <c r="I54" s="329"/>
      <c r="J54" s="329"/>
      <c r="K54" s="329"/>
      <c r="L54" s="329"/>
      <c r="M54" s="329"/>
      <c r="N54" s="329"/>
      <c r="O54" s="329"/>
      <c r="P54" s="381" t="str">
        <f t="shared" si="0"/>
        <v>Ananda 0</v>
      </c>
      <c r="Q54" s="381" t="str">
        <f t="shared" si="1"/>
        <v/>
      </c>
      <c r="R54" s="381" t="str">
        <f t="shared" si="2"/>
        <v xml:space="preserve">baik dalam sikap </v>
      </c>
      <c r="S54" s="381" t="str">
        <f t="shared" si="3"/>
        <v/>
      </c>
      <c r="T54" s="339" t="str">
        <f t="shared" si="4"/>
        <v xml:space="preserve">Ananda 0 baik dalam sikap jujur, disiplin, tanggung jawab, santun, peduli, percaya diri, </v>
      </c>
      <c r="V54" s="340" t="str">
        <f t="shared" si="5"/>
        <v>Ananda 0</v>
      </c>
      <c r="W54" s="341" t="str">
        <f t="shared" si="6"/>
        <v/>
      </c>
      <c r="X54" s="341" t="str">
        <f t="shared" si="7"/>
        <v/>
      </c>
      <c r="Y54" s="341" t="str">
        <f t="shared" si="8"/>
        <v/>
      </c>
      <c r="Z54" s="341" t="str">
        <f t="shared" si="9"/>
        <v/>
      </c>
      <c r="AA54" s="341" t="str">
        <f t="shared" si="10"/>
        <v/>
      </c>
      <c r="AB54" s="341" t="str">
        <f t="shared" si="11"/>
        <v/>
      </c>
      <c r="AC54" s="341" t="str">
        <f t="shared" si="12"/>
        <v/>
      </c>
      <c r="AD54" s="342"/>
      <c r="AE54" s="341" t="str">
        <f t="shared" si="13"/>
        <v xml:space="preserve">baik dalam sikap </v>
      </c>
      <c r="AF54" s="343" t="str">
        <f t="shared" si="14"/>
        <v xml:space="preserve">jujur, </v>
      </c>
      <c r="AG54" s="343" t="str">
        <f t="shared" si="15"/>
        <v xml:space="preserve">disiplin, </v>
      </c>
      <c r="AH54" s="343" t="str">
        <f t="shared" si="16"/>
        <v xml:space="preserve">tanggung jawab, </v>
      </c>
      <c r="AI54" s="343" t="str">
        <f t="shared" si="17"/>
        <v xml:space="preserve">santun, </v>
      </c>
      <c r="AJ54" s="343" t="str">
        <f t="shared" si="18"/>
        <v xml:space="preserve">peduli, </v>
      </c>
      <c r="AK54" s="343" t="str">
        <f t="shared" si="19"/>
        <v xml:space="preserve">percaya diri, </v>
      </c>
      <c r="AL54" s="342"/>
      <c r="AM54" s="341" t="str">
        <f t="shared" si="20"/>
        <v/>
      </c>
      <c r="AN54" s="341" t="str">
        <f t="shared" si="21"/>
        <v/>
      </c>
      <c r="AO54" s="341" t="str">
        <f t="shared" si="22"/>
        <v/>
      </c>
      <c r="AP54" s="341" t="str">
        <f t="shared" si="23"/>
        <v/>
      </c>
      <c r="AQ54" s="341" t="str">
        <f t="shared" si="24"/>
        <v/>
      </c>
      <c r="AR54" s="341" t="str">
        <f t="shared" si="25"/>
        <v/>
      </c>
      <c r="AS54" s="341" t="str">
        <f t="shared" si="26"/>
        <v/>
      </c>
      <c r="AT54" s="168" t="str">
        <f t="shared" si="27"/>
        <v xml:space="preserve"> </v>
      </c>
    </row>
  </sheetData>
  <mergeCells count="17">
    <mergeCell ref="P3:S4"/>
    <mergeCell ref="A1:T1"/>
    <mergeCell ref="AU1:AV4"/>
    <mergeCell ref="A2:T2"/>
    <mergeCell ref="A3:A4"/>
    <mergeCell ref="B3:B4"/>
    <mergeCell ref="C3:C4"/>
    <mergeCell ref="D3:E3"/>
    <mergeCell ref="F3:G3"/>
    <mergeCell ref="H3:I3"/>
    <mergeCell ref="J3:K3"/>
    <mergeCell ref="L3:M3"/>
    <mergeCell ref="N3:O3"/>
    <mergeCell ref="W3:AC3"/>
    <mergeCell ref="AE3:AK3"/>
    <mergeCell ref="AM3:AS3"/>
    <mergeCell ref="T3:T4"/>
  </mergeCells>
  <dataValidations xWindow="322" yWindow="471" count="2">
    <dataValidation allowBlank="1" showInputMessage="1" showErrorMessage="1" promptTitle="SANGAT BAIK" prompt="Isi dng rekap kegiatan SANGAT BAIK siswa yg berkaitan dgn sikap di atas dlm satu semester" sqref="D5:D54 F5:F54 H5:H54 J5:J54 L5:L54 N5:N54"/>
    <dataValidation allowBlank="1" showInputMessage="1" showErrorMessage="1" promptTitle="PERLU BIMBINGAN" prompt="Isi dng rekap kegiatan PERLU BIMBINGAN siswa yg berkaitan dgn sikap di atas dlm satu semester" sqref="E5:E54 G5:G54 I5:I54 K5:K54 M5:M54 O5:S54"/>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M57"/>
  <sheetViews>
    <sheetView zoomScale="110" zoomScaleNormal="110" workbookViewId="0">
      <pane xSplit="4" ySplit="5" topLeftCell="M17" activePane="bottomRight" state="frozen"/>
      <selection pane="topRight" activeCell="D1" sqref="D1"/>
      <selection pane="bottomLeft" activeCell="A6" sqref="A6"/>
      <selection pane="bottomRight"/>
    </sheetView>
  </sheetViews>
  <sheetFormatPr defaultColWidth="0" defaultRowHeight="15"/>
  <cols>
    <col min="1" max="1" width="23.28515625" style="507" customWidth="1"/>
    <col min="2" max="2" width="4.42578125" style="137" customWidth="1"/>
    <col min="3" max="3" width="6.42578125" style="137" customWidth="1"/>
    <col min="4" max="4" width="33.42578125" style="137" customWidth="1"/>
    <col min="5" max="19" width="4.85546875" style="137" customWidth="1"/>
    <col min="20" max="24" width="4.85546875" style="137" hidden="1" customWidth="1"/>
    <col min="25" max="85" width="4.85546875" style="137" customWidth="1"/>
    <col min="86" max="86" width="6.7109375" style="137" customWidth="1"/>
    <col min="87" max="88" width="4.7109375" style="137" customWidth="1"/>
    <col min="89" max="89" width="5.140625" style="137" customWidth="1"/>
    <col min="90" max="90" width="10.28515625" style="137" customWidth="1"/>
    <col min="91" max="91" width="5.140625" style="137" customWidth="1"/>
    <col min="92" max="92" width="10.85546875" style="137" customWidth="1"/>
    <col min="93" max="93" width="84.42578125" style="137" customWidth="1"/>
    <col min="94" max="94" width="29.85546875" style="137" customWidth="1"/>
    <col min="95" max="100" width="10.7109375" style="137" hidden="1" customWidth="1"/>
    <col min="101" max="112" width="9.140625" style="137" hidden="1" customWidth="1"/>
    <col min="113" max="116" width="9.140625" style="137" customWidth="1"/>
    <col min="117" max="117" width="0" style="137" hidden="1" customWidth="1"/>
    <col min="118" max="16384" width="9.140625" style="137" hidden="1"/>
  </cols>
  <sheetData>
    <row r="1" spans="1:114" s="510" customFormat="1" ht="45.75" customHeight="1">
      <c r="B1" s="685" t="s">
        <v>51</v>
      </c>
      <c r="C1" s="685"/>
      <c r="D1" s="685"/>
      <c r="E1" s="685"/>
      <c r="F1" s="685"/>
      <c r="G1" s="685"/>
      <c r="H1" s="685"/>
      <c r="I1" s="685"/>
      <c r="J1" s="685"/>
      <c r="K1" s="685"/>
      <c r="L1" s="685"/>
      <c r="M1" s="685"/>
      <c r="N1" s="685"/>
      <c r="O1" s="685"/>
      <c r="P1" s="685"/>
      <c r="Q1" s="685"/>
      <c r="R1" s="685"/>
      <c r="S1" s="685"/>
      <c r="T1" s="685"/>
      <c r="U1" s="685"/>
      <c r="V1" s="685"/>
      <c r="W1" s="685"/>
      <c r="X1" s="685"/>
      <c r="Y1" s="685"/>
      <c r="Z1" s="685"/>
      <c r="AA1" s="685"/>
      <c r="AB1" s="685"/>
      <c r="AC1" s="685"/>
      <c r="AD1" s="685"/>
      <c r="AE1" s="685"/>
      <c r="AF1" s="685"/>
      <c r="AG1" s="685"/>
      <c r="AH1" s="685"/>
      <c r="AI1" s="685"/>
      <c r="AJ1" s="685"/>
      <c r="AK1" s="685"/>
      <c r="AL1" s="685"/>
      <c r="AM1" s="685"/>
      <c r="AN1" s="685"/>
      <c r="AO1" s="685"/>
      <c r="AP1" s="685"/>
      <c r="AQ1" s="685"/>
      <c r="AR1" s="685"/>
      <c r="AS1" s="685"/>
      <c r="AT1" s="685"/>
      <c r="AU1" s="685"/>
      <c r="AV1" s="685"/>
      <c r="AW1" s="685"/>
      <c r="AX1" s="685"/>
      <c r="AY1" s="685"/>
      <c r="AZ1" s="685"/>
      <c r="BA1" s="685"/>
      <c r="BB1" s="685"/>
      <c r="BC1" s="685"/>
      <c r="BD1" s="685"/>
      <c r="BE1" s="685"/>
      <c r="BF1" s="685"/>
      <c r="BG1" s="685"/>
      <c r="BH1" s="685"/>
      <c r="BI1" s="685"/>
      <c r="BJ1" s="685"/>
      <c r="BK1" s="685"/>
      <c r="BL1" s="685"/>
      <c r="BM1" s="685"/>
      <c r="BN1" s="685"/>
      <c r="BO1" s="685"/>
      <c r="BP1" s="685"/>
      <c r="BQ1" s="685"/>
      <c r="BR1" s="685"/>
      <c r="BS1" s="685"/>
      <c r="BT1" s="685"/>
      <c r="BU1" s="685"/>
      <c r="BV1" s="685"/>
      <c r="BW1" s="685"/>
      <c r="BX1" s="685"/>
      <c r="BY1" s="685"/>
      <c r="BZ1" s="685"/>
      <c r="CA1" s="685"/>
      <c r="CB1" s="685"/>
      <c r="CC1" s="685"/>
      <c r="CD1" s="685"/>
      <c r="CE1" s="685"/>
      <c r="CF1" s="685"/>
      <c r="CG1" s="685"/>
      <c r="CH1" s="685"/>
      <c r="CI1" s="685"/>
      <c r="CJ1" s="685"/>
      <c r="CK1" s="685"/>
      <c r="CL1" s="685"/>
      <c r="CM1" s="685"/>
      <c r="CN1" s="685"/>
    </row>
    <row r="2" spans="1:114" ht="30.75" customHeight="1">
      <c r="B2" s="686" t="s">
        <v>4</v>
      </c>
      <c r="C2" s="687" t="s">
        <v>5</v>
      </c>
      <c r="D2" s="688" t="s">
        <v>52</v>
      </c>
      <c r="E2" s="689" t="s">
        <v>0</v>
      </c>
      <c r="F2" s="689"/>
      <c r="G2" s="689"/>
      <c r="H2" s="689"/>
      <c r="I2" s="689"/>
      <c r="J2" s="689"/>
      <c r="K2" s="689"/>
      <c r="L2" s="689"/>
      <c r="M2" s="689"/>
      <c r="N2" s="689"/>
      <c r="O2" s="689"/>
      <c r="P2" s="689"/>
      <c r="Q2" s="689"/>
      <c r="R2" s="689"/>
      <c r="S2" s="689"/>
      <c r="T2" s="689"/>
      <c r="U2" s="689"/>
      <c r="V2" s="689"/>
      <c r="W2" s="689"/>
      <c r="X2" s="689"/>
      <c r="Y2" s="689"/>
      <c r="Z2" s="689"/>
      <c r="AA2" s="689"/>
      <c r="AB2" s="689"/>
      <c r="AC2" s="689"/>
      <c r="AD2" s="689"/>
      <c r="AE2" s="689"/>
      <c r="AF2" s="689"/>
      <c r="AG2" s="689"/>
      <c r="AH2" s="689"/>
      <c r="AI2" s="689"/>
      <c r="AJ2" s="689"/>
      <c r="AK2" s="689"/>
      <c r="AL2" s="689"/>
      <c r="AM2" s="689"/>
      <c r="AN2" s="689"/>
      <c r="AO2" s="689"/>
      <c r="AP2" s="689"/>
      <c r="AQ2" s="689"/>
      <c r="AR2" s="689"/>
      <c r="AS2" s="689"/>
      <c r="AT2" s="689"/>
      <c r="AU2" s="689"/>
      <c r="AV2" s="689"/>
      <c r="AW2" s="689"/>
      <c r="AX2" s="689"/>
      <c r="AY2" s="689"/>
      <c r="AZ2" s="689"/>
      <c r="BA2" s="689"/>
      <c r="BB2" s="689"/>
      <c r="BC2" s="689"/>
      <c r="BD2" s="689"/>
      <c r="BE2" s="689"/>
      <c r="BF2" s="689"/>
      <c r="BG2" s="689"/>
      <c r="BH2" s="689"/>
      <c r="BI2" s="689"/>
      <c r="BJ2" s="689"/>
      <c r="BK2" s="689"/>
      <c r="BL2" s="689"/>
      <c r="BM2" s="689"/>
      <c r="BN2" s="689"/>
      <c r="BO2" s="689"/>
      <c r="BP2" s="689"/>
      <c r="BQ2" s="689"/>
      <c r="BR2" s="689"/>
      <c r="BS2" s="689"/>
      <c r="BT2" s="689"/>
      <c r="BU2" s="689"/>
      <c r="BV2" s="689"/>
      <c r="BW2" s="689"/>
      <c r="BX2" s="689"/>
      <c r="BY2" s="689"/>
      <c r="BZ2" s="689"/>
      <c r="CA2" s="689"/>
      <c r="CB2" s="689"/>
      <c r="CC2" s="689"/>
      <c r="CD2" s="689"/>
      <c r="CE2" s="689"/>
      <c r="CF2" s="689"/>
      <c r="CG2" s="689"/>
      <c r="CH2" s="689"/>
      <c r="CI2" s="690" t="s">
        <v>13</v>
      </c>
      <c r="CJ2" s="691" t="s">
        <v>14</v>
      </c>
      <c r="CK2" s="692" t="s">
        <v>266</v>
      </c>
      <c r="CL2" s="693"/>
      <c r="CM2" s="693"/>
      <c r="CN2" s="693"/>
      <c r="CO2" s="678" t="s">
        <v>3</v>
      </c>
      <c r="CV2" s="346"/>
    </row>
    <row r="3" spans="1:114" s="385" customFormat="1" ht="33.75" customHeight="1">
      <c r="A3" s="508"/>
      <c r="B3" s="686"/>
      <c r="C3" s="687"/>
      <c r="D3" s="688"/>
      <c r="E3" s="694" t="s">
        <v>292</v>
      </c>
      <c r="F3" s="695"/>
      <c r="G3" s="695"/>
      <c r="H3" s="695"/>
      <c r="I3" s="695"/>
      <c r="J3" s="695"/>
      <c r="K3" s="695"/>
      <c r="L3" s="695"/>
      <c r="M3" s="695"/>
      <c r="N3" s="695"/>
      <c r="O3" s="695"/>
      <c r="P3" s="695"/>
      <c r="Q3" s="695"/>
      <c r="R3" s="695"/>
      <c r="S3" s="695"/>
      <c r="T3" s="695"/>
      <c r="U3" s="695"/>
      <c r="V3" s="695"/>
      <c r="W3" s="695"/>
      <c r="X3" s="695"/>
      <c r="Y3" s="696"/>
      <c r="Z3" s="697" t="s">
        <v>293</v>
      </c>
      <c r="AA3" s="698"/>
      <c r="AB3" s="698"/>
      <c r="AC3" s="698"/>
      <c r="AD3" s="698"/>
      <c r="AE3" s="698"/>
      <c r="AF3" s="698"/>
      <c r="AG3" s="698"/>
      <c r="AH3" s="698"/>
      <c r="AI3" s="698"/>
      <c r="AJ3" s="698"/>
      <c r="AK3" s="699"/>
      <c r="AL3" s="700" t="s">
        <v>294</v>
      </c>
      <c r="AM3" s="701"/>
      <c r="AN3" s="701"/>
      <c r="AO3" s="701"/>
      <c r="AP3" s="701"/>
      <c r="AQ3" s="701"/>
      <c r="AR3" s="701"/>
      <c r="AS3" s="701"/>
      <c r="AT3" s="701"/>
      <c r="AU3" s="701"/>
      <c r="AV3" s="701"/>
      <c r="AW3" s="702"/>
      <c r="AX3" s="703" t="s">
        <v>295</v>
      </c>
      <c r="AY3" s="704"/>
      <c r="AZ3" s="704"/>
      <c r="BA3" s="704"/>
      <c r="BB3" s="704"/>
      <c r="BC3" s="704"/>
      <c r="BD3" s="704"/>
      <c r="BE3" s="704"/>
      <c r="BF3" s="704"/>
      <c r="BG3" s="704"/>
      <c r="BH3" s="704"/>
      <c r="BI3" s="705"/>
      <c r="BJ3" s="706" t="s">
        <v>296</v>
      </c>
      <c r="BK3" s="707"/>
      <c r="BL3" s="707"/>
      <c r="BM3" s="707"/>
      <c r="BN3" s="707"/>
      <c r="BO3" s="707"/>
      <c r="BP3" s="707"/>
      <c r="BQ3" s="707"/>
      <c r="BR3" s="707"/>
      <c r="BS3" s="707"/>
      <c r="BT3" s="707"/>
      <c r="BU3" s="708"/>
      <c r="BV3" s="709" t="s">
        <v>297</v>
      </c>
      <c r="BW3" s="710"/>
      <c r="BX3" s="710"/>
      <c r="BY3" s="710"/>
      <c r="BZ3" s="710"/>
      <c r="CA3" s="710"/>
      <c r="CB3" s="710"/>
      <c r="CC3" s="710"/>
      <c r="CD3" s="710"/>
      <c r="CE3" s="710"/>
      <c r="CF3" s="710"/>
      <c r="CG3" s="711"/>
      <c r="CH3" s="384"/>
      <c r="CI3" s="690"/>
      <c r="CJ3" s="691"/>
      <c r="CK3" s="382"/>
      <c r="CL3" s="383"/>
      <c r="CM3" s="383"/>
      <c r="CN3" s="383"/>
      <c r="CO3" s="679"/>
      <c r="CV3" s="386"/>
      <c r="DH3" s="502">
        <f>DEPAN!$E$23</f>
        <v>43</v>
      </c>
    </row>
    <row r="4" spans="1:114" ht="57.75" customHeight="1">
      <c r="B4" s="686"/>
      <c r="C4" s="687"/>
      <c r="D4" s="688"/>
      <c r="E4" s="390" t="str">
        <f>'KI-KD'!$C4</f>
        <v>memahami makna Q.S. at-Tīn dan Q.S. al-Mā’ūn dengan benar.</v>
      </c>
      <c r="F4" s="391" t="str">
        <f>'KI-KD'!$C5</f>
        <v>memahami nama-nama Rasul Allah dan Rasul Ulul ‘Azmi.</v>
      </c>
      <c r="G4" s="390" t="str">
        <f>'KI-KD'!$C6</f>
        <v>memahami makna sederhana dalam kehidupan sehari-hari.</v>
      </c>
      <c r="H4" s="390" t="str">
        <f>'KI-KD'!$C7</f>
        <v>memahami makna ikhlas beramal dalam kehidupan sehari-hari</v>
      </c>
      <c r="I4" s="390" t="str">
        <f>'KI-KD'!$C8</f>
        <v>memahami pelaksanaan salat tarawih dan tadarus al-Qur'an.</v>
      </c>
      <c r="J4" s="390" t="str">
        <f>'KI-KD'!$C9</f>
        <v>memahami kisah keteladanan Luqman sebagaimana terdapat dalam al-Qur'an.</v>
      </c>
      <c r="K4" s="390">
        <f>'KI-KD'!$C10</f>
        <v>0</v>
      </c>
      <c r="L4" s="390">
        <f>'KI-KD'!$C11</f>
        <v>0</v>
      </c>
      <c r="M4" s="390">
        <f>'KI-KD'!$C12</f>
        <v>0</v>
      </c>
      <c r="N4" s="390">
        <f>'KI-KD'!$C13</f>
        <v>0</v>
      </c>
      <c r="O4" s="390">
        <f>'KI-KD'!$C14</f>
        <v>0</v>
      </c>
      <c r="P4" s="390">
        <f>'KI-KD'!$C15</f>
        <v>0</v>
      </c>
      <c r="Q4" s="405">
        <f>'KI-KD'!$C16</f>
        <v>0</v>
      </c>
      <c r="R4" s="405">
        <f>'KI-KD'!$C17</f>
        <v>0</v>
      </c>
      <c r="S4" s="405">
        <f>'KI-KD'!$C18</f>
        <v>0</v>
      </c>
      <c r="T4" s="405">
        <f>'KI-KD'!$C19</f>
        <v>0</v>
      </c>
      <c r="U4" s="405">
        <f>'KI-KD'!$C20</f>
        <v>0</v>
      </c>
      <c r="V4" s="405">
        <f>'KI-KD'!$C21</f>
        <v>0</v>
      </c>
      <c r="W4" s="405">
        <f>'KI-KD'!$C22</f>
        <v>0</v>
      </c>
      <c r="X4" s="405">
        <f>'KI-KD'!$C23</f>
        <v>0</v>
      </c>
      <c r="Y4" s="405">
        <f>'KI-KD'!$C24</f>
        <v>0</v>
      </c>
      <c r="Z4" s="392">
        <f>'KI-KD'!$C150</f>
        <v>0</v>
      </c>
      <c r="AA4" s="392">
        <f>'KI-KD'!$C151</f>
        <v>0</v>
      </c>
      <c r="AB4" s="392">
        <f>'KI-KD'!$C152</f>
        <v>0</v>
      </c>
      <c r="AC4" s="392">
        <f>'KI-KD'!$C153</f>
        <v>0</v>
      </c>
      <c r="AD4" s="392">
        <f>'KI-KD'!$C154</f>
        <v>0</v>
      </c>
      <c r="AE4" s="392">
        <f>'KI-KD'!$C155</f>
        <v>0</v>
      </c>
      <c r="AF4" s="392">
        <f>'KI-KD'!$C156</f>
        <v>0</v>
      </c>
      <c r="AG4" s="392">
        <f>'KI-KD'!$C157</f>
        <v>0</v>
      </c>
      <c r="AH4" s="392">
        <f>'KI-KD'!$C158</f>
        <v>0</v>
      </c>
      <c r="AI4" s="392">
        <f>'KI-KD'!$C159</f>
        <v>0</v>
      </c>
      <c r="AJ4" s="392">
        <f>'KI-KD'!$C160</f>
        <v>0</v>
      </c>
      <c r="AK4" s="392">
        <f>'KI-KD'!$C161</f>
        <v>0</v>
      </c>
      <c r="AL4" s="393">
        <f>'KI-KD'!$C165</f>
        <v>0</v>
      </c>
      <c r="AM4" s="393">
        <f>'KI-KD'!$C166</f>
        <v>0</v>
      </c>
      <c r="AN4" s="393">
        <f>'KI-KD'!$C167</f>
        <v>0</v>
      </c>
      <c r="AO4" s="393">
        <f>'KI-KD'!$C168</f>
        <v>0</v>
      </c>
      <c r="AP4" s="393">
        <f>'KI-KD'!$C169</f>
        <v>0</v>
      </c>
      <c r="AQ4" s="393">
        <f>'KI-KD'!$C170</f>
        <v>0</v>
      </c>
      <c r="AR4" s="393">
        <f>'KI-KD'!$C171</f>
        <v>0</v>
      </c>
      <c r="AS4" s="393">
        <f>'KI-KD'!$C172</f>
        <v>0</v>
      </c>
      <c r="AT4" s="393">
        <f>'KI-KD'!$C173</f>
        <v>0</v>
      </c>
      <c r="AU4" s="393">
        <f>'KI-KD'!$C174</f>
        <v>0</v>
      </c>
      <c r="AV4" s="393">
        <f>'KI-KD'!$C175</f>
        <v>0</v>
      </c>
      <c r="AW4" s="393">
        <f>'KI-KD'!$C176</f>
        <v>0</v>
      </c>
      <c r="AX4" s="394">
        <f>'KI-KD'!$C180</f>
        <v>0</v>
      </c>
      <c r="AY4" s="394">
        <f>'KI-KD'!$C181</f>
        <v>0</v>
      </c>
      <c r="AZ4" s="394">
        <f>'KI-KD'!$C182</f>
        <v>0</v>
      </c>
      <c r="BA4" s="394">
        <f>'KI-KD'!$C183</f>
        <v>0</v>
      </c>
      <c r="BB4" s="394">
        <f>'KI-KD'!$C184</f>
        <v>0</v>
      </c>
      <c r="BC4" s="394">
        <f>'KI-KD'!$C185</f>
        <v>0</v>
      </c>
      <c r="BD4" s="394">
        <f>'KI-KD'!$C186</f>
        <v>0</v>
      </c>
      <c r="BE4" s="394">
        <f>'KI-KD'!$C187</f>
        <v>0</v>
      </c>
      <c r="BF4" s="394">
        <f>'KI-KD'!$C188</f>
        <v>0</v>
      </c>
      <c r="BG4" s="394">
        <f>'KI-KD'!$C189</f>
        <v>0</v>
      </c>
      <c r="BH4" s="394">
        <f>'KI-KD'!$C190</f>
        <v>0</v>
      </c>
      <c r="BI4" s="394">
        <f>'KI-KD'!$C191</f>
        <v>0</v>
      </c>
      <c r="BJ4" s="395">
        <f>'KI-KD'!$C195</f>
        <v>0</v>
      </c>
      <c r="BK4" s="395">
        <f>'KI-KD'!$C196</f>
        <v>0</v>
      </c>
      <c r="BL4" s="395">
        <f>'KI-KD'!$C197</f>
        <v>0</v>
      </c>
      <c r="BM4" s="395">
        <f>'KI-KD'!$C198</f>
        <v>0</v>
      </c>
      <c r="BN4" s="395">
        <f>'KI-KD'!$C199</f>
        <v>0</v>
      </c>
      <c r="BO4" s="395">
        <f>'KI-KD'!$C200</f>
        <v>0</v>
      </c>
      <c r="BP4" s="395">
        <f>'KI-KD'!$C201</f>
        <v>0</v>
      </c>
      <c r="BQ4" s="395">
        <f>'KI-KD'!$C202</f>
        <v>0</v>
      </c>
      <c r="BR4" s="395">
        <f>'KI-KD'!$C203</f>
        <v>0</v>
      </c>
      <c r="BS4" s="395">
        <f>'KI-KD'!$C204</f>
        <v>0</v>
      </c>
      <c r="BT4" s="395">
        <f>'KI-KD'!$C205</f>
        <v>0</v>
      </c>
      <c r="BU4" s="395">
        <f>'KI-KD'!$C206</f>
        <v>0</v>
      </c>
      <c r="BV4" s="396">
        <f>'KI-KD'!$C210</f>
        <v>0</v>
      </c>
      <c r="BW4" s="396">
        <f>'KI-KD'!$C211</f>
        <v>0</v>
      </c>
      <c r="BX4" s="396">
        <f>'KI-KD'!$C212</f>
        <v>0</v>
      </c>
      <c r="BY4" s="396">
        <f>'KI-KD'!$C213</f>
        <v>0</v>
      </c>
      <c r="BZ4" s="396">
        <f>'KI-KD'!$C214</f>
        <v>0</v>
      </c>
      <c r="CA4" s="396">
        <f>'KI-KD'!$C215</f>
        <v>0</v>
      </c>
      <c r="CB4" s="396">
        <f>'KI-KD'!$C216</f>
        <v>0</v>
      </c>
      <c r="CC4" s="396">
        <f>'KI-KD'!$C217</f>
        <v>0</v>
      </c>
      <c r="CD4" s="396">
        <f>'KI-KD'!$C218</f>
        <v>0</v>
      </c>
      <c r="CE4" s="396">
        <f>'KI-KD'!$C219</f>
        <v>0</v>
      </c>
      <c r="CF4" s="396">
        <f>'KI-KD'!$C220</f>
        <v>0</v>
      </c>
      <c r="CG4" s="396">
        <f>'KI-KD'!$C221</f>
        <v>0</v>
      </c>
      <c r="CH4" s="138"/>
      <c r="CI4" s="690"/>
      <c r="CJ4" s="691"/>
      <c r="CK4" s="681" t="s">
        <v>267</v>
      </c>
      <c r="CL4" s="682"/>
      <c r="CM4" s="683" t="s">
        <v>268</v>
      </c>
      <c r="CN4" s="684"/>
      <c r="CO4" s="679"/>
      <c r="CV4" s="346"/>
      <c r="DH4" s="469">
        <f>DH5-DH6</f>
        <v>43</v>
      </c>
    </row>
    <row r="5" spans="1:114" s="141" customFormat="1" ht="17.25" customHeight="1">
      <c r="A5" s="509"/>
      <c r="B5" s="686"/>
      <c r="C5" s="687"/>
      <c r="D5" s="688"/>
      <c r="E5" s="397" t="str">
        <f>'KI-KD'!$B4</f>
        <v>3.1</v>
      </c>
      <c r="F5" s="397" t="str">
        <f>'KI-KD'!$B5</f>
        <v>3.3</v>
      </c>
      <c r="G5" s="397" t="str">
        <f>'KI-KD'!$B6</f>
        <v>3.8</v>
      </c>
      <c r="H5" s="397" t="str">
        <f>'KI-KD'!$B7</f>
        <v>3.9</v>
      </c>
      <c r="I5" s="397" t="str">
        <f>'KI-KD'!$B8</f>
        <v>3.11</v>
      </c>
      <c r="J5" s="397" t="str">
        <f>'KI-KD'!$B9</f>
        <v>3.17</v>
      </c>
      <c r="K5" s="397">
        <f>'KI-KD'!$B10</f>
        <v>0</v>
      </c>
      <c r="L5" s="397">
        <f>'KI-KD'!$B11</f>
        <v>0</v>
      </c>
      <c r="M5" s="397">
        <f>'KI-KD'!$B12</f>
        <v>0</v>
      </c>
      <c r="N5" s="397">
        <f>'KI-KD'!$B13</f>
        <v>0</v>
      </c>
      <c r="O5" s="397">
        <f>'KI-KD'!$B14</f>
        <v>0</v>
      </c>
      <c r="P5" s="397">
        <f>'KI-KD'!$B15</f>
        <v>0</v>
      </c>
      <c r="Q5" s="397">
        <f>'KI-KD'!$B16</f>
        <v>0</v>
      </c>
      <c r="R5" s="397">
        <f>'KI-KD'!$B17</f>
        <v>0</v>
      </c>
      <c r="S5" s="397">
        <f>'KI-KD'!$B18</f>
        <v>0</v>
      </c>
      <c r="T5" s="397">
        <f>'KI-KD'!$B19</f>
        <v>0</v>
      </c>
      <c r="U5" s="397">
        <f>'KI-KD'!$B20</f>
        <v>0</v>
      </c>
      <c r="V5" s="397">
        <f>'KI-KD'!$B21</f>
        <v>0</v>
      </c>
      <c r="W5" s="397">
        <f>'KI-KD'!$B22</f>
        <v>0</v>
      </c>
      <c r="X5" s="397">
        <f>'KI-KD'!$B23</f>
        <v>0</v>
      </c>
      <c r="Y5" s="397">
        <f>'KI-KD'!$B24</f>
        <v>0</v>
      </c>
      <c r="Z5" s="398">
        <f>'KI-KD'!$B150</f>
        <v>0</v>
      </c>
      <c r="AA5" s="398">
        <f>'KI-KD'!$B151</f>
        <v>0</v>
      </c>
      <c r="AB5" s="398">
        <f>'KI-KD'!$B152</f>
        <v>0</v>
      </c>
      <c r="AC5" s="398">
        <f>'KI-KD'!$B153</f>
        <v>0</v>
      </c>
      <c r="AD5" s="398">
        <f>'KI-KD'!$B154</f>
        <v>3.5</v>
      </c>
      <c r="AE5" s="398">
        <f>'KI-KD'!$B155</f>
        <v>3.6</v>
      </c>
      <c r="AF5" s="398">
        <f>'KI-KD'!$B156</f>
        <v>3.7</v>
      </c>
      <c r="AG5" s="398">
        <f>'KI-KD'!$B157</f>
        <v>3.8</v>
      </c>
      <c r="AH5" s="398">
        <f>'KI-KD'!$B158</f>
        <v>3.9</v>
      </c>
      <c r="AI5" s="398" t="str">
        <f>'KI-KD'!$B159</f>
        <v>3.10</v>
      </c>
      <c r="AJ5" s="398">
        <f>'KI-KD'!$B160</f>
        <v>3.11</v>
      </c>
      <c r="AK5" s="398" t="str">
        <f>'KI-KD'!$B161</f>
        <v>3.12</v>
      </c>
      <c r="AL5" s="399">
        <f>'KI-KD'!$B165</f>
        <v>0</v>
      </c>
      <c r="AM5" s="399">
        <f>'KI-KD'!$B166</f>
        <v>0</v>
      </c>
      <c r="AN5" s="399">
        <f>'KI-KD'!$B167</f>
        <v>0</v>
      </c>
      <c r="AO5" s="399">
        <f>'KI-KD'!$B168</f>
        <v>0</v>
      </c>
      <c r="AP5" s="399">
        <f>'KI-KD'!$B169</f>
        <v>0</v>
      </c>
      <c r="AQ5" s="399">
        <f>'KI-KD'!$B170</f>
        <v>0</v>
      </c>
      <c r="AR5" s="399">
        <f>'KI-KD'!$B171</f>
        <v>0</v>
      </c>
      <c r="AS5" s="399">
        <f>'KI-KD'!$B172</f>
        <v>0</v>
      </c>
      <c r="AT5" s="399">
        <f>'KI-KD'!$B173</f>
        <v>0</v>
      </c>
      <c r="AU5" s="399">
        <f>'KI-KD'!$B174</f>
        <v>0</v>
      </c>
      <c r="AV5" s="399">
        <f>'KI-KD'!$B175</f>
        <v>0</v>
      </c>
      <c r="AW5" s="399">
        <f>'KI-KD'!$B176</f>
        <v>0</v>
      </c>
      <c r="AX5" s="400">
        <f>'KI-KD'!$B180</f>
        <v>0</v>
      </c>
      <c r="AY5" s="400">
        <f>'KI-KD'!$B181</f>
        <v>0</v>
      </c>
      <c r="AZ5" s="400">
        <f>'KI-KD'!$B182</f>
        <v>0</v>
      </c>
      <c r="BA5" s="400">
        <f>'KI-KD'!$B183</f>
        <v>0</v>
      </c>
      <c r="BB5" s="400">
        <f>'KI-KD'!$B184</f>
        <v>0</v>
      </c>
      <c r="BC5" s="400">
        <f>'KI-KD'!$B185</f>
        <v>0</v>
      </c>
      <c r="BD5" s="400">
        <f>'KI-KD'!$B186</f>
        <v>0</v>
      </c>
      <c r="BE5" s="400">
        <f>'KI-KD'!$B187</f>
        <v>0</v>
      </c>
      <c r="BF5" s="400">
        <f>'KI-KD'!$B188</f>
        <v>0</v>
      </c>
      <c r="BG5" s="400">
        <f>'KI-KD'!$B189</f>
        <v>0</v>
      </c>
      <c r="BH5" s="400">
        <f>'KI-KD'!$B190</f>
        <v>0</v>
      </c>
      <c r="BI5" s="400">
        <f>'KI-KD'!$B191</f>
        <v>0</v>
      </c>
      <c r="BJ5" s="401">
        <f>'KI-KD'!$B195</f>
        <v>0</v>
      </c>
      <c r="BK5" s="401">
        <f>'KI-KD'!$B196</f>
        <v>0</v>
      </c>
      <c r="BL5" s="401">
        <f>'KI-KD'!$B197</f>
        <v>0</v>
      </c>
      <c r="BM5" s="401">
        <f>'KI-KD'!$B198</f>
        <v>0</v>
      </c>
      <c r="BN5" s="401">
        <f>'KI-KD'!$B199</f>
        <v>0</v>
      </c>
      <c r="BO5" s="401">
        <f>'KI-KD'!$B200</f>
        <v>0</v>
      </c>
      <c r="BP5" s="401">
        <f>'KI-KD'!$B201</f>
        <v>0</v>
      </c>
      <c r="BQ5" s="401">
        <f>'KI-KD'!$B202</f>
        <v>0</v>
      </c>
      <c r="BR5" s="401">
        <f>'KI-KD'!$B203</f>
        <v>0</v>
      </c>
      <c r="BS5" s="401">
        <f>'KI-KD'!$B204</f>
        <v>0</v>
      </c>
      <c r="BT5" s="401">
        <f>'KI-KD'!$B205</f>
        <v>0</v>
      </c>
      <c r="BU5" s="401">
        <f>'KI-KD'!$B206</f>
        <v>0</v>
      </c>
      <c r="BV5" s="402">
        <f>'KI-KD'!$B210</f>
        <v>0</v>
      </c>
      <c r="BW5" s="402">
        <f>'KI-KD'!$B211</f>
        <v>0</v>
      </c>
      <c r="BX5" s="402">
        <f>'KI-KD'!$B212</f>
        <v>0</v>
      </c>
      <c r="BY5" s="402">
        <f>'KI-KD'!$B213</f>
        <v>0</v>
      </c>
      <c r="BZ5" s="402">
        <f>'KI-KD'!$B214</f>
        <v>0</v>
      </c>
      <c r="CA5" s="402">
        <f>'KI-KD'!$B215</f>
        <v>0</v>
      </c>
      <c r="CB5" s="402">
        <f>'KI-KD'!$B216</f>
        <v>0</v>
      </c>
      <c r="CC5" s="402">
        <f>'KI-KD'!$B217</f>
        <v>0</v>
      </c>
      <c r="CD5" s="402">
        <f>'KI-KD'!$B218</f>
        <v>0</v>
      </c>
      <c r="CE5" s="402">
        <f>'KI-KD'!$B219</f>
        <v>0</v>
      </c>
      <c r="CF5" s="402">
        <f>'KI-KD'!$B220</f>
        <v>0</v>
      </c>
      <c r="CG5" s="402">
        <f>'KI-KD'!$B221</f>
        <v>0</v>
      </c>
      <c r="CH5" s="140"/>
      <c r="CI5" s="690"/>
      <c r="CJ5" s="691"/>
      <c r="CK5" s="347" t="s">
        <v>269</v>
      </c>
      <c r="CL5" s="348" t="s">
        <v>3</v>
      </c>
      <c r="CM5" s="349" t="s">
        <v>269</v>
      </c>
      <c r="CN5" s="350" t="s">
        <v>3</v>
      </c>
      <c r="CO5" s="680"/>
      <c r="CP5" s="137"/>
      <c r="CQ5" s="351" t="s">
        <v>270</v>
      </c>
      <c r="CR5" s="351" t="s">
        <v>271</v>
      </c>
      <c r="CS5" s="351" t="s">
        <v>272</v>
      </c>
      <c r="CT5" s="351" t="s">
        <v>273</v>
      </c>
      <c r="CU5" s="352" t="s">
        <v>266</v>
      </c>
      <c r="CV5" s="353"/>
      <c r="DH5" s="141">
        <v>50</v>
      </c>
    </row>
    <row r="6" spans="1:114" ht="63" customHeight="1">
      <c r="B6" s="142">
        <v>1</v>
      </c>
      <c r="C6" s="143" t="str">
        <f>SISWA!B6</f>
        <v>1718250040305</v>
      </c>
      <c r="D6" s="144" t="str">
        <f>SISWA!E6</f>
        <v>YAHYA</v>
      </c>
      <c r="E6" s="593">
        <v>90</v>
      </c>
      <c r="F6" s="593">
        <v>78</v>
      </c>
      <c r="G6" s="593">
        <v>75</v>
      </c>
      <c r="H6" s="593">
        <v>75</v>
      </c>
      <c r="I6" s="593">
        <v>85</v>
      </c>
      <c r="J6" s="593">
        <v>80</v>
      </c>
      <c r="K6" s="159"/>
      <c r="L6" s="159" t="s">
        <v>766</v>
      </c>
      <c r="M6" s="159" t="s">
        <v>766</v>
      </c>
      <c r="N6" s="159"/>
      <c r="O6" s="159"/>
      <c r="P6" s="159"/>
      <c r="Q6" s="159"/>
      <c r="R6" s="159"/>
      <c r="S6" s="159"/>
      <c r="T6" s="159"/>
      <c r="U6" s="159"/>
      <c r="V6" s="159"/>
      <c r="W6" s="159"/>
      <c r="X6" s="159"/>
      <c r="Y6" s="159"/>
      <c r="Z6" s="387"/>
      <c r="AA6" s="387"/>
      <c r="AB6" s="387"/>
      <c r="AC6" s="387"/>
      <c r="AD6" s="387"/>
      <c r="AE6" s="387"/>
      <c r="AF6" s="387"/>
      <c r="AG6" s="387"/>
      <c r="AH6" s="387"/>
      <c r="AI6" s="387"/>
      <c r="AJ6" s="387"/>
      <c r="AK6" s="387"/>
      <c r="AL6" s="159"/>
      <c r="AM6" s="159"/>
      <c r="AN6" s="159"/>
      <c r="AO6" s="159"/>
      <c r="AP6" s="159"/>
      <c r="AQ6" s="159"/>
      <c r="AR6" s="159"/>
      <c r="AS6" s="159"/>
      <c r="AT6" s="159"/>
      <c r="AU6" s="159"/>
      <c r="AV6" s="159"/>
      <c r="AW6" s="159"/>
      <c r="AX6" s="387"/>
      <c r="AY6" s="387"/>
      <c r="AZ6" s="387"/>
      <c r="BA6" s="387"/>
      <c r="BB6" s="387"/>
      <c r="BC6" s="387"/>
      <c r="BD6" s="387"/>
      <c r="BE6" s="387"/>
      <c r="BF6" s="387"/>
      <c r="BG6" s="387"/>
      <c r="BH6" s="387"/>
      <c r="BI6" s="387"/>
      <c r="BJ6" s="159"/>
      <c r="BK6" s="159"/>
      <c r="BL6" s="159"/>
      <c r="BM6" s="159"/>
      <c r="BN6" s="159"/>
      <c r="BO6" s="159"/>
      <c r="BP6" s="159"/>
      <c r="BQ6" s="159"/>
      <c r="BR6" s="159"/>
      <c r="BS6" s="159"/>
      <c r="BT6" s="159"/>
      <c r="BU6" s="159"/>
      <c r="BV6" s="387"/>
      <c r="BW6" s="387"/>
      <c r="BX6" s="387"/>
      <c r="BY6" s="387"/>
      <c r="BZ6" s="387"/>
      <c r="CA6" s="387"/>
      <c r="CB6" s="387"/>
      <c r="CC6" s="387"/>
      <c r="CD6" s="387"/>
      <c r="CE6" s="387"/>
      <c r="CF6" s="387"/>
      <c r="CG6" s="387"/>
      <c r="CH6" s="159"/>
      <c r="CI6" s="354">
        <f t="shared" ref="CI6:CI37" si="0">ROUND((AVERAGE(E6:CH6)),0)</f>
        <v>81</v>
      </c>
      <c r="CJ6" s="355" t="str">
        <f>IF(CI6&gt;KKM!$G$10,"A",IF(CI6&gt;KKM!$H$10,"B",IF(CI6&gt;=KKM!$I$10,"C","D")))</f>
        <v>B</v>
      </c>
      <c r="CK6" s="356">
        <f t="shared" ref="CK6:CK37" si="1">MAX(E6:CH6)</f>
        <v>90</v>
      </c>
      <c r="CL6" s="361" t="str">
        <f>IF(CK6&gt;KKM!$G$10," sangat baik ",IF(CK6&gt;KKM!$H$10," baik ",IF(CK6&gt;=KKM!$I$10," cukup baik "," perlu bimbingan ")))</f>
        <v xml:space="preserve"> sangat baik </v>
      </c>
      <c r="CM6" s="357">
        <f t="shared" ref="CM6:CM37" si="2">MIN(E6:CH6)</f>
        <v>75</v>
      </c>
      <c r="CN6" s="361" t="str">
        <f>IF(CM6&gt;KKM!$G$10," sangat baik ",IF(CM6&gt;KKM!$H$10," baik ",IF(CM6&gt;=KKM!$I$10," cukup baik "," perlu bimbingan ")))</f>
        <v xml:space="preserve"> cukup baik </v>
      </c>
      <c r="CO6" s="353" t="str">
        <f>IFERROR(CV6," ")</f>
        <v>YAHYA sangat baik  dalam memahami makna Q.S. at-Tīn dan Q.S. al-Mā’ūn dengan benar., dan  cukup baik  dalam memahami makna sederhana dalam kehidupan sehari-hari.</v>
      </c>
      <c r="CP6" s="485"/>
      <c r="CQ6" s="359" t="str">
        <f t="shared" ref="CQ6:CQ37" si="3">CL6&amp;" dalam "&amp;INDEX($E$4:$CH$4,MATCH(CK6,$E6:$CH6,0))</f>
        <v xml:space="preserve"> sangat baik  dalam memahami makna Q.S. at-Tīn dan Q.S. al-Mā’ūn dengan benar.</v>
      </c>
      <c r="CR6" s="359" t="str">
        <f t="shared" ref="CR6:CR37" si="4">CN6&amp;" dalam "&amp;INDEX($E$4:$CH$4,MATCH(CM6,$E6:$CH6,0))</f>
        <v xml:space="preserve"> cukup baik  dalam memahami makna sederhana dalam kehidupan sehari-hari.</v>
      </c>
      <c r="CS6" s="359" t="str">
        <f>CQ6&amp;", dan "&amp;CR6</f>
        <v xml:space="preserve"> sangat baik  dalam memahami makna Q.S. at-Tīn dan Q.S. al-Mā’ūn dengan benar., dan  cukup baik  dalam memahami makna sederhana dalam kehidupan sehari-hari.</v>
      </c>
      <c r="CT6" s="359" t="str">
        <f>IF(CQ6=CR6,CQ6," ")</f>
        <v xml:space="preserve"> </v>
      </c>
      <c r="CU6" s="360" t="str">
        <f>IF(CT6=" ",CS6,CT6)</f>
        <v xml:space="preserve"> sangat baik  dalam memahami makna Q.S. at-Tīn dan Q.S. al-Mā’ūn dengan benar., dan  cukup baik  dalam memahami makna sederhana dalam kehidupan sehari-hari.</v>
      </c>
      <c r="CV6" s="353" t="str">
        <f t="shared" ref="CV6:CV37" si="5">CONCATENATE(D6,CU6)</f>
        <v>YAHYA sangat baik  dalam memahami makna Q.S. at-Tīn dan Q.S. al-Mā’ūn dengan benar., dan  cukup baik  dalam memahami makna sederhana dalam kehidupan sehari-hari.</v>
      </c>
      <c r="CW6" s="139" t="e">
        <f>IF(#REF!=1,G$4," ")</f>
        <v>#REF!</v>
      </c>
      <c r="CX6" s="139" t="e">
        <f>IF(#REF!=1,H$4," ")</f>
        <v>#REF!</v>
      </c>
      <c r="CY6" s="139" t="e">
        <f>IF(#REF!=1,I$4," ")</f>
        <v>#REF!</v>
      </c>
      <c r="CZ6" s="139" t="e">
        <f>IF(#REF!=1,J$4," ")</f>
        <v>#REF!</v>
      </c>
      <c r="DA6" s="139" t="e">
        <f>IF(#REF!=1,K$4," ")</f>
        <v>#REF!</v>
      </c>
      <c r="DB6" s="139" t="e">
        <f>IF(#REF!=1,L$4," ")</f>
        <v>#REF!</v>
      </c>
      <c r="DC6" s="139" t="e">
        <f>IF(#REF!=1,M$4," ")</f>
        <v>#REF!</v>
      </c>
      <c r="DD6" s="139" t="e">
        <f>IF(#REF!=1,#REF!," ")</f>
        <v>#REF!</v>
      </c>
      <c r="DE6" s="139" t="e">
        <f>IF(#REF!=1,#REF!," ")</f>
        <v>#REF!</v>
      </c>
      <c r="DF6" s="139" t="e">
        <f>IF(#REF!=1,CH$4," ")</f>
        <v>#REF!</v>
      </c>
      <c r="DG6" s="469">
        <f>IFERROR(CI6,"")</f>
        <v>81</v>
      </c>
      <c r="DH6" s="469">
        <f>COUNTBLANK(DG6:DG55)</f>
        <v>7</v>
      </c>
      <c r="DJ6" s="469"/>
    </row>
    <row r="7" spans="1:114" ht="63" customHeight="1">
      <c r="B7" s="142">
        <v>2</v>
      </c>
      <c r="C7" s="143" t="str">
        <f>SISWA!B7</f>
        <v>1718250040306</v>
      </c>
      <c r="D7" s="144" t="str">
        <f>SISWA!E7</f>
        <v>ADHWA</v>
      </c>
      <c r="E7" s="593">
        <v>80</v>
      </c>
      <c r="F7" s="593">
        <v>75</v>
      </c>
      <c r="G7" s="593">
        <v>80</v>
      </c>
      <c r="H7" s="593">
        <v>80</v>
      </c>
      <c r="I7" s="593">
        <v>85</v>
      </c>
      <c r="J7" s="593">
        <v>80</v>
      </c>
      <c r="K7" s="159"/>
      <c r="L7" s="159"/>
      <c r="M7" s="159"/>
      <c r="N7" s="159"/>
      <c r="O7" s="159"/>
      <c r="P7" s="159"/>
      <c r="Q7" s="159"/>
      <c r="R7" s="159"/>
      <c r="S7" s="159"/>
      <c r="T7" s="159"/>
      <c r="U7" s="159"/>
      <c r="V7" s="159"/>
      <c r="W7" s="159"/>
      <c r="X7" s="159"/>
      <c r="Y7" s="159"/>
      <c r="Z7" s="387"/>
      <c r="AA7" s="387"/>
      <c r="AB7" s="387"/>
      <c r="AC7" s="387"/>
      <c r="AD7" s="387"/>
      <c r="AE7" s="387"/>
      <c r="AF7" s="387"/>
      <c r="AG7" s="387"/>
      <c r="AH7" s="387"/>
      <c r="AI7" s="387"/>
      <c r="AJ7" s="387"/>
      <c r="AK7" s="387"/>
      <c r="AL7" s="159"/>
      <c r="AM7" s="159"/>
      <c r="AN7" s="159"/>
      <c r="AO7" s="159"/>
      <c r="AP7" s="159"/>
      <c r="AQ7" s="159"/>
      <c r="AR7" s="159"/>
      <c r="AS7" s="159"/>
      <c r="AT7" s="159"/>
      <c r="AU7" s="159"/>
      <c r="AV7" s="159"/>
      <c r="AW7" s="159"/>
      <c r="AX7" s="387"/>
      <c r="AY7" s="387"/>
      <c r="AZ7" s="387"/>
      <c r="BA7" s="387"/>
      <c r="BB7" s="387"/>
      <c r="BC7" s="387"/>
      <c r="BD7" s="387"/>
      <c r="BE7" s="387"/>
      <c r="BF7" s="387"/>
      <c r="BG7" s="387"/>
      <c r="BH7" s="387"/>
      <c r="BI7" s="387"/>
      <c r="BJ7" s="159"/>
      <c r="BK7" s="159"/>
      <c r="BL7" s="159"/>
      <c r="BM7" s="159"/>
      <c r="BN7" s="159"/>
      <c r="BO7" s="159"/>
      <c r="BP7" s="159"/>
      <c r="BQ7" s="159"/>
      <c r="BR7" s="159"/>
      <c r="BS7" s="159"/>
      <c r="BT7" s="159"/>
      <c r="BU7" s="159"/>
      <c r="BV7" s="387"/>
      <c r="BW7" s="387"/>
      <c r="BX7" s="387"/>
      <c r="BY7" s="387"/>
      <c r="BZ7" s="387"/>
      <c r="CA7" s="387"/>
      <c r="CB7" s="387"/>
      <c r="CC7" s="387"/>
      <c r="CD7" s="387"/>
      <c r="CE7" s="387"/>
      <c r="CF7" s="387"/>
      <c r="CG7" s="387"/>
      <c r="CH7" s="159"/>
      <c r="CI7" s="354">
        <f t="shared" si="0"/>
        <v>80</v>
      </c>
      <c r="CJ7" s="355" t="str">
        <f>IF(CI7&gt;KKM!$G$10,"A",IF(CI7&gt;KKM!$H$10,"B",IF(CI7&gt;=KKM!$I$10,"C","D")))</f>
        <v>B</v>
      </c>
      <c r="CK7" s="356">
        <f t="shared" si="1"/>
        <v>85</v>
      </c>
      <c r="CL7" s="361" t="str">
        <f>IF(CK7&gt;KKM!$G$10," sangat baik ",IF(CK7&gt;KKM!$H$10," baik ",IF(CK7&gt;=KKM!$I$10," cukup baik "," perlu bimbingan ")))</f>
        <v xml:space="preserve"> baik </v>
      </c>
      <c r="CM7" s="357">
        <f t="shared" si="2"/>
        <v>75</v>
      </c>
      <c r="CN7" s="361" t="str">
        <f>IF(CM7&gt;KKM!$G$10," sangat baik ",IF(CM7&gt;KKM!$H$10," baik ",IF(CM7&gt;=KKM!$I$10," cukup baik "," perlu bimbingan ")))</f>
        <v xml:space="preserve"> cukup baik </v>
      </c>
      <c r="CO7" s="353" t="str">
        <f>IFERROR(CV7," ")</f>
        <v>ADHWA baik  dalam memahami pelaksanaan salat tarawih dan tadarus al-Qur'an., dan  cukup baik  dalam memahami nama-nama Rasul Allah dan Rasul Ulul ‘Azmi.</v>
      </c>
      <c r="CP7" s="485"/>
      <c r="CQ7" s="359" t="str">
        <f t="shared" si="3"/>
        <v xml:space="preserve"> baik  dalam memahami pelaksanaan salat tarawih dan tadarus al-Qur'an.</v>
      </c>
      <c r="CR7" s="359" t="str">
        <f t="shared" si="4"/>
        <v xml:space="preserve"> cukup baik  dalam memahami nama-nama Rasul Allah dan Rasul Ulul ‘Azmi.</v>
      </c>
      <c r="CS7" s="359" t="str">
        <f t="shared" ref="CS7:CS55" si="6">CQ7&amp;", dan "&amp;CR7</f>
        <v xml:space="preserve"> baik  dalam memahami pelaksanaan salat tarawih dan tadarus al-Qur'an., dan  cukup baik  dalam memahami nama-nama Rasul Allah dan Rasul Ulul ‘Azmi.</v>
      </c>
      <c r="CT7" s="359" t="str">
        <f t="shared" ref="CT7:CT55" si="7">IF(CQ7=CR7,CQ7," ")</f>
        <v xml:space="preserve"> </v>
      </c>
      <c r="CU7" s="360" t="str">
        <f t="shared" ref="CU7:CU55" si="8">IF(CT7=" ",CS7,CT7)</f>
        <v xml:space="preserve"> baik  dalam memahami pelaksanaan salat tarawih dan tadarus al-Qur'an., dan  cukup baik  dalam memahami nama-nama Rasul Allah dan Rasul Ulul ‘Azmi.</v>
      </c>
      <c r="CV7" s="353" t="str">
        <f t="shared" si="5"/>
        <v>ADHWA baik  dalam memahami pelaksanaan salat tarawih dan tadarus al-Qur'an., dan  cukup baik  dalam memahami nama-nama Rasul Allah dan Rasul Ulul ‘Azmi.</v>
      </c>
      <c r="CW7" s="139" t="e">
        <f>IF(#REF!=1,G$4," ")</f>
        <v>#REF!</v>
      </c>
      <c r="CX7" s="139" t="e">
        <f>IF(#REF!=1,H$4," ")</f>
        <v>#REF!</v>
      </c>
      <c r="CY7" s="139" t="e">
        <f>IF(#REF!=1,I$4," ")</f>
        <v>#REF!</v>
      </c>
      <c r="CZ7" s="139" t="e">
        <f>IF(#REF!=1,J$4," ")</f>
        <v>#REF!</v>
      </c>
      <c r="DA7" s="139" t="e">
        <f>IF(#REF!=1,K$4," ")</f>
        <v>#REF!</v>
      </c>
      <c r="DB7" s="139" t="e">
        <f>IF(#REF!=1,L$4," ")</f>
        <v>#REF!</v>
      </c>
      <c r="DC7" s="139" t="e">
        <f>IF(#REF!=1,M$4," ")</f>
        <v>#REF!</v>
      </c>
      <c r="DD7" s="139" t="e">
        <f>IF(#REF!=1,#REF!," ")</f>
        <v>#REF!</v>
      </c>
      <c r="DE7" s="139" t="e">
        <f>IF(#REF!=1,#REF!," ")</f>
        <v>#REF!</v>
      </c>
      <c r="DF7" s="139" t="e">
        <f>IF(#REF!=1,CH$4," ")</f>
        <v>#REF!</v>
      </c>
      <c r="DG7" s="469">
        <f t="shared" ref="DG7:DG55" si="9">IFERROR(CI7,"")</f>
        <v>80</v>
      </c>
      <c r="DH7" s="503">
        <f>IFERROR(DH4/DH3,"0%")</f>
        <v>1</v>
      </c>
      <c r="DJ7" s="469"/>
    </row>
    <row r="8" spans="1:114" ht="63" customHeight="1">
      <c r="B8" s="142">
        <v>3</v>
      </c>
      <c r="C8" s="143" t="str">
        <f>SISWA!B8</f>
        <v xml:space="preserve"> 1718250040307</v>
      </c>
      <c r="D8" s="144" t="str">
        <f>SISWA!E8</f>
        <v>ANDHIKA</v>
      </c>
      <c r="E8" s="593">
        <v>100</v>
      </c>
      <c r="F8" s="593">
        <v>80</v>
      </c>
      <c r="G8" s="593">
        <v>75</v>
      </c>
      <c r="H8" s="593">
        <v>90</v>
      </c>
      <c r="I8" s="593">
        <v>85</v>
      </c>
      <c r="J8" s="593">
        <v>80</v>
      </c>
      <c r="K8" s="159"/>
      <c r="L8" s="159"/>
      <c r="M8" s="159"/>
      <c r="N8" s="159"/>
      <c r="O8" s="159"/>
      <c r="P8" s="159"/>
      <c r="Q8" s="159"/>
      <c r="R8" s="159"/>
      <c r="S8" s="159"/>
      <c r="T8" s="159"/>
      <c r="U8" s="159"/>
      <c r="V8" s="159"/>
      <c r="W8" s="159"/>
      <c r="X8" s="159"/>
      <c r="Y8" s="159"/>
      <c r="Z8" s="387"/>
      <c r="AA8" s="387"/>
      <c r="AB8" s="387"/>
      <c r="AC8" s="387"/>
      <c r="AD8" s="387"/>
      <c r="AE8" s="387"/>
      <c r="AF8" s="387"/>
      <c r="AG8" s="387"/>
      <c r="AH8" s="387"/>
      <c r="AI8" s="387"/>
      <c r="AJ8" s="387"/>
      <c r="AK8" s="387"/>
      <c r="AL8" s="159"/>
      <c r="AM8" s="159"/>
      <c r="AN8" s="159"/>
      <c r="AO8" s="159"/>
      <c r="AP8" s="159"/>
      <c r="AQ8" s="159"/>
      <c r="AR8" s="159"/>
      <c r="AS8" s="159"/>
      <c r="AT8" s="159"/>
      <c r="AU8" s="159"/>
      <c r="AV8" s="159"/>
      <c r="AW8" s="159"/>
      <c r="AX8" s="387"/>
      <c r="AY8" s="387"/>
      <c r="AZ8" s="387"/>
      <c r="BA8" s="387"/>
      <c r="BB8" s="387"/>
      <c r="BC8" s="387"/>
      <c r="BD8" s="387"/>
      <c r="BE8" s="387"/>
      <c r="BF8" s="387"/>
      <c r="BG8" s="387"/>
      <c r="BH8" s="387"/>
      <c r="BI8" s="387"/>
      <c r="BJ8" s="159"/>
      <c r="BK8" s="159"/>
      <c r="BL8" s="159"/>
      <c r="BM8" s="159"/>
      <c r="BN8" s="159"/>
      <c r="BO8" s="159"/>
      <c r="BP8" s="159"/>
      <c r="BQ8" s="159"/>
      <c r="BR8" s="159"/>
      <c r="BS8" s="159"/>
      <c r="BT8" s="159"/>
      <c r="BU8" s="159"/>
      <c r="BV8" s="387"/>
      <c r="BW8" s="387"/>
      <c r="BX8" s="387"/>
      <c r="BY8" s="387"/>
      <c r="BZ8" s="387"/>
      <c r="CA8" s="387"/>
      <c r="CB8" s="387"/>
      <c r="CC8" s="387"/>
      <c r="CD8" s="387"/>
      <c r="CE8" s="387"/>
      <c r="CF8" s="387"/>
      <c r="CG8" s="387"/>
      <c r="CH8" s="159"/>
      <c r="CI8" s="354">
        <f t="shared" si="0"/>
        <v>85</v>
      </c>
      <c r="CJ8" s="355" t="str">
        <f>IF(CI8&gt;KKM!$G$10,"A",IF(CI8&gt;KKM!$H$10,"B",IF(CI8&gt;=KKM!$I$10,"C","D")))</f>
        <v>B</v>
      </c>
      <c r="CK8" s="356">
        <f t="shared" si="1"/>
        <v>100</v>
      </c>
      <c r="CL8" s="361" t="str">
        <f>IF(CK8&gt;KKM!$G$10," sangat baik ",IF(CK8&gt;KKM!$H$10," baik ",IF(CK8&gt;=KKM!$I$10," cukup baik "," perlu bimbingan ")))</f>
        <v xml:space="preserve"> sangat baik </v>
      </c>
      <c r="CM8" s="357">
        <f t="shared" si="2"/>
        <v>75</v>
      </c>
      <c r="CN8" s="361" t="str">
        <f>IF(CM8&gt;KKM!$G$10," sangat baik ",IF(CM8&gt;KKM!$H$10," baik ",IF(CM8&gt;=KKM!$I$10," cukup baik "," perlu bimbingan ")))</f>
        <v xml:space="preserve"> cukup baik </v>
      </c>
      <c r="CO8" s="353" t="str">
        <f t="shared" ref="CO8:CO55" si="10">IFERROR(CV8," ")</f>
        <v>ANDHIKA sangat baik  dalam memahami makna Q.S. at-Tīn dan Q.S. al-Mā’ūn dengan benar., dan  cukup baik  dalam memahami makna sederhana dalam kehidupan sehari-hari.</v>
      </c>
      <c r="CP8" s="485"/>
      <c r="CQ8" s="359" t="str">
        <f t="shared" si="3"/>
        <v xml:space="preserve"> sangat baik  dalam memahami makna Q.S. at-Tīn dan Q.S. al-Mā’ūn dengan benar.</v>
      </c>
      <c r="CR8" s="359" t="str">
        <f t="shared" si="4"/>
        <v xml:space="preserve"> cukup baik  dalam memahami makna sederhana dalam kehidupan sehari-hari.</v>
      </c>
      <c r="CS8" s="359" t="str">
        <f t="shared" si="6"/>
        <v xml:space="preserve"> sangat baik  dalam memahami makna Q.S. at-Tīn dan Q.S. al-Mā’ūn dengan benar., dan  cukup baik  dalam memahami makna sederhana dalam kehidupan sehari-hari.</v>
      </c>
      <c r="CT8" s="359" t="str">
        <f t="shared" si="7"/>
        <v xml:space="preserve"> </v>
      </c>
      <c r="CU8" s="360" t="str">
        <f t="shared" si="8"/>
        <v xml:space="preserve"> sangat baik  dalam memahami makna Q.S. at-Tīn dan Q.S. al-Mā’ūn dengan benar., dan  cukup baik  dalam memahami makna sederhana dalam kehidupan sehari-hari.</v>
      </c>
      <c r="CV8" s="353" t="str">
        <f t="shared" si="5"/>
        <v>ANDHIKA sangat baik  dalam memahami makna Q.S. at-Tīn dan Q.S. al-Mā’ūn dengan benar., dan  cukup baik  dalam memahami makna sederhana dalam kehidupan sehari-hari.</v>
      </c>
      <c r="CW8" s="139" t="e">
        <f>IF(#REF!=1,G$4," ")</f>
        <v>#REF!</v>
      </c>
      <c r="CX8" s="139" t="e">
        <f>IF(#REF!=1,H$4," ")</f>
        <v>#REF!</v>
      </c>
      <c r="CY8" s="139" t="e">
        <f>IF(#REF!=1,I$4," ")</f>
        <v>#REF!</v>
      </c>
      <c r="CZ8" s="139" t="e">
        <f>IF(#REF!=1,J$4," ")</f>
        <v>#REF!</v>
      </c>
      <c r="DA8" s="139" t="e">
        <f>IF(#REF!=1,K$4," ")</f>
        <v>#REF!</v>
      </c>
      <c r="DB8" s="139" t="e">
        <f>IF(#REF!=1,L$4," ")</f>
        <v>#REF!</v>
      </c>
      <c r="DC8" s="139" t="e">
        <f>IF(#REF!=1,M$4," ")</f>
        <v>#REF!</v>
      </c>
      <c r="DD8" s="139" t="e">
        <f>IF(#REF!=1,#REF!," ")</f>
        <v>#REF!</v>
      </c>
      <c r="DE8" s="139" t="e">
        <f>IF(#REF!=1,#REF!," ")</f>
        <v>#REF!</v>
      </c>
      <c r="DF8" s="139" t="e">
        <f>IF(#REF!=1,CH$4," ")</f>
        <v>#REF!</v>
      </c>
      <c r="DG8" s="469">
        <f t="shared" si="9"/>
        <v>85</v>
      </c>
      <c r="DJ8" s="469"/>
    </row>
    <row r="9" spans="1:114" ht="63" customHeight="1">
      <c r="B9" s="142">
        <v>4</v>
      </c>
      <c r="C9" s="143" t="str">
        <f>SISWA!B9</f>
        <v xml:space="preserve"> 1718250040308</v>
      </c>
      <c r="D9" s="144" t="str">
        <f>SISWA!E9</f>
        <v>ANGGARA</v>
      </c>
      <c r="E9" s="593">
        <v>100</v>
      </c>
      <c r="F9" s="593">
        <v>78</v>
      </c>
      <c r="G9" s="593">
        <v>80</v>
      </c>
      <c r="H9" s="593">
        <v>80</v>
      </c>
      <c r="I9" s="593">
        <v>84</v>
      </c>
      <c r="J9" s="593">
        <v>75</v>
      </c>
      <c r="K9" s="159"/>
      <c r="L9" s="159"/>
      <c r="M9" s="159"/>
      <c r="N9" s="159"/>
      <c r="O9" s="159"/>
      <c r="P9" s="159"/>
      <c r="Q9" s="159"/>
      <c r="R9" s="159"/>
      <c r="S9" s="159"/>
      <c r="T9" s="159"/>
      <c r="U9" s="159"/>
      <c r="V9" s="159"/>
      <c r="W9" s="159"/>
      <c r="X9" s="159"/>
      <c r="Y9" s="159"/>
      <c r="Z9" s="387"/>
      <c r="AA9" s="387"/>
      <c r="AB9" s="387"/>
      <c r="AC9" s="387"/>
      <c r="AD9" s="387"/>
      <c r="AE9" s="387"/>
      <c r="AF9" s="387"/>
      <c r="AG9" s="387"/>
      <c r="AH9" s="387"/>
      <c r="AI9" s="387"/>
      <c r="AJ9" s="387"/>
      <c r="AK9" s="387"/>
      <c r="AL9" s="159"/>
      <c r="AM9" s="159"/>
      <c r="AN9" s="159"/>
      <c r="AO9" s="159"/>
      <c r="AP9" s="159"/>
      <c r="AQ9" s="159"/>
      <c r="AR9" s="159"/>
      <c r="AS9" s="159"/>
      <c r="AT9" s="159"/>
      <c r="AU9" s="159"/>
      <c r="AV9" s="159"/>
      <c r="AW9" s="159"/>
      <c r="AX9" s="387"/>
      <c r="AY9" s="387"/>
      <c r="AZ9" s="387"/>
      <c r="BA9" s="387"/>
      <c r="BB9" s="387"/>
      <c r="BC9" s="387"/>
      <c r="BD9" s="387"/>
      <c r="BE9" s="387"/>
      <c r="BF9" s="387"/>
      <c r="BG9" s="387"/>
      <c r="BH9" s="387"/>
      <c r="BI9" s="387"/>
      <c r="BJ9" s="159"/>
      <c r="BK9" s="159"/>
      <c r="BL9" s="159"/>
      <c r="BM9" s="159"/>
      <c r="BN9" s="159"/>
      <c r="BO9" s="159"/>
      <c r="BP9" s="159"/>
      <c r="BQ9" s="159"/>
      <c r="BR9" s="159"/>
      <c r="BS9" s="159"/>
      <c r="BT9" s="159"/>
      <c r="BU9" s="159"/>
      <c r="BV9" s="387"/>
      <c r="BW9" s="387"/>
      <c r="BX9" s="387"/>
      <c r="BY9" s="387"/>
      <c r="BZ9" s="387"/>
      <c r="CA9" s="387"/>
      <c r="CB9" s="387"/>
      <c r="CC9" s="387"/>
      <c r="CD9" s="387"/>
      <c r="CE9" s="387"/>
      <c r="CF9" s="387"/>
      <c r="CG9" s="387"/>
      <c r="CH9" s="159"/>
      <c r="CI9" s="354">
        <f t="shared" si="0"/>
        <v>83</v>
      </c>
      <c r="CJ9" s="355" t="str">
        <f>IF(CI9&gt;KKM!$G$10,"A",IF(CI9&gt;KKM!$H$10,"B",IF(CI9&gt;=KKM!$I$10,"C","D")))</f>
        <v>B</v>
      </c>
      <c r="CK9" s="356">
        <f t="shared" si="1"/>
        <v>100</v>
      </c>
      <c r="CL9" s="361" t="str">
        <f>IF(CK9&gt;KKM!$G$10," sangat baik ",IF(CK9&gt;KKM!$H$10," baik ",IF(CK9&gt;=KKM!$I$10," cukup baik "," perlu bimbingan ")))</f>
        <v xml:space="preserve"> sangat baik </v>
      </c>
      <c r="CM9" s="357">
        <f t="shared" si="2"/>
        <v>75</v>
      </c>
      <c r="CN9" s="361" t="str">
        <f>IF(CM9&gt;KKM!$G$10," sangat baik ",IF(CM9&gt;KKM!$H$10," baik ",IF(CM9&gt;=KKM!$I$10," cukup baik "," perlu bimbingan ")))</f>
        <v xml:space="preserve"> cukup baik </v>
      </c>
      <c r="CO9" s="353" t="str">
        <f t="shared" si="10"/>
        <v>ANGGARA sangat baik  dalam memahami makna Q.S. at-Tīn dan Q.S. al-Mā’ūn dengan benar., dan  cukup baik  dalam memahami kisah keteladanan Luqman sebagaimana terdapat dalam al-Qur'an.</v>
      </c>
      <c r="CP9" s="485"/>
      <c r="CQ9" s="359" t="str">
        <f t="shared" si="3"/>
        <v xml:space="preserve"> sangat baik  dalam memahami makna Q.S. at-Tīn dan Q.S. al-Mā’ūn dengan benar.</v>
      </c>
      <c r="CR9" s="359" t="str">
        <f t="shared" si="4"/>
        <v xml:space="preserve"> cukup baik  dalam memahami kisah keteladanan Luqman sebagaimana terdapat dalam al-Qur'an.</v>
      </c>
      <c r="CS9" s="359" t="str">
        <f t="shared" si="6"/>
        <v xml:space="preserve"> sangat baik  dalam memahami makna Q.S. at-Tīn dan Q.S. al-Mā’ūn dengan benar., dan  cukup baik  dalam memahami kisah keteladanan Luqman sebagaimana terdapat dalam al-Qur'an.</v>
      </c>
      <c r="CT9" s="359" t="str">
        <f t="shared" si="7"/>
        <v xml:space="preserve"> </v>
      </c>
      <c r="CU9" s="360" t="str">
        <f t="shared" si="8"/>
        <v xml:space="preserve"> sangat baik  dalam memahami makna Q.S. at-Tīn dan Q.S. al-Mā’ūn dengan benar., dan  cukup baik  dalam memahami kisah keteladanan Luqman sebagaimana terdapat dalam al-Qur'an.</v>
      </c>
      <c r="CV9" s="353" t="str">
        <f t="shared" si="5"/>
        <v>ANGGARA sangat baik  dalam memahami makna Q.S. at-Tīn dan Q.S. al-Mā’ūn dengan benar., dan  cukup baik  dalam memahami kisah keteladanan Luqman sebagaimana terdapat dalam al-Qur'an.</v>
      </c>
      <c r="CW9" s="139" t="e">
        <f>IF(#REF!=1,G$4," ")</f>
        <v>#REF!</v>
      </c>
      <c r="CX9" s="139" t="e">
        <f>IF(#REF!=1,H$4," ")</f>
        <v>#REF!</v>
      </c>
      <c r="CY9" s="139" t="e">
        <f>IF(#REF!=1,I$4," ")</f>
        <v>#REF!</v>
      </c>
      <c r="CZ9" s="139" t="e">
        <f>IF(#REF!=1,J$4," ")</f>
        <v>#REF!</v>
      </c>
      <c r="DA9" s="139" t="e">
        <f>IF(#REF!=1,K$4," ")</f>
        <v>#REF!</v>
      </c>
      <c r="DB9" s="139" t="e">
        <f>IF(#REF!=1,L$4," ")</f>
        <v>#REF!</v>
      </c>
      <c r="DC9" s="139" t="e">
        <f>IF(#REF!=1,M$4," ")</f>
        <v>#REF!</v>
      </c>
      <c r="DD9" s="139" t="e">
        <f>IF(#REF!=1,#REF!," ")</f>
        <v>#REF!</v>
      </c>
      <c r="DE9" s="139" t="e">
        <f>IF(#REF!=1,#REF!," ")</f>
        <v>#REF!</v>
      </c>
      <c r="DF9" s="139" t="e">
        <f>IF(#REF!=1,CH$4," ")</f>
        <v>#REF!</v>
      </c>
      <c r="DG9" s="469">
        <f t="shared" si="9"/>
        <v>83</v>
      </c>
      <c r="DJ9" s="469"/>
    </row>
    <row r="10" spans="1:114" ht="63" customHeight="1">
      <c r="B10" s="142">
        <v>5</v>
      </c>
      <c r="C10" s="143" t="str">
        <f>SISWA!B10</f>
        <v>1718250040309</v>
      </c>
      <c r="D10" s="144" t="str">
        <f>SISWA!E10</f>
        <v>ARIA</v>
      </c>
      <c r="E10" s="593">
        <v>100</v>
      </c>
      <c r="F10" s="593">
        <v>80</v>
      </c>
      <c r="G10" s="593">
        <v>80</v>
      </c>
      <c r="H10" s="593">
        <v>84</v>
      </c>
      <c r="I10" s="593">
        <v>80</v>
      </c>
      <c r="J10" s="593">
        <v>80</v>
      </c>
      <c r="K10" s="159"/>
      <c r="L10" s="159"/>
      <c r="M10" s="159"/>
      <c r="N10" s="159"/>
      <c r="O10" s="159"/>
      <c r="P10" s="159"/>
      <c r="Q10" s="159"/>
      <c r="R10" s="159"/>
      <c r="S10" s="159"/>
      <c r="T10" s="159"/>
      <c r="U10" s="159"/>
      <c r="V10" s="159"/>
      <c r="W10" s="159"/>
      <c r="X10" s="159"/>
      <c r="Y10" s="159"/>
      <c r="Z10" s="387"/>
      <c r="AA10" s="387"/>
      <c r="AB10" s="387"/>
      <c r="AC10" s="387"/>
      <c r="AD10" s="387"/>
      <c r="AE10" s="387"/>
      <c r="AF10" s="387"/>
      <c r="AG10" s="387"/>
      <c r="AH10" s="387"/>
      <c r="AI10" s="387"/>
      <c r="AJ10" s="387"/>
      <c r="AK10" s="387"/>
      <c r="AL10" s="159"/>
      <c r="AM10" s="159"/>
      <c r="AN10" s="159"/>
      <c r="AO10" s="159"/>
      <c r="AP10" s="159"/>
      <c r="AQ10" s="159"/>
      <c r="AR10" s="159"/>
      <c r="AS10" s="159"/>
      <c r="AT10" s="159"/>
      <c r="AU10" s="159"/>
      <c r="AV10" s="159"/>
      <c r="AW10" s="159"/>
      <c r="AX10" s="387"/>
      <c r="AY10" s="387"/>
      <c r="AZ10" s="387"/>
      <c r="BA10" s="387"/>
      <c r="BB10" s="387"/>
      <c r="BC10" s="387"/>
      <c r="BD10" s="387"/>
      <c r="BE10" s="387"/>
      <c r="BF10" s="387"/>
      <c r="BG10" s="387"/>
      <c r="BH10" s="387"/>
      <c r="BI10" s="387"/>
      <c r="BJ10" s="159"/>
      <c r="BK10" s="159"/>
      <c r="BL10" s="159"/>
      <c r="BM10" s="159"/>
      <c r="BN10" s="159"/>
      <c r="BO10" s="159"/>
      <c r="BP10" s="159"/>
      <c r="BQ10" s="159"/>
      <c r="BR10" s="159"/>
      <c r="BS10" s="159"/>
      <c r="BT10" s="159"/>
      <c r="BU10" s="159"/>
      <c r="BV10" s="387"/>
      <c r="BW10" s="387"/>
      <c r="BX10" s="387"/>
      <c r="BY10" s="387"/>
      <c r="BZ10" s="387"/>
      <c r="CA10" s="387"/>
      <c r="CB10" s="387"/>
      <c r="CC10" s="387"/>
      <c r="CD10" s="387"/>
      <c r="CE10" s="387"/>
      <c r="CF10" s="387"/>
      <c r="CG10" s="387"/>
      <c r="CH10" s="159"/>
      <c r="CI10" s="354">
        <f t="shared" si="0"/>
        <v>84</v>
      </c>
      <c r="CJ10" s="355" t="str">
        <f>IF(CI10&gt;KKM!$G$10,"A",IF(CI10&gt;KKM!$H$10,"B",IF(CI10&gt;=KKM!$I$10,"C","D")))</f>
        <v>B</v>
      </c>
      <c r="CK10" s="356">
        <f t="shared" si="1"/>
        <v>100</v>
      </c>
      <c r="CL10" s="361" t="str">
        <f>IF(CK10&gt;KKM!$G$10," sangat baik ",IF(CK10&gt;KKM!$H$10," baik ",IF(CK10&gt;=KKM!$I$10," cukup baik "," perlu bimbingan ")))</f>
        <v xml:space="preserve"> sangat baik </v>
      </c>
      <c r="CM10" s="357">
        <f t="shared" si="2"/>
        <v>80</v>
      </c>
      <c r="CN10" s="361" t="str">
        <f>IF(CM10&gt;KKM!$G$10," sangat baik ",IF(CM10&gt;KKM!$H$10," baik ",IF(CM10&gt;=KKM!$I$10," cukup baik "," perlu bimbingan ")))</f>
        <v xml:space="preserve"> baik </v>
      </c>
      <c r="CO10" s="353" t="str">
        <f t="shared" si="10"/>
        <v>ARIA sangat baik  dalam memahami makna Q.S. at-Tīn dan Q.S. al-Mā’ūn dengan benar., dan  baik  dalam memahami nama-nama Rasul Allah dan Rasul Ulul ‘Azmi.</v>
      </c>
      <c r="CP10" s="485"/>
      <c r="CQ10" s="359" t="str">
        <f t="shared" si="3"/>
        <v xml:space="preserve"> sangat baik  dalam memahami makna Q.S. at-Tīn dan Q.S. al-Mā’ūn dengan benar.</v>
      </c>
      <c r="CR10" s="359" t="str">
        <f t="shared" si="4"/>
        <v xml:space="preserve"> baik  dalam memahami nama-nama Rasul Allah dan Rasul Ulul ‘Azmi.</v>
      </c>
      <c r="CS10" s="359" t="str">
        <f t="shared" si="6"/>
        <v xml:space="preserve"> sangat baik  dalam memahami makna Q.S. at-Tīn dan Q.S. al-Mā’ūn dengan benar., dan  baik  dalam memahami nama-nama Rasul Allah dan Rasul Ulul ‘Azmi.</v>
      </c>
      <c r="CT10" s="359" t="str">
        <f t="shared" si="7"/>
        <v xml:space="preserve"> </v>
      </c>
      <c r="CU10" s="360" t="str">
        <f t="shared" si="8"/>
        <v xml:space="preserve"> sangat baik  dalam memahami makna Q.S. at-Tīn dan Q.S. al-Mā’ūn dengan benar., dan  baik  dalam memahami nama-nama Rasul Allah dan Rasul Ulul ‘Azmi.</v>
      </c>
      <c r="CV10" s="353" t="str">
        <f t="shared" si="5"/>
        <v>ARIA sangat baik  dalam memahami makna Q.S. at-Tīn dan Q.S. al-Mā’ūn dengan benar., dan  baik  dalam memahami nama-nama Rasul Allah dan Rasul Ulul ‘Azmi.</v>
      </c>
      <c r="CW10" s="139" t="e">
        <f>IF(#REF!=1,G$4," ")</f>
        <v>#REF!</v>
      </c>
      <c r="CX10" s="139" t="e">
        <f>IF(#REF!=1,H$4," ")</f>
        <v>#REF!</v>
      </c>
      <c r="CY10" s="139" t="e">
        <f>IF(#REF!=1,I$4," ")</f>
        <v>#REF!</v>
      </c>
      <c r="CZ10" s="139" t="e">
        <f>IF(#REF!=1,J$4," ")</f>
        <v>#REF!</v>
      </c>
      <c r="DA10" s="139" t="e">
        <f>IF(#REF!=1,K$4," ")</f>
        <v>#REF!</v>
      </c>
      <c r="DB10" s="139" t="e">
        <f>IF(#REF!=1,L$4," ")</f>
        <v>#REF!</v>
      </c>
      <c r="DC10" s="139" t="e">
        <f>IF(#REF!=1,M$4," ")</f>
        <v>#REF!</v>
      </c>
      <c r="DD10" s="139" t="e">
        <f>IF(#REF!=1,#REF!," ")</f>
        <v>#REF!</v>
      </c>
      <c r="DE10" s="139" t="e">
        <f>IF(#REF!=1,#REF!," ")</f>
        <v>#REF!</v>
      </c>
      <c r="DF10" s="139" t="e">
        <f>IF(#REF!=1,CH$4," ")</f>
        <v>#REF!</v>
      </c>
      <c r="DG10" s="469">
        <f t="shared" si="9"/>
        <v>84</v>
      </c>
      <c r="DJ10" s="469"/>
    </row>
    <row r="11" spans="1:114" ht="63" customHeight="1">
      <c r="B11" s="142">
        <v>6</v>
      </c>
      <c r="C11" s="143" t="str">
        <f>SISWA!B11</f>
        <v>1718250040310</v>
      </c>
      <c r="D11" s="144" t="str">
        <f>SISWA!E11</f>
        <v>CAHAYA</v>
      </c>
      <c r="E11" s="593">
        <v>100</v>
      </c>
      <c r="F11" s="593">
        <v>79</v>
      </c>
      <c r="G11" s="593">
        <v>75</v>
      </c>
      <c r="H11" s="593">
        <v>90</v>
      </c>
      <c r="I11" s="593">
        <v>85</v>
      </c>
      <c r="J11" s="593">
        <v>75</v>
      </c>
      <c r="K11" s="159"/>
      <c r="L11" s="159"/>
      <c r="M11" s="159"/>
      <c r="N11" s="159"/>
      <c r="O11" s="159"/>
      <c r="P11" s="159"/>
      <c r="Q11" s="159"/>
      <c r="R11" s="159"/>
      <c r="S11" s="159"/>
      <c r="T11" s="159"/>
      <c r="U11" s="159"/>
      <c r="V11" s="159"/>
      <c r="W11" s="159"/>
      <c r="X11" s="159"/>
      <c r="Y11" s="159"/>
      <c r="Z11" s="387"/>
      <c r="AA11" s="387"/>
      <c r="AB11" s="387"/>
      <c r="AC11" s="387"/>
      <c r="AD11" s="387"/>
      <c r="AE11" s="387"/>
      <c r="AF11" s="387"/>
      <c r="AG11" s="387"/>
      <c r="AH11" s="387"/>
      <c r="AI11" s="387"/>
      <c r="AJ11" s="387"/>
      <c r="AK11" s="387"/>
      <c r="AL11" s="159"/>
      <c r="AM11" s="159"/>
      <c r="AN11" s="159"/>
      <c r="AO11" s="159"/>
      <c r="AP11" s="159"/>
      <c r="AQ11" s="159"/>
      <c r="AR11" s="159"/>
      <c r="AS11" s="159"/>
      <c r="AT11" s="159"/>
      <c r="AU11" s="159"/>
      <c r="AV11" s="159"/>
      <c r="AW11" s="159"/>
      <c r="AX11" s="387"/>
      <c r="AY11" s="387"/>
      <c r="AZ11" s="387"/>
      <c r="BA11" s="387"/>
      <c r="BB11" s="387"/>
      <c r="BC11" s="387"/>
      <c r="BD11" s="387"/>
      <c r="BE11" s="387"/>
      <c r="BF11" s="387"/>
      <c r="BG11" s="387"/>
      <c r="BH11" s="387"/>
      <c r="BI11" s="387"/>
      <c r="BJ11" s="159"/>
      <c r="BK11" s="159"/>
      <c r="BL11" s="159"/>
      <c r="BM11" s="159"/>
      <c r="BN11" s="159"/>
      <c r="BO11" s="159"/>
      <c r="BP11" s="159"/>
      <c r="BQ11" s="159"/>
      <c r="BR11" s="159"/>
      <c r="BS11" s="159"/>
      <c r="BT11" s="159"/>
      <c r="BU11" s="159"/>
      <c r="BV11" s="387"/>
      <c r="BW11" s="387"/>
      <c r="BX11" s="387"/>
      <c r="BY11" s="387"/>
      <c r="BZ11" s="387"/>
      <c r="CA11" s="387"/>
      <c r="CB11" s="387"/>
      <c r="CC11" s="387"/>
      <c r="CD11" s="387"/>
      <c r="CE11" s="387"/>
      <c r="CF11" s="387"/>
      <c r="CG11" s="387"/>
      <c r="CH11" s="159"/>
      <c r="CI11" s="354">
        <f t="shared" si="0"/>
        <v>84</v>
      </c>
      <c r="CJ11" s="355" t="str">
        <f>IF(CI11&gt;KKM!$G$10,"A",IF(CI11&gt;KKM!$H$10,"B",IF(CI11&gt;=KKM!$I$10,"C","D")))</f>
        <v>B</v>
      </c>
      <c r="CK11" s="356">
        <f t="shared" si="1"/>
        <v>100</v>
      </c>
      <c r="CL11" s="361" t="str">
        <f>IF(CK11&gt;KKM!$G$10," sangat baik ",IF(CK11&gt;KKM!$H$10," baik ",IF(CK11&gt;=KKM!$I$10," cukup baik "," perlu bimbingan ")))</f>
        <v xml:space="preserve"> sangat baik </v>
      </c>
      <c r="CM11" s="357">
        <f t="shared" si="2"/>
        <v>75</v>
      </c>
      <c r="CN11" s="361" t="str">
        <f>IF(CM11&gt;KKM!$G$10," sangat baik ",IF(CM11&gt;KKM!$H$10," baik ",IF(CM11&gt;=KKM!$I$10," cukup baik "," perlu bimbingan ")))</f>
        <v xml:space="preserve"> cukup baik </v>
      </c>
      <c r="CO11" s="353" t="str">
        <f t="shared" si="10"/>
        <v>CAHAYA sangat baik  dalam memahami makna Q.S. at-Tīn dan Q.S. al-Mā’ūn dengan benar., dan  cukup baik  dalam memahami makna sederhana dalam kehidupan sehari-hari.</v>
      </c>
      <c r="CP11" s="485"/>
      <c r="CQ11" s="359" t="str">
        <f t="shared" si="3"/>
        <v xml:space="preserve"> sangat baik  dalam memahami makna Q.S. at-Tīn dan Q.S. al-Mā’ūn dengan benar.</v>
      </c>
      <c r="CR11" s="359" t="str">
        <f t="shared" si="4"/>
        <v xml:space="preserve"> cukup baik  dalam memahami makna sederhana dalam kehidupan sehari-hari.</v>
      </c>
      <c r="CS11" s="359" t="str">
        <f t="shared" si="6"/>
        <v xml:space="preserve"> sangat baik  dalam memahami makna Q.S. at-Tīn dan Q.S. al-Mā’ūn dengan benar., dan  cukup baik  dalam memahami makna sederhana dalam kehidupan sehari-hari.</v>
      </c>
      <c r="CT11" s="359" t="str">
        <f t="shared" si="7"/>
        <v xml:space="preserve"> </v>
      </c>
      <c r="CU11" s="360" t="str">
        <f t="shared" si="8"/>
        <v xml:space="preserve"> sangat baik  dalam memahami makna Q.S. at-Tīn dan Q.S. al-Mā’ūn dengan benar., dan  cukup baik  dalam memahami makna sederhana dalam kehidupan sehari-hari.</v>
      </c>
      <c r="CV11" s="353" t="str">
        <f t="shared" si="5"/>
        <v>CAHAYA sangat baik  dalam memahami makna Q.S. at-Tīn dan Q.S. al-Mā’ūn dengan benar., dan  cukup baik  dalam memahami makna sederhana dalam kehidupan sehari-hari.</v>
      </c>
      <c r="CW11" s="139" t="e">
        <f>IF(#REF!=1,G$4," ")</f>
        <v>#REF!</v>
      </c>
      <c r="CX11" s="139" t="e">
        <f>IF(#REF!=1,H$4," ")</f>
        <v>#REF!</v>
      </c>
      <c r="CY11" s="139" t="e">
        <f>IF(#REF!=1,I$4," ")</f>
        <v>#REF!</v>
      </c>
      <c r="CZ11" s="139" t="e">
        <f>IF(#REF!=1,J$4," ")</f>
        <v>#REF!</v>
      </c>
      <c r="DA11" s="139" t="e">
        <f>IF(#REF!=1,K$4," ")</f>
        <v>#REF!</v>
      </c>
      <c r="DB11" s="139" t="e">
        <f>IF(#REF!=1,L$4," ")</f>
        <v>#REF!</v>
      </c>
      <c r="DC11" s="139" t="e">
        <f>IF(#REF!=1,M$4," ")</f>
        <v>#REF!</v>
      </c>
      <c r="DD11" s="139" t="e">
        <f>IF(#REF!=1,#REF!," ")</f>
        <v>#REF!</v>
      </c>
      <c r="DE11" s="139" t="e">
        <f>IF(#REF!=1,#REF!," ")</f>
        <v>#REF!</v>
      </c>
      <c r="DF11" s="139" t="e">
        <f>IF(#REF!=1,CH$4," ")</f>
        <v>#REF!</v>
      </c>
      <c r="DG11" s="469">
        <f t="shared" si="9"/>
        <v>84</v>
      </c>
      <c r="DJ11" s="469"/>
    </row>
    <row r="12" spans="1:114" ht="63" customHeight="1">
      <c r="B12" s="142">
        <v>7</v>
      </c>
      <c r="C12" s="143" t="str">
        <f>SISWA!B12</f>
        <v>1718250040311</v>
      </c>
      <c r="D12" s="144" t="str">
        <f>SISWA!E12</f>
        <v>CALISTA</v>
      </c>
      <c r="E12" s="593">
        <v>75</v>
      </c>
      <c r="F12" s="593">
        <v>75</v>
      </c>
      <c r="G12" s="593">
        <v>80</v>
      </c>
      <c r="H12" s="593">
        <v>75</v>
      </c>
      <c r="I12" s="593">
        <v>75</v>
      </c>
      <c r="J12" s="593">
        <v>75</v>
      </c>
      <c r="K12" s="159"/>
      <c r="L12" s="159"/>
      <c r="M12" s="159"/>
      <c r="N12" s="159"/>
      <c r="O12" s="159"/>
      <c r="P12" s="159"/>
      <c r="Q12" s="159"/>
      <c r="R12" s="159"/>
      <c r="S12" s="159"/>
      <c r="T12" s="159"/>
      <c r="U12" s="159"/>
      <c r="V12" s="159"/>
      <c r="W12" s="159"/>
      <c r="X12" s="159"/>
      <c r="Y12" s="159"/>
      <c r="Z12" s="387"/>
      <c r="AA12" s="387"/>
      <c r="AB12" s="387"/>
      <c r="AC12" s="387"/>
      <c r="AD12" s="387"/>
      <c r="AE12" s="387"/>
      <c r="AF12" s="387"/>
      <c r="AG12" s="387"/>
      <c r="AH12" s="387"/>
      <c r="AI12" s="387"/>
      <c r="AJ12" s="387"/>
      <c r="AK12" s="387"/>
      <c r="AL12" s="159"/>
      <c r="AM12" s="159"/>
      <c r="AN12" s="159"/>
      <c r="AO12" s="159"/>
      <c r="AP12" s="159"/>
      <c r="AQ12" s="159"/>
      <c r="AR12" s="159"/>
      <c r="AS12" s="159"/>
      <c r="AT12" s="159"/>
      <c r="AU12" s="159"/>
      <c r="AV12" s="159"/>
      <c r="AW12" s="159"/>
      <c r="AX12" s="387"/>
      <c r="AY12" s="387"/>
      <c r="AZ12" s="387"/>
      <c r="BA12" s="387"/>
      <c r="BB12" s="387"/>
      <c r="BC12" s="387"/>
      <c r="BD12" s="387"/>
      <c r="BE12" s="387"/>
      <c r="BF12" s="387"/>
      <c r="BG12" s="387"/>
      <c r="BH12" s="387"/>
      <c r="BI12" s="387"/>
      <c r="BJ12" s="159"/>
      <c r="BK12" s="159"/>
      <c r="BL12" s="159"/>
      <c r="BM12" s="159"/>
      <c r="BN12" s="159"/>
      <c r="BO12" s="159"/>
      <c r="BP12" s="159"/>
      <c r="BQ12" s="159"/>
      <c r="BR12" s="159"/>
      <c r="BS12" s="159"/>
      <c r="BT12" s="159"/>
      <c r="BU12" s="159"/>
      <c r="BV12" s="387"/>
      <c r="BW12" s="387"/>
      <c r="BX12" s="387"/>
      <c r="BY12" s="387"/>
      <c r="BZ12" s="387"/>
      <c r="CA12" s="387"/>
      <c r="CB12" s="387"/>
      <c r="CC12" s="387"/>
      <c r="CD12" s="387"/>
      <c r="CE12" s="387"/>
      <c r="CF12" s="387"/>
      <c r="CG12" s="387"/>
      <c r="CH12" s="159"/>
      <c r="CI12" s="354">
        <f t="shared" si="0"/>
        <v>76</v>
      </c>
      <c r="CJ12" s="355" t="str">
        <f>IF(CI12&gt;KKM!$G$10,"A",IF(CI12&gt;KKM!$H$10,"B",IF(CI12&gt;=KKM!$I$10,"C","D")))</f>
        <v>C</v>
      </c>
      <c r="CK12" s="356">
        <f t="shared" si="1"/>
        <v>80</v>
      </c>
      <c r="CL12" s="361" t="str">
        <f>IF(CK12&gt;KKM!$G$10," sangat baik ",IF(CK12&gt;KKM!$H$10," baik ",IF(CK12&gt;=KKM!$I$10," cukup baik "," perlu bimbingan ")))</f>
        <v xml:space="preserve"> baik </v>
      </c>
      <c r="CM12" s="357">
        <f t="shared" si="2"/>
        <v>75</v>
      </c>
      <c r="CN12" s="361" t="str">
        <f>IF(CM12&gt;KKM!$G$10," sangat baik ",IF(CM12&gt;KKM!$H$10," baik ",IF(CM12&gt;=KKM!$I$10," cukup baik "," perlu bimbingan ")))</f>
        <v xml:space="preserve"> cukup baik </v>
      </c>
      <c r="CO12" s="353" t="str">
        <f t="shared" si="10"/>
        <v>CALISTA baik  dalam memahami makna sederhana dalam kehidupan sehari-hari., dan  cukup baik  dalam memahami makna Q.S. at-Tīn dan Q.S. al-Mā’ūn dengan benar.</v>
      </c>
      <c r="CP12" s="485"/>
      <c r="CQ12" s="359" t="str">
        <f t="shared" si="3"/>
        <v xml:space="preserve"> baik  dalam memahami makna sederhana dalam kehidupan sehari-hari.</v>
      </c>
      <c r="CR12" s="359" t="str">
        <f t="shared" si="4"/>
        <v xml:space="preserve"> cukup baik  dalam memahami makna Q.S. at-Tīn dan Q.S. al-Mā’ūn dengan benar.</v>
      </c>
      <c r="CS12" s="359" t="str">
        <f t="shared" si="6"/>
        <v xml:space="preserve"> baik  dalam memahami makna sederhana dalam kehidupan sehari-hari., dan  cukup baik  dalam memahami makna Q.S. at-Tīn dan Q.S. al-Mā’ūn dengan benar.</v>
      </c>
      <c r="CT12" s="359" t="str">
        <f t="shared" si="7"/>
        <v xml:space="preserve"> </v>
      </c>
      <c r="CU12" s="360" t="str">
        <f t="shared" si="8"/>
        <v xml:space="preserve"> baik  dalam memahami makna sederhana dalam kehidupan sehari-hari., dan  cukup baik  dalam memahami makna Q.S. at-Tīn dan Q.S. al-Mā’ūn dengan benar.</v>
      </c>
      <c r="CV12" s="353" t="str">
        <f t="shared" si="5"/>
        <v>CALISTA baik  dalam memahami makna sederhana dalam kehidupan sehari-hari., dan  cukup baik  dalam memahami makna Q.S. at-Tīn dan Q.S. al-Mā’ūn dengan benar.</v>
      </c>
      <c r="CW12" s="139" t="e">
        <f>IF(#REF!=1,G$4," ")</f>
        <v>#REF!</v>
      </c>
      <c r="CX12" s="139" t="e">
        <f>IF(#REF!=1,H$4," ")</f>
        <v>#REF!</v>
      </c>
      <c r="CY12" s="139" t="e">
        <f>IF(#REF!=1,I$4," ")</f>
        <v>#REF!</v>
      </c>
      <c r="CZ12" s="139" t="e">
        <f>IF(#REF!=1,J$4," ")</f>
        <v>#REF!</v>
      </c>
      <c r="DA12" s="139" t="e">
        <f>IF(#REF!=1,K$4," ")</f>
        <v>#REF!</v>
      </c>
      <c r="DB12" s="139" t="e">
        <f>IF(#REF!=1,L$4," ")</f>
        <v>#REF!</v>
      </c>
      <c r="DC12" s="139" t="e">
        <f>IF(#REF!=1,M$4," ")</f>
        <v>#REF!</v>
      </c>
      <c r="DD12" s="139" t="e">
        <f>IF(#REF!=1,#REF!," ")</f>
        <v>#REF!</v>
      </c>
      <c r="DE12" s="139" t="e">
        <f>IF(#REF!=1,#REF!," ")</f>
        <v>#REF!</v>
      </c>
      <c r="DF12" s="139" t="e">
        <f>IF(#REF!=1,CH$4," ")</f>
        <v>#REF!</v>
      </c>
      <c r="DG12" s="469">
        <f t="shared" si="9"/>
        <v>76</v>
      </c>
      <c r="DJ12" s="469"/>
    </row>
    <row r="13" spans="1:114" ht="63" customHeight="1">
      <c r="B13" s="142">
        <v>8</v>
      </c>
      <c r="C13" s="143" t="str">
        <f>SISWA!B13</f>
        <v>1718250040312</v>
      </c>
      <c r="D13" s="144" t="str">
        <f>SISWA!E13</f>
        <v>CARISSA</v>
      </c>
      <c r="E13" s="593">
        <v>90</v>
      </c>
      <c r="F13" s="593">
        <v>80</v>
      </c>
      <c r="G13" s="593">
        <v>75</v>
      </c>
      <c r="H13" s="593">
        <v>90</v>
      </c>
      <c r="I13" s="593">
        <v>83</v>
      </c>
      <c r="J13" s="593">
        <v>80</v>
      </c>
      <c r="K13" s="159"/>
      <c r="L13" s="159"/>
      <c r="M13" s="159"/>
      <c r="N13" s="159"/>
      <c r="O13" s="159"/>
      <c r="P13" s="159"/>
      <c r="Q13" s="159"/>
      <c r="R13" s="159"/>
      <c r="S13" s="159"/>
      <c r="T13" s="159"/>
      <c r="U13" s="159"/>
      <c r="V13" s="159"/>
      <c r="W13" s="159"/>
      <c r="X13" s="159"/>
      <c r="Y13" s="159"/>
      <c r="Z13" s="387"/>
      <c r="AA13" s="387"/>
      <c r="AB13" s="387"/>
      <c r="AC13" s="387"/>
      <c r="AD13" s="387"/>
      <c r="AE13" s="387"/>
      <c r="AF13" s="387"/>
      <c r="AG13" s="387"/>
      <c r="AH13" s="387"/>
      <c r="AI13" s="387"/>
      <c r="AJ13" s="387"/>
      <c r="AK13" s="387"/>
      <c r="AL13" s="159"/>
      <c r="AM13" s="159"/>
      <c r="AN13" s="159"/>
      <c r="AO13" s="159"/>
      <c r="AP13" s="159"/>
      <c r="AQ13" s="159"/>
      <c r="AR13" s="159"/>
      <c r="AS13" s="159"/>
      <c r="AT13" s="159"/>
      <c r="AU13" s="159"/>
      <c r="AV13" s="159"/>
      <c r="AW13" s="159"/>
      <c r="AX13" s="387"/>
      <c r="AY13" s="387"/>
      <c r="AZ13" s="387"/>
      <c r="BA13" s="387"/>
      <c r="BB13" s="387"/>
      <c r="BC13" s="387"/>
      <c r="BD13" s="387"/>
      <c r="BE13" s="387"/>
      <c r="BF13" s="387"/>
      <c r="BG13" s="387"/>
      <c r="BH13" s="387"/>
      <c r="BI13" s="387"/>
      <c r="BJ13" s="159"/>
      <c r="BK13" s="159"/>
      <c r="BL13" s="159"/>
      <c r="BM13" s="159"/>
      <c r="BN13" s="159"/>
      <c r="BO13" s="159"/>
      <c r="BP13" s="159"/>
      <c r="BQ13" s="159"/>
      <c r="BR13" s="159"/>
      <c r="BS13" s="159"/>
      <c r="BT13" s="159"/>
      <c r="BU13" s="159"/>
      <c r="BV13" s="387"/>
      <c r="BW13" s="387"/>
      <c r="BX13" s="387"/>
      <c r="BY13" s="387"/>
      <c r="BZ13" s="387"/>
      <c r="CA13" s="387"/>
      <c r="CB13" s="387"/>
      <c r="CC13" s="387"/>
      <c r="CD13" s="387"/>
      <c r="CE13" s="387"/>
      <c r="CF13" s="387"/>
      <c r="CG13" s="387"/>
      <c r="CH13" s="159"/>
      <c r="CI13" s="354">
        <f t="shared" si="0"/>
        <v>83</v>
      </c>
      <c r="CJ13" s="355" t="str">
        <f>IF(CI13&gt;KKM!$G$10,"A",IF(CI13&gt;KKM!$H$10,"B",IF(CI13&gt;=KKM!$I$10,"C","D")))</f>
        <v>B</v>
      </c>
      <c r="CK13" s="356">
        <f t="shared" si="1"/>
        <v>90</v>
      </c>
      <c r="CL13" s="361" t="str">
        <f>IF(CK13&gt;KKM!$G$10," sangat baik ",IF(CK13&gt;KKM!$H$10," baik ",IF(CK13&gt;=KKM!$I$10," cukup baik "," perlu bimbingan ")))</f>
        <v xml:space="preserve"> sangat baik </v>
      </c>
      <c r="CM13" s="357">
        <f t="shared" si="2"/>
        <v>75</v>
      </c>
      <c r="CN13" s="361" t="str">
        <f>IF(CM13&gt;KKM!$G$10," sangat baik ",IF(CM13&gt;KKM!$H$10," baik ",IF(CM13&gt;=KKM!$I$10," cukup baik "," perlu bimbingan ")))</f>
        <v xml:space="preserve"> cukup baik </v>
      </c>
      <c r="CO13" s="353" t="str">
        <f t="shared" si="10"/>
        <v>CARISSA sangat baik  dalam memahami makna Q.S. at-Tīn dan Q.S. al-Mā’ūn dengan benar., dan  cukup baik  dalam memahami makna sederhana dalam kehidupan sehari-hari.</v>
      </c>
      <c r="CP13" s="485"/>
      <c r="CQ13" s="359" t="str">
        <f t="shared" si="3"/>
        <v xml:space="preserve"> sangat baik  dalam memahami makna Q.S. at-Tīn dan Q.S. al-Mā’ūn dengan benar.</v>
      </c>
      <c r="CR13" s="359" t="str">
        <f t="shared" si="4"/>
        <v xml:space="preserve"> cukup baik  dalam memahami makna sederhana dalam kehidupan sehari-hari.</v>
      </c>
      <c r="CS13" s="359" t="str">
        <f t="shared" si="6"/>
        <v xml:space="preserve"> sangat baik  dalam memahami makna Q.S. at-Tīn dan Q.S. al-Mā’ūn dengan benar., dan  cukup baik  dalam memahami makna sederhana dalam kehidupan sehari-hari.</v>
      </c>
      <c r="CT13" s="359" t="str">
        <f t="shared" si="7"/>
        <v xml:space="preserve"> </v>
      </c>
      <c r="CU13" s="360" t="str">
        <f t="shared" si="8"/>
        <v xml:space="preserve"> sangat baik  dalam memahami makna Q.S. at-Tīn dan Q.S. al-Mā’ūn dengan benar., dan  cukup baik  dalam memahami makna sederhana dalam kehidupan sehari-hari.</v>
      </c>
      <c r="CV13" s="353" t="str">
        <f t="shared" si="5"/>
        <v>CARISSA sangat baik  dalam memahami makna Q.S. at-Tīn dan Q.S. al-Mā’ūn dengan benar., dan  cukup baik  dalam memahami makna sederhana dalam kehidupan sehari-hari.</v>
      </c>
      <c r="CW13" s="139" t="e">
        <f>IF(#REF!=1,G$4," ")</f>
        <v>#REF!</v>
      </c>
      <c r="CX13" s="139" t="e">
        <f>IF(#REF!=1,H$4," ")</f>
        <v>#REF!</v>
      </c>
      <c r="CY13" s="139" t="e">
        <f>IF(#REF!=1,I$4," ")</f>
        <v>#REF!</v>
      </c>
      <c r="CZ13" s="139" t="e">
        <f>IF(#REF!=1,J$4," ")</f>
        <v>#REF!</v>
      </c>
      <c r="DA13" s="139" t="e">
        <f>IF(#REF!=1,K$4," ")</f>
        <v>#REF!</v>
      </c>
      <c r="DB13" s="139" t="e">
        <f>IF(#REF!=1,L$4," ")</f>
        <v>#REF!</v>
      </c>
      <c r="DC13" s="139" t="e">
        <f>IF(#REF!=1,M$4," ")</f>
        <v>#REF!</v>
      </c>
      <c r="DD13" s="139" t="e">
        <f>IF(#REF!=1,#REF!," ")</f>
        <v>#REF!</v>
      </c>
      <c r="DE13" s="139" t="e">
        <f>IF(#REF!=1,#REF!," ")</f>
        <v>#REF!</v>
      </c>
      <c r="DF13" s="139" t="e">
        <f>IF(#REF!=1,CH$4," ")</f>
        <v>#REF!</v>
      </c>
      <c r="DG13" s="469">
        <f t="shared" si="9"/>
        <v>83</v>
      </c>
      <c r="DJ13" s="469"/>
    </row>
    <row r="14" spans="1:114" ht="63" customHeight="1">
      <c r="B14" s="142">
        <v>9</v>
      </c>
      <c r="C14" s="143" t="str">
        <f>SISWA!B14</f>
        <v>1718250040313</v>
      </c>
      <c r="D14" s="144" t="str">
        <f>SISWA!E14</f>
        <v>CHAIDAR</v>
      </c>
      <c r="E14" s="593">
        <v>90</v>
      </c>
      <c r="F14" s="593">
        <v>75</v>
      </c>
      <c r="G14" s="593">
        <v>75</v>
      </c>
      <c r="H14" s="593">
        <v>80</v>
      </c>
      <c r="I14" s="593">
        <v>80</v>
      </c>
      <c r="J14" s="593">
        <v>83</v>
      </c>
      <c r="K14" s="159"/>
      <c r="L14" s="159"/>
      <c r="M14" s="159"/>
      <c r="N14" s="159"/>
      <c r="O14" s="159"/>
      <c r="P14" s="159"/>
      <c r="Q14" s="159"/>
      <c r="R14" s="159"/>
      <c r="S14" s="159"/>
      <c r="T14" s="159"/>
      <c r="U14" s="159"/>
      <c r="V14" s="159"/>
      <c r="W14" s="159"/>
      <c r="X14" s="159"/>
      <c r="Y14" s="159"/>
      <c r="Z14" s="387"/>
      <c r="AA14" s="387"/>
      <c r="AB14" s="387"/>
      <c r="AC14" s="387"/>
      <c r="AD14" s="387"/>
      <c r="AE14" s="387"/>
      <c r="AF14" s="387"/>
      <c r="AG14" s="387"/>
      <c r="AH14" s="387"/>
      <c r="AI14" s="387"/>
      <c r="AJ14" s="387"/>
      <c r="AK14" s="387"/>
      <c r="AL14" s="159"/>
      <c r="AM14" s="159"/>
      <c r="AN14" s="159"/>
      <c r="AO14" s="159"/>
      <c r="AP14" s="159"/>
      <c r="AQ14" s="159"/>
      <c r="AR14" s="159"/>
      <c r="AS14" s="159"/>
      <c r="AT14" s="159"/>
      <c r="AU14" s="159"/>
      <c r="AV14" s="159"/>
      <c r="AW14" s="159"/>
      <c r="AX14" s="387"/>
      <c r="AY14" s="387"/>
      <c r="AZ14" s="387"/>
      <c r="BA14" s="387"/>
      <c r="BB14" s="387"/>
      <c r="BC14" s="387"/>
      <c r="BD14" s="387"/>
      <c r="BE14" s="387"/>
      <c r="BF14" s="387"/>
      <c r="BG14" s="387"/>
      <c r="BH14" s="387"/>
      <c r="BI14" s="387"/>
      <c r="BJ14" s="159"/>
      <c r="BK14" s="159"/>
      <c r="BL14" s="159"/>
      <c r="BM14" s="159"/>
      <c r="BN14" s="159"/>
      <c r="BO14" s="159"/>
      <c r="BP14" s="159"/>
      <c r="BQ14" s="159"/>
      <c r="BR14" s="159"/>
      <c r="BS14" s="159"/>
      <c r="BT14" s="159"/>
      <c r="BU14" s="159"/>
      <c r="BV14" s="387"/>
      <c r="BW14" s="387"/>
      <c r="BX14" s="387"/>
      <c r="BY14" s="387"/>
      <c r="BZ14" s="387"/>
      <c r="CA14" s="387"/>
      <c r="CB14" s="387"/>
      <c r="CC14" s="387"/>
      <c r="CD14" s="387"/>
      <c r="CE14" s="387"/>
      <c r="CF14" s="387"/>
      <c r="CG14" s="387"/>
      <c r="CH14" s="159"/>
      <c r="CI14" s="354">
        <f t="shared" si="0"/>
        <v>81</v>
      </c>
      <c r="CJ14" s="355" t="str">
        <f>IF(CI14&gt;KKM!$G$10,"A",IF(CI14&gt;KKM!$H$10,"B",IF(CI14&gt;=KKM!$I$10,"C","D")))</f>
        <v>B</v>
      </c>
      <c r="CK14" s="356">
        <f t="shared" si="1"/>
        <v>90</v>
      </c>
      <c r="CL14" s="361" t="str">
        <f>IF(CK14&gt;KKM!$G$10," sangat baik ",IF(CK14&gt;KKM!$H$10," baik ",IF(CK14&gt;=KKM!$I$10," cukup baik "," perlu bimbingan ")))</f>
        <v xml:space="preserve"> sangat baik </v>
      </c>
      <c r="CM14" s="357">
        <f t="shared" si="2"/>
        <v>75</v>
      </c>
      <c r="CN14" s="361" t="str">
        <f>IF(CM14&gt;KKM!$G$10," sangat baik ",IF(CM14&gt;KKM!$H$10," baik ",IF(CM14&gt;=KKM!$I$10," cukup baik "," perlu bimbingan ")))</f>
        <v xml:space="preserve"> cukup baik </v>
      </c>
      <c r="CO14" s="353" t="str">
        <f t="shared" si="10"/>
        <v>CHAIDAR sangat baik  dalam memahami makna Q.S. at-Tīn dan Q.S. al-Mā’ūn dengan benar., dan  cukup baik  dalam memahami nama-nama Rasul Allah dan Rasul Ulul ‘Azmi.</v>
      </c>
      <c r="CP14" s="485"/>
      <c r="CQ14" s="359" t="str">
        <f t="shared" si="3"/>
        <v xml:space="preserve"> sangat baik  dalam memahami makna Q.S. at-Tīn dan Q.S. al-Mā’ūn dengan benar.</v>
      </c>
      <c r="CR14" s="359" t="str">
        <f t="shared" si="4"/>
        <v xml:space="preserve"> cukup baik  dalam memahami nama-nama Rasul Allah dan Rasul Ulul ‘Azmi.</v>
      </c>
      <c r="CS14" s="359" t="str">
        <f t="shared" si="6"/>
        <v xml:space="preserve"> sangat baik  dalam memahami makna Q.S. at-Tīn dan Q.S. al-Mā’ūn dengan benar., dan  cukup baik  dalam memahami nama-nama Rasul Allah dan Rasul Ulul ‘Azmi.</v>
      </c>
      <c r="CT14" s="359" t="str">
        <f t="shared" si="7"/>
        <v xml:space="preserve"> </v>
      </c>
      <c r="CU14" s="360" t="str">
        <f t="shared" si="8"/>
        <v xml:space="preserve"> sangat baik  dalam memahami makna Q.S. at-Tīn dan Q.S. al-Mā’ūn dengan benar., dan  cukup baik  dalam memahami nama-nama Rasul Allah dan Rasul Ulul ‘Azmi.</v>
      </c>
      <c r="CV14" s="353" t="str">
        <f t="shared" si="5"/>
        <v>CHAIDAR sangat baik  dalam memahami makna Q.S. at-Tīn dan Q.S. al-Mā’ūn dengan benar., dan  cukup baik  dalam memahami nama-nama Rasul Allah dan Rasul Ulul ‘Azmi.</v>
      </c>
      <c r="CW14" s="139" t="e">
        <f>IF(#REF!=1,G$4," ")</f>
        <v>#REF!</v>
      </c>
      <c r="CX14" s="139" t="e">
        <f>IF(#REF!=1,H$4," ")</f>
        <v>#REF!</v>
      </c>
      <c r="CY14" s="139" t="e">
        <f>IF(#REF!=1,I$4," ")</f>
        <v>#REF!</v>
      </c>
      <c r="CZ14" s="139" t="e">
        <f>IF(#REF!=1,J$4," ")</f>
        <v>#REF!</v>
      </c>
      <c r="DA14" s="139" t="e">
        <f>IF(#REF!=1,K$4," ")</f>
        <v>#REF!</v>
      </c>
      <c r="DB14" s="139" t="e">
        <f>IF(#REF!=1,L$4," ")</f>
        <v>#REF!</v>
      </c>
      <c r="DC14" s="139" t="e">
        <f>IF(#REF!=1,M$4," ")</f>
        <v>#REF!</v>
      </c>
      <c r="DD14" s="139" t="e">
        <f>IF(#REF!=1,#REF!," ")</f>
        <v>#REF!</v>
      </c>
      <c r="DE14" s="139" t="e">
        <f>IF(#REF!=1,#REF!," ")</f>
        <v>#REF!</v>
      </c>
      <c r="DF14" s="139" t="e">
        <f>IF(#REF!=1,CH$4," ")</f>
        <v>#REF!</v>
      </c>
      <c r="DG14" s="469">
        <f t="shared" si="9"/>
        <v>81</v>
      </c>
      <c r="DJ14" s="469"/>
    </row>
    <row r="15" spans="1:114" ht="63" customHeight="1">
      <c r="B15" s="142">
        <v>10</v>
      </c>
      <c r="C15" s="143" t="str">
        <f>SISWA!B15</f>
        <v>1718250040314</v>
      </c>
      <c r="D15" s="144" t="str">
        <f>SISWA!E15</f>
        <v>DAVKA</v>
      </c>
      <c r="E15" s="593">
        <v>100</v>
      </c>
      <c r="F15" s="593">
        <v>75</v>
      </c>
      <c r="G15" s="593">
        <v>80</v>
      </c>
      <c r="H15" s="593">
        <v>75</v>
      </c>
      <c r="I15" s="593">
        <v>85</v>
      </c>
      <c r="J15" s="593">
        <v>82</v>
      </c>
      <c r="K15" s="159"/>
      <c r="L15" s="159"/>
      <c r="M15" s="159"/>
      <c r="N15" s="159"/>
      <c r="O15" s="159"/>
      <c r="P15" s="159"/>
      <c r="Q15" s="159"/>
      <c r="R15" s="159"/>
      <c r="S15" s="159"/>
      <c r="T15" s="159"/>
      <c r="U15" s="159"/>
      <c r="V15" s="159"/>
      <c r="W15" s="159"/>
      <c r="X15" s="159"/>
      <c r="Y15" s="159"/>
      <c r="Z15" s="387"/>
      <c r="AA15" s="387"/>
      <c r="AB15" s="387"/>
      <c r="AC15" s="387"/>
      <c r="AD15" s="387"/>
      <c r="AE15" s="387"/>
      <c r="AF15" s="387"/>
      <c r="AG15" s="387"/>
      <c r="AH15" s="387"/>
      <c r="AI15" s="387"/>
      <c r="AJ15" s="387"/>
      <c r="AK15" s="387"/>
      <c r="AL15" s="159"/>
      <c r="AM15" s="159"/>
      <c r="AN15" s="159"/>
      <c r="AO15" s="159"/>
      <c r="AP15" s="159"/>
      <c r="AQ15" s="159"/>
      <c r="AR15" s="159"/>
      <c r="AS15" s="159"/>
      <c r="AT15" s="159"/>
      <c r="AU15" s="159"/>
      <c r="AV15" s="159"/>
      <c r="AW15" s="159"/>
      <c r="AX15" s="387"/>
      <c r="AY15" s="387"/>
      <c r="AZ15" s="387"/>
      <c r="BA15" s="387"/>
      <c r="BB15" s="387"/>
      <c r="BC15" s="387"/>
      <c r="BD15" s="387"/>
      <c r="BE15" s="387"/>
      <c r="BF15" s="387"/>
      <c r="BG15" s="387"/>
      <c r="BH15" s="387"/>
      <c r="BI15" s="387"/>
      <c r="BJ15" s="159"/>
      <c r="BK15" s="159"/>
      <c r="BL15" s="159"/>
      <c r="BM15" s="159"/>
      <c r="BN15" s="159"/>
      <c r="BO15" s="159"/>
      <c r="BP15" s="159"/>
      <c r="BQ15" s="159"/>
      <c r="BR15" s="159"/>
      <c r="BS15" s="159"/>
      <c r="BT15" s="159"/>
      <c r="BU15" s="159"/>
      <c r="BV15" s="387"/>
      <c r="BW15" s="387"/>
      <c r="BX15" s="387"/>
      <c r="BY15" s="387"/>
      <c r="BZ15" s="387"/>
      <c r="CA15" s="387"/>
      <c r="CB15" s="387"/>
      <c r="CC15" s="387"/>
      <c r="CD15" s="387"/>
      <c r="CE15" s="387"/>
      <c r="CF15" s="387"/>
      <c r="CG15" s="387"/>
      <c r="CH15" s="159"/>
      <c r="CI15" s="354">
        <f t="shared" si="0"/>
        <v>83</v>
      </c>
      <c r="CJ15" s="355" t="str">
        <f>IF(CI15&gt;KKM!$G$10,"A",IF(CI15&gt;KKM!$H$10,"B",IF(CI15&gt;=KKM!$I$10,"C","D")))</f>
        <v>B</v>
      </c>
      <c r="CK15" s="356">
        <f t="shared" si="1"/>
        <v>100</v>
      </c>
      <c r="CL15" s="361" t="str">
        <f>IF(CK15&gt;KKM!$G$10," sangat baik ",IF(CK15&gt;KKM!$H$10," baik ",IF(CK15&gt;=KKM!$I$10," cukup baik "," perlu bimbingan ")))</f>
        <v xml:space="preserve"> sangat baik </v>
      </c>
      <c r="CM15" s="357">
        <f t="shared" si="2"/>
        <v>75</v>
      </c>
      <c r="CN15" s="361" t="str">
        <f>IF(CM15&gt;KKM!$G$10," sangat baik ",IF(CM15&gt;KKM!$H$10," baik ",IF(CM15&gt;=KKM!$I$10," cukup baik "," perlu bimbingan ")))</f>
        <v xml:space="preserve"> cukup baik </v>
      </c>
      <c r="CO15" s="353" t="str">
        <f t="shared" si="10"/>
        <v>DAVKA sangat baik  dalam memahami makna Q.S. at-Tīn dan Q.S. al-Mā’ūn dengan benar., dan  cukup baik  dalam memahami nama-nama Rasul Allah dan Rasul Ulul ‘Azmi.</v>
      </c>
      <c r="CP15" s="485"/>
      <c r="CQ15" s="359" t="str">
        <f t="shared" si="3"/>
        <v xml:space="preserve"> sangat baik  dalam memahami makna Q.S. at-Tīn dan Q.S. al-Mā’ūn dengan benar.</v>
      </c>
      <c r="CR15" s="359" t="str">
        <f t="shared" si="4"/>
        <v xml:space="preserve"> cukup baik  dalam memahami nama-nama Rasul Allah dan Rasul Ulul ‘Azmi.</v>
      </c>
      <c r="CS15" s="359" t="str">
        <f t="shared" si="6"/>
        <v xml:space="preserve"> sangat baik  dalam memahami makna Q.S. at-Tīn dan Q.S. al-Mā’ūn dengan benar., dan  cukup baik  dalam memahami nama-nama Rasul Allah dan Rasul Ulul ‘Azmi.</v>
      </c>
      <c r="CT15" s="359" t="str">
        <f t="shared" si="7"/>
        <v xml:space="preserve"> </v>
      </c>
      <c r="CU15" s="360" t="str">
        <f t="shared" si="8"/>
        <v xml:space="preserve"> sangat baik  dalam memahami makna Q.S. at-Tīn dan Q.S. al-Mā’ūn dengan benar., dan  cukup baik  dalam memahami nama-nama Rasul Allah dan Rasul Ulul ‘Azmi.</v>
      </c>
      <c r="CV15" s="353" t="str">
        <f t="shared" si="5"/>
        <v>DAVKA sangat baik  dalam memahami makna Q.S. at-Tīn dan Q.S. al-Mā’ūn dengan benar., dan  cukup baik  dalam memahami nama-nama Rasul Allah dan Rasul Ulul ‘Azmi.</v>
      </c>
      <c r="CW15" s="139" t="e">
        <f>IF(#REF!=1,G$4," ")</f>
        <v>#REF!</v>
      </c>
      <c r="CX15" s="139" t="e">
        <f>IF(#REF!=1,H$4," ")</f>
        <v>#REF!</v>
      </c>
      <c r="CY15" s="139" t="e">
        <f>IF(#REF!=1,I$4," ")</f>
        <v>#REF!</v>
      </c>
      <c r="CZ15" s="139" t="e">
        <f>IF(#REF!=1,J$4," ")</f>
        <v>#REF!</v>
      </c>
      <c r="DA15" s="139" t="e">
        <f>IF(#REF!=1,K$4," ")</f>
        <v>#REF!</v>
      </c>
      <c r="DB15" s="139" t="e">
        <f>IF(#REF!=1,L$4," ")</f>
        <v>#REF!</v>
      </c>
      <c r="DC15" s="139" t="e">
        <f>IF(#REF!=1,M$4," ")</f>
        <v>#REF!</v>
      </c>
      <c r="DD15" s="139" t="e">
        <f>IF(#REF!=1,#REF!," ")</f>
        <v>#REF!</v>
      </c>
      <c r="DE15" s="139" t="e">
        <f>IF(#REF!=1,#REF!," ")</f>
        <v>#REF!</v>
      </c>
      <c r="DF15" s="139" t="e">
        <f>IF(#REF!=1,CH$4," ")</f>
        <v>#REF!</v>
      </c>
      <c r="DG15" s="469">
        <f t="shared" si="9"/>
        <v>83</v>
      </c>
      <c r="DJ15" s="469"/>
    </row>
    <row r="16" spans="1:114" ht="63" customHeight="1">
      <c r="B16" s="142">
        <v>11</v>
      </c>
      <c r="C16" s="143" t="str">
        <f>SISWA!B16</f>
        <v>1718250040315</v>
      </c>
      <c r="D16" s="144" t="str">
        <f>SISWA!E16</f>
        <v>DZIBRIL</v>
      </c>
      <c r="E16" s="593">
        <v>100</v>
      </c>
      <c r="F16" s="593">
        <v>75</v>
      </c>
      <c r="G16" s="593">
        <v>75</v>
      </c>
      <c r="H16" s="593">
        <v>75</v>
      </c>
      <c r="I16" s="593">
        <v>75</v>
      </c>
      <c r="J16" s="593">
        <v>76</v>
      </c>
      <c r="K16" s="159"/>
      <c r="L16" s="159"/>
      <c r="M16" s="159"/>
      <c r="N16" s="159"/>
      <c r="O16" s="159"/>
      <c r="P16" s="159"/>
      <c r="Q16" s="159"/>
      <c r="R16" s="159"/>
      <c r="S16" s="159"/>
      <c r="T16" s="159"/>
      <c r="U16" s="159"/>
      <c r="V16" s="159"/>
      <c r="W16" s="159"/>
      <c r="X16" s="159"/>
      <c r="Y16" s="159"/>
      <c r="Z16" s="387"/>
      <c r="AA16" s="387"/>
      <c r="AB16" s="387"/>
      <c r="AC16" s="387"/>
      <c r="AD16" s="387"/>
      <c r="AE16" s="387"/>
      <c r="AF16" s="387"/>
      <c r="AG16" s="387"/>
      <c r="AH16" s="387"/>
      <c r="AI16" s="387"/>
      <c r="AJ16" s="387"/>
      <c r="AK16" s="387"/>
      <c r="AL16" s="159"/>
      <c r="AM16" s="159"/>
      <c r="AN16" s="159"/>
      <c r="AO16" s="159"/>
      <c r="AP16" s="159"/>
      <c r="AQ16" s="159"/>
      <c r="AR16" s="159"/>
      <c r="AS16" s="159"/>
      <c r="AT16" s="159"/>
      <c r="AU16" s="159"/>
      <c r="AV16" s="159"/>
      <c r="AW16" s="159"/>
      <c r="AX16" s="387"/>
      <c r="AY16" s="387"/>
      <c r="AZ16" s="387"/>
      <c r="BA16" s="387"/>
      <c r="BB16" s="387"/>
      <c r="BC16" s="387"/>
      <c r="BD16" s="387"/>
      <c r="BE16" s="387"/>
      <c r="BF16" s="387"/>
      <c r="BG16" s="387"/>
      <c r="BH16" s="387"/>
      <c r="BI16" s="387"/>
      <c r="BJ16" s="159"/>
      <c r="BK16" s="159"/>
      <c r="BL16" s="159"/>
      <c r="BM16" s="159"/>
      <c r="BN16" s="159"/>
      <c r="BO16" s="159"/>
      <c r="BP16" s="159"/>
      <c r="BQ16" s="159"/>
      <c r="BR16" s="159"/>
      <c r="BS16" s="159"/>
      <c r="BT16" s="159"/>
      <c r="BU16" s="159"/>
      <c r="BV16" s="387"/>
      <c r="BW16" s="387"/>
      <c r="BX16" s="387"/>
      <c r="BY16" s="387"/>
      <c r="BZ16" s="387"/>
      <c r="CA16" s="387"/>
      <c r="CB16" s="387"/>
      <c r="CC16" s="387"/>
      <c r="CD16" s="387"/>
      <c r="CE16" s="387"/>
      <c r="CF16" s="387"/>
      <c r="CG16" s="387"/>
      <c r="CH16" s="159"/>
      <c r="CI16" s="354">
        <f t="shared" si="0"/>
        <v>79</v>
      </c>
      <c r="CJ16" s="355" t="str">
        <f>IF(CI16&gt;KKM!$G$10,"A",IF(CI16&gt;KKM!$H$10,"B",IF(CI16&gt;=KKM!$I$10,"C","D")))</f>
        <v>B</v>
      </c>
      <c r="CK16" s="356">
        <f t="shared" si="1"/>
        <v>100</v>
      </c>
      <c r="CL16" s="361" t="str">
        <f>IF(CK16&gt;KKM!$G$10," sangat baik ",IF(CK16&gt;KKM!$H$10," baik ",IF(CK16&gt;=KKM!$I$10," cukup baik "," perlu bimbingan ")))</f>
        <v xml:space="preserve"> sangat baik </v>
      </c>
      <c r="CM16" s="357">
        <f t="shared" si="2"/>
        <v>75</v>
      </c>
      <c r="CN16" s="361" t="str">
        <f>IF(CM16&gt;KKM!$G$10," sangat baik ",IF(CM16&gt;KKM!$H$10," baik ",IF(CM16&gt;=KKM!$I$10," cukup baik "," perlu bimbingan ")))</f>
        <v xml:space="preserve"> cukup baik </v>
      </c>
      <c r="CO16" s="353" t="str">
        <f t="shared" si="10"/>
        <v>DZIBRIL sangat baik  dalam memahami makna Q.S. at-Tīn dan Q.S. al-Mā’ūn dengan benar., dan  cukup baik  dalam memahami nama-nama Rasul Allah dan Rasul Ulul ‘Azmi.</v>
      </c>
      <c r="CP16" s="485"/>
      <c r="CQ16" s="359" t="str">
        <f t="shared" si="3"/>
        <v xml:space="preserve"> sangat baik  dalam memahami makna Q.S. at-Tīn dan Q.S. al-Mā’ūn dengan benar.</v>
      </c>
      <c r="CR16" s="359" t="str">
        <f t="shared" si="4"/>
        <v xml:space="preserve"> cukup baik  dalam memahami nama-nama Rasul Allah dan Rasul Ulul ‘Azmi.</v>
      </c>
      <c r="CS16" s="359" t="str">
        <f t="shared" si="6"/>
        <v xml:space="preserve"> sangat baik  dalam memahami makna Q.S. at-Tīn dan Q.S. al-Mā’ūn dengan benar., dan  cukup baik  dalam memahami nama-nama Rasul Allah dan Rasul Ulul ‘Azmi.</v>
      </c>
      <c r="CT16" s="359" t="str">
        <f t="shared" si="7"/>
        <v xml:space="preserve"> </v>
      </c>
      <c r="CU16" s="360" t="str">
        <f t="shared" si="8"/>
        <v xml:space="preserve"> sangat baik  dalam memahami makna Q.S. at-Tīn dan Q.S. al-Mā’ūn dengan benar., dan  cukup baik  dalam memahami nama-nama Rasul Allah dan Rasul Ulul ‘Azmi.</v>
      </c>
      <c r="CV16" s="353" t="str">
        <f t="shared" si="5"/>
        <v>DZIBRIL sangat baik  dalam memahami makna Q.S. at-Tīn dan Q.S. al-Mā’ūn dengan benar., dan  cukup baik  dalam memahami nama-nama Rasul Allah dan Rasul Ulul ‘Azmi.</v>
      </c>
      <c r="CW16" s="139" t="e">
        <f>IF(#REF!=1,G$4," ")</f>
        <v>#REF!</v>
      </c>
      <c r="CX16" s="139" t="e">
        <f>IF(#REF!=1,H$4," ")</f>
        <v>#REF!</v>
      </c>
      <c r="CY16" s="139" t="e">
        <f>IF(#REF!=1,I$4," ")</f>
        <v>#REF!</v>
      </c>
      <c r="CZ16" s="139" t="e">
        <f>IF(#REF!=1,J$4," ")</f>
        <v>#REF!</v>
      </c>
      <c r="DA16" s="139" t="e">
        <f>IF(#REF!=1,K$4," ")</f>
        <v>#REF!</v>
      </c>
      <c r="DB16" s="139" t="e">
        <f>IF(#REF!=1,L$4," ")</f>
        <v>#REF!</v>
      </c>
      <c r="DC16" s="139" t="e">
        <f>IF(#REF!=1,M$4," ")</f>
        <v>#REF!</v>
      </c>
      <c r="DD16" s="139" t="e">
        <f>IF(#REF!=1,#REF!," ")</f>
        <v>#REF!</v>
      </c>
      <c r="DE16" s="139" t="e">
        <f>IF(#REF!=1,#REF!," ")</f>
        <v>#REF!</v>
      </c>
      <c r="DF16" s="139" t="e">
        <f>IF(#REF!=1,CH$4," ")</f>
        <v>#REF!</v>
      </c>
      <c r="DG16" s="469">
        <f t="shared" si="9"/>
        <v>79</v>
      </c>
      <c r="DJ16" s="469"/>
    </row>
    <row r="17" spans="2:114" ht="63" customHeight="1">
      <c r="B17" s="142">
        <v>12</v>
      </c>
      <c r="C17" s="143" t="str">
        <f>SISWA!B17</f>
        <v>1718250040316</v>
      </c>
      <c r="D17" s="144" t="str">
        <f>SISWA!E17</f>
        <v>ERICHA</v>
      </c>
      <c r="E17" s="593"/>
      <c r="F17" s="593"/>
      <c r="G17" s="593"/>
      <c r="H17" s="593"/>
      <c r="I17" s="593"/>
      <c r="J17" s="593"/>
      <c r="K17" s="159"/>
      <c r="L17" s="159"/>
      <c r="M17" s="159"/>
      <c r="N17" s="159"/>
      <c r="O17" s="159"/>
      <c r="P17" s="159"/>
      <c r="Q17" s="159"/>
      <c r="R17" s="159"/>
      <c r="S17" s="159"/>
      <c r="T17" s="159"/>
      <c r="U17" s="159"/>
      <c r="V17" s="159"/>
      <c r="W17" s="159"/>
      <c r="X17" s="159"/>
      <c r="Y17" s="159"/>
      <c r="Z17" s="387">
        <v>86</v>
      </c>
      <c r="AA17" s="387"/>
      <c r="AB17" s="387"/>
      <c r="AC17" s="387"/>
      <c r="AD17" s="387"/>
      <c r="AE17" s="387"/>
      <c r="AF17" s="387"/>
      <c r="AG17" s="387"/>
      <c r="AH17" s="387"/>
      <c r="AI17" s="387"/>
      <c r="AJ17" s="387"/>
      <c r="AK17" s="387"/>
      <c r="AL17" s="159"/>
      <c r="AM17" s="159"/>
      <c r="AN17" s="159"/>
      <c r="AO17" s="159"/>
      <c r="AP17" s="159"/>
      <c r="AQ17" s="159"/>
      <c r="AR17" s="159"/>
      <c r="AS17" s="159"/>
      <c r="AT17" s="159"/>
      <c r="AU17" s="159"/>
      <c r="AV17" s="159"/>
      <c r="AW17" s="159"/>
      <c r="AX17" s="387"/>
      <c r="AY17" s="387"/>
      <c r="AZ17" s="387"/>
      <c r="BA17" s="387"/>
      <c r="BB17" s="387"/>
      <c r="BC17" s="387"/>
      <c r="BD17" s="387"/>
      <c r="BE17" s="387"/>
      <c r="BF17" s="387"/>
      <c r="BG17" s="387"/>
      <c r="BH17" s="387"/>
      <c r="BI17" s="387"/>
      <c r="BJ17" s="159"/>
      <c r="BK17" s="159"/>
      <c r="BL17" s="159"/>
      <c r="BM17" s="159"/>
      <c r="BN17" s="159"/>
      <c r="BO17" s="159"/>
      <c r="BP17" s="159"/>
      <c r="BQ17" s="159"/>
      <c r="BR17" s="159"/>
      <c r="BS17" s="159"/>
      <c r="BT17" s="159"/>
      <c r="BU17" s="159"/>
      <c r="BV17" s="387"/>
      <c r="BW17" s="387"/>
      <c r="BX17" s="387"/>
      <c r="BY17" s="387"/>
      <c r="BZ17" s="387"/>
      <c r="CA17" s="387"/>
      <c r="CB17" s="387"/>
      <c r="CC17" s="387"/>
      <c r="CD17" s="387"/>
      <c r="CE17" s="387"/>
      <c r="CF17" s="387"/>
      <c r="CG17" s="387"/>
      <c r="CH17" s="159"/>
      <c r="CI17" s="354">
        <f t="shared" si="0"/>
        <v>86</v>
      </c>
      <c r="CJ17" s="355" t="str">
        <f>IF(CI17&gt;KKM!$G$10,"A",IF(CI17&gt;KKM!$H$10,"B",IF(CI17&gt;=KKM!$I$10,"C","D")))</f>
        <v>B</v>
      </c>
      <c r="CK17" s="356">
        <f t="shared" si="1"/>
        <v>86</v>
      </c>
      <c r="CL17" s="361" t="str">
        <f>IF(CK17&gt;KKM!$G$10," sangat baik ",IF(CK17&gt;KKM!$H$10," baik ",IF(CK17&gt;=KKM!$I$10," cukup baik "," perlu bimbingan ")))</f>
        <v xml:space="preserve"> baik </v>
      </c>
      <c r="CM17" s="357">
        <f t="shared" si="2"/>
        <v>86</v>
      </c>
      <c r="CN17" s="361" t="str">
        <f>IF(CM17&gt;KKM!$G$10," sangat baik ",IF(CM17&gt;KKM!$H$10," baik ",IF(CM17&gt;=KKM!$I$10," cukup baik "," perlu bimbingan ")))</f>
        <v xml:space="preserve"> baik </v>
      </c>
      <c r="CO17" s="353" t="str">
        <f t="shared" si="10"/>
        <v>ERICHA baik  dalam 0</v>
      </c>
      <c r="CP17" s="485"/>
      <c r="CQ17" s="359" t="str">
        <f t="shared" si="3"/>
        <v xml:space="preserve"> baik  dalam 0</v>
      </c>
      <c r="CR17" s="359" t="str">
        <f t="shared" si="4"/>
        <v xml:space="preserve"> baik  dalam 0</v>
      </c>
      <c r="CS17" s="359" t="str">
        <f t="shared" si="6"/>
        <v xml:space="preserve"> baik  dalam 0, dan  baik  dalam 0</v>
      </c>
      <c r="CT17" s="359" t="str">
        <f t="shared" si="7"/>
        <v xml:space="preserve"> baik  dalam 0</v>
      </c>
      <c r="CU17" s="360" t="str">
        <f t="shared" si="8"/>
        <v xml:space="preserve"> baik  dalam 0</v>
      </c>
      <c r="CV17" s="353" t="str">
        <f t="shared" si="5"/>
        <v>ERICHA baik  dalam 0</v>
      </c>
      <c r="CW17" s="139" t="e">
        <f>IF(#REF!=1,G$4," ")</f>
        <v>#REF!</v>
      </c>
      <c r="CX17" s="139" t="e">
        <f>IF(#REF!=1,H$4," ")</f>
        <v>#REF!</v>
      </c>
      <c r="CY17" s="139" t="e">
        <f>IF(#REF!=1,I$4," ")</f>
        <v>#REF!</v>
      </c>
      <c r="CZ17" s="139" t="e">
        <f>IF(#REF!=1,J$4," ")</f>
        <v>#REF!</v>
      </c>
      <c r="DA17" s="139" t="e">
        <f>IF(#REF!=1,K$4," ")</f>
        <v>#REF!</v>
      </c>
      <c r="DB17" s="139" t="e">
        <f>IF(#REF!=1,L$4," ")</f>
        <v>#REF!</v>
      </c>
      <c r="DC17" s="139" t="e">
        <f>IF(#REF!=1,M$4," ")</f>
        <v>#REF!</v>
      </c>
      <c r="DD17" s="139" t="e">
        <f>IF(#REF!=1,#REF!," ")</f>
        <v>#REF!</v>
      </c>
      <c r="DE17" s="139" t="e">
        <f>IF(#REF!=1,#REF!," ")</f>
        <v>#REF!</v>
      </c>
      <c r="DF17" s="139" t="e">
        <f>IF(#REF!=1,CH$4," ")</f>
        <v>#REF!</v>
      </c>
      <c r="DG17" s="469">
        <f t="shared" si="9"/>
        <v>86</v>
      </c>
      <c r="DJ17" s="469"/>
    </row>
    <row r="18" spans="2:114" ht="63" customHeight="1">
      <c r="B18" s="142">
        <v>13</v>
      </c>
      <c r="C18" s="143" t="str">
        <f>SISWA!B18</f>
        <v>1718250040317</v>
      </c>
      <c r="D18" s="144" t="str">
        <f>SISWA!E18</f>
        <v>HISYAM</v>
      </c>
      <c r="E18" s="593">
        <v>100</v>
      </c>
      <c r="F18" s="593">
        <v>79</v>
      </c>
      <c r="G18" s="593">
        <v>79</v>
      </c>
      <c r="H18" s="593">
        <v>80</v>
      </c>
      <c r="I18" s="593">
        <v>84</v>
      </c>
      <c r="J18" s="593">
        <v>80</v>
      </c>
      <c r="K18" s="159"/>
      <c r="L18" s="159"/>
      <c r="M18" s="159"/>
      <c r="N18" s="159"/>
      <c r="O18" s="159"/>
      <c r="P18" s="159"/>
      <c r="Q18" s="159"/>
      <c r="R18" s="159"/>
      <c r="S18" s="159"/>
      <c r="T18" s="159"/>
      <c r="U18" s="159"/>
      <c r="V18" s="159"/>
      <c r="W18" s="159"/>
      <c r="X18" s="159"/>
      <c r="Y18" s="159"/>
      <c r="Z18" s="387"/>
      <c r="AA18" s="387"/>
      <c r="AB18" s="387"/>
      <c r="AC18" s="387"/>
      <c r="AD18" s="387"/>
      <c r="AE18" s="387"/>
      <c r="AF18" s="387"/>
      <c r="AG18" s="387"/>
      <c r="AH18" s="387"/>
      <c r="AI18" s="387"/>
      <c r="AJ18" s="387"/>
      <c r="AK18" s="387"/>
      <c r="AL18" s="159"/>
      <c r="AM18" s="159"/>
      <c r="AN18" s="159"/>
      <c r="AO18" s="159"/>
      <c r="AP18" s="159"/>
      <c r="AQ18" s="159"/>
      <c r="AR18" s="159"/>
      <c r="AS18" s="159"/>
      <c r="AT18" s="159"/>
      <c r="AU18" s="159"/>
      <c r="AV18" s="159"/>
      <c r="AW18" s="159"/>
      <c r="AX18" s="387"/>
      <c r="AY18" s="387"/>
      <c r="AZ18" s="387"/>
      <c r="BA18" s="387"/>
      <c r="BB18" s="387"/>
      <c r="BC18" s="387"/>
      <c r="BD18" s="387"/>
      <c r="BE18" s="387"/>
      <c r="BF18" s="387"/>
      <c r="BG18" s="387"/>
      <c r="BH18" s="387"/>
      <c r="BI18" s="387"/>
      <c r="BJ18" s="159"/>
      <c r="BK18" s="159"/>
      <c r="BL18" s="159"/>
      <c r="BM18" s="159"/>
      <c r="BN18" s="159"/>
      <c r="BO18" s="159"/>
      <c r="BP18" s="159"/>
      <c r="BQ18" s="159"/>
      <c r="BR18" s="159"/>
      <c r="BS18" s="159"/>
      <c r="BT18" s="159"/>
      <c r="BU18" s="159"/>
      <c r="BV18" s="387"/>
      <c r="BW18" s="387"/>
      <c r="BX18" s="387"/>
      <c r="BY18" s="387"/>
      <c r="BZ18" s="387"/>
      <c r="CA18" s="387"/>
      <c r="CB18" s="387"/>
      <c r="CC18" s="387"/>
      <c r="CD18" s="387"/>
      <c r="CE18" s="387"/>
      <c r="CF18" s="387"/>
      <c r="CG18" s="387"/>
      <c r="CH18" s="159"/>
      <c r="CI18" s="354">
        <f t="shared" si="0"/>
        <v>84</v>
      </c>
      <c r="CJ18" s="355" t="str">
        <f>IF(CI18&gt;KKM!$G$10,"A",IF(CI18&gt;KKM!$H$10,"B",IF(CI18&gt;=KKM!$I$10,"C","D")))</f>
        <v>B</v>
      </c>
      <c r="CK18" s="356">
        <f t="shared" si="1"/>
        <v>100</v>
      </c>
      <c r="CL18" s="361" t="str">
        <f>IF(CK18&gt;KKM!$G$10," sangat baik ",IF(CK18&gt;KKM!$H$10," baik ",IF(CK18&gt;=KKM!$I$10," cukup baik "," perlu bimbingan ")))</f>
        <v xml:space="preserve"> sangat baik </v>
      </c>
      <c r="CM18" s="357">
        <f t="shared" si="2"/>
        <v>79</v>
      </c>
      <c r="CN18" s="361" t="str">
        <f>IF(CM18&gt;KKM!$G$10," sangat baik ",IF(CM18&gt;KKM!$H$10," baik ",IF(CM18&gt;=KKM!$I$10," cukup baik "," perlu bimbingan ")))</f>
        <v xml:space="preserve"> baik </v>
      </c>
      <c r="CO18" s="353" t="str">
        <f t="shared" si="10"/>
        <v>HISYAM sangat baik  dalam memahami makna Q.S. at-Tīn dan Q.S. al-Mā’ūn dengan benar., dan  baik  dalam memahami nama-nama Rasul Allah dan Rasul Ulul ‘Azmi.</v>
      </c>
      <c r="CP18" s="485"/>
      <c r="CQ18" s="359" t="str">
        <f t="shared" si="3"/>
        <v xml:space="preserve"> sangat baik  dalam memahami makna Q.S. at-Tīn dan Q.S. al-Mā’ūn dengan benar.</v>
      </c>
      <c r="CR18" s="359" t="str">
        <f t="shared" si="4"/>
        <v xml:space="preserve"> baik  dalam memahami nama-nama Rasul Allah dan Rasul Ulul ‘Azmi.</v>
      </c>
      <c r="CS18" s="359" t="str">
        <f t="shared" si="6"/>
        <v xml:space="preserve"> sangat baik  dalam memahami makna Q.S. at-Tīn dan Q.S. al-Mā’ūn dengan benar., dan  baik  dalam memahami nama-nama Rasul Allah dan Rasul Ulul ‘Azmi.</v>
      </c>
      <c r="CT18" s="359" t="str">
        <f t="shared" si="7"/>
        <v xml:space="preserve"> </v>
      </c>
      <c r="CU18" s="360" t="str">
        <f t="shared" si="8"/>
        <v xml:space="preserve"> sangat baik  dalam memahami makna Q.S. at-Tīn dan Q.S. al-Mā’ūn dengan benar., dan  baik  dalam memahami nama-nama Rasul Allah dan Rasul Ulul ‘Azmi.</v>
      </c>
      <c r="CV18" s="353" t="str">
        <f t="shared" si="5"/>
        <v>HISYAM sangat baik  dalam memahami makna Q.S. at-Tīn dan Q.S. al-Mā’ūn dengan benar., dan  baik  dalam memahami nama-nama Rasul Allah dan Rasul Ulul ‘Azmi.</v>
      </c>
      <c r="CW18" s="139" t="e">
        <f>IF(#REF!=1,G$4," ")</f>
        <v>#REF!</v>
      </c>
      <c r="CX18" s="139" t="e">
        <f>IF(#REF!=1,H$4," ")</f>
        <v>#REF!</v>
      </c>
      <c r="CY18" s="139" t="e">
        <f>IF(#REF!=1,I$4," ")</f>
        <v>#REF!</v>
      </c>
      <c r="CZ18" s="139" t="e">
        <f>IF(#REF!=1,J$4," ")</f>
        <v>#REF!</v>
      </c>
      <c r="DA18" s="139" t="e">
        <f>IF(#REF!=1,K$4," ")</f>
        <v>#REF!</v>
      </c>
      <c r="DB18" s="139" t="e">
        <f>IF(#REF!=1,L$4," ")</f>
        <v>#REF!</v>
      </c>
      <c r="DC18" s="139" t="e">
        <f>IF(#REF!=1,M$4," ")</f>
        <v>#REF!</v>
      </c>
      <c r="DD18" s="139" t="e">
        <f>IF(#REF!=1,#REF!," ")</f>
        <v>#REF!</v>
      </c>
      <c r="DE18" s="139" t="e">
        <f>IF(#REF!=1,#REF!," ")</f>
        <v>#REF!</v>
      </c>
      <c r="DF18" s="139" t="e">
        <f>IF(#REF!=1,CH$4," ")</f>
        <v>#REF!</v>
      </c>
      <c r="DG18" s="469">
        <f t="shared" si="9"/>
        <v>84</v>
      </c>
      <c r="DJ18" s="469"/>
    </row>
    <row r="19" spans="2:114" ht="63" customHeight="1">
      <c r="B19" s="142">
        <v>14</v>
      </c>
      <c r="C19" s="143" t="str">
        <f>SISWA!B19</f>
        <v>1718250040318</v>
      </c>
      <c r="D19" s="144" t="str">
        <f>SISWA!E19</f>
        <v>FAUZI</v>
      </c>
      <c r="E19" s="593">
        <v>100</v>
      </c>
      <c r="F19" s="593">
        <v>90</v>
      </c>
      <c r="G19" s="593">
        <v>80</v>
      </c>
      <c r="H19" s="593">
        <v>78</v>
      </c>
      <c r="I19" s="593">
        <v>80</v>
      </c>
      <c r="J19" s="593">
        <v>80</v>
      </c>
      <c r="K19" s="159"/>
      <c r="L19" s="159"/>
      <c r="M19" s="159"/>
      <c r="N19" s="159"/>
      <c r="O19" s="159"/>
      <c r="P19" s="159"/>
      <c r="Q19" s="159"/>
      <c r="R19" s="159"/>
      <c r="S19" s="159"/>
      <c r="T19" s="159"/>
      <c r="U19" s="159"/>
      <c r="V19" s="159"/>
      <c r="W19" s="159"/>
      <c r="X19" s="159"/>
      <c r="Y19" s="159"/>
      <c r="Z19" s="387"/>
      <c r="AA19" s="387"/>
      <c r="AB19" s="387"/>
      <c r="AC19" s="387"/>
      <c r="AD19" s="387"/>
      <c r="AE19" s="387"/>
      <c r="AF19" s="387"/>
      <c r="AG19" s="387"/>
      <c r="AH19" s="387"/>
      <c r="AI19" s="387"/>
      <c r="AJ19" s="387"/>
      <c r="AK19" s="387"/>
      <c r="AL19" s="159"/>
      <c r="AM19" s="159"/>
      <c r="AN19" s="159"/>
      <c r="AO19" s="159"/>
      <c r="AP19" s="159"/>
      <c r="AQ19" s="159"/>
      <c r="AR19" s="159"/>
      <c r="AS19" s="159"/>
      <c r="AT19" s="159"/>
      <c r="AU19" s="159"/>
      <c r="AV19" s="159"/>
      <c r="AW19" s="159"/>
      <c r="AX19" s="387"/>
      <c r="AY19" s="387"/>
      <c r="AZ19" s="387"/>
      <c r="BA19" s="387"/>
      <c r="BB19" s="387"/>
      <c r="BC19" s="387"/>
      <c r="BD19" s="387"/>
      <c r="BE19" s="387"/>
      <c r="BF19" s="387"/>
      <c r="BG19" s="387"/>
      <c r="BH19" s="387"/>
      <c r="BI19" s="387"/>
      <c r="BJ19" s="159"/>
      <c r="BK19" s="159"/>
      <c r="BL19" s="159"/>
      <c r="BM19" s="159"/>
      <c r="BN19" s="159"/>
      <c r="BO19" s="159"/>
      <c r="BP19" s="159"/>
      <c r="BQ19" s="159"/>
      <c r="BR19" s="159"/>
      <c r="BS19" s="159"/>
      <c r="BT19" s="159"/>
      <c r="BU19" s="159"/>
      <c r="BV19" s="387"/>
      <c r="BW19" s="387"/>
      <c r="BX19" s="387"/>
      <c r="BY19" s="387"/>
      <c r="BZ19" s="387"/>
      <c r="CA19" s="387"/>
      <c r="CB19" s="387"/>
      <c r="CC19" s="387"/>
      <c r="CD19" s="387"/>
      <c r="CE19" s="387"/>
      <c r="CF19" s="387"/>
      <c r="CG19" s="387"/>
      <c r="CH19" s="159"/>
      <c r="CI19" s="354">
        <f t="shared" si="0"/>
        <v>85</v>
      </c>
      <c r="CJ19" s="355" t="str">
        <f>IF(CI19&gt;KKM!$G$10,"A",IF(CI19&gt;KKM!$H$10,"B",IF(CI19&gt;=KKM!$I$10,"C","D")))</f>
        <v>B</v>
      </c>
      <c r="CK19" s="356">
        <f t="shared" si="1"/>
        <v>100</v>
      </c>
      <c r="CL19" s="361" t="str">
        <f>IF(CK19&gt;KKM!$G$10," sangat baik ",IF(CK19&gt;KKM!$H$10," baik ",IF(CK19&gt;=KKM!$I$10," cukup baik "," perlu bimbingan ")))</f>
        <v xml:space="preserve"> sangat baik </v>
      </c>
      <c r="CM19" s="357">
        <f t="shared" si="2"/>
        <v>78</v>
      </c>
      <c r="CN19" s="361" t="str">
        <f>IF(CM19&gt;KKM!$G$10," sangat baik ",IF(CM19&gt;KKM!$H$10," baik ",IF(CM19&gt;=KKM!$I$10," cukup baik "," perlu bimbingan ")))</f>
        <v xml:space="preserve"> baik </v>
      </c>
      <c r="CO19" s="353" t="str">
        <f t="shared" si="10"/>
        <v>FAUZI sangat baik  dalam memahami makna Q.S. at-Tīn dan Q.S. al-Mā’ūn dengan benar., dan  baik  dalam memahami makna ikhlas beramal dalam kehidupan sehari-hari</v>
      </c>
      <c r="CP19" s="485"/>
      <c r="CQ19" s="359" t="str">
        <f t="shared" si="3"/>
        <v xml:space="preserve"> sangat baik  dalam memahami makna Q.S. at-Tīn dan Q.S. al-Mā’ūn dengan benar.</v>
      </c>
      <c r="CR19" s="359" t="str">
        <f t="shared" si="4"/>
        <v xml:space="preserve"> baik  dalam memahami makna ikhlas beramal dalam kehidupan sehari-hari</v>
      </c>
      <c r="CS19" s="359" t="str">
        <f t="shared" si="6"/>
        <v xml:space="preserve"> sangat baik  dalam memahami makna Q.S. at-Tīn dan Q.S. al-Mā’ūn dengan benar., dan  baik  dalam memahami makna ikhlas beramal dalam kehidupan sehari-hari</v>
      </c>
      <c r="CT19" s="359" t="str">
        <f t="shared" si="7"/>
        <v xml:space="preserve"> </v>
      </c>
      <c r="CU19" s="360" t="str">
        <f t="shared" si="8"/>
        <v xml:space="preserve"> sangat baik  dalam memahami makna Q.S. at-Tīn dan Q.S. al-Mā’ūn dengan benar., dan  baik  dalam memahami makna ikhlas beramal dalam kehidupan sehari-hari</v>
      </c>
      <c r="CV19" s="353" t="str">
        <f t="shared" si="5"/>
        <v>FAUZI sangat baik  dalam memahami makna Q.S. at-Tīn dan Q.S. al-Mā’ūn dengan benar., dan  baik  dalam memahami makna ikhlas beramal dalam kehidupan sehari-hari</v>
      </c>
      <c r="CW19" s="139" t="e">
        <f>IF(#REF!=1,G$4," ")</f>
        <v>#REF!</v>
      </c>
      <c r="CX19" s="139" t="e">
        <f>IF(#REF!=1,H$4," ")</f>
        <v>#REF!</v>
      </c>
      <c r="CY19" s="139" t="e">
        <f>IF(#REF!=1,I$4," ")</f>
        <v>#REF!</v>
      </c>
      <c r="CZ19" s="139" t="e">
        <f>IF(#REF!=1,J$4," ")</f>
        <v>#REF!</v>
      </c>
      <c r="DA19" s="139" t="e">
        <f>IF(#REF!=1,K$4," ")</f>
        <v>#REF!</v>
      </c>
      <c r="DB19" s="139" t="e">
        <f>IF(#REF!=1,L$4," ")</f>
        <v>#REF!</v>
      </c>
      <c r="DC19" s="139" t="e">
        <f>IF(#REF!=1,M$4," ")</f>
        <v>#REF!</v>
      </c>
      <c r="DD19" s="139" t="e">
        <f>IF(#REF!=1,#REF!," ")</f>
        <v>#REF!</v>
      </c>
      <c r="DE19" s="139" t="e">
        <f>IF(#REF!=1,#REF!," ")</f>
        <v>#REF!</v>
      </c>
      <c r="DF19" s="139" t="e">
        <f>IF(#REF!=1,CH$4," ")</f>
        <v>#REF!</v>
      </c>
      <c r="DG19" s="469">
        <f t="shared" si="9"/>
        <v>85</v>
      </c>
      <c r="DJ19" s="469"/>
    </row>
    <row r="20" spans="2:114" ht="63" customHeight="1">
      <c r="B20" s="142">
        <v>15</v>
      </c>
      <c r="C20" s="143" t="str">
        <f>SISWA!B20</f>
        <v>1718250040319</v>
      </c>
      <c r="D20" s="144" t="str">
        <f>SISWA!E20</f>
        <v>FIRLY</v>
      </c>
      <c r="E20" s="593">
        <v>100</v>
      </c>
      <c r="F20" s="593">
        <v>75</v>
      </c>
      <c r="G20" s="593">
        <v>75</v>
      </c>
      <c r="H20" s="593">
        <v>75</v>
      </c>
      <c r="I20" s="593">
        <v>85</v>
      </c>
      <c r="J20" s="593">
        <v>75</v>
      </c>
      <c r="K20" s="159"/>
      <c r="L20" s="159"/>
      <c r="M20" s="159"/>
      <c r="N20" s="159"/>
      <c r="O20" s="159"/>
      <c r="P20" s="159"/>
      <c r="Q20" s="159"/>
      <c r="R20" s="159"/>
      <c r="S20" s="159"/>
      <c r="T20" s="159"/>
      <c r="U20" s="159"/>
      <c r="V20" s="159"/>
      <c r="W20" s="159"/>
      <c r="X20" s="159"/>
      <c r="Y20" s="159"/>
      <c r="Z20" s="387"/>
      <c r="AA20" s="387"/>
      <c r="AB20" s="387"/>
      <c r="AC20" s="387"/>
      <c r="AD20" s="387"/>
      <c r="AE20" s="387"/>
      <c r="AF20" s="387"/>
      <c r="AG20" s="387"/>
      <c r="AH20" s="387"/>
      <c r="AI20" s="387"/>
      <c r="AJ20" s="387"/>
      <c r="AK20" s="387"/>
      <c r="AL20" s="159"/>
      <c r="AM20" s="159"/>
      <c r="AN20" s="159"/>
      <c r="AO20" s="159"/>
      <c r="AP20" s="159"/>
      <c r="AQ20" s="159"/>
      <c r="AR20" s="159"/>
      <c r="AS20" s="159"/>
      <c r="AT20" s="159"/>
      <c r="AU20" s="159"/>
      <c r="AV20" s="159"/>
      <c r="AW20" s="159"/>
      <c r="AX20" s="387"/>
      <c r="AY20" s="387"/>
      <c r="AZ20" s="387"/>
      <c r="BA20" s="387"/>
      <c r="BB20" s="387"/>
      <c r="BC20" s="387"/>
      <c r="BD20" s="387"/>
      <c r="BE20" s="387"/>
      <c r="BF20" s="387"/>
      <c r="BG20" s="387"/>
      <c r="BH20" s="387"/>
      <c r="BI20" s="387"/>
      <c r="BJ20" s="159"/>
      <c r="BK20" s="159"/>
      <c r="BL20" s="159"/>
      <c r="BM20" s="159"/>
      <c r="BN20" s="159"/>
      <c r="BO20" s="159"/>
      <c r="BP20" s="159"/>
      <c r="BQ20" s="159"/>
      <c r="BR20" s="159"/>
      <c r="BS20" s="159"/>
      <c r="BT20" s="159"/>
      <c r="BU20" s="159"/>
      <c r="BV20" s="387"/>
      <c r="BW20" s="387"/>
      <c r="BX20" s="387"/>
      <c r="BY20" s="387"/>
      <c r="BZ20" s="387"/>
      <c r="CA20" s="387"/>
      <c r="CB20" s="387"/>
      <c r="CC20" s="387"/>
      <c r="CD20" s="387"/>
      <c r="CE20" s="387"/>
      <c r="CF20" s="387"/>
      <c r="CG20" s="387"/>
      <c r="CH20" s="159"/>
      <c r="CI20" s="354">
        <f t="shared" si="0"/>
        <v>81</v>
      </c>
      <c r="CJ20" s="355" t="str">
        <f>IF(CI20&gt;KKM!$G$10,"A",IF(CI20&gt;KKM!$H$10,"B",IF(CI20&gt;=KKM!$I$10,"C","D")))</f>
        <v>B</v>
      </c>
      <c r="CK20" s="356">
        <f t="shared" si="1"/>
        <v>100</v>
      </c>
      <c r="CL20" s="361" t="str">
        <f>IF(CK20&gt;KKM!$G$10," sangat baik ",IF(CK20&gt;KKM!$H$10," baik ",IF(CK20&gt;=KKM!$I$10," cukup baik "," perlu bimbingan ")))</f>
        <v xml:space="preserve"> sangat baik </v>
      </c>
      <c r="CM20" s="357">
        <f t="shared" si="2"/>
        <v>75</v>
      </c>
      <c r="CN20" s="361" t="str">
        <f>IF(CM20&gt;KKM!$G$10," sangat baik ",IF(CM20&gt;KKM!$H$10," baik ",IF(CM20&gt;=KKM!$I$10," cukup baik "," perlu bimbingan ")))</f>
        <v xml:space="preserve"> cukup baik </v>
      </c>
      <c r="CO20" s="353" t="str">
        <f t="shared" si="10"/>
        <v>FIRLY sangat baik  dalam memahami makna Q.S. at-Tīn dan Q.S. al-Mā’ūn dengan benar., dan  cukup baik  dalam memahami nama-nama Rasul Allah dan Rasul Ulul ‘Azmi.</v>
      </c>
      <c r="CP20" s="485"/>
      <c r="CQ20" s="359" t="str">
        <f t="shared" si="3"/>
        <v xml:space="preserve"> sangat baik  dalam memahami makna Q.S. at-Tīn dan Q.S. al-Mā’ūn dengan benar.</v>
      </c>
      <c r="CR20" s="359" t="str">
        <f t="shared" si="4"/>
        <v xml:space="preserve"> cukup baik  dalam memahami nama-nama Rasul Allah dan Rasul Ulul ‘Azmi.</v>
      </c>
      <c r="CS20" s="359" t="str">
        <f t="shared" si="6"/>
        <v xml:space="preserve"> sangat baik  dalam memahami makna Q.S. at-Tīn dan Q.S. al-Mā’ūn dengan benar., dan  cukup baik  dalam memahami nama-nama Rasul Allah dan Rasul Ulul ‘Azmi.</v>
      </c>
      <c r="CT20" s="359" t="str">
        <f t="shared" si="7"/>
        <v xml:space="preserve"> </v>
      </c>
      <c r="CU20" s="360" t="str">
        <f t="shared" si="8"/>
        <v xml:space="preserve"> sangat baik  dalam memahami makna Q.S. at-Tīn dan Q.S. al-Mā’ūn dengan benar., dan  cukup baik  dalam memahami nama-nama Rasul Allah dan Rasul Ulul ‘Azmi.</v>
      </c>
      <c r="CV20" s="353" t="str">
        <f t="shared" si="5"/>
        <v>FIRLY sangat baik  dalam memahami makna Q.S. at-Tīn dan Q.S. al-Mā’ūn dengan benar., dan  cukup baik  dalam memahami nama-nama Rasul Allah dan Rasul Ulul ‘Azmi.</v>
      </c>
      <c r="CW20" s="139" t="e">
        <f>IF(#REF!=1,G$4," ")</f>
        <v>#REF!</v>
      </c>
      <c r="CX20" s="139" t="e">
        <f>IF(#REF!=1,H$4," ")</f>
        <v>#REF!</v>
      </c>
      <c r="CY20" s="139" t="e">
        <f>IF(#REF!=1,I$4," ")</f>
        <v>#REF!</v>
      </c>
      <c r="CZ20" s="139" t="e">
        <f>IF(#REF!=1,J$4," ")</f>
        <v>#REF!</v>
      </c>
      <c r="DA20" s="139" t="e">
        <f>IF(#REF!=1,K$4," ")</f>
        <v>#REF!</v>
      </c>
      <c r="DB20" s="139" t="e">
        <f>IF(#REF!=1,L$4," ")</f>
        <v>#REF!</v>
      </c>
      <c r="DC20" s="139" t="e">
        <f>IF(#REF!=1,M$4," ")</f>
        <v>#REF!</v>
      </c>
      <c r="DD20" s="139" t="e">
        <f>IF(#REF!=1,#REF!," ")</f>
        <v>#REF!</v>
      </c>
      <c r="DE20" s="139" t="e">
        <f>IF(#REF!=1,#REF!," ")</f>
        <v>#REF!</v>
      </c>
      <c r="DF20" s="139" t="e">
        <f>IF(#REF!=1,CH$4," ")</f>
        <v>#REF!</v>
      </c>
      <c r="DG20" s="469">
        <f t="shared" si="9"/>
        <v>81</v>
      </c>
      <c r="DJ20" s="469"/>
    </row>
    <row r="21" spans="2:114" ht="63" customHeight="1">
      <c r="B21" s="142">
        <v>16</v>
      </c>
      <c r="C21" s="143" t="str">
        <f>SISWA!B21</f>
        <v>1718250040320</v>
      </c>
      <c r="D21" s="144" t="str">
        <f>SISWA!E21</f>
        <v>HANA</v>
      </c>
      <c r="E21" s="593">
        <v>79</v>
      </c>
      <c r="F21" s="593">
        <v>75</v>
      </c>
      <c r="G21" s="593">
        <v>75</v>
      </c>
      <c r="H21" s="593">
        <v>78</v>
      </c>
      <c r="I21" s="593">
        <v>84</v>
      </c>
      <c r="J21" s="593">
        <v>80</v>
      </c>
      <c r="K21" s="159"/>
      <c r="L21" s="159"/>
      <c r="M21" s="159"/>
      <c r="N21" s="159"/>
      <c r="O21" s="159"/>
      <c r="P21" s="159"/>
      <c r="Q21" s="159"/>
      <c r="R21" s="159"/>
      <c r="S21" s="159"/>
      <c r="T21" s="159"/>
      <c r="U21" s="159"/>
      <c r="V21" s="159"/>
      <c r="W21" s="159"/>
      <c r="X21" s="159"/>
      <c r="Y21" s="159"/>
      <c r="Z21" s="387"/>
      <c r="AA21" s="387"/>
      <c r="AB21" s="387"/>
      <c r="AC21" s="387"/>
      <c r="AD21" s="387"/>
      <c r="AE21" s="387"/>
      <c r="AF21" s="387"/>
      <c r="AG21" s="387"/>
      <c r="AH21" s="387"/>
      <c r="AI21" s="387"/>
      <c r="AJ21" s="387"/>
      <c r="AK21" s="387"/>
      <c r="AL21" s="159"/>
      <c r="AM21" s="159"/>
      <c r="AN21" s="159"/>
      <c r="AO21" s="159"/>
      <c r="AP21" s="159"/>
      <c r="AQ21" s="159"/>
      <c r="AR21" s="159"/>
      <c r="AS21" s="159"/>
      <c r="AT21" s="159"/>
      <c r="AU21" s="159"/>
      <c r="AV21" s="159"/>
      <c r="AW21" s="159"/>
      <c r="AX21" s="387"/>
      <c r="AY21" s="387"/>
      <c r="AZ21" s="387"/>
      <c r="BA21" s="387"/>
      <c r="BB21" s="387"/>
      <c r="BC21" s="387"/>
      <c r="BD21" s="387"/>
      <c r="BE21" s="387"/>
      <c r="BF21" s="387"/>
      <c r="BG21" s="387"/>
      <c r="BH21" s="387"/>
      <c r="BI21" s="387"/>
      <c r="BJ21" s="159"/>
      <c r="BK21" s="159"/>
      <c r="BL21" s="159"/>
      <c r="BM21" s="159"/>
      <c r="BN21" s="159"/>
      <c r="BO21" s="159"/>
      <c r="BP21" s="159"/>
      <c r="BQ21" s="159"/>
      <c r="BR21" s="159"/>
      <c r="BS21" s="159"/>
      <c r="BT21" s="159"/>
      <c r="BU21" s="159"/>
      <c r="BV21" s="387"/>
      <c r="BW21" s="387"/>
      <c r="BX21" s="387"/>
      <c r="BY21" s="387"/>
      <c r="BZ21" s="387"/>
      <c r="CA21" s="387"/>
      <c r="CB21" s="387"/>
      <c r="CC21" s="387"/>
      <c r="CD21" s="387"/>
      <c r="CE21" s="387"/>
      <c r="CF21" s="387"/>
      <c r="CG21" s="387"/>
      <c r="CH21" s="159"/>
      <c r="CI21" s="354">
        <f t="shared" si="0"/>
        <v>79</v>
      </c>
      <c r="CJ21" s="355" t="str">
        <f>IF(CI21&gt;KKM!$G$10,"A",IF(CI21&gt;KKM!$H$10,"B",IF(CI21&gt;=KKM!$I$10,"C","D")))</f>
        <v>B</v>
      </c>
      <c r="CK21" s="356">
        <f t="shared" si="1"/>
        <v>84</v>
      </c>
      <c r="CL21" s="361" t="str">
        <f>IF(CK21&gt;KKM!$G$10," sangat baik ",IF(CK21&gt;KKM!$H$10," baik ",IF(CK21&gt;=KKM!$I$10," cukup baik "," perlu bimbingan ")))</f>
        <v xml:space="preserve"> baik </v>
      </c>
      <c r="CM21" s="357">
        <f t="shared" si="2"/>
        <v>75</v>
      </c>
      <c r="CN21" s="361" t="str">
        <f>IF(CM21&gt;KKM!$G$10," sangat baik ",IF(CM21&gt;KKM!$H$10," baik ",IF(CM21&gt;=KKM!$I$10," cukup baik "," perlu bimbingan ")))</f>
        <v xml:space="preserve"> cukup baik </v>
      </c>
      <c r="CO21" s="353" t="str">
        <f t="shared" si="10"/>
        <v>HANA baik  dalam memahami pelaksanaan salat tarawih dan tadarus al-Qur'an., dan  cukup baik  dalam memahami nama-nama Rasul Allah dan Rasul Ulul ‘Azmi.</v>
      </c>
      <c r="CP21" s="485"/>
      <c r="CQ21" s="359" t="str">
        <f t="shared" si="3"/>
        <v xml:space="preserve"> baik  dalam memahami pelaksanaan salat tarawih dan tadarus al-Qur'an.</v>
      </c>
      <c r="CR21" s="359" t="str">
        <f t="shared" si="4"/>
        <v xml:space="preserve"> cukup baik  dalam memahami nama-nama Rasul Allah dan Rasul Ulul ‘Azmi.</v>
      </c>
      <c r="CS21" s="359" t="str">
        <f t="shared" si="6"/>
        <v xml:space="preserve"> baik  dalam memahami pelaksanaan salat tarawih dan tadarus al-Qur'an., dan  cukup baik  dalam memahami nama-nama Rasul Allah dan Rasul Ulul ‘Azmi.</v>
      </c>
      <c r="CT21" s="359" t="str">
        <f t="shared" si="7"/>
        <v xml:space="preserve"> </v>
      </c>
      <c r="CU21" s="360" t="str">
        <f t="shared" si="8"/>
        <v xml:space="preserve"> baik  dalam memahami pelaksanaan salat tarawih dan tadarus al-Qur'an., dan  cukup baik  dalam memahami nama-nama Rasul Allah dan Rasul Ulul ‘Azmi.</v>
      </c>
      <c r="CV21" s="353" t="str">
        <f t="shared" si="5"/>
        <v>HANA baik  dalam memahami pelaksanaan salat tarawih dan tadarus al-Qur'an., dan  cukup baik  dalam memahami nama-nama Rasul Allah dan Rasul Ulul ‘Azmi.</v>
      </c>
      <c r="CW21" s="139" t="e">
        <f>IF(#REF!=1,G$4," ")</f>
        <v>#REF!</v>
      </c>
      <c r="CX21" s="139" t="e">
        <f>IF(#REF!=1,H$4," ")</f>
        <v>#REF!</v>
      </c>
      <c r="CY21" s="139" t="e">
        <f>IF(#REF!=1,I$4," ")</f>
        <v>#REF!</v>
      </c>
      <c r="CZ21" s="139" t="e">
        <f>IF(#REF!=1,J$4," ")</f>
        <v>#REF!</v>
      </c>
      <c r="DA21" s="139" t="e">
        <f>IF(#REF!=1,K$4," ")</f>
        <v>#REF!</v>
      </c>
      <c r="DB21" s="139" t="e">
        <f>IF(#REF!=1,L$4," ")</f>
        <v>#REF!</v>
      </c>
      <c r="DC21" s="139" t="e">
        <f>IF(#REF!=1,M$4," ")</f>
        <v>#REF!</v>
      </c>
      <c r="DD21" s="139" t="e">
        <f>IF(#REF!=1,#REF!," ")</f>
        <v>#REF!</v>
      </c>
      <c r="DE21" s="139" t="e">
        <f>IF(#REF!=1,#REF!," ")</f>
        <v>#REF!</v>
      </c>
      <c r="DF21" s="139" t="e">
        <f>IF(#REF!=1,CH$4," ")</f>
        <v>#REF!</v>
      </c>
      <c r="DG21" s="469">
        <f t="shared" si="9"/>
        <v>79</v>
      </c>
      <c r="DJ21" s="469"/>
    </row>
    <row r="22" spans="2:114" ht="63" customHeight="1">
      <c r="B22" s="142">
        <v>17</v>
      </c>
      <c r="C22" s="143" t="str">
        <f>SISWA!B22</f>
        <v>1718250040321</v>
      </c>
      <c r="D22" s="144" t="str">
        <f>SISWA!E22</f>
        <v>MALLA</v>
      </c>
      <c r="E22" s="593">
        <v>83</v>
      </c>
      <c r="F22" s="593">
        <v>75</v>
      </c>
      <c r="G22" s="593">
        <v>75</v>
      </c>
      <c r="H22" s="593">
        <v>79</v>
      </c>
      <c r="I22" s="593">
        <v>84</v>
      </c>
      <c r="J22" s="593">
        <v>80</v>
      </c>
      <c r="K22" s="159"/>
      <c r="L22" s="159"/>
      <c r="M22" s="159"/>
      <c r="N22" s="159"/>
      <c r="O22" s="159"/>
      <c r="P22" s="159"/>
      <c r="Q22" s="159"/>
      <c r="R22" s="159"/>
      <c r="S22" s="159"/>
      <c r="T22" s="159"/>
      <c r="U22" s="159"/>
      <c r="V22" s="159"/>
      <c r="W22" s="159"/>
      <c r="X22" s="159"/>
      <c r="Y22" s="159"/>
      <c r="Z22" s="387"/>
      <c r="AA22" s="387"/>
      <c r="AB22" s="387"/>
      <c r="AC22" s="387"/>
      <c r="AD22" s="387"/>
      <c r="AE22" s="387"/>
      <c r="AF22" s="387"/>
      <c r="AG22" s="387"/>
      <c r="AH22" s="387"/>
      <c r="AI22" s="387"/>
      <c r="AJ22" s="387"/>
      <c r="AK22" s="387"/>
      <c r="AL22" s="159"/>
      <c r="AM22" s="159"/>
      <c r="AN22" s="159"/>
      <c r="AO22" s="159"/>
      <c r="AP22" s="159"/>
      <c r="AQ22" s="159"/>
      <c r="AR22" s="159"/>
      <c r="AS22" s="159"/>
      <c r="AT22" s="159"/>
      <c r="AU22" s="159"/>
      <c r="AV22" s="159"/>
      <c r="AW22" s="159"/>
      <c r="AX22" s="387"/>
      <c r="AY22" s="387"/>
      <c r="AZ22" s="387"/>
      <c r="BA22" s="387"/>
      <c r="BB22" s="387"/>
      <c r="BC22" s="387"/>
      <c r="BD22" s="387"/>
      <c r="BE22" s="387"/>
      <c r="BF22" s="387"/>
      <c r="BG22" s="387"/>
      <c r="BH22" s="387"/>
      <c r="BI22" s="387"/>
      <c r="BJ22" s="159"/>
      <c r="BK22" s="159"/>
      <c r="BL22" s="159"/>
      <c r="BM22" s="159"/>
      <c r="BN22" s="159"/>
      <c r="BO22" s="159"/>
      <c r="BP22" s="159"/>
      <c r="BQ22" s="159"/>
      <c r="BR22" s="159"/>
      <c r="BS22" s="159"/>
      <c r="BT22" s="159"/>
      <c r="BU22" s="159"/>
      <c r="BV22" s="387"/>
      <c r="BW22" s="387"/>
      <c r="BX22" s="387"/>
      <c r="BY22" s="387"/>
      <c r="BZ22" s="387"/>
      <c r="CA22" s="387"/>
      <c r="CB22" s="387"/>
      <c r="CC22" s="387"/>
      <c r="CD22" s="387"/>
      <c r="CE22" s="387"/>
      <c r="CF22" s="387"/>
      <c r="CG22" s="387"/>
      <c r="CH22" s="159"/>
      <c r="CI22" s="354">
        <f t="shared" si="0"/>
        <v>79</v>
      </c>
      <c r="CJ22" s="355" t="str">
        <f>IF(CI22&gt;KKM!$G$10,"A",IF(CI22&gt;KKM!$H$10,"B",IF(CI22&gt;=KKM!$I$10,"C","D")))</f>
        <v>B</v>
      </c>
      <c r="CK22" s="356">
        <f t="shared" si="1"/>
        <v>84</v>
      </c>
      <c r="CL22" s="361" t="str">
        <f>IF(CK22&gt;KKM!$G$10," sangat baik ",IF(CK22&gt;KKM!$H$10," baik ",IF(CK22&gt;=KKM!$I$10," cukup baik "," perlu bimbingan ")))</f>
        <v xml:space="preserve"> baik </v>
      </c>
      <c r="CM22" s="357">
        <f t="shared" si="2"/>
        <v>75</v>
      </c>
      <c r="CN22" s="361" t="str">
        <f>IF(CM22&gt;KKM!$G$10," sangat baik ",IF(CM22&gt;KKM!$H$10," baik ",IF(CM22&gt;=KKM!$I$10," cukup baik "," perlu bimbingan ")))</f>
        <v xml:space="preserve"> cukup baik </v>
      </c>
      <c r="CO22" s="353" t="str">
        <f t="shared" si="10"/>
        <v>MALLA baik  dalam memahami pelaksanaan salat tarawih dan tadarus al-Qur'an., dan  cukup baik  dalam memahami nama-nama Rasul Allah dan Rasul Ulul ‘Azmi.</v>
      </c>
      <c r="CP22" s="485"/>
      <c r="CQ22" s="359" t="str">
        <f t="shared" si="3"/>
        <v xml:space="preserve"> baik  dalam memahami pelaksanaan salat tarawih dan tadarus al-Qur'an.</v>
      </c>
      <c r="CR22" s="359" t="str">
        <f t="shared" si="4"/>
        <v xml:space="preserve"> cukup baik  dalam memahami nama-nama Rasul Allah dan Rasul Ulul ‘Azmi.</v>
      </c>
      <c r="CS22" s="359" t="str">
        <f t="shared" si="6"/>
        <v xml:space="preserve"> baik  dalam memahami pelaksanaan salat tarawih dan tadarus al-Qur'an., dan  cukup baik  dalam memahami nama-nama Rasul Allah dan Rasul Ulul ‘Azmi.</v>
      </c>
      <c r="CT22" s="359" t="str">
        <f t="shared" si="7"/>
        <v xml:space="preserve"> </v>
      </c>
      <c r="CU22" s="360" t="str">
        <f t="shared" si="8"/>
        <v xml:space="preserve"> baik  dalam memahami pelaksanaan salat tarawih dan tadarus al-Qur'an., dan  cukup baik  dalam memahami nama-nama Rasul Allah dan Rasul Ulul ‘Azmi.</v>
      </c>
      <c r="CV22" s="353" t="str">
        <f t="shared" si="5"/>
        <v>MALLA baik  dalam memahami pelaksanaan salat tarawih dan tadarus al-Qur'an., dan  cukup baik  dalam memahami nama-nama Rasul Allah dan Rasul Ulul ‘Azmi.</v>
      </c>
      <c r="CW22" s="139" t="e">
        <f>IF(#REF!=1,G$4," ")</f>
        <v>#REF!</v>
      </c>
      <c r="CX22" s="139" t="e">
        <f>IF(#REF!=1,H$4," ")</f>
        <v>#REF!</v>
      </c>
      <c r="CY22" s="139" t="e">
        <f>IF(#REF!=1,I$4," ")</f>
        <v>#REF!</v>
      </c>
      <c r="CZ22" s="139" t="e">
        <f>IF(#REF!=1,J$4," ")</f>
        <v>#REF!</v>
      </c>
      <c r="DA22" s="139" t="e">
        <f>IF(#REF!=1,K$4," ")</f>
        <v>#REF!</v>
      </c>
      <c r="DB22" s="139" t="e">
        <f>IF(#REF!=1,L$4," ")</f>
        <v>#REF!</v>
      </c>
      <c r="DC22" s="139" t="e">
        <f>IF(#REF!=1,M$4," ")</f>
        <v>#REF!</v>
      </c>
      <c r="DD22" s="139" t="e">
        <f>IF(#REF!=1,#REF!," ")</f>
        <v>#REF!</v>
      </c>
      <c r="DE22" s="139" t="e">
        <f>IF(#REF!=1,#REF!," ")</f>
        <v>#REF!</v>
      </c>
      <c r="DF22" s="139" t="e">
        <f>IF(#REF!=1,CH$4," ")</f>
        <v>#REF!</v>
      </c>
      <c r="DG22" s="469">
        <f t="shared" si="9"/>
        <v>79</v>
      </c>
      <c r="DJ22" s="469"/>
    </row>
    <row r="23" spans="2:114" ht="63" customHeight="1">
      <c r="B23" s="142">
        <v>18</v>
      </c>
      <c r="C23" s="143" t="str">
        <f>SISWA!B23</f>
        <v>1718250040322</v>
      </c>
      <c r="D23" s="144" t="str">
        <f>SISWA!E23</f>
        <v>INTAN</v>
      </c>
      <c r="E23" s="593">
        <v>93</v>
      </c>
      <c r="F23" s="593">
        <v>78</v>
      </c>
      <c r="G23" s="593">
        <v>75</v>
      </c>
      <c r="H23" s="593">
        <v>75</v>
      </c>
      <c r="I23" s="593">
        <v>85</v>
      </c>
      <c r="J23" s="593">
        <v>80</v>
      </c>
      <c r="K23" s="159"/>
      <c r="L23" s="159"/>
      <c r="M23" s="159"/>
      <c r="N23" s="159"/>
      <c r="O23" s="159"/>
      <c r="P23" s="159"/>
      <c r="Q23" s="159"/>
      <c r="R23" s="159"/>
      <c r="S23" s="159"/>
      <c r="T23" s="159"/>
      <c r="U23" s="159"/>
      <c r="V23" s="159"/>
      <c r="W23" s="159"/>
      <c r="X23" s="159"/>
      <c r="Y23" s="159"/>
      <c r="Z23" s="387"/>
      <c r="AA23" s="387"/>
      <c r="AB23" s="387"/>
      <c r="AC23" s="387"/>
      <c r="AD23" s="387"/>
      <c r="AE23" s="387"/>
      <c r="AF23" s="387"/>
      <c r="AG23" s="387"/>
      <c r="AH23" s="387"/>
      <c r="AI23" s="387"/>
      <c r="AJ23" s="387"/>
      <c r="AK23" s="387"/>
      <c r="AL23" s="159"/>
      <c r="AM23" s="159"/>
      <c r="AN23" s="159"/>
      <c r="AO23" s="159"/>
      <c r="AP23" s="159"/>
      <c r="AQ23" s="159"/>
      <c r="AR23" s="159"/>
      <c r="AS23" s="159"/>
      <c r="AT23" s="159"/>
      <c r="AU23" s="159"/>
      <c r="AV23" s="159"/>
      <c r="AW23" s="159"/>
      <c r="AX23" s="387"/>
      <c r="AY23" s="387"/>
      <c r="AZ23" s="387"/>
      <c r="BA23" s="387"/>
      <c r="BB23" s="387"/>
      <c r="BC23" s="387"/>
      <c r="BD23" s="387"/>
      <c r="BE23" s="387"/>
      <c r="BF23" s="387"/>
      <c r="BG23" s="387"/>
      <c r="BH23" s="387"/>
      <c r="BI23" s="387"/>
      <c r="BJ23" s="159"/>
      <c r="BK23" s="159"/>
      <c r="BL23" s="159"/>
      <c r="BM23" s="159"/>
      <c r="BN23" s="159"/>
      <c r="BO23" s="159"/>
      <c r="BP23" s="159"/>
      <c r="BQ23" s="159"/>
      <c r="BR23" s="159"/>
      <c r="BS23" s="159"/>
      <c r="BT23" s="159"/>
      <c r="BU23" s="159"/>
      <c r="BV23" s="387"/>
      <c r="BW23" s="387"/>
      <c r="BX23" s="387"/>
      <c r="BY23" s="387"/>
      <c r="BZ23" s="387"/>
      <c r="CA23" s="387"/>
      <c r="CB23" s="387"/>
      <c r="CC23" s="387"/>
      <c r="CD23" s="387"/>
      <c r="CE23" s="387"/>
      <c r="CF23" s="387"/>
      <c r="CG23" s="387"/>
      <c r="CH23" s="159"/>
      <c r="CI23" s="354">
        <f t="shared" si="0"/>
        <v>81</v>
      </c>
      <c r="CJ23" s="355" t="str">
        <f>IF(CI23&gt;KKM!$G$10,"A",IF(CI23&gt;KKM!$H$10,"B",IF(CI23&gt;=KKM!$I$10,"C","D")))</f>
        <v>B</v>
      </c>
      <c r="CK23" s="356">
        <f t="shared" si="1"/>
        <v>93</v>
      </c>
      <c r="CL23" s="361" t="str">
        <f>IF(CK23&gt;KKM!$G$10," sangat baik ",IF(CK23&gt;KKM!$H$10," baik ",IF(CK23&gt;=KKM!$I$10," cukup baik "," perlu bimbingan ")))</f>
        <v xml:space="preserve"> sangat baik </v>
      </c>
      <c r="CM23" s="357">
        <f t="shared" si="2"/>
        <v>75</v>
      </c>
      <c r="CN23" s="361" t="str">
        <f>IF(CM23&gt;KKM!$G$10," sangat baik ",IF(CM23&gt;KKM!$H$10," baik ",IF(CM23&gt;=KKM!$I$10," cukup baik "," perlu bimbingan ")))</f>
        <v xml:space="preserve"> cukup baik </v>
      </c>
      <c r="CO23" s="353" t="str">
        <f t="shared" si="10"/>
        <v>INTAN sangat baik  dalam memahami makna Q.S. at-Tīn dan Q.S. al-Mā’ūn dengan benar., dan  cukup baik  dalam memahami makna sederhana dalam kehidupan sehari-hari.</v>
      </c>
      <c r="CP23" s="485"/>
      <c r="CQ23" s="359" t="str">
        <f t="shared" si="3"/>
        <v xml:space="preserve"> sangat baik  dalam memahami makna Q.S. at-Tīn dan Q.S. al-Mā’ūn dengan benar.</v>
      </c>
      <c r="CR23" s="359" t="str">
        <f t="shared" si="4"/>
        <v xml:space="preserve"> cukup baik  dalam memahami makna sederhana dalam kehidupan sehari-hari.</v>
      </c>
      <c r="CS23" s="359" t="str">
        <f t="shared" si="6"/>
        <v xml:space="preserve"> sangat baik  dalam memahami makna Q.S. at-Tīn dan Q.S. al-Mā’ūn dengan benar., dan  cukup baik  dalam memahami makna sederhana dalam kehidupan sehari-hari.</v>
      </c>
      <c r="CT23" s="359" t="str">
        <f t="shared" si="7"/>
        <v xml:space="preserve"> </v>
      </c>
      <c r="CU23" s="360" t="str">
        <f t="shared" si="8"/>
        <v xml:space="preserve"> sangat baik  dalam memahami makna Q.S. at-Tīn dan Q.S. al-Mā’ūn dengan benar., dan  cukup baik  dalam memahami makna sederhana dalam kehidupan sehari-hari.</v>
      </c>
      <c r="CV23" s="353" t="str">
        <f t="shared" si="5"/>
        <v>INTAN sangat baik  dalam memahami makna Q.S. at-Tīn dan Q.S. al-Mā’ūn dengan benar., dan  cukup baik  dalam memahami makna sederhana dalam kehidupan sehari-hari.</v>
      </c>
      <c r="CW23" s="139" t="e">
        <f>IF(#REF!=1,G$4," ")</f>
        <v>#REF!</v>
      </c>
      <c r="CX23" s="139" t="e">
        <f>IF(#REF!=1,H$4," ")</f>
        <v>#REF!</v>
      </c>
      <c r="CY23" s="139" t="e">
        <f>IF(#REF!=1,I$4," ")</f>
        <v>#REF!</v>
      </c>
      <c r="CZ23" s="139" t="e">
        <f>IF(#REF!=1,J$4," ")</f>
        <v>#REF!</v>
      </c>
      <c r="DA23" s="139" t="e">
        <f>IF(#REF!=1,K$4," ")</f>
        <v>#REF!</v>
      </c>
      <c r="DB23" s="139" t="e">
        <f>IF(#REF!=1,L$4," ")</f>
        <v>#REF!</v>
      </c>
      <c r="DC23" s="139" t="e">
        <f>IF(#REF!=1,M$4," ")</f>
        <v>#REF!</v>
      </c>
      <c r="DD23" s="139" t="e">
        <f>IF(#REF!=1,#REF!," ")</f>
        <v>#REF!</v>
      </c>
      <c r="DE23" s="139" t="e">
        <f>IF(#REF!=1,#REF!," ")</f>
        <v>#REF!</v>
      </c>
      <c r="DF23" s="139" t="e">
        <f>IF(#REF!=1,CH$4," ")</f>
        <v>#REF!</v>
      </c>
      <c r="DG23" s="469">
        <f t="shared" si="9"/>
        <v>81</v>
      </c>
      <c r="DJ23" s="469"/>
    </row>
    <row r="24" spans="2:114" ht="63" customHeight="1">
      <c r="B24" s="142">
        <v>19</v>
      </c>
      <c r="C24" s="143" t="str">
        <f>SISWA!B24</f>
        <v>1718250040323</v>
      </c>
      <c r="D24" s="144" t="str">
        <f>SISWA!E24</f>
        <v>JORDY</v>
      </c>
      <c r="E24" s="593">
        <v>78</v>
      </c>
      <c r="F24" s="593">
        <v>75</v>
      </c>
      <c r="G24" s="593">
        <v>75</v>
      </c>
      <c r="H24" s="593">
        <v>75</v>
      </c>
      <c r="I24" s="593">
        <v>80</v>
      </c>
      <c r="J24" s="593">
        <v>80</v>
      </c>
      <c r="K24" s="159"/>
      <c r="L24" s="159"/>
      <c r="M24" s="159"/>
      <c r="N24" s="159"/>
      <c r="O24" s="159"/>
      <c r="P24" s="159"/>
      <c r="Q24" s="159"/>
      <c r="R24" s="159"/>
      <c r="S24" s="159"/>
      <c r="T24" s="159"/>
      <c r="U24" s="159"/>
      <c r="V24" s="159"/>
      <c r="W24" s="159"/>
      <c r="X24" s="159"/>
      <c r="Y24" s="159"/>
      <c r="Z24" s="387"/>
      <c r="AA24" s="387"/>
      <c r="AB24" s="387"/>
      <c r="AC24" s="387"/>
      <c r="AD24" s="387"/>
      <c r="AE24" s="387"/>
      <c r="AF24" s="387"/>
      <c r="AG24" s="387"/>
      <c r="AH24" s="387"/>
      <c r="AI24" s="387"/>
      <c r="AJ24" s="387"/>
      <c r="AK24" s="387"/>
      <c r="AL24" s="159"/>
      <c r="AM24" s="159"/>
      <c r="AN24" s="159"/>
      <c r="AO24" s="159"/>
      <c r="AP24" s="159"/>
      <c r="AQ24" s="159"/>
      <c r="AR24" s="159"/>
      <c r="AS24" s="159"/>
      <c r="AT24" s="159"/>
      <c r="AU24" s="159"/>
      <c r="AV24" s="159"/>
      <c r="AW24" s="159"/>
      <c r="AX24" s="387"/>
      <c r="AY24" s="387"/>
      <c r="AZ24" s="387"/>
      <c r="BA24" s="387"/>
      <c r="BB24" s="387"/>
      <c r="BC24" s="387"/>
      <c r="BD24" s="387"/>
      <c r="BE24" s="387"/>
      <c r="BF24" s="387"/>
      <c r="BG24" s="387"/>
      <c r="BH24" s="387"/>
      <c r="BI24" s="387"/>
      <c r="BJ24" s="159"/>
      <c r="BK24" s="159"/>
      <c r="BL24" s="159"/>
      <c r="BM24" s="159"/>
      <c r="BN24" s="159"/>
      <c r="BO24" s="159"/>
      <c r="BP24" s="159"/>
      <c r="BQ24" s="159"/>
      <c r="BR24" s="159"/>
      <c r="BS24" s="159"/>
      <c r="BT24" s="159"/>
      <c r="BU24" s="159"/>
      <c r="BV24" s="387"/>
      <c r="BW24" s="387"/>
      <c r="BX24" s="387"/>
      <c r="BY24" s="387"/>
      <c r="BZ24" s="387"/>
      <c r="CA24" s="387"/>
      <c r="CB24" s="387"/>
      <c r="CC24" s="387"/>
      <c r="CD24" s="387"/>
      <c r="CE24" s="387"/>
      <c r="CF24" s="387"/>
      <c r="CG24" s="387"/>
      <c r="CH24" s="159"/>
      <c r="CI24" s="354">
        <f t="shared" si="0"/>
        <v>77</v>
      </c>
      <c r="CJ24" s="355" t="str">
        <f>IF(CI24&gt;KKM!$G$10,"A",IF(CI24&gt;KKM!$H$10,"B",IF(CI24&gt;=KKM!$I$10,"C","D")))</f>
        <v>B</v>
      </c>
      <c r="CK24" s="356">
        <f t="shared" si="1"/>
        <v>80</v>
      </c>
      <c r="CL24" s="361" t="str">
        <f>IF(CK24&gt;KKM!$G$10," sangat baik ",IF(CK24&gt;KKM!$H$10," baik ",IF(CK24&gt;=KKM!$I$10," cukup baik "," perlu bimbingan ")))</f>
        <v xml:space="preserve"> baik </v>
      </c>
      <c r="CM24" s="357">
        <f t="shared" si="2"/>
        <v>75</v>
      </c>
      <c r="CN24" s="361" t="str">
        <f>IF(CM24&gt;KKM!$G$10," sangat baik ",IF(CM24&gt;KKM!$H$10," baik ",IF(CM24&gt;=KKM!$I$10," cukup baik "," perlu bimbingan ")))</f>
        <v xml:space="preserve"> cukup baik </v>
      </c>
      <c r="CO24" s="353" t="str">
        <f t="shared" si="10"/>
        <v>JORDY baik  dalam memahami pelaksanaan salat tarawih dan tadarus al-Qur'an., dan  cukup baik  dalam memahami nama-nama Rasul Allah dan Rasul Ulul ‘Azmi.</v>
      </c>
      <c r="CP24" s="485"/>
      <c r="CQ24" s="359" t="str">
        <f t="shared" si="3"/>
        <v xml:space="preserve"> baik  dalam memahami pelaksanaan salat tarawih dan tadarus al-Qur'an.</v>
      </c>
      <c r="CR24" s="359" t="str">
        <f t="shared" si="4"/>
        <v xml:space="preserve"> cukup baik  dalam memahami nama-nama Rasul Allah dan Rasul Ulul ‘Azmi.</v>
      </c>
      <c r="CS24" s="359" t="str">
        <f t="shared" si="6"/>
        <v xml:space="preserve"> baik  dalam memahami pelaksanaan salat tarawih dan tadarus al-Qur'an., dan  cukup baik  dalam memahami nama-nama Rasul Allah dan Rasul Ulul ‘Azmi.</v>
      </c>
      <c r="CT24" s="359" t="str">
        <f t="shared" si="7"/>
        <v xml:space="preserve"> </v>
      </c>
      <c r="CU24" s="360" t="str">
        <f t="shared" si="8"/>
        <v xml:space="preserve"> baik  dalam memahami pelaksanaan salat tarawih dan tadarus al-Qur'an., dan  cukup baik  dalam memahami nama-nama Rasul Allah dan Rasul Ulul ‘Azmi.</v>
      </c>
      <c r="CV24" s="353" t="str">
        <f t="shared" si="5"/>
        <v>JORDY baik  dalam memahami pelaksanaan salat tarawih dan tadarus al-Qur'an., dan  cukup baik  dalam memahami nama-nama Rasul Allah dan Rasul Ulul ‘Azmi.</v>
      </c>
      <c r="CW24" s="139" t="e">
        <f>IF(#REF!=1,G$4," ")</f>
        <v>#REF!</v>
      </c>
      <c r="CX24" s="139" t="e">
        <f>IF(#REF!=1,H$4," ")</f>
        <v>#REF!</v>
      </c>
      <c r="CY24" s="139" t="e">
        <f>IF(#REF!=1,I$4," ")</f>
        <v>#REF!</v>
      </c>
      <c r="CZ24" s="139" t="e">
        <f>IF(#REF!=1,J$4," ")</f>
        <v>#REF!</v>
      </c>
      <c r="DA24" s="139" t="e">
        <f>IF(#REF!=1,K$4," ")</f>
        <v>#REF!</v>
      </c>
      <c r="DB24" s="139" t="e">
        <f>IF(#REF!=1,L$4," ")</f>
        <v>#REF!</v>
      </c>
      <c r="DC24" s="139" t="e">
        <f>IF(#REF!=1,M$4," ")</f>
        <v>#REF!</v>
      </c>
      <c r="DD24" s="139" t="e">
        <f>IF(#REF!=1,#REF!," ")</f>
        <v>#REF!</v>
      </c>
      <c r="DE24" s="139" t="e">
        <f>IF(#REF!=1,#REF!," ")</f>
        <v>#REF!</v>
      </c>
      <c r="DF24" s="139" t="e">
        <f>IF(#REF!=1,CH$4," ")</f>
        <v>#REF!</v>
      </c>
      <c r="DG24" s="469">
        <f t="shared" si="9"/>
        <v>77</v>
      </c>
      <c r="DJ24" s="469"/>
    </row>
    <row r="25" spans="2:114" ht="63" customHeight="1">
      <c r="B25" s="142">
        <v>20</v>
      </c>
      <c r="C25" s="143" t="str">
        <f>SISWA!B25</f>
        <v>1718250040324</v>
      </c>
      <c r="D25" s="144" t="str">
        <f>SISWA!E25</f>
        <v>KURNIA</v>
      </c>
      <c r="E25" s="593">
        <v>78</v>
      </c>
      <c r="F25" s="593">
        <v>75</v>
      </c>
      <c r="G25" s="593">
        <v>74</v>
      </c>
      <c r="H25" s="593">
        <v>90</v>
      </c>
      <c r="I25" s="593">
        <v>80</v>
      </c>
      <c r="J25" s="593">
        <v>75</v>
      </c>
      <c r="K25" s="159"/>
      <c r="L25" s="159"/>
      <c r="M25" s="159"/>
      <c r="N25" s="159"/>
      <c r="O25" s="159"/>
      <c r="P25" s="159"/>
      <c r="Q25" s="159"/>
      <c r="R25" s="159"/>
      <c r="S25" s="159"/>
      <c r="T25" s="159"/>
      <c r="U25" s="159"/>
      <c r="V25" s="159"/>
      <c r="W25" s="159"/>
      <c r="X25" s="159"/>
      <c r="Y25" s="159"/>
      <c r="Z25" s="387"/>
      <c r="AA25" s="387"/>
      <c r="AB25" s="387"/>
      <c r="AC25" s="387"/>
      <c r="AD25" s="387"/>
      <c r="AE25" s="387"/>
      <c r="AF25" s="387"/>
      <c r="AG25" s="387"/>
      <c r="AH25" s="387"/>
      <c r="AI25" s="387"/>
      <c r="AJ25" s="387"/>
      <c r="AK25" s="387"/>
      <c r="AL25" s="159"/>
      <c r="AM25" s="159"/>
      <c r="AN25" s="159"/>
      <c r="AO25" s="159"/>
      <c r="AP25" s="159"/>
      <c r="AQ25" s="159"/>
      <c r="AR25" s="159"/>
      <c r="AS25" s="159"/>
      <c r="AT25" s="159"/>
      <c r="AU25" s="159"/>
      <c r="AV25" s="159"/>
      <c r="AW25" s="159"/>
      <c r="AX25" s="387"/>
      <c r="AY25" s="387"/>
      <c r="AZ25" s="387"/>
      <c r="BA25" s="387"/>
      <c r="BB25" s="387"/>
      <c r="BC25" s="387"/>
      <c r="BD25" s="387"/>
      <c r="BE25" s="387"/>
      <c r="BF25" s="387"/>
      <c r="BG25" s="387"/>
      <c r="BH25" s="387"/>
      <c r="BI25" s="387"/>
      <c r="BJ25" s="159"/>
      <c r="BK25" s="159"/>
      <c r="BL25" s="159"/>
      <c r="BM25" s="159"/>
      <c r="BN25" s="159"/>
      <c r="BO25" s="159"/>
      <c r="BP25" s="159"/>
      <c r="BQ25" s="159"/>
      <c r="BR25" s="159"/>
      <c r="BS25" s="159"/>
      <c r="BT25" s="159"/>
      <c r="BU25" s="159"/>
      <c r="BV25" s="387"/>
      <c r="BW25" s="387"/>
      <c r="BX25" s="387"/>
      <c r="BY25" s="387"/>
      <c r="BZ25" s="387"/>
      <c r="CA25" s="387"/>
      <c r="CB25" s="387"/>
      <c r="CC25" s="387"/>
      <c r="CD25" s="387"/>
      <c r="CE25" s="387"/>
      <c r="CF25" s="387"/>
      <c r="CG25" s="387"/>
      <c r="CH25" s="159"/>
      <c r="CI25" s="354">
        <f t="shared" si="0"/>
        <v>79</v>
      </c>
      <c r="CJ25" s="355" t="str">
        <f>IF(CI25&gt;KKM!$G$10,"A",IF(CI25&gt;KKM!$H$10,"B",IF(CI25&gt;=KKM!$I$10,"C","D")))</f>
        <v>B</v>
      </c>
      <c r="CK25" s="356">
        <f t="shared" si="1"/>
        <v>90</v>
      </c>
      <c r="CL25" s="361" t="str">
        <f>IF(CK25&gt;KKM!$G$10," sangat baik ",IF(CK25&gt;KKM!$H$10," baik ",IF(CK25&gt;=KKM!$I$10," cukup baik "," perlu bimbingan ")))</f>
        <v xml:space="preserve"> sangat baik </v>
      </c>
      <c r="CM25" s="357">
        <f t="shared" si="2"/>
        <v>74</v>
      </c>
      <c r="CN25" s="361" t="str">
        <f>IF(CM25&gt;KKM!$G$10," sangat baik ",IF(CM25&gt;KKM!$H$10," baik ",IF(CM25&gt;=KKM!$I$10," cukup baik "," perlu bimbingan ")))</f>
        <v xml:space="preserve"> cukup baik </v>
      </c>
      <c r="CO25" s="353" t="str">
        <f t="shared" si="10"/>
        <v>KURNIA sangat baik  dalam memahami makna ikhlas beramal dalam kehidupan sehari-hari, dan  cukup baik  dalam memahami makna sederhana dalam kehidupan sehari-hari.</v>
      </c>
      <c r="CP25" s="485"/>
      <c r="CQ25" s="359" t="str">
        <f t="shared" si="3"/>
        <v xml:space="preserve"> sangat baik  dalam memahami makna ikhlas beramal dalam kehidupan sehari-hari</v>
      </c>
      <c r="CR25" s="359" t="str">
        <f t="shared" si="4"/>
        <v xml:space="preserve"> cukup baik  dalam memahami makna sederhana dalam kehidupan sehari-hari.</v>
      </c>
      <c r="CS25" s="359" t="str">
        <f t="shared" si="6"/>
        <v xml:space="preserve"> sangat baik  dalam memahami makna ikhlas beramal dalam kehidupan sehari-hari, dan  cukup baik  dalam memahami makna sederhana dalam kehidupan sehari-hari.</v>
      </c>
      <c r="CT25" s="359" t="str">
        <f t="shared" si="7"/>
        <v xml:space="preserve"> </v>
      </c>
      <c r="CU25" s="360" t="str">
        <f t="shared" si="8"/>
        <v xml:space="preserve"> sangat baik  dalam memahami makna ikhlas beramal dalam kehidupan sehari-hari, dan  cukup baik  dalam memahami makna sederhana dalam kehidupan sehari-hari.</v>
      </c>
      <c r="CV25" s="353" t="str">
        <f t="shared" si="5"/>
        <v>KURNIA sangat baik  dalam memahami makna ikhlas beramal dalam kehidupan sehari-hari, dan  cukup baik  dalam memahami makna sederhana dalam kehidupan sehari-hari.</v>
      </c>
      <c r="CW25" s="139" t="e">
        <f>IF(#REF!=1,G$4," ")</f>
        <v>#REF!</v>
      </c>
      <c r="CX25" s="139" t="e">
        <f>IF(#REF!=1,H$4," ")</f>
        <v>#REF!</v>
      </c>
      <c r="CY25" s="139" t="e">
        <f>IF(#REF!=1,I$4," ")</f>
        <v>#REF!</v>
      </c>
      <c r="CZ25" s="139" t="e">
        <f>IF(#REF!=1,J$4," ")</f>
        <v>#REF!</v>
      </c>
      <c r="DA25" s="139" t="e">
        <f>IF(#REF!=1,K$4," ")</f>
        <v>#REF!</v>
      </c>
      <c r="DB25" s="139" t="e">
        <f>IF(#REF!=1,L$4," ")</f>
        <v>#REF!</v>
      </c>
      <c r="DC25" s="139" t="e">
        <f>IF(#REF!=1,M$4," ")</f>
        <v>#REF!</v>
      </c>
      <c r="DD25" s="139" t="e">
        <f>IF(#REF!=1,#REF!," ")</f>
        <v>#REF!</v>
      </c>
      <c r="DE25" s="139" t="e">
        <f>IF(#REF!=1,#REF!," ")</f>
        <v>#REF!</v>
      </c>
      <c r="DF25" s="139" t="e">
        <f>IF(#REF!=1,CH$4," ")</f>
        <v>#REF!</v>
      </c>
      <c r="DG25" s="469">
        <f t="shared" si="9"/>
        <v>79</v>
      </c>
      <c r="DJ25" s="469"/>
    </row>
    <row r="26" spans="2:114" ht="63" customHeight="1">
      <c r="B26" s="142">
        <v>21</v>
      </c>
      <c r="C26" s="143" t="str">
        <f>SISWA!B26</f>
        <v>1718250040325</v>
      </c>
      <c r="D26" s="144" t="str">
        <f>SISWA!E26</f>
        <v>LATIZA</v>
      </c>
      <c r="E26" s="593">
        <v>100</v>
      </c>
      <c r="F26" s="593">
        <v>75</v>
      </c>
      <c r="G26" s="593">
        <v>79</v>
      </c>
      <c r="H26" s="593">
        <v>90</v>
      </c>
      <c r="I26" s="593">
        <v>85</v>
      </c>
      <c r="J26" s="593">
        <v>80</v>
      </c>
      <c r="K26" s="159"/>
      <c r="L26" s="159"/>
      <c r="M26" s="159"/>
      <c r="N26" s="159"/>
      <c r="O26" s="159"/>
      <c r="P26" s="159"/>
      <c r="Q26" s="159"/>
      <c r="R26" s="159"/>
      <c r="S26" s="159"/>
      <c r="T26" s="159"/>
      <c r="U26" s="159"/>
      <c r="V26" s="159"/>
      <c r="W26" s="159"/>
      <c r="X26" s="159"/>
      <c r="Y26" s="159"/>
      <c r="Z26" s="387"/>
      <c r="AA26" s="387"/>
      <c r="AB26" s="387"/>
      <c r="AC26" s="387"/>
      <c r="AD26" s="387"/>
      <c r="AE26" s="387"/>
      <c r="AF26" s="387"/>
      <c r="AG26" s="387"/>
      <c r="AH26" s="387"/>
      <c r="AI26" s="387"/>
      <c r="AJ26" s="387"/>
      <c r="AK26" s="387"/>
      <c r="AL26" s="159"/>
      <c r="AM26" s="159"/>
      <c r="AN26" s="159"/>
      <c r="AO26" s="159"/>
      <c r="AP26" s="159"/>
      <c r="AQ26" s="159"/>
      <c r="AR26" s="159"/>
      <c r="AS26" s="159"/>
      <c r="AT26" s="159"/>
      <c r="AU26" s="159"/>
      <c r="AV26" s="159"/>
      <c r="AW26" s="159"/>
      <c r="AX26" s="387"/>
      <c r="AY26" s="387"/>
      <c r="AZ26" s="387"/>
      <c r="BA26" s="387"/>
      <c r="BB26" s="387"/>
      <c r="BC26" s="387"/>
      <c r="BD26" s="387"/>
      <c r="BE26" s="387"/>
      <c r="BF26" s="387"/>
      <c r="BG26" s="387"/>
      <c r="BH26" s="387"/>
      <c r="BI26" s="387"/>
      <c r="BJ26" s="159"/>
      <c r="BK26" s="159"/>
      <c r="BL26" s="159"/>
      <c r="BM26" s="159"/>
      <c r="BN26" s="159"/>
      <c r="BO26" s="159"/>
      <c r="BP26" s="159"/>
      <c r="BQ26" s="159"/>
      <c r="BR26" s="159"/>
      <c r="BS26" s="159"/>
      <c r="BT26" s="159"/>
      <c r="BU26" s="159"/>
      <c r="BV26" s="387"/>
      <c r="BW26" s="387"/>
      <c r="BX26" s="387"/>
      <c r="BY26" s="387"/>
      <c r="BZ26" s="387"/>
      <c r="CA26" s="387"/>
      <c r="CB26" s="387"/>
      <c r="CC26" s="387"/>
      <c r="CD26" s="387"/>
      <c r="CE26" s="387"/>
      <c r="CF26" s="387"/>
      <c r="CG26" s="387"/>
      <c r="CH26" s="159"/>
      <c r="CI26" s="354">
        <f t="shared" si="0"/>
        <v>85</v>
      </c>
      <c r="CJ26" s="355" t="str">
        <f>IF(CI26&gt;KKM!$G$10,"A",IF(CI26&gt;KKM!$H$10,"B",IF(CI26&gt;=KKM!$I$10,"C","D")))</f>
        <v>B</v>
      </c>
      <c r="CK26" s="356">
        <f t="shared" si="1"/>
        <v>100</v>
      </c>
      <c r="CL26" s="361" t="str">
        <f>IF(CK26&gt;KKM!$G$10," sangat baik ",IF(CK26&gt;KKM!$H$10," baik ",IF(CK26&gt;=KKM!$I$10," cukup baik "," perlu bimbingan ")))</f>
        <v xml:space="preserve"> sangat baik </v>
      </c>
      <c r="CM26" s="357">
        <f t="shared" si="2"/>
        <v>75</v>
      </c>
      <c r="CN26" s="361" t="str">
        <f>IF(CM26&gt;KKM!$G$10," sangat baik ",IF(CM26&gt;KKM!$H$10," baik ",IF(CM26&gt;=KKM!$I$10," cukup baik "," perlu bimbingan ")))</f>
        <v xml:space="preserve"> cukup baik </v>
      </c>
      <c r="CO26" s="353" t="str">
        <f t="shared" si="10"/>
        <v>LATIZA sangat baik  dalam memahami makna Q.S. at-Tīn dan Q.S. al-Mā’ūn dengan benar., dan  cukup baik  dalam memahami nama-nama Rasul Allah dan Rasul Ulul ‘Azmi.</v>
      </c>
      <c r="CP26" s="485"/>
      <c r="CQ26" s="359" t="str">
        <f t="shared" si="3"/>
        <v xml:space="preserve"> sangat baik  dalam memahami makna Q.S. at-Tīn dan Q.S. al-Mā’ūn dengan benar.</v>
      </c>
      <c r="CR26" s="359" t="str">
        <f t="shared" si="4"/>
        <v xml:space="preserve"> cukup baik  dalam memahami nama-nama Rasul Allah dan Rasul Ulul ‘Azmi.</v>
      </c>
      <c r="CS26" s="359" t="str">
        <f t="shared" si="6"/>
        <v xml:space="preserve"> sangat baik  dalam memahami makna Q.S. at-Tīn dan Q.S. al-Mā’ūn dengan benar., dan  cukup baik  dalam memahami nama-nama Rasul Allah dan Rasul Ulul ‘Azmi.</v>
      </c>
      <c r="CT26" s="359" t="str">
        <f t="shared" si="7"/>
        <v xml:space="preserve"> </v>
      </c>
      <c r="CU26" s="360" t="str">
        <f t="shared" si="8"/>
        <v xml:space="preserve"> sangat baik  dalam memahami makna Q.S. at-Tīn dan Q.S. al-Mā’ūn dengan benar., dan  cukup baik  dalam memahami nama-nama Rasul Allah dan Rasul Ulul ‘Azmi.</v>
      </c>
      <c r="CV26" s="353" t="str">
        <f t="shared" si="5"/>
        <v>LATIZA sangat baik  dalam memahami makna Q.S. at-Tīn dan Q.S. al-Mā’ūn dengan benar., dan  cukup baik  dalam memahami nama-nama Rasul Allah dan Rasul Ulul ‘Azmi.</v>
      </c>
      <c r="CW26" s="139" t="e">
        <f>IF(#REF!=1,G$4," ")</f>
        <v>#REF!</v>
      </c>
      <c r="CX26" s="139" t="e">
        <f>IF(#REF!=1,H$4," ")</f>
        <v>#REF!</v>
      </c>
      <c r="CY26" s="139" t="e">
        <f>IF(#REF!=1,I$4," ")</f>
        <v>#REF!</v>
      </c>
      <c r="CZ26" s="139" t="e">
        <f>IF(#REF!=1,J$4," ")</f>
        <v>#REF!</v>
      </c>
      <c r="DA26" s="139" t="e">
        <f>IF(#REF!=1,K$4," ")</f>
        <v>#REF!</v>
      </c>
      <c r="DB26" s="139" t="e">
        <f>IF(#REF!=1,L$4," ")</f>
        <v>#REF!</v>
      </c>
      <c r="DC26" s="139" t="e">
        <f>IF(#REF!=1,M$4," ")</f>
        <v>#REF!</v>
      </c>
      <c r="DD26" s="139" t="e">
        <f>IF(#REF!=1,#REF!," ")</f>
        <v>#REF!</v>
      </c>
      <c r="DE26" s="139" t="e">
        <f>IF(#REF!=1,#REF!," ")</f>
        <v>#REF!</v>
      </c>
      <c r="DF26" s="139" t="e">
        <f>IF(#REF!=1,CH$4," ")</f>
        <v>#REF!</v>
      </c>
      <c r="DG26" s="469">
        <f t="shared" si="9"/>
        <v>85</v>
      </c>
      <c r="DJ26" s="469"/>
    </row>
    <row r="27" spans="2:114" ht="63" customHeight="1">
      <c r="B27" s="142">
        <v>22</v>
      </c>
      <c r="C27" s="143" t="str">
        <f>SISWA!B27</f>
        <v>1718250040326</v>
      </c>
      <c r="D27" s="144" t="str">
        <f>SISWA!E27</f>
        <v>RIZKY</v>
      </c>
      <c r="E27" s="593">
        <v>90</v>
      </c>
      <c r="F27" s="593">
        <v>90</v>
      </c>
      <c r="G27" s="593">
        <v>80</v>
      </c>
      <c r="H27" s="593">
        <v>70</v>
      </c>
      <c r="I27" s="593">
        <v>84</v>
      </c>
      <c r="J27" s="593">
        <v>80</v>
      </c>
      <c r="K27" s="159"/>
      <c r="L27" s="159"/>
      <c r="M27" s="159"/>
      <c r="N27" s="159"/>
      <c r="O27" s="159"/>
      <c r="P27" s="159"/>
      <c r="Q27" s="159"/>
      <c r="R27" s="159"/>
      <c r="S27" s="159"/>
      <c r="T27" s="159"/>
      <c r="U27" s="159"/>
      <c r="V27" s="159"/>
      <c r="W27" s="159"/>
      <c r="X27" s="159"/>
      <c r="Y27" s="159"/>
      <c r="Z27" s="387"/>
      <c r="AA27" s="387"/>
      <c r="AB27" s="387"/>
      <c r="AC27" s="387"/>
      <c r="AD27" s="387"/>
      <c r="AE27" s="387"/>
      <c r="AF27" s="387"/>
      <c r="AG27" s="387"/>
      <c r="AH27" s="387"/>
      <c r="AI27" s="387"/>
      <c r="AJ27" s="387"/>
      <c r="AK27" s="387"/>
      <c r="AL27" s="159"/>
      <c r="AM27" s="159"/>
      <c r="AN27" s="159"/>
      <c r="AO27" s="159"/>
      <c r="AP27" s="159"/>
      <c r="AQ27" s="159"/>
      <c r="AR27" s="159"/>
      <c r="AS27" s="159"/>
      <c r="AT27" s="159"/>
      <c r="AU27" s="159"/>
      <c r="AV27" s="159"/>
      <c r="AW27" s="159"/>
      <c r="AX27" s="387"/>
      <c r="AY27" s="387"/>
      <c r="AZ27" s="387"/>
      <c r="BA27" s="387"/>
      <c r="BB27" s="387"/>
      <c r="BC27" s="387"/>
      <c r="BD27" s="387"/>
      <c r="BE27" s="387"/>
      <c r="BF27" s="387"/>
      <c r="BG27" s="387"/>
      <c r="BH27" s="387"/>
      <c r="BI27" s="387"/>
      <c r="BJ27" s="159"/>
      <c r="BK27" s="159"/>
      <c r="BL27" s="159"/>
      <c r="BM27" s="159"/>
      <c r="BN27" s="159"/>
      <c r="BO27" s="159"/>
      <c r="BP27" s="159"/>
      <c r="BQ27" s="159"/>
      <c r="BR27" s="159"/>
      <c r="BS27" s="159"/>
      <c r="BT27" s="159"/>
      <c r="BU27" s="159"/>
      <c r="BV27" s="387"/>
      <c r="BW27" s="387"/>
      <c r="BX27" s="387"/>
      <c r="BY27" s="387"/>
      <c r="BZ27" s="387"/>
      <c r="CA27" s="387"/>
      <c r="CB27" s="387"/>
      <c r="CC27" s="387"/>
      <c r="CD27" s="387"/>
      <c r="CE27" s="387"/>
      <c r="CF27" s="387"/>
      <c r="CG27" s="387"/>
      <c r="CH27" s="159"/>
      <c r="CI27" s="354">
        <f t="shared" si="0"/>
        <v>82</v>
      </c>
      <c r="CJ27" s="355" t="str">
        <f>IF(CI27&gt;KKM!$G$10,"A",IF(CI27&gt;KKM!$H$10,"B",IF(CI27&gt;=KKM!$I$10,"C","D")))</f>
        <v>B</v>
      </c>
      <c r="CK27" s="356">
        <f t="shared" si="1"/>
        <v>90</v>
      </c>
      <c r="CL27" s="361" t="str">
        <f>IF(CK27&gt;KKM!$G$10," sangat baik ",IF(CK27&gt;KKM!$H$10," baik ",IF(CK27&gt;=KKM!$I$10," cukup baik "," perlu bimbingan ")))</f>
        <v xml:space="preserve"> sangat baik </v>
      </c>
      <c r="CM27" s="357">
        <f t="shared" si="2"/>
        <v>70</v>
      </c>
      <c r="CN27" s="361" t="str">
        <f>IF(CM27&gt;KKM!$G$10," sangat baik ",IF(CM27&gt;KKM!$H$10," baik ",IF(CM27&gt;=KKM!$I$10," cukup baik "," perlu bimbingan ")))</f>
        <v xml:space="preserve"> cukup baik </v>
      </c>
      <c r="CO27" s="353" t="str">
        <f t="shared" si="10"/>
        <v>RIZKY sangat baik  dalam memahami makna Q.S. at-Tīn dan Q.S. al-Mā’ūn dengan benar., dan  cukup baik  dalam memahami makna ikhlas beramal dalam kehidupan sehari-hari</v>
      </c>
      <c r="CP27" s="485"/>
      <c r="CQ27" s="359" t="str">
        <f t="shared" si="3"/>
        <v xml:space="preserve"> sangat baik  dalam memahami makna Q.S. at-Tīn dan Q.S. al-Mā’ūn dengan benar.</v>
      </c>
      <c r="CR27" s="359" t="str">
        <f t="shared" si="4"/>
        <v xml:space="preserve"> cukup baik  dalam memahami makna ikhlas beramal dalam kehidupan sehari-hari</v>
      </c>
      <c r="CS27" s="359" t="str">
        <f t="shared" si="6"/>
        <v xml:space="preserve"> sangat baik  dalam memahami makna Q.S. at-Tīn dan Q.S. al-Mā’ūn dengan benar., dan  cukup baik  dalam memahami makna ikhlas beramal dalam kehidupan sehari-hari</v>
      </c>
      <c r="CT27" s="359" t="str">
        <f t="shared" si="7"/>
        <v xml:space="preserve"> </v>
      </c>
      <c r="CU27" s="360" t="str">
        <f t="shared" si="8"/>
        <v xml:space="preserve"> sangat baik  dalam memahami makna Q.S. at-Tīn dan Q.S. al-Mā’ūn dengan benar., dan  cukup baik  dalam memahami makna ikhlas beramal dalam kehidupan sehari-hari</v>
      </c>
      <c r="CV27" s="353" t="str">
        <f t="shared" si="5"/>
        <v>RIZKY sangat baik  dalam memahami makna Q.S. at-Tīn dan Q.S. al-Mā’ūn dengan benar., dan  cukup baik  dalam memahami makna ikhlas beramal dalam kehidupan sehari-hari</v>
      </c>
      <c r="CW27" s="139" t="e">
        <f>IF(#REF!=1,G$4," ")</f>
        <v>#REF!</v>
      </c>
      <c r="CX27" s="139" t="e">
        <f>IF(#REF!=1,H$4," ")</f>
        <v>#REF!</v>
      </c>
      <c r="CY27" s="139" t="e">
        <f>IF(#REF!=1,I$4," ")</f>
        <v>#REF!</v>
      </c>
      <c r="CZ27" s="139" t="e">
        <f>IF(#REF!=1,J$4," ")</f>
        <v>#REF!</v>
      </c>
      <c r="DA27" s="139" t="e">
        <f>IF(#REF!=1,K$4," ")</f>
        <v>#REF!</v>
      </c>
      <c r="DB27" s="139" t="e">
        <f>IF(#REF!=1,L$4," ")</f>
        <v>#REF!</v>
      </c>
      <c r="DC27" s="139" t="e">
        <f>IF(#REF!=1,M$4," ")</f>
        <v>#REF!</v>
      </c>
      <c r="DD27" s="139" t="e">
        <f>IF(#REF!=1,#REF!," ")</f>
        <v>#REF!</v>
      </c>
      <c r="DE27" s="139" t="e">
        <f>IF(#REF!=1,#REF!," ")</f>
        <v>#REF!</v>
      </c>
      <c r="DF27" s="139" t="e">
        <f>IF(#REF!=1,CH$4," ")</f>
        <v>#REF!</v>
      </c>
      <c r="DG27" s="469">
        <f t="shared" si="9"/>
        <v>82</v>
      </c>
      <c r="DJ27" s="469"/>
    </row>
    <row r="28" spans="2:114" ht="63" customHeight="1">
      <c r="B28" s="142">
        <v>23</v>
      </c>
      <c r="C28" s="143" t="str">
        <f>SISWA!B28</f>
        <v>1718250040327</v>
      </c>
      <c r="D28" s="144" t="str">
        <f>SISWA!E28</f>
        <v>RAMADHANDANI</v>
      </c>
      <c r="E28" s="593">
        <v>79</v>
      </c>
      <c r="F28" s="593">
        <v>85</v>
      </c>
      <c r="G28" s="593">
        <v>90</v>
      </c>
      <c r="H28" s="593">
        <v>79</v>
      </c>
      <c r="I28" s="593">
        <v>85</v>
      </c>
      <c r="J28" s="593">
        <v>75</v>
      </c>
      <c r="K28" s="159"/>
      <c r="L28" s="159"/>
      <c r="M28" s="159"/>
      <c r="N28" s="159"/>
      <c r="O28" s="159"/>
      <c r="P28" s="159"/>
      <c r="Q28" s="159"/>
      <c r="R28" s="159"/>
      <c r="S28" s="159"/>
      <c r="T28" s="159"/>
      <c r="U28" s="159"/>
      <c r="V28" s="159"/>
      <c r="W28" s="159"/>
      <c r="X28" s="159"/>
      <c r="Y28" s="159"/>
      <c r="Z28" s="387"/>
      <c r="AA28" s="387"/>
      <c r="AB28" s="387"/>
      <c r="AC28" s="387"/>
      <c r="AD28" s="387"/>
      <c r="AE28" s="387"/>
      <c r="AF28" s="387"/>
      <c r="AG28" s="387"/>
      <c r="AH28" s="387"/>
      <c r="AI28" s="387"/>
      <c r="AJ28" s="387"/>
      <c r="AK28" s="387"/>
      <c r="AL28" s="159"/>
      <c r="AM28" s="159"/>
      <c r="AN28" s="159"/>
      <c r="AO28" s="159"/>
      <c r="AP28" s="159"/>
      <c r="AQ28" s="159"/>
      <c r="AR28" s="159"/>
      <c r="AS28" s="159"/>
      <c r="AT28" s="159"/>
      <c r="AU28" s="159"/>
      <c r="AV28" s="159"/>
      <c r="AW28" s="159"/>
      <c r="AX28" s="387"/>
      <c r="AY28" s="387"/>
      <c r="AZ28" s="387"/>
      <c r="BA28" s="387"/>
      <c r="BB28" s="387"/>
      <c r="BC28" s="387"/>
      <c r="BD28" s="387"/>
      <c r="BE28" s="387"/>
      <c r="BF28" s="387"/>
      <c r="BG28" s="387"/>
      <c r="BH28" s="387"/>
      <c r="BI28" s="387"/>
      <c r="BJ28" s="159"/>
      <c r="BK28" s="159"/>
      <c r="BL28" s="159"/>
      <c r="BM28" s="159"/>
      <c r="BN28" s="159"/>
      <c r="BO28" s="159"/>
      <c r="BP28" s="159"/>
      <c r="BQ28" s="159"/>
      <c r="BR28" s="159"/>
      <c r="BS28" s="159"/>
      <c r="BT28" s="159"/>
      <c r="BU28" s="159"/>
      <c r="BV28" s="387"/>
      <c r="BW28" s="387"/>
      <c r="BX28" s="387"/>
      <c r="BY28" s="387"/>
      <c r="BZ28" s="387"/>
      <c r="CA28" s="387"/>
      <c r="CB28" s="387"/>
      <c r="CC28" s="387"/>
      <c r="CD28" s="387"/>
      <c r="CE28" s="387"/>
      <c r="CF28" s="387"/>
      <c r="CG28" s="387"/>
      <c r="CH28" s="159"/>
      <c r="CI28" s="354">
        <f t="shared" si="0"/>
        <v>82</v>
      </c>
      <c r="CJ28" s="355" t="str">
        <f>IF(CI28&gt;KKM!$G$10,"A",IF(CI28&gt;KKM!$H$10,"B",IF(CI28&gt;=KKM!$I$10,"C","D")))</f>
        <v>B</v>
      </c>
      <c r="CK28" s="356">
        <f t="shared" si="1"/>
        <v>90</v>
      </c>
      <c r="CL28" s="361" t="str">
        <f>IF(CK28&gt;KKM!$G$10," sangat baik ",IF(CK28&gt;KKM!$H$10," baik ",IF(CK28&gt;=KKM!$I$10," cukup baik "," perlu bimbingan ")))</f>
        <v xml:space="preserve"> sangat baik </v>
      </c>
      <c r="CM28" s="357">
        <f t="shared" si="2"/>
        <v>75</v>
      </c>
      <c r="CN28" s="361" t="str">
        <f>IF(CM28&gt;KKM!$G$10," sangat baik ",IF(CM28&gt;KKM!$H$10," baik ",IF(CM28&gt;=KKM!$I$10," cukup baik "," perlu bimbingan ")))</f>
        <v xml:space="preserve"> cukup baik </v>
      </c>
      <c r="CO28" s="353" t="str">
        <f t="shared" si="10"/>
        <v>RAMADHANDANI sangat baik  dalam memahami makna sederhana dalam kehidupan sehari-hari., dan  cukup baik  dalam memahami kisah keteladanan Luqman sebagaimana terdapat dalam al-Qur'an.</v>
      </c>
      <c r="CP28" s="485"/>
      <c r="CQ28" s="359" t="str">
        <f t="shared" si="3"/>
        <v xml:space="preserve"> sangat baik  dalam memahami makna sederhana dalam kehidupan sehari-hari.</v>
      </c>
      <c r="CR28" s="359" t="str">
        <f t="shared" si="4"/>
        <v xml:space="preserve"> cukup baik  dalam memahami kisah keteladanan Luqman sebagaimana terdapat dalam al-Qur'an.</v>
      </c>
      <c r="CS28" s="359" t="str">
        <f t="shared" si="6"/>
        <v xml:space="preserve"> sangat baik  dalam memahami makna sederhana dalam kehidupan sehari-hari., dan  cukup baik  dalam memahami kisah keteladanan Luqman sebagaimana terdapat dalam al-Qur'an.</v>
      </c>
      <c r="CT28" s="359" t="str">
        <f t="shared" si="7"/>
        <v xml:space="preserve"> </v>
      </c>
      <c r="CU28" s="360" t="str">
        <f t="shared" si="8"/>
        <v xml:space="preserve"> sangat baik  dalam memahami makna sederhana dalam kehidupan sehari-hari., dan  cukup baik  dalam memahami kisah keteladanan Luqman sebagaimana terdapat dalam al-Qur'an.</v>
      </c>
      <c r="CV28" s="353" t="str">
        <f t="shared" si="5"/>
        <v>RAMADHANDANI sangat baik  dalam memahami makna sederhana dalam kehidupan sehari-hari., dan  cukup baik  dalam memahami kisah keteladanan Luqman sebagaimana terdapat dalam al-Qur'an.</v>
      </c>
      <c r="CW28" s="139" t="e">
        <f>IF(#REF!=1,G$4," ")</f>
        <v>#REF!</v>
      </c>
      <c r="CX28" s="139" t="e">
        <f>IF(#REF!=1,H$4," ")</f>
        <v>#REF!</v>
      </c>
      <c r="CY28" s="139" t="e">
        <f>IF(#REF!=1,I$4," ")</f>
        <v>#REF!</v>
      </c>
      <c r="CZ28" s="139" t="e">
        <f>IF(#REF!=1,J$4," ")</f>
        <v>#REF!</v>
      </c>
      <c r="DA28" s="139" t="e">
        <f>IF(#REF!=1,K$4," ")</f>
        <v>#REF!</v>
      </c>
      <c r="DB28" s="139" t="e">
        <f>IF(#REF!=1,L$4," ")</f>
        <v>#REF!</v>
      </c>
      <c r="DC28" s="139" t="e">
        <f>IF(#REF!=1,M$4," ")</f>
        <v>#REF!</v>
      </c>
      <c r="DD28" s="139" t="e">
        <f>IF(#REF!=1,#REF!," ")</f>
        <v>#REF!</v>
      </c>
      <c r="DE28" s="139" t="e">
        <f>IF(#REF!=1,#REF!," ")</f>
        <v>#REF!</v>
      </c>
      <c r="DF28" s="139" t="e">
        <f>IF(#REF!=1,CH$4," ")</f>
        <v>#REF!</v>
      </c>
      <c r="DG28" s="469">
        <f t="shared" si="9"/>
        <v>82</v>
      </c>
      <c r="DJ28" s="469"/>
    </row>
    <row r="29" spans="2:114" ht="63" customHeight="1">
      <c r="B29" s="142">
        <v>24</v>
      </c>
      <c r="C29" s="143" t="str">
        <f>SISWA!B29</f>
        <v>1718250040328</v>
      </c>
      <c r="D29" s="144" t="str">
        <f>SISWA!E29</f>
        <v>SYAEPUL</v>
      </c>
      <c r="E29" s="593">
        <v>100</v>
      </c>
      <c r="F29" s="593">
        <v>80</v>
      </c>
      <c r="G29" s="593">
        <v>80</v>
      </c>
      <c r="H29" s="593">
        <v>75</v>
      </c>
      <c r="I29" s="593">
        <v>85</v>
      </c>
      <c r="J29" s="593">
        <v>80</v>
      </c>
      <c r="K29" s="159"/>
      <c r="L29" s="159"/>
      <c r="M29" s="159"/>
      <c r="N29" s="159"/>
      <c r="O29" s="159"/>
      <c r="P29" s="159"/>
      <c r="Q29" s="159"/>
      <c r="R29" s="159"/>
      <c r="S29" s="159"/>
      <c r="T29" s="159"/>
      <c r="U29" s="159"/>
      <c r="V29" s="159"/>
      <c r="W29" s="159"/>
      <c r="X29" s="159"/>
      <c r="Y29" s="159"/>
      <c r="Z29" s="387"/>
      <c r="AA29" s="387"/>
      <c r="AB29" s="387"/>
      <c r="AC29" s="387"/>
      <c r="AD29" s="387"/>
      <c r="AE29" s="387"/>
      <c r="AF29" s="387"/>
      <c r="AG29" s="387"/>
      <c r="AH29" s="387"/>
      <c r="AI29" s="387"/>
      <c r="AJ29" s="387"/>
      <c r="AK29" s="387"/>
      <c r="AL29" s="159"/>
      <c r="AM29" s="159"/>
      <c r="AN29" s="159"/>
      <c r="AO29" s="159"/>
      <c r="AP29" s="159"/>
      <c r="AQ29" s="159"/>
      <c r="AR29" s="159"/>
      <c r="AS29" s="159"/>
      <c r="AT29" s="159"/>
      <c r="AU29" s="159"/>
      <c r="AV29" s="159"/>
      <c r="AW29" s="159"/>
      <c r="AX29" s="387"/>
      <c r="AY29" s="387"/>
      <c r="AZ29" s="387"/>
      <c r="BA29" s="387"/>
      <c r="BB29" s="387"/>
      <c r="BC29" s="387"/>
      <c r="BD29" s="387"/>
      <c r="BE29" s="387"/>
      <c r="BF29" s="387"/>
      <c r="BG29" s="387"/>
      <c r="BH29" s="387"/>
      <c r="BI29" s="387"/>
      <c r="BJ29" s="159"/>
      <c r="BK29" s="159"/>
      <c r="BL29" s="159"/>
      <c r="BM29" s="159"/>
      <c r="BN29" s="159"/>
      <c r="BO29" s="159"/>
      <c r="BP29" s="159"/>
      <c r="BQ29" s="159"/>
      <c r="BR29" s="159"/>
      <c r="BS29" s="159"/>
      <c r="BT29" s="159"/>
      <c r="BU29" s="159"/>
      <c r="BV29" s="387"/>
      <c r="BW29" s="387"/>
      <c r="BX29" s="387"/>
      <c r="BY29" s="387"/>
      <c r="BZ29" s="387"/>
      <c r="CA29" s="387"/>
      <c r="CB29" s="387"/>
      <c r="CC29" s="387"/>
      <c r="CD29" s="387"/>
      <c r="CE29" s="387"/>
      <c r="CF29" s="387"/>
      <c r="CG29" s="387"/>
      <c r="CH29" s="159"/>
      <c r="CI29" s="354">
        <f t="shared" si="0"/>
        <v>83</v>
      </c>
      <c r="CJ29" s="355" t="str">
        <f>IF(CI29&gt;KKM!$G$10,"A",IF(CI29&gt;KKM!$H$10,"B",IF(CI29&gt;=KKM!$I$10,"C","D")))</f>
        <v>B</v>
      </c>
      <c r="CK29" s="356">
        <f t="shared" si="1"/>
        <v>100</v>
      </c>
      <c r="CL29" s="361" t="str">
        <f>IF(CK29&gt;KKM!$G$10," sangat baik ",IF(CK29&gt;KKM!$H$10," baik ",IF(CK29&gt;=KKM!$I$10," cukup baik "," perlu bimbingan ")))</f>
        <v xml:space="preserve"> sangat baik </v>
      </c>
      <c r="CM29" s="357">
        <f t="shared" si="2"/>
        <v>75</v>
      </c>
      <c r="CN29" s="361" t="str">
        <f>IF(CM29&gt;KKM!$G$10," sangat baik ",IF(CM29&gt;KKM!$H$10," baik ",IF(CM29&gt;=KKM!$I$10," cukup baik "," perlu bimbingan ")))</f>
        <v xml:space="preserve"> cukup baik </v>
      </c>
      <c r="CO29" s="353" t="str">
        <f t="shared" si="10"/>
        <v>SYAEPUL sangat baik  dalam memahami makna Q.S. at-Tīn dan Q.S. al-Mā’ūn dengan benar., dan  cukup baik  dalam memahami makna ikhlas beramal dalam kehidupan sehari-hari</v>
      </c>
      <c r="CP29" s="485"/>
      <c r="CQ29" s="359" t="str">
        <f t="shared" si="3"/>
        <v xml:space="preserve"> sangat baik  dalam memahami makna Q.S. at-Tīn dan Q.S. al-Mā’ūn dengan benar.</v>
      </c>
      <c r="CR29" s="359" t="str">
        <f t="shared" si="4"/>
        <v xml:space="preserve"> cukup baik  dalam memahami makna ikhlas beramal dalam kehidupan sehari-hari</v>
      </c>
      <c r="CS29" s="359" t="str">
        <f t="shared" si="6"/>
        <v xml:space="preserve"> sangat baik  dalam memahami makna Q.S. at-Tīn dan Q.S. al-Mā’ūn dengan benar., dan  cukup baik  dalam memahami makna ikhlas beramal dalam kehidupan sehari-hari</v>
      </c>
      <c r="CT29" s="359" t="str">
        <f t="shared" si="7"/>
        <v xml:space="preserve"> </v>
      </c>
      <c r="CU29" s="360" t="str">
        <f t="shared" si="8"/>
        <v xml:space="preserve"> sangat baik  dalam memahami makna Q.S. at-Tīn dan Q.S. al-Mā’ūn dengan benar., dan  cukup baik  dalam memahami makna ikhlas beramal dalam kehidupan sehari-hari</v>
      </c>
      <c r="CV29" s="353" t="str">
        <f t="shared" si="5"/>
        <v>SYAEPUL sangat baik  dalam memahami makna Q.S. at-Tīn dan Q.S. al-Mā’ūn dengan benar., dan  cukup baik  dalam memahami makna ikhlas beramal dalam kehidupan sehari-hari</v>
      </c>
      <c r="CW29" s="139" t="e">
        <f>IF(#REF!=1,G$4," ")</f>
        <v>#REF!</v>
      </c>
      <c r="CX29" s="139" t="e">
        <f>IF(#REF!=1,H$4," ")</f>
        <v>#REF!</v>
      </c>
      <c r="CY29" s="139" t="e">
        <f>IF(#REF!=1,I$4," ")</f>
        <v>#REF!</v>
      </c>
      <c r="CZ29" s="139" t="e">
        <f>IF(#REF!=1,J$4," ")</f>
        <v>#REF!</v>
      </c>
      <c r="DA29" s="139" t="e">
        <f>IF(#REF!=1,K$4," ")</f>
        <v>#REF!</v>
      </c>
      <c r="DB29" s="139" t="e">
        <f>IF(#REF!=1,L$4," ")</f>
        <v>#REF!</v>
      </c>
      <c r="DC29" s="139" t="e">
        <f>IF(#REF!=1,M$4," ")</f>
        <v>#REF!</v>
      </c>
      <c r="DD29" s="139" t="e">
        <f>IF(#REF!=1,#REF!," ")</f>
        <v>#REF!</v>
      </c>
      <c r="DE29" s="139" t="e">
        <f>IF(#REF!=1,#REF!," ")</f>
        <v>#REF!</v>
      </c>
      <c r="DF29" s="139" t="e">
        <f>IF(#REF!=1,CH$4," ")</f>
        <v>#REF!</v>
      </c>
      <c r="DG29" s="469">
        <f t="shared" si="9"/>
        <v>83</v>
      </c>
      <c r="DJ29" s="469"/>
    </row>
    <row r="30" spans="2:114" ht="63" customHeight="1">
      <c r="B30" s="142">
        <v>25</v>
      </c>
      <c r="C30" s="143" t="str">
        <f>SISWA!B30</f>
        <v>1718250040329</v>
      </c>
      <c r="D30" s="144" t="str">
        <f>SISWA!E30</f>
        <v>ALIF</v>
      </c>
      <c r="E30" s="593">
        <v>90</v>
      </c>
      <c r="F30" s="593">
        <v>90</v>
      </c>
      <c r="G30" s="593">
        <v>80</v>
      </c>
      <c r="H30" s="593">
        <v>90</v>
      </c>
      <c r="I30" s="593">
        <v>80</v>
      </c>
      <c r="J30" s="593">
        <v>80</v>
      </c>
      <c r="K30" s="159"/>
      <c r="L30" s="159"/>
      <c r="M30" s="159"/>
      <c r="N30" s="159"/>
      <c r="O30" s="159"/>
      <c r="P30" s="159"/>
      <c r="Q30" s="159"/>
      <c r="R30" s="159"/>
      <c r="S30" s="159"/>
      <c r="T30" s="159"/>
      <c r="U30" s="159"/>
      <c r="V30" s="159"/>
      <c r="W30" s="159"/>
      <c r="X30" s="159"/>
      <c r="Y30" s="159"/>
      <c r="Z30" s="387"/>
      <c r="AA30" s="387"/>
      <c r="AB30" s="387"/>
      <c r="AC30" s="387"/>
      <c r="AD30" s="387"/>
      <c r="AE30" s="387"/>
      <c r="AF30" s="387"/>
      <c r="AG30" s="387"/>
      <c r="AH30" s="387"/>
      <c r="AI30" s="387"/>
      <c r="AJ30" s="387"/>
      <c r="AK30" s="387"/>
      <c r="AL30" s="159"/>
      <c r="AM30" s="159"/>
      <c r="AN30" s="159"/>
      <c r="AO30" s="159"/>
      <c r="AP30" s="159"/>
      <c r="AQ30" s="159"/>
      <c r="AR30" s="159"/>
      <c r="AS30" s="159"/>
      <c r="AT30" s="159"/>
      <c r="AU30" s="159"/>
      <c r="AV30" s="159"/>
      <c r="AW30" s="159"/>
      <c r="AX30" s="387"/>
      <c r="AY30" s="387"/>
      <c r="AZ30" s="387"/>
      <c r="BA30" s="387"/>
      <c r="BB30" s="387"/>
      <c r="BC30" s="387"/>
      <c r="BD30" s="387"/>
      <c r="BE30" s="387"/>
      <c r="BF30" s="387"/>
      <c r="BG30" s="387"/>
      <c r="BH30" s="387"/>
      <c r="BI30" s="387"/>
      <c r="BJ30" s="159"/>
      <c r="BK30" s="159"/>
      <c r="BL30" s="159"/>
      <c r="BM30" s="159"/>
      <c r="BN30" s="159"/>
      <c r="BO30" s="159"/>
      <c r="BP30" s="159"/>
      <c r="BQ30" s="159"/>
      <c r="BR30" s="159"/>
      <c r="BS30" s="159"/>
      <c r="BT30" s="159"/>
      <c r="BU30" s="159"/>
      <c r="BV30" s="387"/>
      <c r="BW30" s="387"/>
      <c r="BX30" s="387"/>
      <c r="BY30" s="387"/>
      <c r="BZ30" s="387"/>
      <c r="CA30" s="387"/>
      <c r="CB30" s="387"/>
      <c r="CC30" s="387"/>
      <c r="CD30" s="387"/>
      <c r="CE30" s="387"/>
      <c r="CF30" s="387"/>
      <c r="CG30" s="387"/>
      <c r="CH30" s="159"/>
      <c r="CI30" s="354">
        <f t="shared" si="0"/>
        <v>85</v>
      </c>
      <c r="CJ30" s="355" t="str">
        <f>IF(CI30&gt;KKM!$G$10,"A",IF(CI30&gt;KKM!$H$10,"B",IF(CI30&gt;=KKM!$I$10,"C","D")))</f>
        <v>B</v>
      </c>
      <c r="CK30" s="356">
        <f t="shared" si="1"/>
        <v>90</v>
      </c>
      <c r="CL30" s="361" t="str">
        <f>IF(CK30&gt;KKM!$G$10," sangat baik ",IF(CK30&gt;KKM!$H$10," baik ",IF(CK30&gt;=KKM!$I$10," cukup baik "," perlu bimbingan ")))</f>
        <v xml:space="preserve"> sangat baik </v>
      </c>
      <c r="CM30" s="357">
        <f t="shared" si="2"/>
        <v>80</v>
      </c>
      <c r="CN30" s="361" t="str">
        <f>IF(CM30&gt;KKM!$G$10," sangat baik ",IF(CM30&gt;KKM!$H$10," baik ",IF(CM30&gt;=KKM!$I$10," cukup baik "," perlu bimbingan ")))</f>
        <v xml:space="preserve"> baik </v>
      </c>
      <c r="CO30" s="353" t="str">
        <f t="shared" si="10"/>
        <v>ALIF sangat baik  dalam memahami makna Q.S. at-Tīn dan Q.S. al-Mā’ūn dengan benar., dan  baik  dalam memahami makna sederhana dalam kehidupan sehari-hari.</v>
      </c>
      <c r="CP30" s="485"/>
      <c r="CQ30" s="359" t="str">
        <f t="shared" si="3"/>
        <v xml:space="preserve"> sangat baik  dalam memahami makna Q.S. at-Tīn dan Q.S. al-Mā’ūn dengan benar.</v>
      </c>
      <c r="CR30" s="359" t="str">
        <f t="shared" si="4"/>
        <v xml:space="preserve"> baik  dalam memahami makna sederhana dalam kehidupan sehari-hari.</v>
      </c>
      <c r="CS30" s="359" t="str">
        <f t="shared" si="6"/>
        <v xml:space="preserve"> sangat baik  dalam memahami makna Q.S. at-Tīn dan Q.S. al-Mā’ūn dengan benar., dan  baik  dalam memahami makna sederhana dalam kehidupan sehari-hari.</v>
      </c>
      <c r="CT30" s="359" t="str">
        <f t="shared" si="7"/>
        <v xml:space="preserve"> </v>
      </c>
      <c r="CU30" s="360" t="str">
        <f t="shared" si="8"/>
        <v xml:space="preserve"> sangat baik  dalam memahami makna Q.S. at-Tīn dan Q.S. al-Mā’ūn dengan benar., dan  baik  dalam memahami makna sederhana dalam kehidupan sehari-hari.</v>
      </c>
      <c r="CV30" s="353" t="str">
        <f t="shared" si="5"/>
        <v>ALIF sangat baik  dalam memahami makna Q.S. at-Tīn dan Q.S. al-Mā’ūn dengan benar., dan  baik  dalam memahami makna sederhana dalam kehidupan sehari-hari.</v>
      </c>
      <c r="CW30" s="139" t="e">
        <f>IF(#REF!=1,G$4," ")</f>
        <v>#REF!</v>
      </c>
      <c r="CX30" s="139" t="e">
        <f>IF(#REF!=1,H$4," ")</f>
        <v>#REF!</v>
      </c>
      <c r="CY30" s="139" t="e">
        <f>IF(#REF!=1,I$4," ")</f>
        <v>#REF!</v>
      </c>
      <c r="CZ30" s="139" t="e">
        <f>IF(#REF!=1,J$4," ")</f>
        <v>#REF!</v>
      </c>
      <c r="DA30" s="139" t="e">
        <f>IF(#REF!=1,K$4," ")</f>
        <v>#REF!</v>
      </c>
      <c r="DB30" s="139" t="e">
        <f>IF(#REF!=1,L$4," ")</f>
        <v>#REF!</v>
      </c>
      <c r="DC30" s="139" t="e">
        <f>IF(#REF!=1,M$4," ")</f>
        <v>#REF!</v>
      </c>
      <c r="DD30" s="139" t="e">
        <f>IF(#REF!=1,#REF!," ")</f>
        <v>#REF!</v>
      </c>
      <c r="DE30" s="139" t="e">
        <f>IF(#REF!=1,#REF!," ")</f>
        <v>#REF!</v>
      </c>
      <c r="DF30" s="139" t="e">
        <f>IF(#REF!=1,CH$4," ")</f>
        <v>#REF!</v>
      </c>
      <c r="DG30" s="469">
        <f t="shared" si="9"/>
        <v>85</v>
      </c>
      <c r="DJ30" s="469"/>
    </row>
    <row r="31" spans="2:114" ht="63" customHeight="1">
      <c r="B31" s="142">
        <v>26</v>
      </c>
      <c r="C31" s="143" t="str">
        <f>SISWA!B31</f>
        <v>1718250040330</v>
      </c>
      <c r="D31" s="144" t="str">
        <f>SISWA!E31</f>
        <v>HIZKIEL</v>
      </c>
      <c r="E31" s="593">
        <v>90</v>
      </c>
      <c r="F31" s="593">
        <v>75</v>
      </c>
      <c r="G31" s="593">
        <v>60</v>
      </c>
      <c r="H31" s="593">
        <v>75</v>
      </c>
      <c r="I31" s="593">
        <v>81</v>
      </c>
      <c r="J31" s="593">
        <v>80</v>
      </c>
      <c r="K31" s="159"/>
      <c r="L31" s="159"/>
      <c r="M31" s="159"/>
      <c r="N31" s="159"/>
      <c r="O31" s="159"/>
      <c r="P31" s="159"/>
      <c r="Q31" s="159"/>
      <c r="R31" s="159"/>
      <c r="S31" s="159"/>
      <c r="T31" s="159"/>
      <c r="U31" s="159"/>
      <c r="V31" s="159"/>
      <c r="W31" s="159"/>
      <c r="X31" s="159"/>
      <c r="Y31" s="159"/>
      <c r="Z31" s="387"/>
      <c r="AA31" s="387"/>
      <c r="AB31" s="387"/>
      <c r="AC31" s="387"/>
      <c r="AD31" s="387"/>
      <c r="AE31" s="387"/>
      <c r="AF31" s="387"/>
      <c r="AG31" s="387"/>
      <c r="AH31" s="387"/>
      <c r="AI31" s="387"/>
      <c r="AJ31" s="387"/>
      <c r="AK31" s="387"/>
      <c r="AL31" s="159"/>
      <c r="AM31" s="159"/>
      <c r="AN31" s="159"/>
      <c r="AO31" s="159"/>
      <c r="AP31" s="159"/>
      <c r="AQ31" s="159"/>
      <c r="AR31" s="159"/>
      <c r="AS31" s="159"/>
      <c r="AT31" s="159"/>
      <c r="AU31" s="159"/>
      <c r="AV31" s="159"/>
      <c r="AW31" s="159"/>
      <c r="AX31" s="387"/>
      <c r="AY31" s="387"/>
      <c r="AZ31" s="387"/>
      <c r="BA31" s="387"/>
      <c r="BB31" s="387"/>
      <c r="BC31" s="387"/>
      <c r="BD31" s="387"/>
      <c r="BE31" s="387"/>
      <c r="BF31" s="387"/>
      <c r="BG31" s="387"/>
      <c r="BH31" s="387"/>
      <c r="BI31" s="387"/>
      <c r="BJ31" s="159"/>
      <c r="BK31" s="159"/>
      <c r="BL31" s="159"/>
      <c r="BM31" s="159"/>
      <c r="BN31" s="159"/>
      <c r="BO31" s="159"/>
      <c r="BP31" s="159"/>
      <c r="BQ31" s="159"/>
      <c r="BR31" s="159"/>
      <c r="BS31" s="159"/>
      <c r="BT31" s="159"/>
      <c r="BU31" s="159"/>
      <c r="BV31" s="387"/>
      <c r="BW31" s="387"/>
      <c r="BX31" s="387"/>
      <c r="BY31" s="387"/>
      <c r="BZ31" s="387"/>
      <c r="CA31" s="387"/>
      <c r="CB31" s="387"/>
      <c r="CC31" s="387"/>
      <c r="CD31" s="387"/>
      <c r="CE31" s="387"/>
      <c r="CF31" s="387"/>
      <c r="CG31" s="387"/>
      <c r="CH31" s="159"/>
      <c r="CI31" s="354">
        <f t="shared" si="0"/>
        <v>77</v>
      </c>
      <c r="CJ31" s="355" t="str">
        <f>IF(CI31&gt;KKM!$G$10,"A",IF(CI31&gt;KKM!$H$10,"B",IF(CI31&gt;=KKM!$I$10,"C","D")))</f>
        <v>B</v>
      </c>
      <c r="CK31" s="356">
        <f t="shared" si="1"/>
        <v>90</v>
      </c>
      <c r="CL31" s="361" t="str">
        <f>IF(CK31&gt;KKM!$G$10," sangat baik ",IF(CK31&gt;KKM!$H$10," baik ",IF(CK31&gt;=KKM!$I$10," cukup baik "," perlu bimbingan ")))</f>
        <v xml:space="preserve"> sangat baik </v>
      </c>
      <c r="CM31" s="357">
        <f t="shared" si="2"/>
        <v>60</v>
      </c>
      <c r="CN31" s="361" t="str">
        <f>IF(CM31&gt;KKM!$G$10," sangat baik ",IF(CM31&gt;KKM!$H$10," baik ",IF(CM31&gt;=KKM!$I$10," cukup baik "," perlu bimbingan ")))</f>
        <v xml:space="preserve"> perlu bimbingan </v>
      </c>
      <c r="CO31" s="353" t="str">
        <f t="shared" si="10"/>
        <v>HIZKIEL sangat baik  dalam memahami makna Q.S. at-Tīn dan Q.S. al-Mā’ūn dengan benar., dan  perlu bimbingan  dalam memahami makna sederhana dalam kehidupan sehari-hari.</v>
      </c>
      <c r="CP31" s="485"/>
      <c r="CQ31" s="359" t="str">
        <f t="shared" si="3"/>
        <v xml:space="preserve"> sangat baik  dalam memahami makna Q.S. at-Tīn dan Q.S. al-Mā’ūn dengan benar.</v>
      </c>
      <c r="CR31" s="359" t="str">
        <f t="shared" si="4"/>
        <v xml:space="preserve"> perlu bimbingan  dalam memahami makna sederhana dalam kehidupan sehari-hari.</v>
      </c>
      <c r="CS31" s="359" t="str">
        <f t="shared" si="6"/>
        <v xml:space="preserve"> sangat baik  dalam memahami makna Q.S. at-Tīn dan Q.S. al-Mā’ūn dengan benar., dan  perlu bimbingan  dalam memahami makna sederhana dalam kehidupan sehari-hari.</v>
      </c>
      <c r="CT31" s="359" t="str">
        <f t="shared" si="7"/>
        <v xml:space="preserve"> </v>
      </c>
      <c r="CU31" s="360" t="str">
        <f t="shared" si="8"/>
        <v xml:space="preserve"> sangat baik  dalam memahami makna Q.S. at-Tīn dan Q.S. al-Mā’ūn dengan benar., dan  perlu bimbingan  dalam memahami makna sederhana dalam kehidupan sehari-hari.</v>
      </c>
      <c r="CV31" s="353" t="str">
        <f t="shared" si="5"/>
        <v>HIZKIEL sangat baik  dalam memahami makna Q.S. at-Tīn dan Q.S. al-Mā’ūn dengan benar., dan  perlu bimbingan  dalam memahami makna sederhana dalam kehidupan sehari-hari.</v>
      </c>
      <c r="CW31" s="139" t="e">
        <f>IF(#REF!=1,G$4," ")</f>
        <v>#REF!</v>
      </c>
      <c r="CX31" s="139" t="e">
        <f>IF(#REF!=1,H$4," ")</f>
        <v>#REF!</v>
      </c>
      <c r="CY31" s="139" t="e">
        <f>IF(#REF!=1,I$4," ")</f>
        <v>#REF!</v>
      </c>
      <c r="CZ31" s="139" t="e">
        <f>IF(#REF!=1,J$4," ")</f>
        <v>#REF!</v>
      </c>
      <c r="DA31" s="139" t="e">
        <f>IF(#REF!=1,K$4," ")</f>
        <v>#REF!</v>
      </c>
      <c r="DB31" s="139" t="e">
        <f>IF(#REF!=1,L$4," ")</f>
        <v>#REF!</v>
      </c>
      <c r="DC31" s="139" t="e">
        <f>IF(#REF!=1,M$4," ")</f>
        <v>#REF!</v>
      </c>
      <c r="DD31" s="139" t="e">
        <f>IF(#REF!=1,#REF!," ")</f>
        <v>#REF!</v>
      </c>
      <c r="DE31" s="139" t="e">
        <f>IF(#REF!=1,#REF!," ")</f>
        <v>#REF!</v>
      </c>
      <c r="DF31" s="139" t="e">
        <f>IF(#REF!=1,CH$4," ")</f>
        <v>#REF!</v>
      </c>
      <c r="DG31" s="469">
        <f t="shared" si="9"/>
        <v>77</v>
      </c>
      <c r="DJ31" s="469"/>
    </row>
    <row r="32" spans="2:114" ht="63" customHeight="1">
      <c r="B32" s="142">
        <v>27</v>
      </c>
      <c r="C32" s="143" t="str">
        <f>SISWA!B32</f>
        <v>1718250040331</v>
      </c>
      <c r="D32" s="144" t="str">
        <f>SISWA!E32</f>
        <v>LAEL</v>
      </c>
      <c r="E32" s="593">
        <v>90</v>
      </c>
      <c r="F32" s="593">
        <v>85</v>
      </c>
      <c r="G32" s="593">
        <v>75</v>
      </c>
      <c r="H32" s="593">
        <v>70</v>
      </c>
      <c r="I32" s="593">
        <v>83</v>
      </c>
      <c r="J32" s="593">
        <v>80</v>
      </c>
      <c r="K32" s="159"/>
      <c r="L32" s="159"/>
      <c r="M32" s="159"/>
      <c r="N32" s="159"/>
      <c r="O32" s="159"/>
      <c r="P32" s="159"/>
      <c r="Q32" s="159"/>
      <c r="R32" s="159"/>
      <c r="S32" s="159"/>
      <c r="T32" s="159"/>
      <c r="U32" s="159"/>
      <c r="V32" s="159"/>
      <c r="W32" s="159"/>
      <c r="X32" s="159"/>
      <c r="Y32" s="159"/>
      <c r="Z32" s="387"/>
      <c r="AA32" s="387"/>
      <c r="AB32" s="387"/>
      <c r="AC32" s="387"/>
      <c r="AD32" s="387"/>
      <c r="AE32" s="387"/>
      <c r="AF32" s="387"/>
      <c r="AG32" s="387"/>
      <c r="AH32" s="387"/>
      <c r="AI32" s="387"/>
      <c r="AJ32" s="387"/>
      <c r="AK32" s="387"/>
      <c r="AL32" s="159"/>
      <c r="AM32" s="159"/>
      <c r="AN32" s="159"/>
      <c r="AO32" s="159"/>
      <c r="AP32" s="159"/>
      <c r="AQ32" s="159"/>
      <c r="AR32" s="159"/>
      <c r="AS32" s="159"/>
      <c r="AT32" s="159"/>
      <c r="AU32" s="159"/>
      <c r="AV32" s="159"/>
      <c r="AW32" s="159"/>
      <c r="AX32" s="387"/>
      <c r="AY32" s="387"/>
      <c r="AZ32" s="387"/>
      <c r="BA32" s="387"/>
      <c r="BB32" s="387"/>
      <c r="BC32" s="387"/>
      <c r="BD32" s="387"/>
      <c r="BE32" s="387"/>
      <c r="BF32" s="387"/>
      <c r="BG32" s="387"/>
      <c r="BH32" s="387"/>
      <c r="BI32" s="387"/>
      <c r="BJ32" s="159"/>
      <c r="BK32" s="159"/>
      <c r="BL32" s="159"/>
      <c r="BM32" s="159"/>
      <c r="BN32" s="159"/>
      <c r="BO32" s="159"/>
      <c r="BP32" s="159"/>
      <c r="BQ32" s="159"/>
      <c r="BR32" s="159"/>
      <c r="BS32" s="159"/>
      <c r="BT32" s="159"/>
      <c r="BU32" s="159"/>
      <c r="BV32" s="387"/>
      <c r="BW32" s="387"/>
      <c r="BX32" s="387"/>
      <c r="BY32" s="387"/>
      <c r="BZ32" s="387"/>
      <c r="CA32" s="387"/>
      <c r="CB32" s="387"/>
      <c r="CC32" s="387"/>
      <c r="CD32" s="387"/>
      <c r="CE32" s="387"/>
      <c r="CF32" s="387"/>
      <c r="CG32" s="387"/>
      <c r="CH32" s="159"/>
      <c r="CI32" s="354">
        <f t="shared" si="0"/>
        <v>81</v>
      </c>
      <c r="CJ32" s="355" t="str">
        <f>IF(CI32&gt;KKM!$G$10,"A",IF(CI32&gt;KKM!$H$10,"B",IF(CI32&gt;=KKM!$I$10,"C","D")))</f>
        <v>B</v>
      </c>
      <c r="CK32" s="356">
        <f t="shared" si="1"/>
        <v>90</v>
      </c>
      <c r="CL32" s="361" t="str">
        <f>IF(CK32&gt;KKM!$G$10," sangat baik ",IF(CK32&gt;KKM!$H$10," baik ",IF(CK32&gt;=KKM!$I$10," cukup baik "," perlu bimbingan ")))</f>
        <v xml:space="preserve"> sangat baik </v>
      </c>
      <c r="CM32" s="357">
        <f t="shared" si="2"/>
        <v>70</v>
      </c>
      <c r="CN32" s="361" t="str">
        <f>IF(CM32&gt;KKM!$G$10," sangat baik ",IF(CM32&gt;KKM!$H$10," baik ",IF(CM32&gt;=KKM!$I$10," cukup baik "," perlu bimbingan ")))</f>
        <v xml:space="preserve"> cukup baik </v>
      </c>
      <c r="CO32" s="353" t="str">
        <f t="shared" si="10"/>
        <v>LAEL sangat baik  dalam memahami makna Q.S. at-Tīn dan Q.S. al-Mā’ūn dengan benar., dan  cukup baik  dalam memahami makna ikhlas beramal dalam kehidupan sehari-hari</v>
      </c>
      <c r="CP32" s="485"/>
      <c r="CQ32" s="359" t="str">
        <f t="shared" si="3"/>
        <v xml:space="preserve"> sangat baik  dalam memahami makna Q.S. at-Tīn dan Q.S. al-Mā’ūn dengan benar.</v>
      </c>
      <c r="CR32" s="359" t="str">
        <f t="shared" si="4"/>
        <v xml:space="preserve"> cukup baik  dalam memahami makna ikhlas beramal dalam kehidupan sehari-hari</v>
      </c>
      <c r="CS32" s="359" t="str">
        <f t="shared" si="6"/>
        <v xml:space="preserve"> sangat baik  dalam memahami makna Q.S. at-Tīn dan Q.S. al-Mā’ūn dengan benar., dan  cukup baik  dalam memahami makna ikhlas beramal dalam kehidupan sehari-hari</v>
      </c>
      <c r="CT32" s="359" t="str">
        <f t="shared" si="7"/>
        <v xml:space="preserve"> </v>
      </c>
      <c r="CU32" s="360" t="str">
        <f t="shared" si="8"/>
        <v xml:space="preserve"> sangat baik  dalam memahami makna Q.S. at-Tīn dan Q.S. al-Mā’ūn dengan benar., dan  cukup baik  dalam memahami makna ikhlas beramal dalam kehidupan sehari-hari</v>
      </c>
      <c r="CV32" s="353" t="str">
        <f t="shared" si="5"/>
        <v>LAEL sangat baik  dalam memahami makna Q.S. at-Tīn dan Q.S. al-Mā’ūn dengan benar., dan  cukup baik  dalam memahami makna ikhlas beramal dalam kehidupan sehari-hari</v>
      </c>
      <c r="CW32" s="139" t="e">
        <f>IF(#REF!=1,G$4," ")</f>
        <v>#REF!</v>
      </c>
      <c r="CX32" s="139" t="e">
        <f>IF(#REF!=1,H$4," ")</f>
        <v>#REF!</v>
      </c>
      <c r="CY32" s="139" t="e">
        <f>IF(#REF!=1,I$4," ")</f>
        <v>#REF!</v>
      </c>
      <c r="CZ32" s="139" t="e">
        <f>IF(#REF!=1,J$4," ")</f>
        <v>#REF!</v>
      </c>
      <c r="DA32" s="139" t="e">
        <f>IF(#REF!=1,K$4," ")</f>
        <v>#REF!</v>
      </c>
      <c r="DB32" s="139" t="e">
        <f>IF(#REF!=1,L$4," ")</f>
        <v>#REF!</v>
      </c>
      <c r="DC32" s="139" t="e">
        <f>IF(#REF!=1,M$4," ")</f>
        <v>#REF!</v>
      </c>
      <c r="DD32" s="139" t="e">
        <f>IF(#REF!=1,#REF!," ")</f>
        <v>#REF!</v>
      </c>
      <c r="DE32" s="139" t="e">
        <f>IF(#REF!=1,#REF!," ")</f>
        <v>#REF!</v>
      </c>
      <c r="DF32" s="139" t="e">
        <f>IF(#REF!=1,CH$4," ")</f>
        <v>#REF!</v>
      </c>
      <c r="DG32" s="469">
        <f t="shared" si="9"/>
        <v>81</v>
      </c>
      <c r="DJ32" s="469"/>
    </row>
    <row r="33" spans="2:114" ht="63" customHeight="1">
      <c r="B33" s="142">
        <v>28</v>
      </c>
      <c r="C33" s="143" t="str">
        <f>SISWA!B33</f>
        <v>1718250040332</v>
      </c>
      <c r="D33" s="144" t="str">
        <f>SISWA!E33</f>
        <v>NABIL</v>
      </c>
      <c r="E33" s="593">
        <v>78</v>
      </c>
      <c r="F33" s="593">
        <v>65</v>
      </c>
      <c r="G33" s="593">
        <v>75</v>
      </c>
      <c r="H33" s="593">
        <v>79</v>
      </c>
      <c r="I33" s="593">
        <v>85</v>
      </c>
      <c r="J33" s="593">
        <v>75</v>
      </c>
      <c r="K33" s="159"/>
      <c r="L33" s="159"/>
      <c r="M33" s="159"/>
      <c r="N33" s="159"/>
      <c r="O33" s="159"/>
      <c r="P33" s="159"/>
      <c r="Q33" s="159"/>
      <c r="R33" s="159"/>
      <c r="S33" s="159"/>
      <c r="T33" s="159"/>
      <c r="U33" s="159"/>
      <c r="V33" s="159"/>
      <c r="W33" s="159"/>
      <c r="X33" s="159"/>
      <c r="Y33" s="159"/>
      <c r="Z33" s="387"/>
      <c r="AA33" s="387"/>
      <c r="AB33" s="387"/>
      <c r="AC33" s="387"/>
      <c r="AD33" s="387"/>
      <c r="AE33" s="387"/>
      <c r="AF33" s="387"/>
      <c r="AG33" s="387"/>
      <c r="AH33" s="387"/>
      <c r="AI33" s="387"/>
      <c r="AJ33" s="387"/>
      <c r="AK33" s="387"/>
      <c r="AL33" s="159"/>
      <c r="AM33" s="159"/>
      <c r="AN33" s="159"/>
      <c r="AO33" s="159"/>
      <c r="AP33" s="159"/>
      <c r="AQ33" s="159"/>
      <c r="AR33" s="159"/>
      <c r="AS33" s="159"/>
      <c r="AT33" s="159"/>
      <c r="AU33" s="159"/>
      <c r="AV33" s="159"/>
      <c r="AW33" s="159"/>
      <c r="AX33" s="387"/>
      <c r="AY33" s="387"/>
      <c r="AZ33" s="387"/>
      <c r="BA33" s="387"/>
      <c r="BB33" s="387"/>
      <c r="BC33" s="387"/>
      <c r="BD33" s="387"/>
      <c r="BE33" s="387"/>
      <c r="BF33" s="387"/>
      <c r="BG33" s="387"/>
      <c r="BH33" s="387"/>
      <c r="BI33" s="387"/>
      <c r="BJ33" s="159"/>
      <c r="BK33" s="159"/>
      <c r="BL33" s="159"/>
      <c r="BM33" s="159"/>
      <c r="BN33" s="159"/>
      <c r="BO33" s="159"/>
      <c r="BP33" s="159"/>
      <c r="BQ33" s="159"/>
      <c r="BR33" s="159"/>
      <c r="BS33" s="159"/>
      <c r="BT33" s="159"/>
      <c r="BU33" s="159"/>
      <c r="BV33" s="387"/>
      <c r="BW33" s="387"/>
      <c r="BX33" s="387"/>
      <c r="BY33" s="387"/>
      <c r="BZ33" s="387"/>
      <c r="CA33" s="387"/>
      <c r="CB33" s="387"/>
      <c r="CC33" s="387"/>
      <c r="CD33" s="387"/>
      <c r="CE33" s="387"/>
      <c r="CF33" s="387"/>
      <c r="CG33" s="387"/>
      <c r="CH33" s="159"/>
      <c r="CI33" s="354">
        <f t="shared" si="0"/>
        <v>76</v>
      </c>
      <c r="CJ33" s="355" t="str">
        <f>IF(CI33&gt;KKM!$G$10,"A",IF(CI33&gt;KKM!$H$10,"B",IF(CI33&gt;=KKM!$I$10,"C","D")))</f>
        <v>C</v>
      </c>
      <c r="CK33" s="356">
        <f t="shared" si="1"/>
        <v>85</v>
      </c>
      <c r="CL33" s="361" t="str">
        <f>IF(CK33&gt;KKM!$G$10," sangat baik ",IF(CK33&gt;KKM!$H$10," baik ",IF(CK33&gt;=KKM!$I$10," cukup baik "," perlu bimbingan ")))</f>
        <v xml:space="preserve"> baik </v>
      </c>
      <c r="CM33" s="357">
        <f t="shared" si="2"/>
        <v>65</v>
      </c>
      <c r="CN33" s="361" t="str">
        <f>IF(CM33&gt;KKM!$G$10," sangat baik ",IF(CM33&gt;KKM!$H$10," baik ",IF(CM33&gt;=KKM!$I$10," cukup baik "," perlu bimbingan ")))</f>
        <v xml:space="preserve"> cukup baik </v>
      </c>
      <c r="CO33" s="353" t="str">
        <f t="shared" si="10"/>
        <v>NABIL baik  dalam memahami pelaksanaan salat tarawih dan tadarus al-Qur'an., dan  cukup baik  dalam memahami nama-nama Rasul Allah dan Rasul Ulul ‘Azmi.</v>
      </c>
      <c r="CP33" s="485"/>
      <c r="CQ33" s="359" t="str">
        <f t="shared" si="3"/>
        <v xml:space="preserve"> baik  dalam memahami pelaksanaan salat tarawih dan tadarus al-Qur'an.</v>
      </c>
      <c r="CR33" s="359" t="str">
        <f t="shared" si="4"/>
        <v xml:space="preserve"> cukup baik  dalam memahami nama-nama Rasul Allah dan Rasul Ulul ‘Azmi.</v>
      </c>
      <c r="CS33" s="359" t="str">
        <f t="shared" si="6"/>
        <v xml:space="preserve"> baik  dalam memahami pelaksanaan salat tarawih dan tadarus al-Qur'an., dan  cukup baik  dalam memahami nama-nama Rasul Allah dan Rasul Ulul ‘Azmi.</v>
      </c>
      <c r="CT33" s="359" t="str">
        <f t="shared" si="7"/>
        <v xml:space="preserve"> </v>
      </c>
      <c r="CU33" s="360" t="str">
        <f t="shared" si="8"/>
        <v xml:space="preserve"> baik  dalam memahami pelaksanaan salat tarawih dan tadarus al-Qur'an., dan  cukup baik  dalam memahami nama-nama Rasul Allah dan Rasul Ulul ‘Azmi.</v>
      </c>
      <c r="CV33" s="353" t="str">
        <f t="shared" si="5"/>
        <v>NABIL baik  dalam memahami pelaksanaan salat tarawih dan tadarus al-Qur'an., dan  cukup baik  dalam memahami nama-nama Rasul Allah dan Rasul Ulul ‘Azmi.</v>
      </c>
      <c r="CW33" s="139" t="e">
        <f>IF(#REF!=1,G$4," ")</f>
        <v>#REF!</v>
      </c>
      <c r="CX33" s="139" t="e">
        <f>IF(#REF!=1,H$4," ")</f>
        <v>#REF!</v>
      </c>
      <c r="CY33" s="139" t="e">
        <f>IF(#REF!=1,I$4," ")</f>
        <v>#REF!</v>
      </c>
      <c r="CZ33" s="139" t="e">
        <f>IF(#REF!=1,J$4," ")</f>
        <v>#REF!</v>
      </c>
      <c r="DA33" s="139" t="e">
        <f>IF(#REF!=1,K$4," ")</f>
        <v>#REF!</v>
      </c>
      <c r="DB33" s="139" t="e">
        <f>IF(#REF!=1,L$4," ")</f>
        <v>#REF!</v>
      </c>
      <c r="DC33" s="139" t="e">
        <f>IF(#REF!=1,M$4," ")</f>
        <v>#REF!</v>
      </c>
      <c r="DD33" s="139" t="e">
        <f>IF(#REF!=1,#REF!," ")</f>
        <v>#REF!</v>
      </c>
      <c r="DE33" s="139" t="e">
        <f>IF(#REF!=1,#REF!," ")</f>
        <v>#REF!</v>
      </c>
      <c r="DF33" s="139" t="e">
        <f>IF(#REF!=1,CH$4," ")</f>
        <v>#REF!</v>
      </c>
      <c r="DG33" s="469">
        <f t="shared" si="9"/>
        <v>76</v>
      </c>
      <c r="DJ33" s="469"/>
    </row>
    <row r="34" spans="2:114" ht="63" customHeight="1">
      <c r="B34" s="142">
        <v>29</v>
      </c>
      <c r="C34" s="143" t="str">
        <f>SISWA!B34</f>
        <v>1718250040333</v>
      </c>
      <c r="D34" s="144" t="str">
        <f>SISWA!E34</f>
        <v>RASYA</v>
      </c>
      <c r="E34" s="593">
        <v>79</v>
      </c>
      <c r="F34" s="593">
        <v>75</v>
      </c>
      <c r="G34" s="593">
        <v>70</v>
      </c>
      <c r="H34" s="593">
        <v>75</v>
      </c>
      <c r="I34" s="593">
        <v>81</v>
      </c>
      <c r="J34" s="593">
        <v>80</v>
      </c>
      <c r="K34" s="159"/>
      <c r="L34" s="159"/>
      <c r="M34" s="159"/>
      <c r="N34" s="159"/>
      <c r="O34" s="159"/>
      <c r="P34" s="159"/>
      <c r="Q34" s="159"/>
      <c r="R34" s="159"/>
      <c r="S34" s="159"/>
      <c r="T34" s="159"/>
      <c r="U34" s="159"/>
      <c r="V34" s="159"/>
      <c r="W34" s="159"/>
      <c r="X34" s="159"/>
      <c r="Y34" s="159"/>
      <c r="Z34" s="387"/>
      <c r="AA34" s="387"/>
      <c r="AB34" s="387"/>
      <c r="AC34" s="387"/>
      <c r="AD34" s="387"/>
      <c r="AE34" s="387"/>
      <c r="AF34" s="387"/>
      <c r="AG34" s="387"/>
      <c r="AH34" s="387"/>
      <c r="AI34" s="387"/>
      <c r="AJ34" s="387"/>
      <c r="AK34" s="387"/>
      <c r="AL34" s="159"/>
      <c r="AM34" s="159"/>
      <c r="AN34" s="159"/>
      <c r="AO34" s="159"/>
      <c r="AP34" s="159"/>
      <c r="AQ34" s="159"/>
      <c r="AR34" s="159"/>
      <c r="AS34" s="159"/>
      <c r="AT34" s="159"/>
      <c r="AU34" s="159"/>
      <c r="AV34" s="159"/>
      <c r="AW34" s="159"/>
      <c r="AX34" s="387"/>
      <c r="AY34" s="387"/>
      <c r="AZ34" s="387"/>
      <c r="BA34" s="387"/>
      <c r="BB34" s="387"/>
      <c r="BC34" s="387"/>
      <c r="BD34" s="387"/>
      <c r="BE34" s="387"/>
      <c r="BF34" s="387"/>
      <c r="BG34" s="387"/>
      <c r="BH34" s="387"/>
      <c r="BI34" s="387"/>
      <c r="BJ34" s="159"/>
      <c r="BK34" s="159"/>
      <c r="BL34" s="159"/>
      <c r="BM34" s="159"/>
      <c r="BN34" s="159"/>
      <c r="BO34" s="159"/>
      <c r="BP34" s="159"/>
      <c r="BQ34" s="159"/>
      <c r="BR34" s="159"/>
      <c r="BS34" s="159"/>
      <c r="BT34" s="159"/>
      <c r="BU34" s="159"/>
      <c r="BV34" s="387"/>
      <c r="BW34" s="387"/>
      <c r="BX34" s="387"/>
      <c r="BY34" s="387"/>
      <c r="BZ34" s="387"/>
      <c r="CA34" s="387"/>
      <c r="CB34" s="387"/>
      <c r="CC34" s="387"/>
      <c r="CD34" s="387"/>
      <c r="CE34" s="387"/>
      <c r="CF34" s="387"/>
      <c r="CG34" s="387"/>
      <c r="CH34" s="159"/>
      <c r="CI34" s="354">
        <f t="shared" si="0"/>
        <v>77</v>
      </c>
      <c r="CJ34" s="355" t="str">
        <f>IF(CI34&gt;KKM!$G$10,"A",IF(CI34&gt;KKM!$H$10,"B",IF(CI34&gt;=KKM!$I$10,"C","D")))</f>
        <v>B</v>
      </c>
      <c r="CK34" s="356">
        <f t="shared" si="1"/>
        <v>81</v>
      </c>
      <c r="CL34" s="361" t="str">
        <f>IF(CK34&gt;KKM!$G$10," sangat baik ",IF(CK34&gt;KKM!$H$10," baik ",IF(CK34&gt;=KKM!$I$10," cukup baik "," perlu bimbingan ")))</f>
        <v xml:space="preserve"> baik </v>
      </c>
      <c r="CM34" s="357">
        <f t="shared" si="2"/>
        <v>70</v>
      </c>
      <c r="CN34" s="361" t="str">
        <f>IF(CM34&gt;KKM!$G$10," sangat baik ",IF(CM34&gt;KKM!$H$10," baik ",IF(CM34&gt;=KKM!$I$10," cukup baik "," perlu bimbingan ")))</f>
        <v xml:space="preserve"> cukup baik </v>
      </c>
      <c r="CO34" s="353" t="str">
        <f t="shared" si="10"/>
        <v>RASYA baik  dalam memahami pelaksanaan salat tarawih dan tadarus al-Qur'an., dan  cukup baik  dalam memahami makna sederhana dalam kehidupan sehari-hari.</v>
      </c>
      <c r="CP34" s="485"/>
      <c r="CQ34" s="359" t="str">
        <f t="shared" si="3"/>
        <v xml:space="preserve"> baik  dalam memahami pelaksanaan salat tarawih dan tadarus al-Qur'an.</v>
      </c>
      <c r="CR34" s="359" t="str">
        <f t="shared" si="4"/>
        <v xml:space="preserve"> cukup baik  dalam memahami makna sederhana dalam kehidupan sehari-hari.</v>
      </c>
      <c r="CS34" s="359" t="str">
        <f t="shared" si="6"/>
        <v xml:space="preserve"> baik  dalam memahami pelaksanaan salat tarawih dan tadarus al-Qur'an., dan  cukup baik  dalam memahami makna sederhana dalam kehidupan sehari-hari.</v>
      </c>
      <c r="CT34" s="359" t="str">
        <f t="shared" si="7"/>
        <v xml:space="preserve"> </v>
      </c>
      <c r="CU34" s="360" t="str">
        <f t="shared" si="8"/>
        <v xml:space="preserve"> baik  dalam memahami pelaksanaan salat tarawih dan tadarus al-Qur'an., dan  cukup baik  dalam memahami makna sederhana dalam kehidupan sehari-hari.</v>
      </c>
      <c r="CV34" s="353" t="str">
        <f t="shared" si="5"/>
        <v>RASYA baik  dalam memahami pelaksanaan salat tarawih dan tadarus al-Qur'an., dan  cukup baik  dalam memahami makna sederhana dalam kehidupan sehari-hari.</v>
      </c>
      <c r="CW34" s="139" t="e">
        <f>IF(#REF!=1,G$4," ")</f>
        <v>#REF!</v>
      </c>
      <c r="CX34" s="139" t="e">
        <f>IF(#REF!=1,H$4," ")</f>
        <v>#REF!</v>
      </c>
      <c r="CY34" s="139" t="e">
        <f>IF(#REF!=1,I$4," ")</f>
        <v>#REF!</v>
      </c>
      <c r="CZ34" s="139" t="e">
        <f>IF(#REF!=1,J$4," ")</f>
        <v>#REF!</v>
      </c>
      <c r="DA34" s="139" t="e">
        <f>IF(#REF!=1,K$4," ")</f>
        <v>#REF!</v>
      </c>
      <c r="DB34" s="139" t="e">
        <f>IF(#REF!=1,L$4," ")</f>
        <v>#REF!</v>
      </c>
      <c r="DC34" s="139" t="e">
        <f>IF(#REF!=1,M$4," ")</f>
        <v>#REF!</v>
      </c>
      <c r="DD34" s="139" t="e">
        <f>IF(#REF!=1,#REF!," ")</f>
        <v>#REF!</v>
      </c>
      <c r="DE34" s="139" t="e">
        <f>IF(#REF!=1,#REF!," ")</f>
        <v>#REF!</v>
      </c>
      <c r="DF34" s="139" t="e">
        <f>IF(#REF!=1,CH$4," ")</f>
        <v>#REF!</v>
      </c>
      <c r="DG34" s="469">
        <f t="shared" si="9"/>
        <v>77</v>
      </c>
      <c r="DJ34" s="469"/>
    </row>
    <row r="35" spans="2:114" ht="63" customHeight="1">
      <c r="B35" s="142">
        <v>30</v>
      </c>
      <c r="C35" s="143" t="str">
        <f>SISWA!B35</f>
        <v>1718250040334</v>
      </c>
      <c r="D35" s="144" t="str">
        <f>SISWA!E35</f>
        <v>RIZKI</v>
      </c>
      <c r="E35" s="593">
        <v>90</v>
      </c>
      <c r="F35" s="593">
        <v>75</v>
      </c>
      <c r="G35" s="593">
        <v>75</v>
      </c>
      <c r="H35" s="593">
        <v>80</v>
      </c>
      <c r="I35" s="593">
        <v>85</v>
      </c>
      <c r="J35" s="593">
        <v>80</v>
      </c>
      <c r="K35" s="159"/>
      <c r="L35" s="159"/>
      <c r="M35" s="159"/>
      <c r="N35" s="159"/>
      <c r="O35" s="159"/>
      <c r="P35" s="159"/>
      <c r="Q35" s="159"/>
      <c r="R35" s="159"/>
      <c r="S35" s="159"/>
      <c r="T35" s="159"/>
      <c r="U35" s="159"/>
      <c r="V35" s="159"/>
      <c r="W35" s="159"/>
      <c r="X35" s="159"/>
      <c r="Y35" s="159"/>
      <c r="Z35" s="387"/>
      <c r="AA35" s="387"/>
      <c r="AB35" s="387"/>
      <c r="AC35" s="387"/>
      <c r="AD35" s="387"/>
      <c r="AE35" s="387"/>
      <c r="AF35" s="387"/>
      <c r="AG35" s="387"/>
      <c r="AH35" s="387"/>
      <c r="AI35" s="387"/>
      <c r="AJ35" s="387"/>
      <c r="AK35" s="387"/>
      <c r="AL35" s="159"/>
      <c r="AM35" s="159"/>
      <c r="AN35" s="159"/>
      <c r="AO35" s="159"/>
      <c r="AP35" s="159"/>
      <c r="AQ35" s="159"/>
      <c r="AR35" s="159"/>
      <c r="AS35" s="159"/>
      <c r="AT35" s="159"/>
      <c r="AU35" s="159"/>
      <c r="AV35" s="159"/>
      <c r="AW35" s="159"/>
      <c r="AX35" s="387"/>
      <c r="AY35" s="387"/>
      <c r="AZ35" s="387"/>
      <c r="BA35" s="387"/>
      <c r="BB35" s="387"/>
      <c r="BC35" s="387"/>
      <c r="BD35" s="387"/>
      <c r="BE35" s="387"/>
      <c r="BF35" s="387"/>
      <c r="BG35" s="387"/>
      <c r="BH35" s="387"/>
      <c r="BI35" s="387"/>
      <c r="BJ35" s="159"/>
      <c r="BK35" s="159"/>
      <c r="BL35" s="159"/>
      <c r="BM35" s="159"/>
      <c r="BN35" s="159"/>
      <c r="BO35" s="159"/>
      <c r="BP35" s="159"/>
      <c r="BQ35" s="159"/>
      <c r="BR35" s="159"/>
      <c r="BS35" s="159"/>
      <c r="BT35" s="159"/>
      <c r="BU35" s="159"/>
      <c r="BV35" s="387"/>
      <c r="BW35" s="387"/>
      <c r="BX35" s="387"/>
      <c r="BY35" s="387"/>
      <c r="BZ35" s="387"/>
      <c r="CA35" s="387"/>
      <c r="CB35" s="387"/>
      <c r="CC35" s="387"/>
      <c r="CD35" s="387"/>
      <c r="CE35" s="387"/>
      <c r="CF35" s="387"/>
      <c r="CG35" s="387"/>
      <c r="CH35" s="159"/>
      <c r="CI35" s="354">
        <f t="shared" si="0"/>
        <v>81</v>
      </c>
      <c r="CJ35" s="355" t="str">
        <f>IF(CI35&gt;KKM!$G$10,"A",IF(CI35&gt;KKM!$H$10,"B",IF(CI35&gt;=KKM!$I$10,"C","D")))</f>
        <v>B</v>
      </c>
      <c r="CK35" s="356">
        <f t="shared" si="1"/>
        <v>90</v>
      </c>
      <c r="CL35" s="361" t="str">
        <f>IF(CK35&gt;KKM!$G$10," sangat baik ",IF(CK35&gt;KKM!$H$10," baik ",IF(CK35&gt;=KKM!$I$10," cukup baik "," perlu bimbingan ")))</f>
        <v xml:space="preserve"> sangat baik </v>
      </c>
      <c r="CM35" s="357">
        <f t="shared" si="2"/>
        <v>75</v>
      </c>
      <c r="CN35" s="361" t="str">
        <f>IF(CM35&gt;KKM!$G$10," sangat baik ",IF(CM35&gt;KKM!$H$10," baik ",IF(CM35&gt;=KKM!$I$10," cukup baik "," perlu bimbingan ")))</f>
        <v xml:space="preserve"> cukup baik </v>
      </c>
      <c r="CO35" s="353" t="str">
        <f t="shared" si="10"/>
        <v>RIZKI sangat baik  dalam memahami makna Q.S. at-Tīn dan Q.S. al-Mā’ūn dengan benar., dan  cukup baik  dalam memahami nama-nama Rasul Allah dan Rasul Ulul ‘Azmi.</v>
      </c>
      <c r="CP35" s="485"/>
      <c r="CQ35" s="359" t="str">
        <f t="shared" si="3"/>
        <v xml:space="preserve"> sangat baik  dalam memahami makna Q.S. at-Tīn dan Q.S. al-Mā’ūn dengan benar.</v>
      </c>
      <c r="CR35" s="359" t="str">
        <f t="shared" si="4"/>
        <v xml:space="preserve"> cukup baik  dalam memahami nama-nama Rasul Allah dan Rasul Ulul ‘Azmi.</v>
      </c>
      <c r="CS35" s="359" t="str">
        <f t="shared" si="6"/>
        <v xml:space="preserve"> sangat baik  dalam memahami makna Q.S. at-Tīn dan Q.S. al-Mā’ūn dengan benar., dan  cukup baik  dalam memahami nama-nama Rasul Allah dan Rasul Ulul ‘Azmi.</v>
      </c>
      <c r="CT35" s="359" t="str">
        <f t="shared" si="7"/>
        <v xml:space="preserve"> </v>
      </c>
      <c r="CU35" s="360" t="str">
        <f t="shared" si="8"/>
        <v xml:space="preserve"> sangat baik  dalam memahami makna Q.S. at-Tīn dan Q.S. al-Mā’ūn dengan benar., dan  cukup baik  dalam memahami nama-nama Rasul Allah dan Rasul Ulul ‘Azmi.</v>
      </c>
      <c r="CV35" s="353" t="str">
        <f t="shared" si="5"/>
        <v>RIZKI sangat baik  dalam memahami makna Q.S. at-Tīn dan Q.S. al-Mā’ūn dengan benar., dan  cukup baik  dalam memahami nama-nama Rasul Allah dan Rasul Ulul ‘Azmi.</v>
      </c>
      <c r="CW35" s="139" t="e">
        <f>IF(#REF!=1,G$4," ")</f>
        <v>#REF!</v>
      </c>
      <c r="CX35" s="139" t="e">
        <f>IF(#REF!=1,H$4," ")</f>
        <v>#REF!</v>
      </c>
      <c r="CY35" s="139" t="e">
        <f>IF(#REF!=1,I$4," ")</f>
        <v>#REF!</v>
      </c>
      <c r="CZ35" s="139" t="e">
        <f>IF(#REF!=1,J$4," ")</f>
        <v>#REF!</v>
      </c>
      <c r="DA35" s="139" t="e">
        <f>IF(#REF!=1,K$4," ")</f>
        <v>#REF!</v>
      </c>
      <c r="DB35" s="139" t="e">
        <f>IF(#REF!=1,L$4," ")</f>
        <v>#REF!</v>
      </c>
      <c r="DC35" s="139" t="e">
        <f>IF(#REF!=1,M$4," ")</f>
        <v>#REF!</v>
      </c>
      <c r="DD35" s="139" t="e">
        <f>IF(#REF!=1,#REF!," ")</f>
        <v>#REF!</v>
      </c>
      <c r="DE35" s="139" t="e">
        <f>IF(#REF!=1,#REF!," ")</f>
        <v>#REF!</v>
      </c>
      <c r="DF35" s="139" t="e">
        <f>IF(#REF!=1,CH$4," ")</f>
        <v>#REF!</v>
      </c>
      <c r="DG35" s="469">
        <f t="shared" si="9"/>
        <v>81</v>
      </c>
      <c r="DJ35" s="469"/>
    </row>
    <row r="36" spans="2:114" ht="63" customHeight="1">
      <c r="B36" s="142">
        <v>31</v>
      </c>
      <c r="C36" s="143" t="str">
        <f>SISWA!B36</f>
        <v>1718250040335</v>
      </c>
      <c r="D36" s="144" t="str">
        <f>SISWA!E36</f>
        <v>SATRIA</v>
      </c>
      <c r="E36" s="593">
        <v>80</v>
      </c>
      <c r="F36" s="593">
        <v>90</v>
      </c>
      <c r="G36" s="593">
        <v>75</v>
      </c>
      <c r="H36" s="593">
        <v>80</v>
      </c>
      <c r="I36" s="593">
        <v>81</v>
      </c>
      <c r="J36" s="593">
        <v>80</v>
      </c>
      <c r="K36" s="159"/>
      <c r="L36" s="159"/>
      <c r="M36" s="159"/>
      <c r="N36" s="159"/>
      <c r="O36" s="159"/>
      <c r="P36" s="159"/>
      <c r="Q36" s="159"/>
      <c r="R36" s="159"/>
      <c r="S36" s="159"/>
      <c r="T36" s="159"/>
      <c r="U36" s="159"/>
      <c r="V36" s="159"/>
      <c r="W36" s="159"/>
      <c r="X36" s="159"/>
      <c r="Y36" s="159"/>
      <c r="Z36" s="387"/>
      <c r="AA36" s="387"/>
      <c r="AB36" s="387"/>
      <c r="AC36" s="387"/>
      <c r="AD36" s="387"/>
      <c r="AE36" s="387"/>
      <c r="AF36" s="387"/>
      <c r="AG36" s="387"/>
      <c r="AH36" s="387"/>
      <c r="AI36" s="387"/>
      <c r="AJ36" s="387"/>
      <c r="AK36" s="387"/>
      <c r="AL36" s="159"/>
      <c r="AM36" s="159"/>
      <c r="AN36" s="159"/>
      <c r="AO36" s="159"/>
      <c r="AP36" s="159"/>
      <c r="AQ36" s="159"/>
      <c r="AR36" s="159"/>
      <c r="AS36" s="159"/>
      <c r="AT36" s="159"/>
      <c r="AU36" s="159"/>
      <c r="AV36" s="159"/>
      <c r="AW36" s="159"/>
      <c r="AX36" s="387"/>
      <c r="AY36" s="387"/>
      <c r="AZ36" s="387"/>
      <c r="BA36" s="387"/>
      <c r="BB36" s="387"/>
      <c r="BC36" s="387"/>
      <c r="BD36" s="387"/>
      <c r="BE36" s="387"/>
      <c r="BF36" s="387"/>
      <c r="BG36" s="387"/>
      <c r="BH36" s="387"/>
      <c r="BI36" s="387"/>
      <c r="BJ36" s="159"/>
      <c r="BK36" s="159"/>
      <c r="BL36" s="159"/>
      <c r="BM36" s="159"/>
      <c r="BN36" s="159"/>
      <c r="BO36" s="159"/>
      <c r="BP36" s="159"/>
      <c r="BQ36" s="159"/>
      <c r="BR36" s="159"/>
      <c r="BS36" s="159"/>
      <c r="BT36" s="159"/>
      <c r="BU36" s="159"/>
      <c r="BV36" s="387"/>
      <c r="BW36" s="387"/>
      <c r="BX36" s="387"/>
      <c r="BY36" s="387"/>
      <c r="BZ36" s="387"/>
      <c r="CA36" s="387"/>
      <c r="CB36" s="387"/>
      <c r="CC36" s="387"/>
      <c r="CD36" s="387"/>
      <c r="CE36" s="387"/>
      <c r="CF36" s="387"/>
      <c r="CG36" s="387"/>
      <c r="CH36" s="159"/>
      <c r="CI36" s="354">
        <f t="shared" si="0"/>
        <v>81</v>
      </c>
      <c r="CJ36" s="355" t="str">
        <f>IF(CI36&gt;KKM!$G$10,"A",IF(CI36&gt;KKM!$H$10,"B",IF(CI36&gt;=KKM!$I$10,"C","D")))</f>
        <v>B</v>
      </c>
      <c r="CK36" s="356">
        <f t="shared" si="1"/>
        <v>90</v>
      </c>
      <c r="CL36" s="361" t="str">
        <f>IF(CK36&gt;KKM!$G$10," sangat baik ",IF(CK36&gt;KKM!$H$10," baik ",IF(CK36&gt;=KKM!$I$10," cukup baik "," perlu bimbingan ")))</f>
        <v xml:space="preserve"> sangat baik </v>
      </c>
      <c r="CM36" s="357">
        <f t="shared" si="2"/>
        <v>75</v>
      </c>
      <c r="CN36" s="361" t="str">
        <f>IF(CM36&gt;KKM!$G$10," sangat baik ",IF(CM36&gt;KKM!$H$10," baik ",IF(CM36&gt;=KKM!$I$10," cukup baik "," perlu bimbingan ")))</f>
        <v xml:space="preserve"> cukup baik </v>
      </c>
      <c r="CO36" s="353" t="str">
        <f t="shared" si="10"/>
        <v>SATRIA sangat baik  dalam memahami nama-nama Rasul Allah dan Rasul Ulul ‘Azmi., dan  cukup baik  dalam memahami makna sederhana dalam kehidupan sehari-hari.</v>
      </c>
      <c r="CP36" s="485"/>
      <c r="CQ36" s="359" t="str">
        <f t="shared" si="3"/>
        <v xml:space="preserve"> sangat baik  dalam memahami nama-nama Rasul Allah dan Rasul Ulul ‘Azmi.</v>
      </c>
      <c r="CR36" s="359" t="str">
        <f t="shared" si="4"/>
        <v xml:space="preserve"> cukup baik  dalam memahami makna sederhana dalam kehidupan sehari-hari.</v>
      </c>
      <c r="CS36" s="359" t="str">
        <f t="shared" si="6"/>
        <v xml:space="preserve"> sangat baik  dalam memahami nama-nama Rasul Allah dan Rasul Ulul ‘Azmi., dan  cukup baik  dalam memahami makna sederhana dalam kehidupan sehari-hari.</v>
      </c>
      <c r="CT36" s="359" t="str">
        <f t="shared" si="7"/>
        <v xml:space="preserve"> </v>
      </c>
      <c r="CU36" s="360" t="str">
        <f t="shared" si="8"/>
        <v xml:space="preserve"> sangat baik  dalam memahami nama-nama Rasul Allah dan Rasul Ulul ‘Azmi., dan  cukup baik  dalam memahami makna sederhana dalam kehidupan sehari-hari.</v>
      </c>
      <c r="CV36" s="353" t="str">
        <f t="shared" si="5"/>
        <v>SATRIA sangat baik  dalam memahami nama-nama Rasul Allah dan Rasul Ulul ‘Azmi., dan  cukup baik  dalam memahami makna sederhana dalam kehidupan sehari-hari.</v>
      </c>
      <c r="CW36" s="139" t="e">
        <f>IF(#REF!=1,G$4," ")</f>
        <v>#REF!</v>
      </c>
      <c r="CX36" s="139" t="e">
        <f>IF(#REF!=1,H$4," ")</f>
        <v>#REF!</v>
      </c>
      <c r="CY36" s="139" t="e">
        <f>IF(#REF!=1,I$4," ")</f>
        <v>#REF!</v>
      </c>
      <c r="CZ36" s="139" t="e">
        <f>IF(#REF!=1,J$4," ")</f>
        <v>#REF!</v>
      </c>
      <c r="DA36" s="139" t="e">
        <f>IF(#REF!=1,K$4," ")</f>
        <v>#REF!</v>
      </c>
      <c r="DB36" s="139" t="e">
        <f>IF(#REF!=1,L$4," ")</f>
        <v>#REF!</v>
      </c>
      <c r="DC36" s="139" t="e">
        <f>IF(#REF!=1,M$4," ")</f>
        <v>#REF!</v>
      </c>
      <c r="DD36" s="139" t="e">
        <f>IF(#REF!=1,#REF!," ")</f>
        <v>#REF!</v>
      </c>
      <c r="DE36" s="139" t="e">
        <f>IF(#REF!=1,#REF!," ")</f>
        <v>#REF!</v>
      </c>
      <c r="DF36" s="139" t="e">
        <f>IF(#REF!=1,CH$4," ")</f>
        <v>#REF!</v>
      </c>
      <c r="DG36" s="469">
        <f t="shared" si="9"/>
        <v>81</v>
      </c>
      <c r="DJ36" s="469"/>
    </row>
    <row r="37" spans="2:114" ht="63" customHeight="1">
      <c r="B37" s="142">
        <v>32</v>
      </c>
      <c r="C37" s="143" t="str">
        <f>SISWA!B37</f>
        <v>1718250040336</v>
      </c>
      <c r="D37" s="144" t="str">
        <f>SISWA!E37</f>
        <v>NADIA</v>
      </c>
      <c r="E37" s="593">
        <v>79</v>
      </c>
      <c r="F37" s="593">
        <v>76</v>
      </c>
      <c r="G37" s="593">
        <v>80</v>
      </c>
      <c r="H37" s="593">
        <v>79</v>
      </c>
      <c r="I37" s="593">
        <v>83</v>
      </c>
      <c r="J37" s="593">
        <v>80</v>
      </c>
      <c r="K37" s="159"/>
      <c r="L37" s="159"/>
      <c r="M37" s="159"/>
      <c r="N37" s="159"/>
      <c r="O37" s="159"/>
      <c r="P37" s="159"/>
      <c r="Q37" s="159"/>
      <c r="R37" s="159"/>
      <c r="S37" s="159"/>
      <c r="T37" s="159"/>
      <c r="U37" s="159"/>
      <c r="V37" s="159"/>
      <c r="W37" s="159"/>
      <c r="X37" s="159"/>
      <c r="Y37" s="159"/>
      <c r="Z37" s="387"/>
      <c r="AA37" s="387"/>
      <c r="AB37" s="387"/>
      <c r="AC37" s="387"/>
      <c r="AD37" s="387"/>
      <c r="AE37" s="387"/>
      <c r="AF37" s="387"/>
      <c r="AG37" s="387"/>
      <c r="AH37" s="387"/>
      <c r="AI37" s="387"/>
      <c r="AJ37" s="387"/>
      <c r="AK37" s="387"/>
      <c r="AL37" s="159"/>
      <c r="AM37" s="159"/>
      <c r="AN37" s="159"/>
      <c r="AO37" s="159"/>
      <c r="AP37" s="159"/>
      <c r="AQ37" s="159"/>
      <c r="AR37" s="159"/>
      <c r="AS37" s="159"/>
      <c r="AT37" s="159"/>
      <c r="AU37" s="159"/>
      <c r="AV37" s="159"/>
      <c r="AW37" s="159"/>
      <c r="AX37" s="387"/>
      <c r="AY37" s="387"/>
      <c r="AZ37" s="387"/>
      <c r="BA37" s="387"/>
      <c r="BB37" s="387"/>
      <c r="BC37" s="387"/>
      <c r="BD37" s="387"/>
      <c r="BE37" s="387"/>
      <c r="BF37" s="387"/>
      <c r="BG37" s="387"/>
      <c r="BH37" s="387"/>
      <c r="BI37" s="387"/>
      <c r="BJ37" s="159"/>
      <c r="BK37" s="159"/>
      <c r="BL37" s="159"/>
      <c r="BM37" s="159"/>
      <c r="BN37" s="159"/>
      <c r="BO37" s="159"/>
      <c r="BP37" s="159"/>
      <c r="BQ37" s="159"/>
      <c r="BR37" s="159"/>
      <c r="BS37" s="159"/>
      <c r="BT37" s="159"/>
      <c r="BU37" s="159"/>
      <c r="BV37" s="387"/>
      <c r="BW37" s="387"/>
      <c r="BX37" s="387"/>
      <c r="BY37" s="387"/>
      <c r="BZ37" s="387"/>
      <c r="CA37" s="387"/>
      <c r="CB37" s="387"/>
      <c r="CC37" s="387"/>
      <c r="CD37" s="387"/>
      <c r="CE37" s="387"/>
      <c r="CF37" s="387"/>
      <c r="CG37" s="387"/>
      <c r="CH37" s="159"/>
      <c r="CI37" s="354">
        <f t="shared" si="0"/>
        <v>80</v>
      </c>
      <c r="CJ37" s="355" t="str">
        <f>IF(CI37&gt;KKM!$G$10,"A",IF(CI37&gt;KKM!$H$10,"B",IF(CI37&gt;=KKM!$I$10,"C","D")))</f>
        <v>B</v>
      </c>
      <c r="CK37" s="356">
        <f t="shared" si="1"/>
        <v>83</v>
      </c>
      <c r="CL37" s="361" t="str">
        <f>IF(CK37&gt;KKM!$G$10," sangat baik ",IF(CK37&gt;KKM!$H$10," baik ",IF(CK37&gt;=KKM!$I$10," cukup baik "," perlu bimbingan ")))</f>
        <v xml:space="preserve"> baik </v>
      </c>
      <c r="CM37" s="357">
        <f t="shared" si="2"/>
        <v>76</v>
      </c>
      <c r="CN37" s="361" t="str">
        <f>IF(CM37&gt;KKM!$G$10," sangat baik ",IF(CM37&gt;KKM!$H$10," baik ",IF(CM37&gt;=KKM!$I$10," cukup baik "," perlu bimbingan ")))</f>
        <v xml:space="preserve"> cukup baik </v>
      </c>
      <c r="CO37" s="353" t="str">
        <f t="shared" si="10"/>
        <v>NADIA baik  dalam memahami pelaksanaan salat tarawih dan tadarus al-Qur'an., dan  cukup baik  dalam memahami nama-nama Rasul Allah dan Rasul Ulul ‘Azmi.</v>
      </c>
      <c r="CP37" s="485"/>
      <c r="CQ37" s="359" t="str">
        <f t="shared" si="3"/>
        <v xml:space="preserve"> baik  dalam memahami pelaksanaan salat tarawih dan tadarus al-Qur'an.</v>
      </c>
      <c r="CR37" s="359" t="str">
        <f t="shared" si="4"/>
        <v xml:space="preserve"> cukup baik  dalam memahami nama-nama Rasul Allah dan Rasul Ulul ‘Azmi.</v>
      </c>
      <c r="CS37" s="359" t="str">
        <f t="shared" si="6"/>
        <v xml:space="preserve"> baik  dalam memahami pelaksanaan salat tarawih dan tadarus al-Qur'an., dan  cukup baik  dalam memahami nama-nama Rasul Allah dan Rasul Ulul ‘Azmi.</v>
      </c>
      <c r="CT37" s="359" t="str">
        <f t="shared" si="7"/>
        <v xml:space="preserve"> </v>
      </c>
      <c r="CU37" s="360" t="str">
        <f t="shared" si="8"/>
        <v xml:space="preserve"> baik  dalam memahami pelaksanaan salat tarawih dan tadarus al-Qur'an., dan  cukup baik  dalam memahami nama-nama Rasul Allah dan Rasul Ulul ‘Azmi.</v>
      </c>
      <c r="CV37" s="353" t="str">
        <f t="shared" si="5"/>
        <v>NADIA baik  dalam memahami pelaksanaan salat tarawih dan tadarus al-Qur'an., dan  cukup baik  dalam memahami nama-nama Rasul Allah dan Rasul Ulul ‘Azmi.</v>
      </c>
      <c r="CW37" s="139" t="e">
        <f>IF(#REF!=1,G$4," ")</f>
        <v>#REF!</v>
      </c>
      <c r="CX37" s="139" t="e">
        <f>IF(#REF!=1,H$4," ")</f>
        <v>#REF!</v>
      </c>
      <c r="CY37" s="139" t="e">
        <f>IF(#REF!=1,I$4," ")</f>
        <v>#REF!</v>
      </c>
      <c r="CZ37" s="139" t="e">
        <f>IF(#REF!=1,J$4," ")</f>
        <v>#REF!</v>
      </c>
      <c r="DA37" s="139" t="e">
        <f>IF(#REF!=1,K$4," ")</f>
        <v>#REF!</v>
      </c>
      <c r="DB37" s="139" t="e">
        <f>IF(#REF!=1,L$4," ")</f>
        <v>#REF!</v>
      </c>
      <c r="DC37" s="139" t="e">
        <f>IF(#REF!=1,M$4," ")</f>
        <v>#REF!</v>
      </c>
      <c r="DD37" s="139" t="e">
        <f>IF(#REF!=1,#REF!," ")</f>
        <v>#REF!</v>
      </c>
      <c r="DE37" s="139" t="e">
        <f>IF(#REF!=1,#REF!," ")</f>
        <v>#REF!</v>
      </c>
      <c r="DF37" s="139" t="e">
        <f>IF(#REF!=1,CH$4," ")</f>
        <v>#REF!</v>
      </c>
      <c r="DG37" s="469">
        <f t="shared" si="9"/>
        <v>80</v>
      </c>
      <c r="DJ37" s="469"/>
    </row>
    <row r="38" spans="2:114" ht="63" customHeight="1">
      <c r="B38" s="142">
        <v>33</v>
      </c>
      <c r="C38" s="143" t="str">
        <f>SISWA!B38</f>
        <v>1718250040337</v>
      </c>
      <c r="D38" s="144" t="str">
        <f>SISWA!E38</f>
        <v>NAFILA</v>
      </c>
      <c r="E38" s="593">
        <v>75</v>
      </c>
      <c r="F38" s="593">
        <v>75</v>
      </c>
      <c r="G38" s="593">
        <v>75</v>
      </c>
      <c r="H38" s="593">
        <v>75</v>
      </c>
      <c r="I38" s="593">
        <v>85</v>
      </c>
      <c r="J38" s="593">
        <v>75</v>
      </c>
      <c r="K38" s="159"/>
      <c r="L38" s="159"/>
      <c r="M38" s="159"/>
      <c r="N38" s="159"/>
      <c r="O38" s="159"/>
      <c r="P38" s="159"/>
      <c r="Q38" s="159"/>
      <c r="R38" s="159"/>
      <c r="S38" s="159"/>
      <c r="T38" s="159"/>
      <c r="U38" s="159"/>
      <c r="V38" s="159"/>
      <c r="W38" s="159"/>
      <c r="X38" s="159"/>
      <c r="Y38" s="159"/>
      <c r="Z38" s="387"/>
      <c r="AA38" s="387"/>
      <c r="AB38" s="387"/>
      <c r="AC38" s="387"/>
      <c r="AD38" s="387"/>
      <c r="AE38" s="387"/>
      <c r="AF38" s="387"/>
      <c r="AG38" s="387"/>
      <c r="AH38" s="387"/>
      <c r="AI38" s="387"/>
      <c r="AJ38" s="387"/>
      <c r="AK38" s="387"/>
      <c r="AL38" s="159"/>
      <c r="AM38" s="159"/>
      <c r="AN38" s="159"/>
      <c r="AO38" s="159"/>
      <c r="AP38" s="159"/>
      <c r="AQ38" s="159"/>
      <c r="AR38" s="159"/>
      <c r="AS38" s="159"/>
      <c r="AT38" s="159"/>
      <c r="AU38" s="159"/>
      <c r="AV38" s="159"/>
      <c r="AW38" s="159"/>
      <c r="AX38" s="387"/>
      <c r="AY38" s="387"/>
      <c r="AZ38" s="387"/>
      <c r="BA38" s="387"/>
      <c r="BB38" s="387"/>
      <c r="BC38" s="387"/>
      <c r="BD38" s="387"/>
      <c r="BE38" s="387"/>
      <c r="BF38" s="387"/>
      <c r="BG38" s="387"/>
      <c r="BH38" s="387"/>
      <c r="BI38" s="387"/>
      <c r="BJ38" s="159"/>
      <c r="BK38" s="159"/>
      <c r="BL38" s="159"/>
      <c r="BM38" s="159"/>
      <c r="BN38" s="159"/>
      <c r="BO38" s="159"/>
      <c r="BP38" s="159"/>
      <c r="BQ38" s="159"/>
      <c r="BR38" s="159"/>
      <c r="BS38" s="159"/>
      <c r="BT38" s="159"/>
      <c r="BU38" s="159"/>
      <c r="BV38" s="387"/>
      <c r="BW38" s="387"/>
      <c r="BX38" s="387"/>
      <c r="BY38" s="387"/>
      <c r="BZ38" s="387"/>
      <c r="CA38" s="387"/>
      <c r="CB38" s="387"/>
      <c r="CC38" s="387"/>
      <c r="CD38" s="387"/>
      <c r="CE38" s="387"/>
      <c r="CF38" s="387"/>
      <c r="CG38" s="387"/>
      <c r="CH38" s="159"/>
      <c r="CI38" s="354">
        <f t="shared" ref="CI38:CI55" si="11">ROUND((AVERAGE(E38:CH38)),0)</f>
        <v>77</v>
      </c>
      <c r="CJ38" s="355" t="str">
        <f>IF(CI38&gt;KKM!$G$10,"A",IF(CI38&gt;KKM!$H$10,"B",IF(CI38&gt;=KKM!$I$10,"C","D")))</f>
        <v>B</v>
      </c>
      <c r="CK38" s="356">
        <f t="shared" ref="CK38:CK55" si="12">MAX(E38:CH38)</f>
        <v>85</v>
      </c>
      <c r="CL38" s="361" t="str">
        <f>IF(CK38&gt;KKM!$G$10," sangat baik ",IF(CK38&gt;KKM!$H$10," baik ",IF(CK38&gt;=KKM!$I$10," cukup baik "," perlu bimbingan ")))</f>
        <v xml:space="preserve"> baik </v>
      </c>
      <c r="CM38" s="357">
        <f t="shared" ref="CM38:CM55" si="13">MIN(E38:CH38)</f>
        <v>75</v>
      </c>
      <c r="CN38" s="361" t="str">
        <f>IF(CM38&gt;KKM!$G$10," sangat baik ",IF(CM38&gt;KKM!$H$10," baik ",IF(CM38&gt;=KKM!$I$10," cukup baik "," perlu bimbingan ")))</f>
        <v xml:space="preserve"> cukup baik </v>
      </c>
      <c r="CO38" s="353" t="str">
        <f t="shared" si="10"/>
        <v>NAFILA baik  dalam memahami pelaksanaan salat tarawih dan tadarus al-Qur'an., dan  cukup baik  dalam memahami makna Q.S. at-Tīn dan Q.S. al-Mā’ūn dengan benar.</v>
      </c>
      <c r="CP38" s="485"/>
      <c r="CQ38" s="359" t="str">
        <f t="shared" ref="CQ38:CQ55" si="14">CL38&amp;" dalam "&amp;INDEX($E$4:$CH$4,MATCH(CK38,$E38:$CH38,0))</f>
        <v xml:space="preserve"> baik  dalam memahami pelaksanaan salat tarawih dan tadarus al-Qur'an.</v>
      </c>
      <c r="CR38" s="359" t="str">
        <f t="shared" ref="CR38:CR55" si="15">CN38&amp;" dalam "&amp;INDEX($E$4:$CH$4,MATCH(CM38,$E38:$CH38,0))</f>
        <v xml:space="preserve"> cukup baik  dalam memahami makna Q.S. at-Tīn dan Q.S. al-Mā’ūn dengan benar.</v>
      </c>
      <c r="CS38" s="359" t="str">
        <f t="shared" si="6"/>
        <v xml:space="preserve"> baik  dalam memahami pelaksanaan salat tarawih dan tadarus al-Qur'an., dan  cukup baik  dalam memahami makna Q.S. at-Tīn dan Q.S. al-Mā’ūn dengan benar.</v>
      </c>
      <c r="CT38" s="359" t="str">
        <f t="shared" si="7"/>
        <v xml:space="preserve"> </v>
      </c>
      <c r="CU38" s="360" t="str">
        <f t="shared" si="8"/>
        <v xml:space="preserve"> baik  dalam memahami pelaksanaan salat tarawih dan tadarus al-Qur'an., dan  cukup baik  dalam memahami makna Q.S. at-Tīn dan Q.S. al-Mā’ūn dengan benar.</v>
      </c>
      <c r="CV38" s="353" t="str">
        <f t="shared" ref="CV38:CV55" si="16">CONCATENATE(D38,CU38)</f>
        <v>NAFILA baik  dalam memahami pelaksanaan salat tarawih dan tadarus al-Qur'an., dan  cukup baik  dalam memahami makna Q.S. at-Tīn dan Q.S. al-Mā’ūn dengan benar.</v>
      </c>
      <c r="CW38" s="139" t="e">
        <f>IF(#REF!=1,G$4," ")</f>
        <v>#REF!</v>
      </c>
      <c r="CX38" s="139" t="e">
        <f>IF(#REF!=1,H$4," ")</f>
        <v>#REF!</v>
      </c>
      <c r="CY38" s="139" t="e">
        <f>IF(#REF!=1,I$4," ")</f>
        <v>#REF!</v>
      </c>
      <c r="CZ38" s="139" t="e">
        <f>IF(#REF!=1,J$4," ")</f>
        <v>#REF!</v>
      </c>
      <c r="DA38" s="139" t="e">
        <f>IF(#REF!=1,K$4," ")</f>
        <v>#REF!</v>
      </c>
      <c r="DB38" s="139" t="e">
        <f>IF(#REF!=1,L$4," ")</f>
        <v>#REF!</v>
      </c>
      <c r="DC38" s="139" t="e">
        <f>IF(#REF!=1,M$4," ")</f>
        <v>#REF!</v>
      </c>
      <c r="DD38" s="139" t="e">
        <f>IF(#REF!=1,#REF!," ")</f>
        <v>#REF!</v>
      </c>
      <c r="DE38" s="139" t="e">
        <f>IF(#REF!=1,#REF!," ")</f>
        <v>#REF!</v>
      </c>
      <c r="DF38" s="139" t="e">
        <f>IF(#REF!=1,CH$4," ")</f>
        <v>#REF!</v>
      </c>
      <c r="DG38" s="469">
        <f t="shared" si="9"/>
        <v>77</v>
      </c>
      <c r="DJ38" s="469"/>
    </row>
    <row r="39" spans="2:114" ht="63" customHeight="1">
      <c r="B39" s="142">
        <v>34</v>
      </c>
      <c r="C39" s="143" t="str">
        <f>SISWA!B39</f>
        <v>1718250040338</v>
      </c>
      <c r="D39" s="144" t="str">
        <f>SISWA!E39</f>
        <v>NAZZALA</v>
      </c>
      <c r="E39" s="593">
        <v>90</v>
      </c>
      <c r="F39" s="593">
        <v>75</v>
      </c>
      <c r="G39" s="593">
        <v>75</v>
      </c>
      <c r="H39" s="593">
        <v>80</v>
      </c>
      <c r="I39" s="593">
        <v>81</v>
      </c>
      <c r="J39" s="593">
        <v>80</v>
      </c>
      <c r="K39" s="159"/>
      <c r="L39" s="159"/>
      <c r="M39" s="159"/>
      <c r="N39" s="159"/>
      <c r="O39" s="159"/>
      <c r="P39" s="159"/>
      <c r="Q39" s="159"/>
      <c r="R39" s="159"/>
      <c r="S39" s="159"/>
      <c r="T39" s="159"/>
      <c r="U39" s="159"/>
      <c r="V39" s="159"/>
      <c r="W39" s="159"/>
      <c r="X39" s="159"/>
      <c r="Y39" s="159"/>
      <c r="Z39" s="387"/>
      <c r="AA39" s="387"/>
      <c r="AB39" s="387"/>
      <c r="AC39" s="387"/>
      <c r="AD39" s="387"/>
      <c r="AE39" s="387"/>
      <c r="AF39" s="387"/>
      <c r="AG39" s="387"/>
      <c r="AH39" s="387"/>
      <c r="AI39" s="387"/>
      <c r="AJ39" s="387"/>
      <c r="AK39" s="387"/>
      <c r="AL39" s="159"/>
      <c r="AM39" s="159"/>
      <c r="AN39" s="159"/>
      <c r="AO39" s="159"/>
      <c r="AP39" s="159"/>
      <c r="AQ39" s="159"/>
      <c r="AR39" s="159"/>
      <c r="AS39" s="159"/>
      <c r="AT39" s="159"/>
      <c r="AU39" s="159"/>
      <c r="AV39" s="159"/>
      <c r="AW39" s="159"/>
      <c r="AX39" s="387"/>
      <c r="AY39" s="387"/>
      <c r="AZ39" s="387"/>
      <c r="BA39" s="387"/>
      <c r="BB39" s="387"/>
      <c r="BC39" s="387"/>
      <c r="BD39" s="387"/>
      <c r="BE39" s="387"/>
      <c r="BF39" s="387"/>
      <c r="BG39" s="387"/>
      <c r="BH39" s="387"/>
      <c r="BI39" s="387"/>
      <c r="BJ39" s="159"/>
      <c r="BK39" s="159"/>
      <c r="BL39" s="159"/>
      <c r="BM39" s="159"/>
      <c r="BN39" s="159"/>
      <c r="BO39" s="159"/>
      <c r="BP39" s="159"/>
      <c r="BQ39" s="159"/>
      <c r="BR39" s="159"/>
      <c r="BS39" s="159"/>
      <c r="BT39" s="159"/>
      <c r="BU39" s="159"/>
      <c r="BV39" s="387"/>
      <c r="BW39" s="387"/>
      <c r="BX39" s="387"/>
      <c r="BY39" s="387"/>
      <c r="BZ39" s="387"/>
      <c r="CA39" s="387"/>
      <c r="CB39" s="387"/>
      <c r="CC39" s="387"/>
      <c r="CD39" s="387"/>
      <c r="CE39" s="387"/>
      <c r="CF39" s="387"/>
      <c r="CG39" s="387"/>
      <c r="CH39" s="159"/>
      <c r="CI39" s="354">
        <f t="shared" si="11"/>
        <v>80</v>
      </c>
      <c r="CJ39" s="355" t="str">
        <f>IF(CI39&gt;KKM!$G$10,"A",IF(CI39&gt;KKM!$H$10,"B",IF(CI39&gt;=KKM!$I$10,"C","D")))</f>
        <v>B</v>
      </c>
      <c r="CK39" s="356">
        <f t="shared" si="12"/>
        <v>90</v>
      </c>
      <c r="CL39" s="361" t="str">
        <f>IF(CK39&gt;KKM!$G$10," sangat baik ",IF(CK39&gt;KKM!$H$10," baik ",IF(CK39&gt;=KKM!$I$10," cukup baik "," perlu bimbingan ")))</f>
        <v xml:space="preserve"> sangat baik </v>
      </c>
      <c r="CM39" s="357">
        <f t="shared" si="13"/>
        <v>75</v>
      </c>
      <c r="CN39" s="361" t="str">
        <f>IF(CM39&gt;KKM!$G$10," sangat baik ",IF(CM39&gt;KKM!$H$10," baik ",IF(CM39&gt;=KKM!$I$10," cukup baik "," perlu bimbingan ")))</f>
        <v xml:space="preserve"> cukup baik </v>
      </c>
      <c r="CO39" s="353" t="str">
        <f t="shared" si="10"/>
        <v>NAZZALA sangat baik  dalam memahami makna Q.S. at-Tīn dan Q.S. al-Mā’ūn dengan benar., dan  cukup baik  dalam memahami nama-nama Rasul Allah dan Rasul Ulul ‘Azmi.</v>
      </c>
      <c r="CP39" s="485"/>
      <c r="CQ39" s="359" t="str">
        <f t="shared" si="14"/>
        <v xml:space="preserve"> sangat baik  dalam memahami makna Q.S. at-Tīn dan Q.S. al-Mā’ūn dengan benar.</v>
      </c>
      <c r="CR39" s="359" t="str">
        <f t="shared" si="15"/>
        <v xml:space="preserve"> cukup baik  dalam memahami nama-nama Rasul Allah dan Rasul Ulul ‘Azmi.</v>
      </c>
      <c r="CS39" s="359" t="str">
        <f t="shared" si="6"/>
        <v xml:space="preserve"> sangat baik  dalam memahami makna Q.S. at-Tīn dan Q.S. al-Mā’ūn dengan benar., dan  cukup baik  dalam memahami nama-nama Rasul Allah dan Rasul Ulul ‘Azmi.</v>
      </c>
      <c r="CT39" s="359" t="str">
        <f t="shared" si="7"/>
        <v xml:space="preserve"> </v>
      </c>
      <c r="CU39" s="360" t="str">
        <f t="shared" si="8"/>
        <v xml:space="preserve"> sangat baik  dalam memahami makna Q.S. at-Tīn dan Q.S. al-Mā’ūn dengan benar., dan  cukup baik  dalam memahami nama-nama Rasul Allah dan Rasul Ulul ‘Azmi.</v>
      </c>
      <c r="CV39" s="353" t="str">
        <f t="shared" si="16"/>
        <v>NAZZALA sangat baik  dalam memahami makna Q.S. at-Tīn dan Q.S. al-Mā’ūn dengan benar., dan  cukup baik  dalam memahami nama-nama Rasul Allah dan Rasul Ulul ‘Azmi.</v>
      </c>
      <c r="CW39" s="139" t="e">
        <f>IF(#REF!=1,G$4," ")</f>
        <v>#REF!</v>
      </c>
      <c r="CX39" s="139" t="e">
        <f>IF(#REF!=1,H$4," ")</f>
        <v>#REF!</v>
      </c>
      <c r="CY39" s="139" t="e">
        <f>IF(#REF!=1,I$4," ")</f>
        <v>#REF!</v>
      </c>
      <c r="CZ39" s="139" t="e">
        <f>IF(#REF!=1,J$4," ")</f>
        <v>#REF!</v>
      </c>
      <c r="DA39" s="139" t="e">
        <f>IF(#REF!=1,K$4," ")</f>
        <v>#REF!</v>
      </c>
      <c r="DB39" s="139" t="e">
        <f>IF(#REF!=1,L$4," ")</f>
        <v>#REF!</v>
      </c>
      <c r="DC39" s="139" t="e">
        <f>IF(#REF!=1,M$4," ")</f>
        <v>#REF!</v>
      </c>
      <c r="DD39" s="139" t="e">
        <f>IF(#REF!=1,#REF!," ")</f>
        <v>#REF!</v>
      </c>
      <c r="DE39" s="139" t="e">
        <f>IF(#REF!=1,#REF!," ")</f>
        <v>#REF!</v>
      </c>
      <c r="DF39" s="139" t="e">
        <f>IF(#REF!=1,CH$4," ")</f>
        <v>#REF!</v>
      </c>
      <c r="DG39" s="469">
        <f t="shared" si="9"/>
        <v>80</v>
      </c>
      <c r="DJ39" s="469"/>
    </row>
    <row r="40" spans="2:114" ht="63" customHeight="1">
      <c r="B40" s="142">
        <v>35</v>
      </c>
      <c r="C40" s="143" t="str">
        <f>SISWA!B40</f>
        <v>1718250040339</v>
      </c>
      <c r="D40" s="144" t="str">
        <f>SISWA!E40</f>
        <v>RAFAREL</v>
      </c>
      <c r="E40" s="593">
        <v>90</v>
      </c>
      <c r="F40" s="593">
        <v>75</v>
      </c>
      <c r="G40" s="593">
        <v>60</v>
      </c>
      <c r="H40" s="593">
        <v>75</v>
      </c>
      <c r="I40" s="593">
        <v>75</v>
      </c>
      <c r="J40" s="593">
        <v>80</v>
      </c>
      <c r="K40" s="159"/>
      <c r="L40" s="159"/>
      <c r="M40" s="159"/>
      <c r="N40" s="159"/>
      <c r="O40" s="159"/>
      <c r="P40" s="159"/>
      <c r="Q40" s="159"/>
      <c r="R40" s="159"/>
      <c r="S40" s="159"/>
      <c r="T40" s="159"/>
      <c r="U40" s="159"/>
      <c r="V40" s="159"/>
      <c r="W40" s="159"/>
      <c r="X40" s="159"/>
      <c r="Y40" s="159"/>
      <c r="Z40" s="387"/>
      <c r="AA40" s="387"/>
      <c r="AB40" s="387"/>
      <c r="AC40" s="387"/>
      <c r="AD40" s="387"/>
      <c r="AE40" s="387"/>
      <c r="AF40" s="387"/>
      <c r="AG40" s="387"/>
      <c r="AH40" s="387"/>
      <c r="AI40" s="387"/>
      <c r="AJ40" s="387"/>
      <c r="AK40" s="387"/>
      <c r="AL40" s="159"/>
      <c r="AM40" s="159"/>
      <c r="AN40" s="159"/>
      <c r="AO40" s="159"/>
      <c r="AP40" s="159"/>
      <c r="AQ40" s="159"/>
      <c r="AR40" s="159"/>
      <c r="AS40" s="159"/>
      <c r="AT40" s="159"/>
      <c r="AU40" s="159"/>
      <c r="AV40" s="159"/>
      <c r="AW40" s="159"/>
      <c r="AX40" s="387"/>
      <c r="AY40" s="387"/>
      <c r="AZ40" s="387"/>
      <c r="BA40" s="387"/>
      <c r="BB40" s="387"/>
      <c r="BC40" s="387"/>
      <c r="BD40" s="387"/>
      <c r="BE40" s="387"/>
      <c r="BF40" s="387"/>
      <c r="BG40" s="387"/>
      <c r="BH40" s="387"/>
      <c r="BI40" s="387"/>
      <c r="BJ40" s="159"/>
      <c r="BK40" s="159"/>
      <c r="BL40" s="159"/>
      <c r="BM40" s="159"/>
      <c r="BN40" s="159"/>
      <c r="BO40" s="159"/>
      <c r="BP40" s="159"/>
      <c r="BQ40" s="159"/>
      <c r="BR40" s="159"/>
      <c r="BS40" s="159"/>
      <c r="BT40" s="159"/>
      <c r="BU40" s="159"/>
      <c r="BV40" s="387"/>
      <c r="BW40" s="387"/>
      <c r="BX40" s="387"/>
      <c r="BY40" s="387"/>
      <c r="BZ40" s="387"/>
      <c r="CA40" s="387"/>
      <c r="CB40" s="387"/>
      <c r="CC40" s="387"/>
      <c r="CD40" s="387"/>
      <c r="CE40" s="387"/>
      <c r="CF40" s="387"/>
      <c r="CG40" s="387"/>
      <c r="CH40" s="159"/>
      <c r="CI40" s="354">
        <f t="shared" si="11"/>
        <v>76</v>
      </c>
      <c r="CJ40" s="355" t="str">
        <f>IF(CI40&gt;KKM!$G$10,"A",IF(CI40&gt;KKM!$H$10,"B",IF(CI40&gt;=KKM!$I$10,"C","D")))</f>
        <v>C</v>
      </c>
      <c r="CK40" s="356">
        <f t="shared" si="12"/>
        <v>90</v>
      </c>
      <c r="CL40" s="361" t="str">
        <f>IF(CK40&gt;KKM!$G$10," sangat baik ",IF(CK40&gt;KKM!$H$10," baik ",IF(CK40&gt;=KKM!$I$10," cukup baik "," perlu bimbingan ")))</f>
        <v xml:space="preserve"> sangat baik </v>
      </c>
      <c r="CM40" s="357">
        <f t="shared" si="13"/>
        <v>60</v>
      </c>
      <c r="CN40" s="361" t="str">
        <f>IF(CM40&gt;KKM!$G$10," sangat baik ",IF(CM40&gt;KKM!$H$10," baik ",IF(CM40&gt;=KKM!$I$10," cukup baik "," perlu bimbingan ")))</f>
        <v xml:space="preserve"> perlu bimbingan </v>
      </c>
      <c r="CO40" s="353" t="str">
        <f t="shared" si="10"/>
        <v>RAFAREL sangat baik  dalam memahami makna Q.S. at-Tīn dan Q.S. al-Mā’ūn dengan benar., dan  perlu bimbingan  dalam memahami makna sederhana dalam kehidupan sehari-hari.</v>
      </c>
      <c r="CP40" s="485"/>
      <c r="CQ40" s="359" t="str">
        <f t="shared" si="14"/>
        <v xml:space="preserve"> sangat baik  dalam memahami makna Q.S. at-Tīn dan Q.S. al-Mā’ūn dengan benar.</v>
      </c>
      <c r="CR40" s="359" t="str">
        <f t="shared" si="15"/>
        <v xml:space="preserve"> perlu bimbingan  dalam memahami makna sederhana dalam kehidupan sehari-hari.</v>
      </c>
      <c r="CS40" s="359" t="str">
        <f t="shared" si="6"/>
        <v xml:space="preserve"> sangat baik  dalam memahami makna Q.S. at-Tīn dan Q.S. al-Mā’ūn dengan benar., dan  perlu bimbingan  dalam memahami makna sederhana dalam kehidupan sehari-hari.</v>
      </c>
      <c r="CT40" s="359" t="str">
        <f t="shared" si="7"/>
        <v xml:space="preserve"> </v>
      </c>
      <c r="CU40" s="360" t="str">
        <f t="shared" si="8"/>
        <v xml:space="preserve"> sangat baik  dalam memahami makna Q.S. at-Tīn dan Q.S. al-Mā’ūn dengan benar., dan  perlu bimbingan  dalam memahami makna sederhana dalam kehidupan sehari-hari.</v>
      </c>
      <c r="CV40" s="353" t="str">
        <f t="shared" si="16"/>
        <v>RAFAREL sangat baik  dalam memahami makna Q.S. at-Tīn dan Q.S. al-Mā’ūn dengan benar., dan  perlu bimbingan  dalam memahami makna sederhana dalam kehidupan sehari-hari.</v>
      </c>
      <c r="CW40" s="139" t="e">
        <f>IF(#REF!=1,G$4," ")</f>
        <v>#REF!</v>
      </c>
      <c r="CX40" s="139" t="e">
        <f>IF(#REF!=1,H$4," ")</f>
        <v>#REF!</v>
      </c>
      <c r="CY40" s="139" t="e">
        <f>IF(#REF!=1,I$4," ")</f>
        <v>#REF!</v>
      </c>
      <c r="CZ40" s="139" t="e">
        <f>IF(#REF!=1,J$4," ")</f>
        <v>#REF!</v>
      </c>
      <c r="DA40" s="139" t="e">
        <f>IF(#REF!=1,K$4," ")</f>
        <v>#REF!</v>
      </c>
      <c r="DB40" s="139" t="e">
        <f>IF(#REF!=1,L$4," ")</f>
        <v>#REF!</v>
      </c>
      <c r="DC40" s="139" t="e">
        <f>IF(#REF!=1,M$4," ")</f>
        <v>#REF!</v>
      </c>
      <c r="DD40" s="139" t="e">
        <f>IF(#REF!=1,#REF!," ")</f>
        <v>#REF!</v>
      </c>
      <c r="DE40" s="139" t="e">
        <f>IF(#REF!=1,#REF!," ")</f>
        <v>#REF!</v>
      </c>
      <c r="DF40" s="139" t="e">
        <f>IF(#REF!=1,CH$4," ")</f>
        <v>#REF!</v>
      </c>
      <c r="DG40" s="469">
        <f t="shared" si="9"/>
        <v>76</v>
      </c>
      <c r="DJ40" s="469"/>
    </row>
    <row r="41" spans="2:114" ht="63" customHeight="1">
      <c r="B41" s="142">
        <v>36</v>
      </c>
      <c r="C41" s="143" t="str">
        <f>SISWA!B41</f>
        <v>1718250040340</v>
      </c>
      <c r="D41" s="144" t="str">
        <f>SISWA!E41</f>
        <v>RAKHA</v>
      </c>
      <c r="E41" s="593">
        <v>80</v>
      </c>
      <c r="F41" s="593">
        <v>75</v>
      </c>
      <c r="G41" s="593">
        <v>75</v>
      </c>
      <c r="H41" s="593">
        <v>75</v>
      </c>
      <c r="I41" s="593">
        <v>83</v>
      </c>
      <c r="J41" s="593">
        <v>75</v>
      </c>
      <c r="K41" s="159"/>
      <c r="L41" s="159"/>
      <c r="M41" s="159"/>
      <c r="N41" s="159"/>
      <c r="O41" s="159"/>
      <c r="P41" s="159"/>
      <c r="Q41" s="159"/>
      <c r="R41" s="159"/>
      <c r="S41" s="159"/>
      <c r="T41" s="159"/>
      <c r="U41" s="159"/>
      <c r="V41" s="159"/>
      <c r="W41" s="159"/>
      <c r="X41" s="159"/>
      <c r="Y41" s="159"/>
      <c r="Z41" s="387"/>
      <c r="AA41" s="387"/>
      <c r="AB41" s="387"/>
      <c r="AC41" s="387"/>
      <c r="AD41" s="387"/>
      <c r="AE41" s="387"/>
      <c r="AF41" s="387"/>
      <c r="AG41" s="387"/>
      <c r="AH41" s="387"/>
      <c r="AI41" s="387"/>
      <c r="AJ41" s="387"/>
      <c r="AK41" s="387"/>
      <c r="AL41" s="159"/>
      <c r="AM41" s="159"/>
      <c r="AN41" s="159"/>
      <c r="AO41" s="159"/>
      <c r="AP41" s="159"/>
      <c r="AQ41" s="159"/>
      <c r="AR41" s="159"/>
      <c r="AS41" s="159"/>
      <c r="AT41" s="159"/>
      <c r="AU41" s="159"/>
      <c r="AV41" s="159"/>
      <c r="AW41" s="159"/>
      <c r="AX41" s="387"/>
      <c r="AY41" s="387"/>
      <c r="AZ41" s="387"/>
      <c r="BA41" s="387"/>
      <c r="BB41" s="387"/>
      <c r="BC41" s="387"/>
      <c r="BD41" s="387"/>
      <c r="BE41" s="387"/>
      <c r="BF41" s="387"/>
      <c r="BG41" s="387"/>
      <c r="BH41" s="387"/>
      <c r="BI41" s="387"/>
      <c r="BJ41" s="159"/>
      <c r="BK41" s="159"/>
      <c r="BL41" s="159"/>
      <c r="BM41" s="159"/>
      <c r="BN41" s="159"/>
      <c r="BO41" s="159"/>
      <c r="BP41" s="159"/>
      <c r="BQ41" s="159"/>
      <c r="BR41" s="159"/>
      <c r="BS41" s="159"/>
      <c r="BT41" s="159"/>
      <c r="BU41" s="159"/>
      <c r="BV41" s="387"/>
      <c r="BW41" s="387"/>
      <c r="BX41" s="387"/>
      <c r="BY41" s="387"/>
      <c r="BZ41" s="387"/>
      <c r="CA41" s="387"/>
      <c r="CB41" s="387"/>
      <c r="CC41" s="387"/>
      <c r="CD41" s="387"/>
      <c r="CE41" s="387"/>
      <c r="CF41" s="387"/>
      <c r="CG41" s="387"/>
      <c r="CH41" s="159"/>
      <c r="CI41" s="354">
        <f t="shared" si="11"/>
        <v>77</v>
      </c>
      <c r="CJ41" s="355" t="str">
        <f>IF(CI41&gt;KKM!$G$10,"A",IF(CI41&gt;KKM!$H$10,"B",IF(CI41&gt;=KKM!$I$10,"C","D")))</f>
        <v>B</v>
      </c>
      <c r="CK41" s="356">
        <f t="shared" si="12"/>
        <v>83</v>
      </c>
      <c r="CL41" s="361" t="str">
        <f>IF(CK41&gt;KKM!$G$10," sangat baik ",IF(CK41&gt;KKM!$H$10," baik ",IF(CK41&gt;=KKM!$I$10," cukup baik "," perlu bimbingan ")))</f>
        <v xml:space="preserve"> baik </v>
      </c>
      <c r="CM41" s="357">
        <f t="shared" si="13"/>
        <v>75</v>
      </c>
      <c r="CN41" s="361" t="str">
        <f>IF(CM41&gt;KKM!$G$10," sangat baik ",IF(CM41&gt;KKM!$H$10," baik ",IF(CM41&gt;=KKM!$I$10," cukup baik "," perlu bimbingan ")))</f>
        <v xml:space="preserve"> cukup baik </v>
      </c>
      <c r="CO41" s="353" t="str">
        <f t="shared" si="10"/>
        <v>RAKHA baik  dalam memahami pelaksanaan salat tarawih dan tadarus al-Qur'an., dan  cukup baik  dalam memahami nama-nama Rasul Allah dan Rasul Ulul ‘Azmi.</v>
      </c>
      <c r="CP41" s="485"/>
      <c r="CQ41" s="359" t="str">
        <f t="shared" si="14"/>
        <v xml:space="preserve"> baik  dalam memahami pelaksanaan salat tarawih dan tadarus al-Qur'an.</v>
      </c>
      <c r="CR41" s="359" t="str">
        <f t="shared" si="15"/>
        <v xml:space="preserve"> cukup baik  dalam memahami nama-nama Rasul Allah dan Rasul Ulul ‘Azmi.</v>
      </c>
      <c r="CS41" s="359" t="str">
        <f t="shared" si="6"/>
        <v xml:space="preserve"> baik  dalam memahami pelaksanaan salat tarawih dan tadarus al-Qur'an., dan  cukup baik  dalam memahami nama-nama Rasul Allah dan Rasul Ulul ‘Azmi.</v>
      </c>
      <c r="CT41" s="359" t="str">
        <f t="shared" si="7"/>
        <v xml:space="preserve"> </v>
      </c>
      <c r="CU41" s="360" t="str">
        <f t="shared" si="8"/>
        <v xml:space="preserve"> baik  dalam memahami pelaksanaan salat tarawih dan tadarus al-Qur'an., dan  cukup baik  dalam memahami nama-nama Rasul Allah dan Rasul Ulul ‘Azmi.</v>
      </c>
      <c r="CV41" s="353" t="str">
        <f t="shared" si="16"/>
        <v>RAKHA baik  dalam memahami pelaksanaan salat tarawih dan tadarus al-Qur'an., dan  cukup baik  dalam memahami nama-nama Rasul Allah dan Rasul Ulul ‘Azmi.</v>
      </c>
      <c r="CW41" s="139" t="e">
        <f>IF(#REF!=1,G$4," ")</f>
        <v>#REF!</v>
      </c>
      <c r="CX41" s="139" t="e">
        <f>IF(#REF!=1,H$4," ")</f>
        <v>#REF!</v>
      </c>
      <c r="CY41" s="139" t="e">
        <f>IF(#REF!=1,I$4," ")</f>
        <v>#REF!</v>
      </c>
      <c r="CZ41" s="139" t="e">
        <f>IF(#REF!=1,J$4," ")</f>
        <v>#REF!</v>
      </c>
      <c r="DA41" s="139" t="e">
        <f>IF(#REF!=1,K$4," ")</f>
        <v>#REF!</v>
      </c>
      <c r="DB41" s="139" t="e">
        <f>IF(#REF!=1,L$4," ")</f>
        <v>#REF!</v>
      </c>
      <c r="DC41" s="139" t="e">
        <f>IF(#REF!=1,M$4," ")</f>
        <v>#REF!</v>
      </c>
      <c r="DD41" s="139" t="e">
        <f>IF(#REF!=1,#REF!," ")</f>
        <v>#REF!</v>
      </c>
      <c r="DE41" s="139" t="e">
        <f>IF(#REF!=1,#REF!," ")</f>
        <v>#REF!</v>
      </c>
      <c r="DF41" s="139" t="e">
        <f>IF(#REF!=1,CH$4," ")</f>
        <v>#REF!</v>
      </c>
      <c r="DG41" s="469">
        <f t="shared" si="9"/>
        <v>77</v>
      </c>
      <c r="DJ41" s="469"/>
    </row>
    <row r="42" spans="2:114" ht="63" customHeight="1">
      <c r="B42" s="142">
        <v>37</v>
      </c>
      <c r="C42" s="143" t="str">
        <f>SISWA!B42</f>
        <v>1718250040341</v>
      </c>
      <c r="D42" s="144" t="str">
        <f>SISWA!E42</f>
        <v>RYU</v>
      </c>
      <c r="E42" s="593">
        <v>73</v>
      </c>
      <c r="F42" s="593">
        <v>75</v>
      </c>
      <c r="G42" s="593">
        <v>75</v>
      </c>
      <c r="H42" s="593">
        <v>73</v>
      </c>
      <c r="I42" s="593">
        <v>75</v>
      </c>
      <c r="J42" s="593">
        <v>75</v>
      </c>
      <c r="K42" s="159"/>
      <c r="L42" s="159"/>
      <c r="M42" s="159"/>
      <c r="N42" s="159"/>
      <c r="O42" s="159"/>
      <c r="P42" s="159"/>
      <c r="Q42" s="159"/>
      <c r="R42" s="159"/>
      <c r="S42" s="159"/>
      <c r="T42" s="159"/>
      <c r="U42" s="159"/>
      <c r="V42" s="159"/>
      <c r="W42" s="159"/>
      <c r="X42" s="159"/>
      <c r="Y42" s="159"/>
      <c r="Z42" s="387"/>
      <c r="AA42" s="387"/>
      <c r="AB42" s="387"/>
      <c r="AC42" s="387"/>
      <c r="AD42" s="387"/>
      <c r="AE42" s="387"/>
      <c r="AF42" s="387"/>
      <c r="AG42" s="387"/>
      <c r="AH42" s="387"/>
      <c r="AI42" s="387"/>
      <c r="AJ42" s="387"/>
      <c r="AK42" s="387"/>
      <c r="AL42" s="159"/>
      <c r="AM42" s="159"/>
      <c r="AN42" s="159"/>
      <c r="AO42" s="159"/>
      <c r="AP42" s="159"/>
      <c r="AQ42" s="159"/>
      <c r="AR42" s="159"/>
      <c r="AS42" s="159"/>
      <c r="AT42" s="159"/>
      <c r="AU42" s="159"/>
      <c r="AV42" s="159"/>
      <c r="AW42" s="159"/>
      <c r="AX42" s="387"/>
      <c r="AY42" s="387"/>
      <c r="AZ42" s="387"/>
      <c r="BA42" s="387"/>
      <c r="BB42" s="387"/>
      <c r="BC42" s="387"/>
      <c r="BD42" s="387"/>
      <c r="BE42" s="387"/>
      <c r="BF42" s="387"/>
      <c r="BG42" s="387"/>
      <c r="BH42" s="387"/>
      <c r="BI42" s="387"/>
      <c r="BJ42" s="159"/>
      <c r="BK42" s="159"/>
      <c r="BL42" s="159"/>
      <c r="BM42" s="159"/>
      <c r="BN42" s="159"/>
      <c r="BO42" s="159"/>
      <c r="BP42" s="159"/>
      <c r="BQ42" s="159"/>
      <c r="BR42" s="159"/>
      <c r="BS42" s="159"/>
      <c r="BT42" s="159"/>
      <c r="BU42" s="159"/>
      <c r="BV42" s="387"/>
      <c r="BW42" s="387"/>
      <c r="BX42" s="387"/>
      <c r="BY42" s="387"/>
      <c r="BZ42" s="387"/>
      <c r="CA42" s="387"/>
      <c r="CB42" s="387"/>
      <c r="CC42" s="387"/>
      <c r="CD42" s="387"/>
      <c r="CE42" s="387"/>
      <c r="CF42" s="387"/>
      <c r="CG42" s="387"/>
      <c r="CH42" s="159"/>
      <c r="CI42" s="354">
        <f t="shared" si="11"/>
        <v>74</v>
      </c>
      <c r="CJ42" s="355" t="str">
        <f>IF(CI42&gt;KKM!$G$10,"A",IF(CI42&gt;KKM!$H$10,"B",IF(CI42&gt;=KKM!$I$10,"C","D")))</f>
        <v>C</v>
      </c>
      <c r="CK42" s="356">
        <f t="shared" si="12"/>
        <v>75</v>
      </c>
      <c r="CL42" s="361" t="str">
        <f>IF(CK42&gt;KKM!$G$10," sangat baik ",IF(CK42&gt;KKM!$H$10," baik ",IF(CK42&gt;=KKM!$I$10," cukup baik "," perlu bimbingan ")))</f>
        <v xml:space="preserve"> cukup baik </v>
      </c>
      <c r="CM42" s="357">
        <f t="shared" si="13"/>
        <v>73</v>
      </c>
      <c r="CN42" s="361" t="str">
        <f>IF(CM42&gt;KKM!$G$10," sangat baik ",IF(CM42&gt;KKM!$H$10," baik ",IF(CM42&gt;=KKM!$I$10," cukup baik "," perlu bimbingan ")))</f>
        <v xml:space="preserve"> cukup baik </v>
      </c>
      <c r="CO42" s="353" t="str">
        <f t="shared" si="10"/>
        <v>RYU cukup baik  dalam memahami nama-nama Rasul Allah dan Rasul Ulul ‘Azmi., dan  cukup baik  dalam memahami makna Q.S. at-Tīn dan Q.S. al-Mā’ūn dengan benar.</v>
      </c>
      <c r="CP42" s="485"/>
      <c r="CQ42" s="359" t="str">
        <f t="shared" si="14"/>
        <v xml:space="preserve"> cukup baik  dalam memahami nama-nama Rasul Allah dan Rasul Ulul ‘Azmi.</v>
      </c>
      <c r="CR42" s="359" t="str">
        <f t="shared" si="15"/>
        <v xml:space="preserve"> cukup baik  dalam memahami makna Q.S. at-Tīn dan Q.S. al-Mā’ūn dengan benar.</v>
      </c>
      <c r="CS42" s="359" t="str">
        <f t="shared" si="6"/>
        <v xml:space="preserve"> cukup baik  dalam memahami nama-nama Rasul Allah dan Rasul Ulul ‘Azmi., dan  cukup baik  dalam memahami makna Q.S. at-Tīn dan Q.S. al-Mā’ūn dengan benar.</v>
      </c>
      <c r="CT42" s="359" t="str">
        <f t="shared" si="7"/>
        <v xml:space="preserve"> </v>
      </c>
      <c r="CU42" s="360" t="str">
        <f t="shared" si="8"/>
        <v xml:space="preserve"> cukup baik  dalam memahami nama-nama Rasul Allah dan Rasul Ulul ‘Azmi., dan  cukup baik  dalam memahami makna Q.S. at-Tīn dan Q.S. al-Mā’ūn dengan benar.</v>
      </c>
      <c r="CV42" s="353" t="str">
        <f t="shared" si="16"/>
        <v>RYU cukup baik  dalam memahami nama-nama Rasul Allah dan Rasul Ulul ‘Azmi., dan  cukup baik  dalam memahami makna Q.S. at-Tīn dan Q.S. al-Mā’ūn dengan benar.</v>
      </c>
      <c r="CW42" s="139" t="e">
        <f>IF(#REF!=1,G$4," ")</f>
        <v>#REF!</v>
      </c>
      <c r="CX42" s="139" t="e">
        <f>IF(#REF!=1,H$4," ")</f>
        <v>#REF!</v>
      </c>
      <c r="CY42" s="139" t="e">
        <f>IF(#REF!=1,I$4," ")</f>
        <v>#REF!</v>
      </c>
      <c r="CZ42" s="139" t="e">
        <f>IF(#REF!=1,J$4," ")</f>
        <v>#REF!</v>
      </c>
      <c r="DA42" s="139" t="e">
        <f>IF(#REF!=1,K$4," ")</f>
        <v>#REF!</v>
      </c>
      <c r="DB42" s="139" t="e">
        <f>IF(#REF!=1,L$4," ")</f>
        <v>#REF!</v>
      </c>
      <c r="DC42" s="139" t="e">
        <f>IF(#REF!=1,M$4," ")</f>
        <v>#REF!</v>
      </c>
      <c r="DD42" s="139" t="e">
        <f>IF(#REF!=1,#REF!," ")</f>
        <v>#REF!</v>
      </c>
      <c r="DE42" s="139" t="e">
        <f>IF(#REF!=1,#REF!," ")</f>
        <v>#REF!</v>
      </c>
      <c r="DF42" s="139" t="e">
        <f>IF(#REF!=1,CH$4," ")</f>
        <v>#REF!</v>
      </c>
      <c r="DG42" s="469">
        <f t="shared" si="9"/>
        <v>74</v>
      </c>
      <c r="DJ42" s="469"/>
    </row>
    <row r="43" spans="2:114" ht="63" customHeight="1">
      <c r="B43" s="142">
        <v>38</v>
      </c>
      <c r="C43" s="143" t="str">
        <f>SISWA!B43</f>
        <v>1718250040342</v>
      </c>
      <c r="D43" s="144" t="str">
        <f>SISWA!E43</f>
        <v>SAEPUL</v>
      </c>
      <c r="E43" s="593">
        <v>90</v>
      </c>
      <c r="F43" s="593">
        <v>79</v>
      </c>
      <c r="G43" s="593">
        <v>80</v>
      </c>
      <c r="H43" s="593">
        <v>80</v>
      </c>
      <c r="I43" s="593">
        <v>80</v>
      </c>
      <c r="J43" s="593">
        <v>80</v>
      </c>
      <c r="K43" s="159"/>
      <c r="L43" s="159"/>
      <c r="M43" s="159"/>
      <c r="N43" s="159"/>
      <c r="O43" s="159"/>
      <c r="P43" s="159"/>
      <c r="Q43" s="159"/>
      <c r="R43" s="159"/>
      <c r="S43" s="159"/>
      <c r="T43" s="159"/>
      <c r="U43" s="159"/>
      <c r="V43" s="159"/>
      <c r="W43" s="159"/>
      <c r="X43" s="159"/>
      <c r="Y43" s="159"/>
      <c r="Z43" s="387"/>
      <c r="AA43" s="387"/>
      <c r="AB43" s="387"/>
      <c r="AC43" s="387"/>
      <c r="AD43" s="387"/>
      <c r="AE43" s="387"/>
      <c r="AF43" s="387"/>
      <c r="AG43" s="387"/>
      <c r="AH43" s="387"/>
      <c r="AI43" s="387"/>
      <c r="AJ43" s="387"/>
      <c r="AK43" s="387"/>
      <c r="AL43" s="159"/>
      <c r="AM43" s="159"/>
      <c r="AN43" s="159"/>
      <c r="AO43" s="159"/>
      <c r="AP43" s="159"/>
      <c r="AQ43" s="159"/>
      <c r="AR43" s="159"/>
      <c r="AS43" s="159"/>
      <c r="AT43" s="159"/>
      <c r="AU43" s="159"/>
      <c r="AV43" s="159"/>
      <c r="AW43" s="159"/>
      <c r="AX43" s="387"/>
      <c r="AY43" s="387"/>
      <c r="AZ43" s="387"/>
      <c r="BA43" s="387"/>
      <c r="BB43" s="387"/>
      <c r="BC43" s="387"/>
      <c r="BD43" s="387"/>
      <c r="BE43" s="387"/>
      <c r="BF43" s="387"/>
      <c r="BG43" s="387"/>
      <c r="BH43" s="387"/>
      <c r="BI43" s="387"/>
      <c r="BJ43" s="159"/>
      <c r="BK43" s="159"/>
      <c r="BL43" s="159"/>
      <c r="BM43" s="159"/>
      <c r="BN43" s="159"/>
      <c r="BO43" s="159"/>
      <c r="BP43" s="159"/>
      <c r="BQ43" s="159"/>
      <c r="BR43" s="159"/>
      <c r="BS43" s="159"/>
      <c r="BT43" s="159"/>
      <c r="BU43" s="159"/>
      <c r="BV43" s="387"/>
      <c r="BW43" s="387"/>
      <c r="BX43" s="387"/>
      <c r="BY43" s="387"/>
      <c r="BZ43" s="387"/>
      <c r="CA43" s="387"/>
      <c r="CB43" s="387"/>
      <c r="CC43" s="387"/>
      <c r="CD43" s="387"/>
      <c r="CE43" s="387"/>
      <c r="CF43" s="387"/>
      <c r="CG43" s="387"/>
      <c r="CH43" s="159"/>
      <c r="CI43" s="354">
        <f t="shared" si="11"/>
        <v>82</v>
      </c>
      <c r="CJ43" s="355" t="str">
        <f>IF(CI43&gt;KKM!$G$10,"A",IF(CI43&gt;KKM!$H$10,"B",IF(CI43&gt;=KKM!$I$10,"C","D")))</f>
        <v>B</v>
      </c>
      <c r="CK43" s="356">
        <f t="shared" si="12"/>
        <v>90</v>
      </c>
      <c r="CL43" s="361" t="str">
        <f>IF(CK43&gt;KKM!$G$10," sangat baik ",IF(CK43&gt;KKM!$H$10," baik ",IF(CK43&gt;=KKM!$I$10," cukup baik "," perlu bimbingan ")))</f>
        <v xml:space="preserve"> sangat baik </v>
      </c>
      <c r="CM43" s="357">
        <f t="shared" si="13"/>
        <v>79</v>
      </c>
      <c r="CN43" s="361" t="str">
        <f>IF(CM43&gt;KKM!$G$10," sangat baik ",IF(CM43&gt;KKM!$H$10," baik ",IF(CM43&gt;=KKM!$I$10," cukup baik "," perlu bimbingan ")))</f>
        <v xml:space="preserve"> baik </v>
      </c>
      <c r="CO43" s="353" t="str">
        <f t="shared" si="10"/>
        <v>SAEPUL sangat baik  dalam memahami makna Q.S. at-Tīn dan Q.S. al-Mā’ūn dengan benar., dan  baik  dalam memahami nama-nama Rasul Allah dan Rasul Ulul ‘Azmi.</v>
      </c>
      <c r="CP43" s="485"/>
      <c r="CQ43" s="359" t="str">
        <f t="shared" si="14"/>
        <v xml:space="preserve"> sangat baik  dalam memahami makna Q.S. at-Tīn dan Q.S. al-Mā’ūn dengan benar.</v>
      </c>
      <c r="CR43" s="359" t="str">
        <f t="shared" si="15"/>
        <v xml:space="preserve"> baik  dalam memahami nama-nama Rasul Allah dan Rasul Ulul ‘Azmi.</v>
      </c>
      <c r="CS43" s="359" t="str">
        <f t="shared" si="6"/>
        <v xml:space="preserve"> sangat baik  dalam memahami makna Q.S. at-Tīn dan Q.S. al-Mā’ūn dengan benar., dan  baik  dalam memahami nama-nama Rasul Allah dan Rasul Ulul ‘Azmi.</v>
      </c>
      <c r="CT43" s="359" t="str">
        <f t="shared" si="7"/>
        <v xml:space="preserve"> </v>
      </c>
      <c r="CU43" s="360" t="str">
        <f t="shared" si="8"/>
        <v xml:space="preserve"> sangat baik  dalam memahami makna Q.S. at-Tīn dan Q.S. al-Mā’ūn dengan benar., dan  baik  dalam memahami nama-nama Rasul Allah dan Rasul Ulul ‘Azmi.</v>
      </c>
      <c r="CV43" s="353" t="str">
        <f t="shared" si="16"/>
        <v>SAEPUL sangat baik  dalam memahami makna Q.S. at-Tīn dan Q.S. al-Mā’ūn dengan benar., dan  baik  dalam memahami nama-nama Rasul Allah dan Rasul Ulul ‘Azmi.</v>
      </c>
      <c r="CW43" s="139" t="e">
        <f>IF(#REF!=1,G$4," ")</f>
        <v>#REF!</v>
      </c>
      <c r="CX43" s="139" t="e">
        <f>IF(#REF!=1,H$4," ")</f>
        <v>#REF!</v>
      </c>
      <c r="CY43" s="139" t="e">
        <f>IF(#REF!=1,I$4," ")</f>
        <v>#REF!</v>
      </c>
      <c r="CZ43" s="139" t="e">
        <f>IF(#REF!=1,J$4," ")</f>
        <v>#REF!</v>
      </c>
      <c r="DA43" s="139" t="e">
        <f>IF(#REF!=1,K$4," ")</f>
        <v>#REF!</v>
      </c>
      <c r="DB43" s="139" t="e">
        <f>IF(#REF!=1,L$4," ")</f>
        <v>#REF!</v>
      </c>
      <c r="DC43" s="139" t="e">
        <f>IF(#REF!=1,M$4," ")</f>
        <v>#REF!</v>
      </c>
      <c r="DD43" s="139" t="e">
        <f>IF(#REF!=1,#REF!," ")</f>
        <v>#REF!</v>
      </c>
      <c r="DE43" s="139" t="e">
        <f>IF(#REF!=1,#REF!," ")</f>
        <v>#REF!</v>
      </c>
      <c r="DF43" s="139" t="e">
        <f>IF(#REF!=1,CH$4," ")</f>
        <v>#REF!</v>
      </c>
      <c r="DG43" s="469">
        <f t="shared" si="9"/>
        <v>82</v>
      </c>
      <c r="DJ43" s="469"/>
    </row>
    <row r="44" spans="2:114" ht="63" customHeight="1">
      <c r="B44" s="142">
        <v>39</v>
      </c>
      <c r="C44" s="143" t="str">
        <f>SISWA!B44</f>
        <v>1718250040343</v>
      </c>
      <c r="D44" s="144" t="str">
        <f>SISWA!E44</f>
        <v>SALMA</v>
      </c>
      <c r="E44" s="593">
        <v>79</v>
      </c>
      <c r="F44" s="593">
        <v>75</v>
      </c>
      <c r="G44" s="593">
        <v>70</v>
      </c>
      <c r="H44" s="593">
        <v>60</v>
      </c>
      <c r="I44" s="593">
        <v>83</v>
      </c>
      <c r="J44" s="593">
        <v>80</v>
      </c>
      <c r="K44" s="159"/>
      <c r="L44" s="159"/>
      <c r="M44" s="159"/>
      <c r="N44" s="159"/>
      <c r="O44" s="159"/>
      <c r="P44" s="159"/>
      <c r="Q44" s="159"/>
      <c r="R44" s="159"/>
      <c r="S44" s="159"/>
      <c r="T44" s="159"/>
      <c r="U44" s="159"/>
      <c r="V44" s="159"/>
      <c r="W44" s="159"/>
      <c r="X44" s="159"/>
      <c r="Y44" s="159"/>
      <c r="Z44" s="387"/>
      <c r="AA44" s="387"/>
      <c r="AB44" s="387"/>
      <c r="AC44" s="387"/>
      <c r="AD44" s="387"/>
      <c r="AE44" s="387"/>
      <c r="AF44" s="387"/>
      <c r="AG44" s="387"/>
      <c r="AH44" s="387"/>
      <c r="AI44" s="387"/>
      <c r="AJ44" s="387"/>
      <c r="AK44" s="387"/>
      <c r="AL44" s="159"/>
      <c r="AM44" s="159"/>
      <c r="AN44" s="159"/>
      <c r="AO44" s="159"/>
      <c r="AP44" s="159"/>
      <c r="AQ44" s="159"/>
      <c r="AR44" s="159"/>
      <c r="AS44" s="159"/>
      <c r="AT44" s="159"/>
      <c r="AU44" s="159"/>
      <c r="AV44" s="159"/>
      <c r="AW44" s="159"/>
      <c r="AX44" s="387"/>
      <c r="AY44" s="387"/>
      <c r="AZ44" s="387"/>
      <c r="BA44" s="387"/>
      <c r="BB44" s="387"/>
      <c r="BC44" s="387"/>
      <c r="BD44" s="387"/>
      <c r="BE44" s="387"/>
      <c r="BF44" s="387"/>
      <c r="BG44" s="387"/>
      <c r="BH44" s="387"/>
      <c r="BI44" s="387"/>
      <c r="BJ44" s="159"/>
      <c r="BK44" s="159"/>
      <c r="BL44" s="159"/>
      <c r="BM44" s="159"/>
      <c r="BN44" s="159"/>
      <c r="BO44" s="159"/>
      <c r="BP44" s="159"/>
      <c r="BQ44" s="159"/>
      <c r="BR44" s="159"/>
      <c r="BS44" s="159"/>
      <c r="BT44" s="159"/>
      <c r="BU44" s="159"/>
      <c r="BV44" s="387"/>
      <c r="BW44" s="387"/>
      <c r="BX44" s="387"/>
      <c r="BY44" s="387"/>
      <c r="BZ44" s="387"/>
      <c r="CA44" s="387"/>
      <c r="CB44" s="387"/>
      <c r="CC44" s="387"/>
      <c r="CD44" s="387"/>
      <c r="CE44" s="387"/>
      <c r="CF44" s="387"/>
      <c r="CG44" s="387"/>
      <c r="CH44" s="159"/>
      <c r="CI44" s="354">
        <f t="shared" si="11"/>
        <v>75</v>
      </c>
      <c r="CJ44" s="355" t="str">
        <f>IF(CI44&gt;KKM!$G$10,"A",IF(CI44&gt;KKM!$H$10,"B",IF(CI44&gt;=KKM!$I$10,"C","D")))</f>
        <v>C</v>
      </c>
      <c r="CK44" s="356">
        <f t="shared" si="12"/>
        <v>83</v>
      </c>
      <c r="CL44" s="361" t="str">
        <f>IF(CK44&gt;KKM!$G$10," sangat baik ",IF(CK44&gt;KKM!$H$10," baik ",IF(CK44&gt;=KKM!$I$10," cukup baik "," perlu bimbingan ")))</f>
        <v xml:space="preserve"> baik </v>
      </c>
      <c r="CM44" s="357">
        <f t="shared" si="13"/>
        <v>60</v>
      </c>
      <c r="CN44" s="361" t="str">
        <f>IF(CM44&gt;KKM!$G$10," sangat baik ",IF(CM44&gt;KKM!$H$10," baik ",IF(CM44&gt;=KKM!$I$10," cukup baik "," perlu bimbingan ")))</f>
        <v xml:space="preserve"> perlu bimbingan </v>
      </c>
      <c r="CO44" s="353" t="str">
        <f t="shared" si="10"/>
        <v>SALMA baik  dalam memahami pelaksanaan salat tarawih dan tadarus al-Qur'an., dan  perlu bimbingan  dalam memahami makna ikhlas beramal dalam kehidupan sehari-hari</v>
      </c>
      <c r="CP44" s="485"/>
      <c r="CQ44" s="359" t="str">
        <f t="shared" si="14"/>
        <v xml:space="preserve"> baik  dalam memahami pelaksanaan salat tarawih dan tadarus al-Qur'an.</v>
      </c>
      <c r="CR44" s="359" t="str">
        <f t="shared" si="15"/>
        <v xml:space="preserve"> perlu bimbingan  dalam memahami makna ikhlas beramal dalam kehidupan sehari-hari</v>
      </c>
      <c r="CS44" s="359" t="str">
        <f t="shared" si="6"/>
        <v xml:space="preserve"> baik  dalam memahami pelaksanaan salat tarawih dan tadarus al-Qur'an., dan  perlu bimbingan  dalam memahami makna ikhlas beramal dalam kehidupan sehari-hari</v>
      </c>
      <c r="CT44" s="359" t="str">
        <f t="shared" si="7"/>
        <v xml:space="preserve"> </v>
      </c>
      <c r="CU44" s="360" t="str">
        <f t="shared" si="8"/>
        <v xml:space="preserve"> baik  dalam memahami pelaksanaan salat tarawih dan tadarus al-Qur'an., dan  perlu bimbingan  dalam memahami makna ikhlas beramal dalam kehidupan sehari-hari</v>
      </c>
      <c r="CV44" s="353" t="str">
        <f t="shared" si="16"/>
        <v>SALMA baik  dalam memahami pelaksanaan salat tarawih dan tadarus al-Qur'an., dan  perlu bimbingan  dalam memahami makna ikhlas beramal dalam kehidupan sehari-hari</v>
      </c>
      <c r="CW44" s="139" t="e">
        <f>IF(#REF!=1,G$4," ")</f>
        <v>#REF!</v>
      </c>
      <c r="CX44" s="139" t="e">
        <f>IF(#REF!=1,H$4," ")</f>
        <v>#REF!</v>
      </c>
      <c r="CY44" s="139" t="e">
        <f>IF(#REF!=1,I$4," ")</f>
        <v>#REF!</v>
      </c>
      <c r="CZ44" s="139" t="e">
        <f>IF(#REF!=1,J$4," ")</f>
        <v>#REF!</v>
      </c>
      <c r="DA44" s="139" t="e">
        <f>IF(#REF!=1,K$4," ")</f>
        <v>#REF!</v>
      </c>
      <c r="DB44" s="139" t="e">
        <f>IF(#REF!=1,L$4," ")</f>
        <v>#REF!</v>
      </c>
      <c r="DC44" s="139" t="e">
        <f>IF(#REF!=1,M$4," ")</f>
        <v>#REF!</v>
      </c>
      <c r="DD44" s="139" t="e">
        <f>IF(#REF!=1,#REF!," ")</f>
        <v>#REF!</v>
      </c>
      <c r="DE44" s="139" t="e">
        <f>IF(#REF!=1,#REF!," ")</f>
        <v>#REF!</v>
      </c>
      <c r="DF44" s="139" t="e">
        <f>IF(#REF!=1,CH$4," ")</f>
        <v>#REF!</v>
      </c>
      <c r="DG44" s="469">
        <f t="shared" si="9"/>
        <v>75</v>
      </c>
      <c r="DJ44" s="469"/>
    </row>
    <row r="45" spans="2:114" ht="63" customHeight="1">
      <c r="B45" s="142">
        <v>40</v>
      </c>
      <c r="C45" s="143" t="str">
        <f>SISWA!B45</f>
        <v>1718250040344</v>
      </c>
      <c r="D45" s="144" t="str">
        <f>SISWA!E45</f>
        <v>SYAKILA</v>
      </c>
      <c r="E45" s="593">
        <v>90</v>
      </c>
      <c r="F45" s="593">
        <v>75</v>
      </c>
      <c r="G45" s="593">
        <v>75</v>
      </c>
      <c r="H45" s="593">
        <v>80</v>
      </c>
      <c r="I45" s="593">
        <v>85</v>
      </c>
      <c r="J45" s="593">
        <v>80</v>
      </c>
      <c r="K45" s="159"/>
      <c r="L45" s="159"/>
      <c r="M45" s="159"/>
      <c r="N45" s="159"/>
      <c r="O45" s="159"/>
      <c r="P45" s="159"/>
      <c r="Q45" s="159"/>
      <c r="R45" s="159"/>
      <c r="S45" s="159"/>
      <c r="T45" s="159"/>
      <c r="U45" s="159"/>
      <c r="V45" s="159"/>
      <c r="W45" s="159"/>
      <c r="X45" s="159"/>
      <c r="Y45" s="159"/>
      <c r="Z45" s="387"/>
      <c r="AA45" s="387"/>
      <c r="AB45" s="387"/>
      <c r="AC45" s="387"/>
      <c r="AD45" s="387"/>
      <c r="AE45" s="387"/>
      <c r="AF45" s="387"/>
      <c r="AG45" s="387"/>
      <c r="AH45" s="387"/>
      <c r="AI45" s="387"/>
      <c r="AJ45" s="387"/>
      <c r="AK45" s="387"/>
      <c r="AL45" s="159"/>
      <c r="AM45" s="159"/>
      <c r="AN45" s="159"/>
      <c r="AO45" s="159"/>
      <c r="AP45" s="159"/>
      <c r="AQ45" s="159"/>
      <c r="AR45" s="159"/>
      <c r="AS45" s="159"/>
      <c r="AT45" s="159"/>
      <c r="AU45" s="159"/>
      <c r="AV45" s="159"/>
      <c r="AW45" s="159"/>
      <c r="AX45" s="387"/>
      <c r="AY45" s="387"/>
      <c r="AZ45" s="387"/>
      <c r="BA45" s="387"/>
      <c r="BB45" s="387"/>
      <c r="BC45" s="387"/>
      <c r="BD45" s="387"/>
      <c r="BE45" s="387"/>
      <c r="BF45" s="387"/>
      <c r="BG45" s="387"/>
      <c r="BH45" s="387"/>
      <c r="BI45" s="387"/>
      <c r="BJ45" s="159"/>
      <c r="BK45" s="159"/>
      <c r="BL45" s="159"/>
      <c r="BM45" s="159"/>
      <c r="BN45" s="159"/>
      <c r="BO45" s="159"/>
      <c r="BP45" s="159"/>
      <c r="BQ45" s="159"/>
      <c r="BR45" s="159"/>
      <c r="BS45" s="159"/>
      <c r="BT45" s="159"/>
      <c r="BU45" s="159"/>
      <c r="BV45" s="387"/>
      <c r="BW45" s="387"/>
      <c r="BX45" s="387"/>
      <c r="BY45" s="387"/>
      <c r="BZ45" s="387"/>
      <c r="CA45" s="387"/>
      <c r="CB45" s="387"/>
      <c r="CC45" s="387"/>
      <c r="CD45" s="387"/>
      <c r="CE45" s="387"/>
      <c r="CF45" s="387"/>
      <c r="CG45" s="387"/>
      <c r="CH45" s="159"/>
      <c r="CI45" s="354">
        <f t="shared" si="11"/>
        <v>81</v>
      </c>
      <c r="CJ45" s="355" t="str">
        <f>IF(CI45&gt;KKM!$G$10,"A",IF(CI45&gt;KKM!$H$10,"B",IF(CI45&gt;=KKM!$I$10,"C","D")))</f>
        <v>B</v>
      </c>
      <c r="CK45" s="356">
        <f t="shared" si="12"/>
        <v>90</v>
      </c>
      <c r="CL45" s="361" t="str">
        <f>IF(CK45&gt;KKM!$G$10," sangat baik ",IF(CK45&gt;KKM!$H$10," baik ",IF(CK45&gt;=KKM!$I$10," cukup baik "," perlu bimbingan ")))</f>
        <v xml:space="preserve"> sangat baik </v>
      </c>
      <c r="CM45" s="357">
        <f t="shared" si="13"/>
        <v>75</v>
      </c>
      <c r="CN45" s="361" t="str">
        <f>IF(CM45&gt;KKM!$G$10," sangat baik ",IF(CM45&gt;KKM!$H$10," baik ",IF(CM45&gt;=KKM!$I$10," cukup baik "," perlu bimbingan ")))</f>
        <v xml:space="preserve"> cukup baik </v>
      </c>
      <c r="CO45" s="353" t="str">
        <f t="shared" si="10"/>
        <v>SYAKILA sangat baik  dalam memahami makna Q.S. at-Tīn dan Q.S. al-Mā’ūn dengan benar., dan  cukup baik  dalam memahami nama-nama Rasul Allah dan Rasul Ulul ‘Azmi.</v>
      </c>
      <c r="CP45" s="485"/>
      <c r="CQ45" s="359" t="str">
        <f t="shared" si="14"/>
        <v xml:space="preserve"> sangat baik  dalam memahami makna Q.S. at-Tīn dan Q.S. al-Mā’ūn dengan benar.</v>
      </c>
      <c r="CR45" s="359" t="str">
        <f t="shared" si="15"/>
        <v xml:space="preserve"> cukup baik  dalam memahami nama-nama Rasul Allah dan Rasul Ulul ‘Azmi.</v>
      </c>
      <c r="CS45" s="359" t="str">
        <f t="shared" si="6"/>
        <v xml:space="preserve"> sangat baik  dalam memahami makna Q.S. at-Tīn dan Q.S. al-Mā’ūn dengan benar., dan  cukup baik  dalam memahami nama-nama Rasul Allah dan Rasul Ulul ‘Azmi.</v>
      </c>
      <c r="CT45" s="359" t="str">
        <f t="shared" si="7"/>
        <v xml:space="preserve"> </v>
      </c>
      <c r="CU45" s="360" t="str">
        <f t="shared" si="8"/>
        <v xml:space="preserve"> sangat baik  dalam memahami makna Q.S. at-Tīn dan Q.S. al-Mā’ūn dengan benar., dan  cukup baik  dalam memahami nama-nama Rasul Allah dan Rasul Ulul ‘Azmi.</v>
      </c>
      <c r="CV45" s="353" t="str">
        <f t="shared" si="16"/>
        <v>SYAKILA sangat baik  dalam memahami makna Q.S. at-Tīn dan Q.S. al-Mā’ūn dengan benar., dan  cukup baik  dalam memahami nama-nama Rasul Allah dan Rasul Ulul ‘Azmi.</v>
      </c>
      <c r="CW45" s="139" t="e">
        <f>IF(#REF!=1,G$4," ")</f>
        <v>#REF!</v>
      </c>
      <c r="CX45" s="139" t="e">
        <f>IF(#REF!=1,H$4," ")</f>
        <v>#REF!</v>
      </c>
      <c r="CY45" s="139" t="e">
        <f>IF(#REF!=1,I$4," ")</f>
        <v>#REF!</v>
      </c>
      <c r="CZ45" s="139" t="e">
        <f>IF(#REF!=1,J$4," ")</f>
        <v>#REF!</v>
      </c>
      <c r="DA45" s="139" t="e">
        <f>IF(#REF!=1,K$4," ")</f>
        <v>#REF!</v>
      </c>
      <c r="DB45" s="139" t="e">
        <f>IF(#REF!=1,L$4," ")</f>
        <v>#REF!</v>
      </c>
      <c r="DC45" s="139" t="e">
        <f>IF(#REF!=1,M$4," ")</f>
        <v>#REF!</v>
      </c>
      <c r="DD45" s="139" t="e">
        <f>IF(#REF!=1,#REF!," ")</f>
        <v>#REF!</v>
      </c>
      <c r="DE45" s="139" t="e">
        <f>IF(#REF!=1,#REF!," ")</f>
        <v>#REF!</v>
      </c>
      <c r="DF45" s="139" t="e">
        <f>IF(#REF!=1,CH$4," ")</f>
        <v>#REF!</v>
      </c>
      <c r="DG45" s="469">
        <f t="shared" si="9"/>
        <v>81</v>
      </c>
      <c r="DJ45" s="469"/>
    </row>
    <row r="46" spans="2:114" ht="63" customHeight="1">
      <c r="B46" s="142">
        <v>41</v>
      </c>
      <c r="C46" s="143" t="str">
        <f>SISWA!B46</f>
        <v>1718250040345</v>
      </c>
      <c r="D46" s="144" t="str">
        <f>SISWA!E46</f>
        <v>SYIFA</v>
      </c>
      <c r="E46" s="593">
        <v>80</v>
      </c>
      <c r="F46" s="593">
        <v>75</v>
      </c>
      <c r="G46" s="593">
        <v>75</v>
      </c>
      <c r="H46" s="593">
        <v>75</v>
      </c>
      <c r="I46" s="593">
        <v>83</v>
      </c>
      <c r="J46" s="593">
        <v>75</v>
      </c>
      <c r="K46" s="159"/>
      <c r="L46" s="159"/>
      <c r="M46" s="159"/>
      <c r="N46" s="159"/>
      <c r="O46" s="159"/>
      <c r="P46" s="159"/>
      <c r="Q46" s="159"/>
      <c r="R46" s="159"/>
      <c r="S46" s="159"/>
      <c r="T46" s="159"/>
      <c r="U46" s="159"/>
      <c r="V46" s="159"/>
      <c r="W46" s="159"/>
      <c r="X46" s="159"/>
      <c r="Y46" s="159"/>
      <c r="Z46" s="387"/>
      <c r="AA46" s="387"/>
      <c r="AB46" s="387"/>
      <c r="AC46" s="387"/>
      <c r="AD46" s="387"/>
      <c r="AE46" s="387"/>
      <c r="AF46" s="387"/>
      <c r="AG46" s="387"/>
      <c r="AH46" s="387"/>
      <c r="AI46" s="387"/>
      <c r="AJ46" s="387"/>
      <c r="AK46" s="387"/>
      <c r="AL46" s="159"/>
      <c r="AM46" s="159"/>
      <c r="AN46" s="159"/>
      <c r="AO46" s="159"/>
      <c r="AP46" s="159"/>
      <c r="AQ46" s="159"/>
      <c r="AR46" s="159"/>
      <c r="AS46" s="159"/>
      <c r="AT46" s="159"/>
      <c r="AU46" s="159"/>
      <c r="AV46" s="159"/>
      <c r="AW46" s="159"/>
      <c r="AX46" s="387"/>
      <c r="AY46" s="387"/>
      <c r="AZ46" s="387"/>
      <c r="BA46" s="387"/>
      <c r="BB46" s="387"/>
      <c r="BC46" s="387"/>
      <c r="BD46" s="387"/>
      <c r="BE46" s="387"/>
      <c r="BF46" s="387"/>
      <c r="BG46" s="387"/>
      <c r="BH46" s="387"/>
      <c r="BI46" s="387"/>
      <c r="BJ46" s="159"/>
      <c r="BK46" s="159"/>
      <c r="BL46" s="159"/>
      <c r="BM46" s="159"/>
      <c r="BN46" s="159"/>
      <c r="BO46" s="159"/>
      <c r="BP46" s="159"/>
      <c r="BQ46" s="159"/>
      <c r="BR46" s="159"/>
      <c r="BS46" s="159"/>
      <c r="BT46" s="159"/>
      <c r="BU46" s="159"/>
      <c r="BV46" s="387"/>
      <c r="BW46" s="387"/>
      <c r="BX46" s="387"/>
      <c r="BY46" s="387"/>
      <c r="BZ46" s="387"/>
      <c r="CA46" s="387"/>
      <c r="CB46" s="387"/>
      <c r="CC46" s="387"/>
      <c r="CD46" s="387"/>
      <c r="CE46" s="387"/>
      <c r="CF46" s="387"/>
      <c r="CG46" s="387"/>
      <c r="CH46" s="159"/>
      <c r="CI46" s="354">
        <f t="shared" si="11"/>
        <v>77</v>
      </c>
      <c r="CJ46" s="355" t="str">
        <f>IF(CI46&gt;KKM!$G$10,"A",IF(CI46&gt;KKM!$H$10,"B",IF(CI46&gt;=KKM!$I$10,"C","D")))</f>
        <v>B</v>
      </c>
      <c r="CK46" s="356">
        <f t="shared" si="12"/>
        <v>83</v>
      </c>
      <c r="CL46" s="361" t="str">
        <f>IF(CK46&gt;KKM!$G$10," sangat baik ",IF(CK46&gt;KKM!$H$10," baik ",IF(CK46&gt;=KKM!$I$10," cukup baik "," perlu bimbingan ")))</f>
        <v xml:space="preserve"> baik </v>
      </c>
      <c r="CM46" s="357">
        <f t="shared" si="13"/>
        <v>75</v>
      </c>
      <c r="CN46" s="361" t="str">
        <f>IF(CM46&gt;KKM!$G$10," sangat baik ",IF(CM46&gt;KKM!$H$10," baik ",IF(CM46&gt;=KKM!$I$10," cukup baik "," perlu bimbingan ")))</f>
        <v xml:space="preserve"> cukup baik </v>
      </c>
      <c r="CO46" s="353" t="str">
        <f t="shared" si="10"/>
        <v>SYIFA baik  dalam memahami pelaksanaan salat tarawih dan tadarus al-Qur'an., dan  cukup baik  dalam memahami nama-nama Rasul Allah dan Rasul Ulul ‘Azmi.</v>
      </c>
      <c r="CP46" s="485"/>
      <c r="CQ46" s="359" t="str">
        <f t="shared" si="14"/>
        <v xml:space="preserve"> baik  dalam memahami pelaksanaan salat tarawih dan tadarus al-Qur'an.</v>
      </c>
      <c r="CR46" s="359" t="str">
        <f t="shared" si="15"/>
        <v xml:space="preserve"> cukup baik  dalam memahami nama-nama Rasul Allah dan Rasul Ulul ‘Azmi.</v>
      </c>
      <c r="CS46" s="359" t="str">
        <f t="shared" si="6"/>
        <v xml:space="preserve"> baik  dalam memahami pelaksanaan salat tarawih dan tadarus al-Qur'an., dan  cukup baik  dalam memahami nama-nama Rasul Allah dan Rasul Ulul ‘Azmi.</v>
      </c>
      <c r="CT46" s="359" t="str">
        <f t="shared" si="7"/>
        <v xml:space="preserve"> </v>
      </c>
      <c r="CU46" s="360" t="str">
        <f t="shared" si="8"/>
        <v xml:space="preserve"> baik  dalam memahami pelaksanaan salat tarawih dan tadarus al-Qur'an., dan  cukup baik  dalam memahami nama-nama Rasul Allah dan Rasul Ulul ‘Azmi.</v>
      </c>
      <c r="CV46" s="353" t="str">
        <f t="shared" si="16"/>
        <v>SYIFA baik  dalam memahami pelaksanaan salat tarawih dan tadarus al-Qur'an., dan  cukup baik  dalam memahami nama-nama Rasul Allah dan Rasul Ulul ‘Azmi.</v>
      </c>
      <c r="CW46" s="139" t="e">
        <f>IF(#REF!=1,G$4," ")</f>
        <v>#REF!</v>
      </c>
      <c r="CX46" s="139" t="e">
        <f>IF(#REF!=1,H$4," ")</f>
        <v>#REF!</v>
      </c>
      <c r="CY46" s="139" t="e">
        <f>IF(#REF!=1,I$4," ")</f>
        <v>#REF!</v>
      </c>
      <c r="CZ46" s="139" t="e">
        <f>IF(#REF!=1,J$4," ")</f>
        <v>#REF!</v>
      </c>
      <c r="DA46" s="139" t="e">
        <f>IF(#REF!=1,K$4," ")</f>
        <v>#REF!</v>
      </c>
      <c r="DB46" s="139" t="e">
        <f>IF(#REF!=1,L$4," ")</f>
        <v>#REF!</v>
      </c>
      <c r="DC46" s="139" t="e">
        <f>IF(#REF!=1,M$4," ")</f>
        <v>#REF!</v>
      </c>
      <c r="DD46" s="139" t="e">
        <f>IF(#REF!=1,#REF!," ")</f>
        <v>#REF!</v>
      </c>
      <c r="DE46" s="139" t="e">
        <f>IF(#REF!=1,#REF!," ")</f>
        <v>#REF!</v>
      </c>
      <c r="DF46" s="139" t="e">
        <f>IF(#REF!=1,CH$4," ")</f>
        <v>#REF!</v>
      </c>
      <c r="DG46" s="469">
        <f t="shared" si="9"/>
        <v>77</v>
      </c>
      <c r="DJ46" s="469"/>
    </row>
    <row r="47" spans="2:114" ht="63" customHeight="1">
      <c r="B47" s="142">
        <v>42</v>
      </c>
      <c r="C47" s="143" t="str">
        <f>SISWA!B47</f>
        <v>1718250040346</v>
      </c>
      <c r="D47" s="144" t="str">
        <f>SISWA!E47</f>
        <v>WAFDAN</v>
      </c>
      <c r="E47" s="593">
        <v>100</v>
      </c>
      <c r="F47" s="593">
        <v>75</v>
      </c>
      <c r="G47" s="593">
        <v>75</v>
      </c>
      <c r="H47" s="593">
        <v>75</v>
      </c>
      <c r="I47" s="593">
        <v>81</v>
      </c>
      <c r="J47" s="593">
        <v>75</v>
      </c>
      <c r="K47" s="159"/>
      <c r="L47" s="159"/>
      <c r="M47" s="159"/>
      <c r="N47" s="159"/>
      <c r="O47" s="159"/>
      <c r="P47" s="159"/>
      <c r="Q47" s="159"/>
      <c r="R47" s="159"/>
      <c r="S47" s="159"/>
      <c r="T47" s="159"/>
      <c r="U47" s="159"/>
      <c r="V47" s="159"/>
      <c r="W47" s="159"/>
      <c r="X47" s="159"/>
      <c r="Y47" s="159"/>
      <c r="Z47" s="387"/>
      <c r="AA47" s="387"/>
      <c r="AB47" s="387"/>
      <c r="AC47" s="387"/>
      <c r="AD47" s="387"/>
      <c r="AE47" s="387"/>
      <c r="AF47" s="387"/>
      <c r="AG47" s="387"/>
      <c r="AH47" s="387"/>
      <c r="AI47" s="387"/>
      <c r="AJ47" s="387"/>
      <c r="AK47" s="387"/>
      <c r="AL47" s="159"/>
      <c r="AM47" s="159"/>
      <c r="AN47" s="159"/>
      <c r="AO47" s="159"/>
      <c r="AP47" s="159"/>
      <c r="AQ47" s="159"/>
      <c r="AR47" s="159"/>
      <c r="AS47" s="159"/>
      <c r="AT47" s="159"/>
      <c r="AU47" s="159"/>
      <c r="AV47" s="159"/>
      <c r="AW47" s="159"/>
      <c r="AX47" s="387"/>
      <c r="AY47" s="387"/>
      <c r="AZ47" s="387"/>
      <c r="BA47" s="387"/>
      <c r="BB47" s="387"/>
      <c r="BC47" s="387"/>
      <c r="BD47" s="387"/>
      <c r="BE47" s="387"/>
      <c r="BF47" s="387"/>
      <c r="BG47" s="387"/>
      <c r="BH47" s="387"/>
      <c r="BI47" s="387"/>
      <c r="BJ47" s="159"/>
      <c r="BK47" s="159"/>
      <c r="BL47" s="159"/>
      <c r="BM47" s="159"/>
      <c r="BN47" s="159"/>
      <c r="BO47" s="159"/>
      <c r="BP47" s="159"/>
      <c r="BQ47" s="159"/>
      <c r="BR47" s="159"/>
      <c r="BS47" s="159"/>
      <c r="BT47" s="159"/>
      <c r="BU47" s="159"/>
      <c r="BV47" s="387"/>
      <c r="BW47" s="387"/>
      <c r="BX47" s="387"/>
      <c r="BY47" s="387"/>
      <c r="BZ47" s="387"/>
      <c r="CA47" s="387"/>
      <c r="CB47" s="387"/>
      <c r="CC47" s="387"/>
      <c r="CD47" s="387"/>
      <c r="CE47" s="387"/>
      <c r="CF47" s="387"/>
      <c r="CG47" s="387"/>
      <c r="CH47" s="159"/>
      <c r="CI47" s="354">
        <f t="shared" si="11"/>
        <v>80</v>
      </c>
      <c r="CJ47" s="355" t="str">
        <f>IF(CI47&gt;KKM!$G$10,"A",IF(CI47&gt;KKM!$H$10,"B",IF(CI47&gt;=KKM!$I$10,"C","D")))</f>
        <v>B</v>
      </c>
      <c r="CK47" s="356">
        <f t="shared" si="12"/>
        <v>100</v>
      </c>
      <c r="CL47" s="361" t="str">
        <f>IF(CK47&gt;KKM!$G$10," sangat baik ",IF(CK47&gt;KKM!$H$10," baik ",IF(CK47&gt;=KKM!$I$10," cukup baik "," perlu bimbingan ")))</f>
        <v xml:space="preserve"> sangat baik </v>
      </c>
      <c r="CM47" s="357">
        <f t="shared" si="13"/>
        <v>75</v>
      </c>
      <c r="CN47" s="361" t="str">
        <f>IF(CM47&gt;KKM!$G$10," sangat baik ",IF(CM47&gt;KKM!$H$10," baik ",IF(CM47&gt;=KKM!$I$10," cukup baik "," perlu bimbingan ")))</f>
        <v xml:space="preserve"> cukup baik </v>
      </c>
      <c r="CO47" s="353" t="str">
        <f t="shared" si="10"/>
        <v>WAFDAN sangat baik  dalam memahami makna Q.S. at-Tīn dan Q.S. al-Mā’ūn dengan benar., dan  cukup baik  dalam memahami nama-nama Rasul Allah dan Rasul Ulul ‘Azmi.</v>
      </c>
      <c r="CP47" s="485"/>
      <c r="CQ47" s="359" t="str">
        <f t="shared" si="14"/>
        <v xml:space="preserve"> sangat baik  dalam memahami makna Q.S. at-Tīn dan Q.S. al-Mā’ūn dengan benar.</v>
      </c>
      <c r="CR47" s="359" t="str">
        <f t="shared" si="15"/>
        <v xml:space="preserve"> cukup baik  dalam memahami nama-nama Rasul Allah dan Rasul Ulul ‘Azmi.</v>
      </c>
      <c r="CS47" s="359" t="str">
        <f t="shared" si="6"/>
        <v xml:space="preserve"> sangat baik  dalam memahami makna Q.S. at-Tīn dan Q.S. al-Mā’ūn dengan benar., dan  cukup baik  dalam memahami nama-nama Rasul Allah dan Rasul Ulul ‘Azmi.</v>
      </c>
      <c r="CT47" s="359" t="str">
        <f t="shared" si="7"/>
        <v xml:space="preserve"> </v>
      </c>
      <c r="CU47" s="360" t="str">
        <f t="shared" si="8"/>
        <v xml:space="preserve"> sangat baik  dalam memahami makna Q.S. at-Tīn dan Q.S. al-Mā’ūn dengan benar., dan  cukup baik  dalam memahami nama-nama Rasul Allah dan Rasul Ulul ‘Azmi.</v>
      </c>
      <c r="CV47" s="353" t="str">
        <f t="shared" si="16"/>
        <v>WAFDAN sangat baik  dalam memahami makna Q.S. at-Tīn dan Q.S. al-Mā’ūn dengan benar., dan  cukup baik  dalam memahami nama-nama Rasul Allah dan Rasul Ulul ‘Azmi.</v>
      </c>
      <c r="CW47" s="139" t="e">
        <f>IF(#REF!=1,G$4," ")</f>
        <v>#REF!</v>
      </c>
      <c r="CX47" s="139" t="e">
        <f>IF(#REF!=1,H$4," ")</f>
        <v>#REF!</v>
      </c>
      <c r="CY47" s="139" t="e">
        <f>IF(#REF!=1,I$4," ")</f>
        <v>#REF!</v>
      </c>
      <c r="CZ47" s="139" t="e">
        <f>IF(#REF!=1,J$4," ")</f>
        <v>#REF!</v>
      </c>
      <c r="DA47" s="139" t="e">
        <f>IF(#REF!=1,K$4," ")</f>
        <v>#REF!</v>
      </c>
      <c r="DB47" s="139" t="e">
        <f>IF(#REF!=1,L$4," ")</f>
        <v>#REF!</v>
      </c>
      <c r="DC47" s="139" t="e">
        <f>IF(#REF!=1,M$4," ")</f>
        <v>#REF!</v>
      </c>
      <c r="DD47" s="139" t="e">
        <f>IF(#REF!=1,#REF!," ")</f>
        <v>#REF!</v>
      </c>
      <c r="DE47" s="139" t="e">
        <f>IF(#REF!=1,#REF!," ")</f>
        <v>#REF!</v>
      </c>
      <c r="DF47" s="139" t="e">
        <f>IF(#REF!=1,CH$4," ")</f>
        <v>#REF!</v>
      </c>
      <c r="DG47" s="469">
        <f t="shared" si="9"/>
        <v>80</v>
      </c>
      <c r="DJ47" s="469"/>
    </row>
    <row r="48" spans="2:114" ht="63" customHeight="1">
      <c r="B48" s="142">
        <v>43</v>
      </c>
      <c r="C48" s="143" t="str">
        <f>SISWA!B48</f>
        <v>1718250040347</v>
      </c>
      <c r="D48" s="144" t="str">
        <f>SISWA!E48</f>
        <v>ZEVA</v>
      </c>
      <c r="E48" s="593">
        <v>90</v>
      </c>
      <c r="F48" s="593">
        <v>79</v>
      </c>
      <c r="G48" s="593">
        <v>65</v>
      </c>
      <c r="H48" s="593">
        <v>80</v>
      </c>
      <c r="I48" s="593">
        <v>83</v>
      </c>
      <c r="J48" s="593">
        <v>80</v>
      </c>
      <c r="K48" s="159"/>
      <c r="L48" s="159"/>
      <c r="M48" s="159"/>
      <c r="N48" s="159"/>
      <c r="O48" s="159"/>
      <c r="P48" s="159"/>
      <c r="Q48" s="159"/>
      <c r="R48" s="159"/>
      <c r="S48" s="159"/>
      <c r="T48" s="159"/>
      <c r="U48" s="159"/>
      <c r="V48" s="159"/>
      <c r="W48" s="159"/>
      <c r="X48" s="159"/>
      <c r="Y48" s="159"/>
      <c r="Z48" s="387"/>
      <c r="AA48" s="387"/>
      <c r="AB48" s="387"/>
      <c r="AC48" s="387"/>
      <c r="AD48" s="387"/>
      <c r="AE48" s="387"/>
      <c r="AF48" s="387"/>
      <c r="AG48" s="387"/>
      <c r="AH48" s="387"/>
      <c r="AI48" s="387"/>
      <c r="AJ48" s="387"/>
      <c r="AK48" s="387"/>
      <c r="AL48" s="159"/>
      <c r="AM48" s="159"/>
      <c r="AN48" s="159"/>
      <c r="AO48" s="159"/>
      <c r="AP48" s="159"/>
      <c r="AQ48" s="159"/>
      <c r="AR48" s="159"/>
      <c r="AS48" s="159"/>
      <c r="AT48" s="159"/>
      <c r="AU48" s="159"/>
      <c r="AV48" s="159"/>
      <c r="AW48" s="159"/>
      <c r="AX48" s="387"/>
      <c r="AY48" s="387"/>
      <c r="AZ48" s="387"/>
      <c r="BA48" s="387"/>
      <c r="BB48" s="387"/>
      <c r="BC48" s="387"/>
      <c r="BD48" s="387"/>
      <c r="BE48" s="387"/>
      <c r="BF48" s="387"/>
      <c r="BG48" s="387"/>
      <c r="BH48" s="387"/>
      <c r="BI48" s="387"/>
      <c r="BJ48" s="159"/>
      <c r="BK48" s="159"/>
      <c r="BL48" s="159"/>
      <c r="BM48" s="159"/>
      <c r="BN48" s="159"/>
      <c r="BO48" s="159"/>
      <c r="BP48" s="159"/>
      <c r="BQ48" s="159"/>
      <c r="BR48" s="159"/>
      <c r="BS48" s="159"/>
      <c r="BT48" s="159"/>
      <c r="BU48" s="159"/>
      <c r="BV48" s="387"/>
      <c r="BW48" s="387"/>
      <c r="BX48" s="387"/>
      <c r="BY48" s="387"/>
      <c r="BZ48" s="387"/>
      <c r="CA48" s="387"/>
      <c r="CB48" s="387"/>
      <c r="CC48" s="387"/>
      <c r="CD48" s="387"/>
      <c r="CE48" s="387"/>
      <c r="CF48" s="387"/>
      <c r="CG48" s="387"/>
      <c r="CH48" s="159"/>
      <c r="CI48" s="354">
        <f t="shared" si="11"/>
        <v>80</v>
      </c>
      <c r="CJ48" s="355" t="str">
        <f>IF(CI48&gt;KKM!$G$10,"A",IF(CI48&gt;KKM!$H$10,"B",IF(CI48&gt;=KKM!$I$10,"C","D")))</f>
        <v>B</v>
      </c>
      <c r="CK48" s="356">
        <f t="shared" si="12"/>
        <v>90</v>
      </c>
      <c r="CL48" s="361" t="str">
        <f>IF(CK48&gt;KKM!$G$10," sangat baik ",IF(CK48&gt;KKM!$H$10," baik ",IF(CK48&gt;=KKM!$I$10," cukup baik "," perlu bimbingan ")))</f>
        <v xml:space="preserve"> sangat baik </v>
      </c>
      <c r="CM48" s="357">
        <f t="shared" si="13"/>
        <v>65</v>
      </c>
      <c r="CN48" s="361" t="str">
        <f>IF(CM48&gt;KKM!$G$10," sangat baik ",IF(CM48&gt;KKM!$H$10," baik ",IF(CM48&gt;=KKM!$I$10," cukup baik "," perlu bimbingan ")))</f>
        <v xml:space="preserve"> cukup baik </v>
      </c>
      <c r="CO48" s="353" t="str">
        <f t="shared" si="10"/>
        <v>ZEVA sangat baik  dalam memahami makna Q.S. at-Tīn dan Q.S. al-Mā’ūn dengan benar., dan  cukup baik  dalam memahami makna sederhana dalam kehidupan sehari-hari.</v>
      </c>
      <c r="CP48" s="485"/>
      <c r="CQ48" s="359" t="str">
        <f t="shared" si="14"/>
        <v xml:space="preserve"> sangat baik  dalam memahami makna Q.S. at-Tīn dan Q.S. al-Mā’ūn dengan benar.</v>
      </c>
      <c r="CR48" s="359" t="str">
        <f t="shared" si="15"/>
        <v xml:space="preserve"> cukup baik  dalam memahami makna sederhana dalam kehidupan sehari-hari.</v>
      </c>
      <c r="CS48" s="359" t="str">
        <f t="shared" si="6"/>
        <v xml:space="preserve"> sangat baik  dalam memahami makna Q.S. at-Tīn dan Q.S. al-Mā’ūn dengan benar., dan  cukup baik  dalam memahami makna sederhana dalam kehidupan sehari-hari.</v>
      </c>
      <c r="CT48" s="359" t="str">
        <f t="shared" si="7"/>
        <v xml:space="preserve"> </v>
      </c>
      <c r="CU48" s="360" t="str">
        <f t="shared" si="8"/>
        <v xml:space="preserve"> sangat baik  dalam memahami makna Q.S. at-Tīn dan Q.S. al-Mā’ūn dengan benar., dan  cukup baik  dalam memahami makna sederhana dalam kehidupan sehari-hari.</v>
      </c>
      <c r="CV48" s="353" t="str">
        <f t="shared" si="16"/>
        <v>ZEVA sangat baik  dalam memahami makna Q.S. at-Tīn dan Q.S. al-Mā’ūn dengan benar., dan  cukup baik  dalam memahami makna sederhana dalam kehidupan sehari-hari.</v>
      </c>
      <c r="CW48" s="139" t="e">
        <f>IF(#REF!=1,G$4," ")</f>
        <v>#REF!</v>
      </c>
      <c r="CX48" s="139" t="e">
        <f>IF(#REF!=1,H$4," ")</f>
        <v>#REF!</v>
      </c>
      <c r="CY48" s="139" t="e">
        <f>IF(#REF!=1,I$4," ")</f>
        <v>#REF!</v>
      </c>
      <c r="CZ48" s="139" t="e">
        <f>IF(#REF!=1,J$4," ")</f>
        <v>#REF!</v>
      </c>
      <c r="DA48" s="139" t="e">
        <f>IF(#REF!=1,K$4," ")</f>
        <v>#REF!</v>
      </c>
      <c r="DB48" s="139" t="e">
        <f>IF(#REF!=1,L$4," ")</f>
        <v>#REF!</v>
      </c>
      <c r="DC48" s="139" t="e">
        <f>IF(#REF!=1,M$4," ")</f>
        <v>#REF!</v>
      </c>
      <c r="DD48" s="139" t="e">
        <f>IF(#REF!=1,#REF!," ")</f>
        <v>#REF!</v>
      </c>
      <c r="DE48" s="139" t="e">
        <f>IF(#REF!=1,#REF!," ")</f>
        <v>#REF!</v>
      </c>
      <c r="DF48" s="139" t="e">
        <f>IF(#REF!=1,CH$4," ")</f>
        <v>#REF!</v>
      </c>
      <c r="DG48" s="469">
        <f t="shared" si="9"/>
        <v>80</v>
      </c>
      <c r="DJ48" s="469"/>
    </row>
    <row r="49" spans="2:114" ht="63" customHeight="1">
      <c r="B49" s="142">
        <v>44</v>
      </c>
      <c r="C49" s="143">
        <f>SISWA!B49</f>
        <v>0</v>
      </c>
      <c r="D49" s="144">
        <f>SISWA!E49</f>
        <v>0</v>
      </c>
      <c r="E49" s="159"/>
      <c r="F49" s="160"/>
      <c r="G49" s="160"/>
      <c r="H49" s="160"/>
      <c r="I49" s="160"/>
      <c r="J49" s="159"/>
      <c r="K49" s="159"/>
      <c r="L49" s="159"/>
      <c r="M49" s="159"/>
      <c r="N49" s="159"/>
      <c r="O49" s="159"/>
      <c r="P49" s="159"/>
      <c r="Q49" s="159"/>
      <c r="R49" s="159"/>
      <c r="S49" s="159"/>
      <c r="T49" s="159"/>
      <c r="U49" s="159"/>
      <c r="V49" s="159"/>
      <c r="W49" s="159"/>
      <c r="X49" s="159"/>
      <c r="Y49" s="159"/>
      <c r="Z49" s="387"/>
      <c r="AA49" s="387"/>
      <c r="AB49" s="387"/>
      <c r="AC49" s="387"/>
      <c r="AD49" s="387"/>
      <c r="AE49" s="387"/>
      <c r="AF49" s="387"/>
      <c r="AG49" s="387"/>
      <c r="AH49" s="387"/>
      <c r="AI49" s="387"/>
      <c r="AJ49" s="387"/>
      <c r="AK49" s="387"/>
      <c r="AL49" s="159"/>
      <c r="AM49" s="159"/>
      <c r="AN49" s="159"/>
      <c r="AO49" s="159"/>
      <c r="AP49" s="159"/>
      <c r="AQ49" s="159"/>
      <c r="AR49" s="159"/>
      <c r="AS49" s="159"/>
      <c r="AT49" s="159"/>
      <c r="AU49" s="159"/>
      <c r="AV49" s="159"/>
      <c r="AW49" s="159"/>
      <c r="AX49" s="387"/>
      <c r="AY49" s="387"/>
      <c r="AZ49" s="387"/>
      <c r="BA49" s="387"/>
      <c r="BB49" s="387"/>
      <c r="BC49" s="387"/>
      <c r="BD49" s="387"/>
      <c r="BE49" s="387"/>
      <c r="BF49" s="387"/>
      <c r="BG49" s="387"/>
      <c r="BH49" s="387"/>
      <c r="BI49" s="387"/>
      <c r="BJ49" s="159"/>
      <c r="BK49" s="159"/>
      <c r="BL49" s="159"/>
      <c r="BM49" s="159"/>
      <c r="BN49" s="159"/>
      <c r="BO49" s="159"/>
      <c r="BP49" s="159"/>
      <c r="BQ49" s="159"/>
      <c r="BR49" s="159"/>
      <c r="BS49" s="159"/>
      <c r="BT49" s="159"/>
      <c r="BU49" s="159"/>
      <c r="BV49" s="387"/>
      <c r="BW49" s="387"/>
      <c r="BX49" s="387"/>
      <c r="BY49" s="387"/>
      <c r="BZ49" s="387"/>
      <c r="CA49" s="387"/>
      <c r="CB49" s="387"/>
      <c r="CC49" s="387"/>
      <c r="CD49" s="387"/>
      <c r="CE49" s="387"/>
      <c r="CF49" s="387"/>
      <c r="CG49" s="387"/>
      <c r="CH49" s="159"/>
      <c r="CI49" s="354" t="e">
        <f t="shared" si="11"/>
        <v>#DIV/0!</v>
      </c>
      <c r="CJ49" s="355" t="e">
        <f>IF(CI49&gt;KKM!$G$10,"A",IF(CI49&gt;KKM!$H$10,"B",IF(CI49&gt;=KKM!$I$10,"C","D")))</f>
        <v>#DIV/0!</v>
      </c>
      <c r="CK49" s="356">
        <f t="shared" si="12"/>
        <v>0</v>
      </c>
      <c r="CL49" s="361" t="str">
        <f>IF(CK49&gt;KKM!$G$10," sangat baik ",IF(CK49&gt;KKM!$H$10," baik ",IF(CK49&gt;=KKM!$I$10," cukup baik "," perlu bimbingan ")))</f>
        <v xml:space="preserve"> perlu bimbingan </v>
      </c>
      <c r="CM49" s="357">
        <f t="shared" si="13"/>
        <v>0</v>
      </c>
      <c r="CN49" s="361" t="str">
        <f>IF(CM49&gt;KKM!$G$10," sangat baik ",IF(CM49&gt;KKM!$H$10," baik ",IF(CM49&gt;=KKM!$I$10," cukup baik "," perlu bimbingan ")))</f>
        <v xml:space="preserve"> perlu bimbingan </v>
      </c>
      <c r="CO49" s="353" t="str">
        <f t="shared" si="10"/>
        <v xml:space="preserve"> </v>
      </c>
      <c r="CP49" s="485"/>
      <c r="CQ49" s="359" t="e">
        <f t="shared" si="14"/>
        <v>#N/A</v>
      </c>
      <c r="CR49" s="359" t="e">
        <f t="shared" si="15"/>
        <v>#N/A</v>
      </c>
      <c r="CS49" s="359" t="e">
        <f t="shared" si="6"/>
        <v>#N/A</v>
      </c>
      <c r="CT49" s="359" t="e">
        <f t="shared" si="7"/>
        <v>#N/A</v>
      </c>
      <c r="CU49" s="360" t="e">
        <f t="shared" si="8"/>
        <v>#N/A</v>
      </c>
      <c r="CV49" s="353" t="e">
        <f t="shared" si="16"/>
        <v>#N/A</v>
      </c>
      <c r="CW49" s="139" t="e">
        <f>IF(#REF!=1,G$4," ")</f>
        <v>#REF!</v>
      </c>
      <c r="CX49" s="139" t="e">
        <f>IF(#REF!=1,H$4," ")</f>
        <v>#REF!</v>
      </c>
      <c r="CY49" s="139" t="e">
        <f>IF(#REF!=1,I$4," ")</f>
        <v>#REF!</v>
      </c>
      <c r="CZ49" s="139" t="e">
        <f>IF(#REF!=1,J$4," ")</f>
        <v>#REF!</v>
      </c>
      <c r="DA49" s="139" t="e">
        <f>IF(#REF!=1,K$4," ")</f>
        <v>#REF!</v>
      </c>
      <c r="DB49" s="139" t="e">
        <f>IF(#REF!=1,L$4," ")</f>
        <v>#REF!</v>
      </c>
      <c r="DC49" s="139" t="e">
        <f>IF(#REF!=1,M$4," ")</f>
        <v>#REF!</v>
      </c>
      <c r="DD49" s="139" t="e">
        <f>IF(#REF!=1,#REF!," ")</f>
        <v>#REF!</v>
      </c>
      <c r="DE49" s="139" t="e">
        <f>IF(#REF!=1,#REF!," ")</f>
        <v>#REF!</v>
      </c>
      <c r="DF49" s="139" t="e">
        <f>IF(#REF!=1,CH$4," ")</f>
        <v>#REF!</v>
      </c>
      <c r="DG49" s="469" t="str">
        <f t="shared" si="9"/>
        <v/>
      </c>
      <c r="DJ49" s="469"/>
    </row>
    <row r="50" spans="2:114" ht="63" customHeight="1">
      <c r="B50" s="142">
        <v>45</v>
      </c>
      <c r="C50" s="143">
        <f>SISWA!B50</f>
        <v>0</v>
      </c>
      <c r="D50" s="144">
        <f>SISWA!E50</f>
        <v>0</v>
      </c>
      <c r="E50" s="159"/>
      <c r="F50" s="160"/>
      <c r="G50" s="160"/>
      <c r="H50" s="160"/>
      <c r="I50" s="160"/>
      <c r="J50" s="159"/>
      <c r="K50" s="159"/>
      <c r="L50" s="159"/>
      <c r="M50" s="159"/>
      <c r="N50" s="159"/>
      <c r="O50" s="159"/>
      <c r="P50" s="159"/>
      <c r="Q50" s="159"/>
      <c r="R50" s="159"/>
      <c r="S50" s="159"/>
      <c r="T50" s="159"/>
      <c r="U50" s="159"/>
      <c r="V50" s="159"/>
      <c r="W50" s="159"/>
      <c r="X50" s="159"/>
      <c r="Y50" s="159"/>
      <c r="Z50" s="387"/>
      <c r="AA50" s="387"/>
      <c r="AB50" s="387"/>
      <c r="AC50" s="387"/>
      <c r="AD50" s="387"/>
      <c r="AE50" s="387"/>
      <c r="AF50" s="387"/>
      <c r="AG50" s="387"/>
      <c r="AH50" s="387"/>
      <c r="AI50" s="387"/>
      <c r="AJ50" s="387"/>
      <c r="AK50" s="387"/>
      <c r="AL50" s="159"/>
      <c r="AM50" s="159"/>
      <c r="AN50" s="159"/>
      <c r="AO50" s="159"/>
      <c r="AP50" s="159"/>
      <c r="AQ50" s="159"/>
      <c r="AR50" s="159"/>
      <c r="AS50" s="159"/>
      <c r="AT50" s="159"/>
      <c r="AU50" s="159"/>
      <c r="AV50" s="159"/>
      <c r="AW50" s="159"/>
      <c r="AX50" s="387"/>
      <c r="AY50" s="387"/>
      <c r="AZ50" s="387"/>
      <c r="BA50" s="387"/>
      <c r="BB50" s="387"/>
      <c r="BC50" s="387"/>
      <c r="BD50" s="387"/>
      <c r="BE50" s="387"/>
      <c r="BF50" s="387"/>
      <c r="BG50" s="387"/>
      <c r="BH50" s="387"/>
      <c r="BI50" s="387"/>
      <c r="BJ50" s="159"/>
      <c r="BK50" s="159"/>
      <c r="BL50" s="159"/>
      <c r="BM50" s="159"/>
      <c r="BN50" s="159"/>
      <c r="BO50" s="159"/>
      <c r="BP50" s="159"/>
      <c r="BQ50" s="159"/>
      <c r="BR50" s="159"/>
      <c r="BS50" s="159"/>
      <c r="BT50" s="159"/>
      <c r="BU50" s="159"/>
      <c r="BV50" s="387"/>
      <c r="BW50" s="387"/>
      <c r="BX50" s="387"/>
      <c r="BY50" s="387"/>
      <c r="BZ50" s="387"/>
      <c r="CA50" s="387"/>
      <c r="CB50" s="387"/>
      <c r="CC50" s="387"/>
      <c r="CD50" s="387"/>
      <c r="CE50" s="387"/>
      <c r="CF50" s="387"/>
      <c r="CG50" s="387"/>
      <c r="CH50" s="159"/>
      <c r="CI50" s="354" t="e">
        <f t="shared" si="11"/>
        <v>#DIV/0!</v>
      </c>
      <c r="CJ50" s="355" t="e">
        <f>IF(CI50&gt;KKM!$G$10,"A",IF(CI50&gt;KKM!$H$10,"B",IF(CI50&gt;=KKM!$I$10,"C","D")))</f>
        <v>#DIV/0!</v>
      </c>
      <c r="CK50" s="356">
        <f t="shared" si="12"/>
        <v>0</v>
      </c>
      <c r="CL50" s="361" t="str">
        <f>IF(CK50&gt;KKM!$G$10," sangat baik ",IF(CK50&gt;KKM!$H$10," baik ",IF(CK50&gt;=KKM!$I$10," cukup baik "," perlu bimbingan ")))</f>
        <v xml:space="preserve"> perlu bimbingan </v>
      </c>
      <c r="CM50" s="357">
        <f t="shared" si="13"/>
        <v>0</v>
      </c>
      <c r="CN50" s="361" t="str">
        <f>IF(CM50&gt;KKM!$G$10," sangat baik ",IF(CM50&gt;KKM!$H$10," baik ",IF(CM50&gt;=KKM!$I$10," cukup baik "," perlu bimbingan ")))</f>
        <v xml:space="preserve"> perlu bimbingan </v>
      </c>
      <c r="CO50" s="353" t="str">
        <f t="shared" si="10"/>
        <v xml:space="preserve"> </v>
      </c>
      <c r="CP50" s="485"/>
      <c r="CQ50" s="359" t="e">
        <f t="shared" si="14"/>
        <v>#N/A</v>
      </c>
      <c r="CR50" s="359" t="e">
        <f t="shared" si="15"/>
        <v>#N/A</v>
      </c>
      <c r="CS50" s="359" t="e">
        <f t="shared" si="6"/>
        <v>#N/A</v>
      </c>
      <c r="CT50" s="359" t="e">
        <f t="shared" si="7"/>
        <v>#N/A</v>
      </c>
      <c r="CU50" s="360" t="e">
        <f t="shared" si="8"/>
        <v>#N/A</v>
      </c>
      <c r="CV50" s="353" t="e">
        <f t="shared" si="16"/>
        <v>#N/A</v>
      </c>
      <c r="CW50" s="139" t="e">
        <f>IF(#REF!=1,G$4," ")</f>
        <v>#REF!</v>
      </c>
      <c r="CX50" s="139" t="e">
        <f>IF(#REF!=1,H$4," ")</f>
        <v>#REF!</v>
      </c>
      <c r="CY50" s="139" t="e">
        <f>IF(#REF!=1,I$4," ")</f>
        <v>#REF!</v>
      </c>
      <c r="CZ50" s="139" t="e">
        <f>IF(#REF!=1,J$4," ")</f>
        <v>#REF!</v>
      </c>
      <c r="DA50" s="139" t="e">
        <f>IF(#REF!=1,K$4," ")</f>
        <v>#REF!</v>
      </c>
      <c r="DB50" s="139" t="e">
        <f>IF(#REF!=1,L$4," ")</f>
        <v>#REF!</v>
      </c>
      <c r="DC50" s="139" t="e">
        <f>IF(#REF!=1,M$4," ")</f>
        <v>#REF!</v>
      </c>
      <c r="DD50" s="139" t="e">
        <f>IF(#REF!=1,#REF!," ")</f>
        <v>#REF!</v>
      </c>
      <c r="DE50" s="139" t="e">
        <f>IF(#REF!=1,#REF!," ")</f>
        <v>#REF!</v>
      </c>
      <c r="DF50" s="139" t="e">
        <f>IF(#REF!=1,CH$4," ")</f>
        <v>#REF!</v>
      </c>
      <c r="DG50" s="469" t="str">
        <f t="shared" si="9"/>
        <v/>
      </c>
      <c r="DJ50" s="469"/>
    </row>
    <row r="51" spans="2:114" ht="63" customHeight="1">
      <c r="B51" s="142">
        <v>46</v>
      </c>
      <c r="C51" s="143">
        <f>SISWA!B51</f>
        <v>0</v>
      </c>
      <c r="D51" s="144">
        <f>SISWA!E51</f>
        <v>0</v>
      </c>
      <c r="E51" s="159"/>
      <c r="F51" s="160"/>
      <c r="G51" s="160"/>
      <c r="H51" s="160"/>
      <c r="I51" s="160"/>
      <c r="J51" s="159"/>
      <c r="K51" s="159"/>
      <c r="L51" s="159"/>
      <c r="M51" s="159"/>
      <c r="N51" s="159"/>
      <c r="O51" s="159"/>
      <c r="P51" s="159"/>
      <c r="Q51" s="159"/>
      <c r="R51" s="159"/>
      <c r="S51" s="159"/>
      <c r="T51" s="159"/>
      <c r="U51" s="159"/>
      <c r="V51" s="159"/>
      <c r="W51" s="159"/>
      <c r="X51" s="159"/>
      <c r="Y51" s="159"/>
      <c r="Z51" s="387"/>
      <c r="AA51" s="387"/>
      <c r="AB51" s="387"/>
      <c r="AC51" s="387"/>
      <c r="AD51" s="387"/>
      <c r="AE51" s="387"/>
      <c r="AF51" s="387"/>
      <c r="AG51" s="387"/>
      <c r="AH51" s="387"/>
      <c r="AI51" s="387"/>
      <c r="AJ51" s="387"/>
      <c r="AK51" s="387"/>
      <c r="AL51" s="159"/>
      <c r="AM51" s="159"/>
      <c r="AN51" s="159"/>
      <c r="AO51" s="159"/>
      <c r="AP51" s="159"/>
      <c r="AQ51" s="159"/>
      <c r="AR51" s="159"/>
      <c r="AS51" s="159"/>
      <c r="AT51" s="159"/>
      <c r="AU51" s="159"/>
      <c r="AV51" s="159"/>
      <c r="AW51" s="159"/>
      <c r="AX51" s="387"/>
      <c r="AY51" s="387"/>
      <c r="AZ51" s="387"/>
      <c r="BA51" s="387"/>
      <c r="BB51" s="387"/>
      <c r="BC51" s="387"/>
      <c r="BD51" s="387"/>
      <c r="BE51" s="387"/>
      <c r="BF51" s="387"/>
      <c r="BG51" s="387"/>
      <c r="BH51" s="387"/>
      <c r="BI51" s="387"/>
      <c r="BJ51" s="159"/>
      <c r="BK51" s="159"/>
      <c r="BL51" s="159"/>
      <c r="BM51" s="159"/>
      <c r="BN51" s="159"/>
      <c r="BO51" s="159"/>
      <c r="BP51" s="159"/>
      <c r="BQ51" s="159"/>
      <c r="BR51" s="159"/>
      <c r="BS51" s="159"/>
      <c r="BT51" s="159"/>
      <c r="BU51" s="159"/>
      <c r="BV51" s="387"/>
      <c r="BW51" s="387"/>
      <c r="BX51" s="387"/>
      <c r="BY51" s="387"/>
      <c r="BZ51" s="387"/>
      <c r="CA51" s="387"/>
      <c r="CB51" s="387"/>
      <c r="CC51" s="387"/>
      <c r="CD51" s="387"/>
      <c r="CE51" s="387"/>
      <c r="CF51" s="387"/>
      <c r="CG51" s="387"/>
      <c r="CH51" s="159"/>
      <c r="CI51" s="354" t="e">
        <f t="shared" si="11"/>
        <v>#DIV/0!</v>
      </c>
      <c r="CJ51" s="355" t="e">
        <f>IF(CI51&gt;KKM!$G$10,"A",IF(CI51&gt;KKM!$H$10,"B",IF(CI51&gt;=KKM!$I$10,"C","D")))</f>
        <v>#DIV/0!</v>
      </c>
      <c r="CK51" s="356">
        <f t="shared" si="12"/>
        <v>0</v>
      </c>
      <c r="CL51" s="361" t="str">
        <f>IF(CK51&gt;KKM!$G$10," sangat baik ",IF(CK51&gt;KKM!$H$10," baik ",IF(CK51&gt;=KKM!$I$10," cukup baik "," perlu bimbingan ")))</f>
        <v xml:space="preserve"> perlu bimbingan </v>
      </c>
      <c r="CM51" s="357">
        <f t="shared" si="13"/>
        <v>0</v>
      </c>
      <c r="CN51" s="361" t="str">
        <f>IF(CM51&gt;KKM!$G$10," sangat baik ",IF(CM51&gt;KKM!$H$10," baik ",IF(CM51&gt;=KKM!$I$10," cukup baik "," perlu bimbingan ")))</f>
        <v xml:space="preserve"> perlu bimbingan </v>
      </c>
      <c r="CO51" s="353" t="str">
        <f t="shared" si="10"/>
        <v xml:space="preserve"> </v>
      </c>
      <c r="CP51" s="485"/>
      <c r="CQ51" s="359" t="e">
        <f t="shared" si="14"/>
        <v>#N/A</v>
      </c>
      <c r="CR51" s="359" t="e">
        <f t="shared" si="15"/>
        <v>#N/A</v>
      </c>
      <c r="CS51" s="359" t="e">
        <f t="shared" si="6"/>
        <v>#N/A</v>
      </c>
      <c r="CT51" s="359" t="e">
        <f t="shared" si="7"/>
        <v>#N/A</v>
      </c>
      <c r="CU51" s="360" t="e">
        <f t="shared" si="8"/>
        <v>#N/A</v>
      </c>
      <c r="CV51" s="353" t="e">
        <f t="shared" si="16"/>
        <v>#N/A</v>
      </c>
      <c r="CW51" s="139" t="e">
        <f>IF(#REF!=1,G$4," ")</f>
        <v>#REF!</v>
      </c>
      <c r="CX51" s="139" t="e">
        <f>IF(#REF!=1,H$4," ")</f>
        <v>#REF!</v>
      </c>
      <c r="CY51" s="139" t="e">
        <f>IF(#REF!=1,I$4," ")</f>
        <v>#REF!</v>
      </c>
      <c r="CZ51" s="139" t="e">
        <f>IF(#REF!=1,J$4," ")</f>
        <v>#REF!</v>
      </c>
      <c r="DA51" s="139" t="e">
        <f>IF(#REF!=1,K$4," ")</f>
        <v>#REF!</v>
      </c>
      <c r="DB51" s="139" t="e">
        <f>IF(#REF!=1,L$4," ")</f>
        <v>#REF!</v>
      </c>
      <c r="DC51" s="139" t="e">
        <f>IF(#REF!=1,M$4," ")</f>
        <v>#REF!</v>
      </c>
      <c r="DD51" s="139" t="e">
        <f>IF(#REF!=1,#REF!," ")</f>
        <v>#REF!</v>
      </c>
      <c r="DE51" s="139" t="e">
        <f>IF(#REF!=1,#REF!," ")</f>
        <v>#REF!</v>
      </c>
      <c r="DF51" s="139" t="e">
        <f>IF(#REF!=1,CH$4," ")</f>
        <v>#REF!</v>
      </c>
      <c r="DG51" s="469" t="str">
        <f t="shared" si="9"/>
        <v/>
      </c>
      <c r="DJ51" s="469"/>
    </row>
    <row r="52" spans="2:114" ht="63" customHeight="1">
      <c r="B52" s="142">
        <v>47</v>
      </c>
      <c r="C52" s="143">
        <f>SISWA!B52</f>
        <v>0</v>
      </c>
      <c r="D52" s="144">
        <f>SISWA!E52</f>
        <v>0</v>
      </c>
      <c r="E52" s="159"/>
      <c r="F52" s="160"/>
      <c r="G52" s="160"/>
      <c r="H52" s="160"/>
      <c r="I52" s="160"/>
      <c r="J52" s="159"/>
      <c r="K52" s="159"/>
      <c r="L52" s="159"/>
      <c r="M52" s="159"/>
      <c r="N52" s="159"/>
      <c r="O52" s="159"/>
      <c r="P52" s="159"/>
      <c r="Q52" s="159"/>
      <c r="R52" s="159"/>
      <c r="S52" s="159"/>
      <c r="T52" s="159"/>
      <c r="U52" s="159"/>
      <c r="V52" s="159"/>
      <c r="W52" s="159"/>
      <c r="X52" s="159"/>
      <c r="Y52" s="159"/>
      <c r="Z52" s="387"/>
      <c r="AA52" s="387"/>
      <c r="AB52" s="387"/>
      <c r="AC52" s="387"/>
      <c r="AD52" s="387"/>
      <c r="AE52" s="387"/>
      <c r="AF52" s="387"/>
      <c r="AG52" s="387"/>
      <c r="AH52" s="387"/>
      <c r="AI52" s="387"/>
      <c r="AJ52" s="387"/>
      <c r="AK52" s="387"/>
      <c r="AL52" s="159"/>
      <c r="AM52" s="159"/>
      <c r="AN52" s="159"/>
      <c r="AO52" s="159"/>
      <c r="AP52" s="159"/>
      <c r="AQ52" s="159"/>
      <c r="AR52" s="159"/>
      <c r="AS52" s="159"/>
      <c r="AT52" s="159"/>
      <c r="AU52" s="159"/>
      <c r="AV52" s="159"/>
      <c r="AW52" s="159"/>
      <c r="AX52" s="387"/>
      <c r="AY52" s="387"/>
      <c r="AZ52" s="387"/>
      <c r="BA52" s="387"/>
      <c r="BB52" s="387"/>
      <c r="BC52" s="387"/>
      <c r="BD52" s="387"/>
      <c r="BE52" s="387"/>
      <c r="BF52" s="387"/>
      <c r="BG52" s="387"/>
      <c r="BH52" s="387"/>
      <c r="BI52" s="387"/>
      <c r="BJ52" s="159"/>
      <c r="BK52" s="159"/>
      <c r="BL52" s="159"/>
      <c r="BM52" s="159"/>
      <c r="BN52" s="159"/>
      <c r="BO52" s="159"/>
      <c r="BP52" s="159"/>
      <c r="BQ52" s="159"/>
      <c r="BR52" s="159"/>
      <c r="BS52" s="159"/>
      <c r="BT52" s="159"/>
      <c r="BU52" s="159"/>
      <c r="BV52" s="387"/>
      <c r="BW52" s="387"/>
      <c r="BX52" s="387"/>
      <c r="BY52" s="387"/>
      <c r="BZ52" s="387"/>
      <c r="CA52" s="387"/>
      <c r="CB52" s="387"/>
      <c r="CC52" s="387"/>
      <c r="CD52" s="387"/>
      <c r="CE52" s="387"/>
      <c r="CF52" s="387"/>
      <c r="CG52" s="387"/>
      <c r="CH52" s="159"/>
      <c r="CI52" s="354" t="e">
        <f t="shared" si="11"/>
        <v>#DIV/0!</v>
      </c>
      <c r="CJ52" s="355" t="e">
        <f>IF(CI52&gt;KKM!$G$10,"A",IF(CI52&gt;KKM!$H$10,"B",IF(CI52&gt;=KKM!$I$10,"C","D")))</f>
        <v>#DIV/0!</v>
      </c>
      <c r="CK52" s="356">
        <f t="shared" si="12"/>
        <v>0</v>
      </c>
      <c r="CL52" s="361" t="str">
        <f>IF(CK52&gt;KKM!$G$10," sangat baik ",IF(CK52&gt;KKM!$H$10," baik ",IF(CK52&gt;=KKM!$I$10," cukup baik "," perlu bimbingan ")))</f>
        <v xml:space="preserve"> perlu bimbingan </v>
      </c>
      <c r="CM52" s="357">
        <f t="shared" si="13"/>
        <v>0</v>
      </c>
      <c r="CN52" s="361" t="str">
        <f>IF(CM52&gt;KKM!$G$10," sangat baik ",IF(CM52&gt;KKM!$H$10," baik ",IF(CM52&gt;=KKM!$I$10," cukup baik "," perlu bimbingan ")))</f>
        <v xml:space="preserve"> perlu bimbingan </v>
      </c>
      <c r="CO52" s="353" t="str">
        <f t="shared" si="10"/>
        <v xml:space="preserve"> </v>
      </c>
      <c r="CP52" s="485"/>
      <c r="CQ52" s="359" t="e">
        <f t="shared" si="14"/>
        <v>#N/A</v>
      </c>
      <c r="CR52" s="359" t="e">
        <f t="shared" si="15"/>
        <v>#N/A</v>
      </c>
      <c r="CS52" s="359" t="e">
        <f t="shared" si="6"/>
        <v>#N/A</v>
      </c>
      <c r="CT52" s="359" t="e">
        <f t="shared" si="7"/>
        <v>#N/A</v>
      </c>
      <c r="CU52" s="360" t="e">
        <f t="shared" si="8"/>
        <v>#N/A</v>
      </c>
      <c r="CV52" s="353" t="e">
        <f t="shared" si="16"/>
        <v>#N/A</v>
      </c>
      <c r="CW52" s="139" t="e">
        <f>IF(#REF!=1,G$4," ")</f>
        <v>#REF!</v>
      </c>
      <c r="CX52" s="139" t="e">
        <f>IF(#REF!=1,H$4," ")</f>
        <v>#REF!</v>
      </c>
      <c r="CY52" s="139" t="e">
        <f>IF(#REF!=1,I$4," ")</f>
        <v>#REF!</v>
      </c>
      <c r="CZ52" s="139" t="e">
        <f>IF(#REF!=1,J$4," ")</f>
        <v>#REF!</v>
      </c>
      <c r="DA52" s="139" t="e">
        <f>IF(#REF!=1,K$4," ")</f>
        <v>#REF!</v>
      </c>
      <c r="DB52" s="139" t="e">
        <f>IF(#REF!=1,L$4," ")</f>
        <v>#REF!</v>
      </c>
      <c r="DC52" s="139" t="e">
        <f>IF(#REF!=1,M$4," ")</f>
        <v>#REF!</v>
      </c>
      <c r="DD52" s="139" t="e">
        <f>IF(#REF!=1,#REF!," ")</f>
        <v>#REF!</v>
      </c>
      <c r="DE52" s="139" t="e">
        <f>IF(#REF!=1,#REF!," ")</f>
        <v>#REF!</v>
      </c>
      <c r="DF52" s="139" t="e">
        <f>IF(#REF!=1,CH$4," ")</f>
        <v>#REF!</v>
      </c>
      <c r="DG52" s="469" t="str">
        <f t="shared" si="9"/>
        <v/>
      </c>
      <c r="DJ52" s="469"/>
    </row>
    <row r="53" spans="2:114" ht="63" customHeight="1">
      <c r="B53" s="142">
        <v>48</v>
      </c>
      <c r="C53" s="143">
        <f>SISWA!B53</f>
        <v>0</v>
      </c>
      <c r="D53" s="144">
        <f>SISWA!E53</f>
        <v>0</v>
      </c>
      <c r="E53" s="159"/>
      <c r="F53" s="160"/>
      <c r="G53" s="160"/>
      <c r="H53" s="160"/>
      <c r="I53" s="160"/>
      <c r="J53" s="159"/>
      <c r="K53" s="159"/>
      <c r="L53" s="159"/>
      <c r="M53" s="159"/>
      <c r="N53" s="159"/>
      <c r="O53" s="159"/>
      <c r="P53" s="159"/>
      <c r="Q53" s="159"/>
      <c r="R53" s="159"/>
      <c r="S53" s="159"/>
      <c r="T53" s="159"/>
      <c r="U53" s="159"/>
      <c r="V53" s="159"/>
      <c r="W53" s="159"/>
      <c r="X53" s="159"/>
      <c r="Y53" s="159"/>
      <c r="Z53" s="387"/>
      <c r="AA53" s="387"/>
      <c r="AB53" s="387"/>
      <c r="AC53" s="387"/>
      <c r="AD53" s="387"/>
      <c r="AE53" s="387"/>
      <c r="AF53" s="387"/>
      <c r="AG53" s="387"/>
      <c r="AH53" s="387"/>
      <c r="AI53" s="387"/>
      <c r="AJ53" s="387"/>
      <c r="AK53" s="387"/>
      <c r="AL53" s="159"/>
      <c r="AM53" s="159"/>
      <c r="AN53" s="159"/>
      <c r="AO53" s="159"/>
      <c r="AP53" s="159"/>
      <c r="AQ53" s="159"/>
      <c r="AR53" s="159"/>
      <c r="AS53" s="159"/>
      <c r="AT53" s="159"/>
      <c r="AU53" s="159"/>
      <c r="AV53" s="159"/>
      <c r="AW53" s="159"/>
      <c r="AX53" s="387"/>
      <c r="AY53" s="387"/>
      <c r="AZ53" s="387"/>
      <c r="BA53" s="387"/>
      <c r="BB53" s="387"/>
      <c r="BC53" s="387"/>
      <c r="BD53" s="387"/>
      <c r="BE53" s="387"/>
      <c r="BF53" s="387"/>
      <c r="BG53" s="387"/>
      <c r="BH53" s="387"/>
      <c r="BI53" s="387"/>
      <c r="BJ53" s="159"/>
      <c r="BK53" s="159"/>
      <c r="BL53" s="159"/>
      <c r="BM53" s="159"/>
      <c r="BN53" s="159"/>
      <c r="BO53" s="159"/>
      <c r="BP53" s="159"/>
      <c r="BQ53" s="159"/>
      <c r="BR53" s="159"/>
      <c r="BS53" s="159"/>
      <c r="BT53" s="159"/>
      <c r="BU53" s="159"/>
      <c r="BV53" s="387"/>
      <c r="BW53" s="387"/>
      <c r="BX53" s="387"/>
      <c r="BY53" s="387"/>
      <c r="BZ53" s="387"/>
      <c r="CA53" s="387"/>
      <c r="CB53" s="387"/>
      <c r="CC53" s="387"/>
      <c r="CD53" s="387"/>
      <c r="CE53" s="387"/>
      <c r="CF53" s="387"/>
      <c r="CG53" s="387"/>
      <c r="CH53" s="159"/>
      <c r="CI53" s="354" t="e">
        <f t="shared" si="11"/>
        <v>#DIV/0!</v>
      </c>
      <c r="CJ53" s="355" t="e">
        <f>IF(CI53&gt;KKM!$G$10,"A",IF(CI53&gt;KKM!$H$10,"B",IF(CI53&gt;=KKM!$I$10,"C","D")))</f>
        <v>#DIV/0!</v>
      </c>
      <c r="CK53" s="356">
        <f t="shared" si="12"/>
        <v>0</v>
      </c>
      <c r="CL53" s="361" t="str">
        <f>IF(CK53&gt;KKM!$G$10," sangat baik ",IF(CK53&gt;KKM!$H$10," baik ",IF(CK53&gt;=KKM!$I$10," cukup baik "," perlu bimbingan ")))</f>
        <v xml:space="preserve"> perlu bimbingan </v>
      </c>
      <c r="CM53" s="357">
        <f t="shared" si="13"/>
        <v>0</v>
      </c>
      <c r="CN53" s="361" t="str">
        <f>IF(CM53&gt;KKM!$G$10," sangat baik ",IF(CM53&gt;KKM!$H$10," baik ",IF(CM53&gt;=KKM!$I$10," cukup baik "," perlu bimbingan ")))</f>
        <v xml:space="preserve"> perlu bimbingan </v>
      </c>
      <c r="CO53" s="353" t="str">
        <f t="shared" si="10"/>
        <v xml:space="preserve"> </v>
      </c>
      <c r="CP53" s="485"/>
      <c r="CQ53" s="359" t="e">
        <f t="shared" si="14"/>
        <v>#N/A</v>
      </c>
      <c r="CR53" s="359" t="e">
        <f t="shared" si="15"/>
        <v>#N/A</v>
      </c>
      <c r="CS53" s="359" t="e">
        <f t="shared" si="6"/>
        <v>#N/A</v>
      </c>
      <c r="CT53" s="359" t="e">
        <f t="shared" si="7"/>
        <v>#N/A</v>
      </c>
      <c r="CU53" s="360" t="e">
        <f t="shared" si="8"/>
        <v>#N/A</v>
      </c>
      <c r="CV53" s="353" t="e">
        <f t="shared" si="16"/>
        <v>#N/A</v>
      </c>
      <c r="CW53" s="139" t="e">
        <f>IF(#REF!=1,G$4," ")</f>
        <v>#REF!</v>
      </c>
      <c r="CX53" s="139" t="e">
        <f>IF(#REF!=1,H$4," ")</f>
        <v>#REF!</v>
      </c>
      <c r="CY53" s="139" t="e">
        <f>IF(#REF!=1,I$4," ")</f>
        <v>#REF!</v>
      </c>
      <c r="CZ53" s="139" t="e">
        <f>IF(#REF!=1,J$4," ")</f>
        <v>#REF!</v>
      </c>
      <c r="DA53" s="139" t="e">
        <f>IF(#REF!=1,K$4," ")</f>
        <v>#REF!</v>
      </c>
      <c r="DB53" s="139" t="e">
        <f>IF(#REF!=1,L$4," ")</f>
        <v>#REF!</v>
      </c>
      <c r="DC53" s="139" t="e">
        <f>IF(#REF!=1,M$4," ")</f>
        <v>#REF!</v>
      </c>
      <c r="DD53" s="139" t="e">
        <f>IF(#REF!=1,#REF!," ")</f>
        <v>#REF!</v>
      </c>
      <c r="DE53" s="139" t="e">
        <f>IF(#REF!=1,#REF!," ")</f>
        <v>#REF!</v>
      </c>
      <c r="DF53" s="139" t="e">
        <f>IF(#REF!=1,CH$4," ")</f>
        <v>#REF!</v>
      </c>
      <c r="DG53" s="469" t="str">
        <f t="shared" si="9"/>
        <v/>
      </c>
      <c r="DJ53" s="469"/>
    </row>
    <row r="54" spans="2:114" ht="63" customHeight="1">
      <c r="B54" s="142">
        <v>49</v>
      </c>
      <c r="C54" s="143">
        <f>SISWA!B54</f>
        <v>0</v>
      </c>
      <c r="D54" s="144">
        <f>SISWA!E54</f>
        <v>0</v>
      </c>
      <c r="E54" s="159"/>
      <c r="F54" s="160"/>
      <c r="G54" s="160"/>
      <c r="H54" s="160"/>
      <c r="I54" s="160"/>
      <c r="J54" s="159"/>
      <c r="K54" s="159"/>
      <c r="L54" s="159"/>
      <c r="M54" s="159"/>
      <c r="N54" s="159"/>
      <c r="O54" s="159"/>
      <c r="P54" s="159"/>
      <c r="Q54" s="159"/>
      <c r="R54" s="159"/>
      <c r="S54" s="159"/>
      <c r="T54" s="159"/>
      <c r="U54" s="159"/>
      <c r="V54" s="159"/>
      <c r="W54" s="159"/>
      <c r="X54" s="159"/>
      <c r="Y54" s="159"/>
      <c r="Z54" s="387"/>
      <c r="AA54" s="387"/>
      <c r="AB54" s="387"/>
      <c r="AC54" s="387"/>
      <c r="AD54" s="387"/>
      <c r="AE54" s="387"/>
      <c r="AF54" s="387"/>
      <c r="AG54" s="387"/>
      <c r="AH54" s="387"/>
      <c r="AI54" s="387"/>
      <c r="AJ54" s="387"/>
      <c r="AK54" s="387"/>
      <c r="AL54" s="159"/>
      <c r="AM54" s="159"/>
      <c r="AN54" s="159"/>
      <c r="AO54" s="159"/>
      <c r="AP54" s="159"/>
      <c r="AQ54" s="159"/>
      <c r="AR54" s="159"/>
      <c r="AS54" s="159"/>
      <c r="AT54" s="159"/>
      <c r="AU54" s="159"/>
      <c r="AV54" s="159"/>
      <c r="AW54" s="159"/>
      <c r="AX54" s="387"/>
      <c r="AY54" s="387"/>
      <c r="AZ54" s="387"/>
      <c r="BA54" s="387"/>
      <c r="BB54" s="387"/>
      <c r="BC54" s="387"/>
      <c r="BD54" s="387"/>
      <c r="BE54" s="387"/>
      <c r="BF54" s="387"/>
      <c r="BG54" s="387"/>
      <c r="BH54" s="387"/>
      <c r="BI54" s="387"/>
      <c r="BJ54" s="159"/>
      <c r="BK54" s="159"/>
      <c r="BL54" s="159"/>
      <c r="BM54" s="159"/>
      <c r="BN54" s="159"/>
      <c r="BO54" s="159"/>
      <c r="BP54" s="159"/>
      <c r="BQ54" s="159"/>
      <c r="BR54" s="159"/>
      <c r="BS54" s="159"/>
      <c r="BT54" s="159"/>
      <c r="BU54" s="159"/>
      <c r="BV54" s="387"/>
      <c r="BW54" s="387"/>
      <c r="BX54" s="387"/>
      <c r="BY54" s="387"/>
      <c r="BZ54" s="387"/>
      <c r="CA54" s="387"/>
      <c r="CB54" s="387"/>
      <c r="CC54" s="387"/>
      <c r="CD54" s="387"/>
      <c r="CE54" s="387"/>
      <c r="CF54" s="387"/>
      <c r="CG54" s="387"/>
      <c r="CH54" s="159"/>
      <c r="CI54" s="354" t="e">
        <f t="shared" si="11"/>
        <v>#DIV/0!</v>
      </c>
      <c r="CJ54" s="355" t="e">
        <f>IF(CI54&gt;KKM!$G$10,"A",IF(CI54&gt;KKM!$H$10,"B",IF(CI54&gt;=KKM!$I$10,"C","D")))</f>
        <v>#DIV/0!</v>
      </c>
      <c r="CK54" s="356">
        <f t="shared" si="12"/>
        <v>0</v>
      </c>
      <c r="CL54" s="361" t="str">
        <f>IF(CK54&gt;KKM!$G$10," sangat baik ",IF(CK54&gt;KKM!$H$10," baik ",IF(CK54&gt;=KKM!$I$10," cukup baik "," perlu bimbingan ")))</f>
        <v xml:space="preserve"> perlu bimbingan </v>
      </c>
      <c r="CM54" s="357">
        <f t="shared" si="13"/>
        <v>0</v>
      </c>
      <c r="CN54" s="361" t="str">
        <f>IF(CM54&gt;KKM!$G$10," sangat baik ",IF(CM54&gt;KKM!$H$10," baik ",IF(CM54&gt;=KKM!$I$10," cukup baik "," perlu bimbingan ")))</f>
        <v xml:space="preserve"> perlu bimbingan </v>
      </c>
      <c r="CO54" s="353" t="str">
        <f t="shared" si="10"/>
        <v xml:space="preserve"> </v>
      </c>
      <c r="CP54" s="485"/>
      <c r="CQ54" s="359" t="e">
        <f t="shared" si="14"/>
        <v>#N/A</v>
      </c>
      <c r="CR54" s="359" t="e">
        <f t="shared" si="15"/>
        <v>#N/A</v>
      </c>
      <c r="CS54" s="359" t="e">
        <f t="shared" si="6"/>
        <v>#N/A</v>
      </c>
      <c r="CT54" s="359" t="e">
        <f t="shared" si="7"/>
        <v>#N/A</v>
      </c>
      <c r="CU54" s="360" t="e">
        <f t="shared" si="8"/>
        <v>#N/A</v>
      </c>
      <c r="CV54" s="353" t="e">
        <f t="shared" si="16"/>
        <v>#N/A</v>
      </c>
      <c r="CW54" s="139" t="e">
        <f>IF(#REF!=1,G$4," ")</f>
        <v>#REF!</v>
      </c>
      <c r="CX54" s="139" t="e">
        <f>IF(#REF!=1,H$4," ")</f>
        <v>#REF!</v>
      </c>
      <c r="CY54" s="139" t="e">
        <f>IF(#REF!=1,I$4," ")</f>
        <v>#REF!</v>
      </c>
      <c r="CZ54" s="139" t="e">
        <f>IF(#REF!=1,J$4," ")</f>
        <v>#REF!</v>
      </c>
      <c r="DA54" s="139" t="e">
        <f>IF(#REF!=1,K$4," ")</f>
        <v>#REF!</v>
      </c>
      <c r="DB54" s="139" t="e">
        <f>IF(#REF!=1,L$4," ")</f>
        <v>#REF!</v>
      </c>
      <c r="DC54" s="139" t="e">
        <f>IF(#REF!=1,M$4," ")</f>
        <v>#REF!</v>
      </c>
      <c r="DD54" s="139" t="e">
        <f>IF(#REF!=1,#REF!," ")</f>
        <v>#REF!</v>
      </c>
      <c r="DE54" s="139" t="e">
        <f>IF(#REF!=1,#REF!," ")</f>
        <v>#REF!</v>
      </c>
      <c r="DF54" s="139" t="e">
        <f>IF(#REF!=1,CH$4," ")</f>
        <v>#REF!</v>
      </c>
      <c r="DG54" s="469" t="str">
        <f t="shared" si="9"/>
        <v/>
      </c>
      <c r="DJ54" s="469"/>
    </row>
    <row r="55" spans="2:114" ht="63" customHeight="1">
      <c r="B55" s="142">
        <v>50</v>
      </c>
      <c r="C55" s="143">
        <f>SISWA!B55</f>
        <v>0</v>
      </c>
      <c r="D55" s="144">
        <f>SISWA!E55</f>
        <v>0</v>
      </c>
      <c r="E55" s="159"/>
      <c r="F55" s="160"/>
      <c r="G55" s="160"/>
      <c r="H55" s="160"/>
      <c r="I55" s="160"/>
      <c r="J55" s="159"/>
      <c r="K55" s="159"/>
      <c r="L55" s="159"/>
      <c r="M55" s="159"/>
      <c r="N55" s="159"/>
      <c r="O55" s="159"/>
      <c r="P55" s="159"/>
      <c r="Q55" s="159"/>
      <c r="R55" s="159"/>
      <c r="S55" s="159"/>
      <c r="T55" s="159"/>
      <c r="U55" s="159"/>
      <c r="V55" s="159"/>
      <c r="W55" s="159"/>
      <c r="X55" s="159"/>
      <c r="Y55" s="159"/>
      <c r="Z55" s="387"/>
      <c r="AA55" s="387"/>
      <c r="AB55" s="387"/>
      <c r="AC55" s="387"/>
      <c r="AD55" s="387"/>
      <c r="AE55" s="387"/>
      <c r="AF55" s="387"/>
      <c r="AG55" s="387"/>
      <c r="AH55" s="387"/>
      <c r="AI55" s="387"/>
      <c r="AJ55" s="387"/>
      <c r="AK55" s="387"/>
      <c r="AL55" s="159"/>
      <c r="AM55" s="159"/>
      <c r="AN55" s="159"/>
      <c r="AO55" s="159"/>
      <c r="AP55" s="159"/>
      <c r="AQ55" s="159"/>
      <c r="AR55" s="159"/>
      <c r="AS55" s="159"/>
      <c r="AT55" s="159"/>
      <c r="AU55" s="159"/>
      <c r="AV55" s="159"/>
      <c r="AW55" s="159"/>
      <c r="AX55" s="387"/>
      <c r="AY55" s="387"/>
      <c r="AZ55" s="387"/>
      <c r="BA55" s="387"/>
      <c r="BB55" s="387"/>
      <c r="BC55" s="387"/>
      <c r="BD55" s="387"/>
      <c r="BE55" s="387"/>
      <c r="BF55" s="387"/>
      <c r="BG55" s="387"/>
      <c r="BH55" s="387"/>
      <c r="BI55" s="387"/>
      <c r="BJ55" s="159"/>
      <c r="BK55" s="159"/>
      <c r="BL55" s="159"/>
      <c r="BM55" s="159"/>
      <c r="BN55" s="159"/>
      <c r="BO55" s="159"/>
      <c r="BP55" s="159"/>
      <c r="BQ55" s="159"/>
      <c r="BR55" s="159"/>
      <c r="BS55" s="159"/>
      <c r="BT55" s="159"/>
      <c r="BU55" s="159"/>
      <c r="BV55" s="387"/>
      <c r="BW55" s="387"/>
      <c r="BX55" s="387"/>
      <c r="BY55" s="387"/>
      <c r="BZ55" s="387"/>
      <c r="CA55" s="387"/>
      <c r="CB55" s="387"/>
      <c r="CC55" s="387"/>
      <c r="CD55" s="387"/>
      <c r="CE55" s="387"/>
      <c r="CF55" s="387"/>
      <c r="CG55" s="387"/>
      <c r="CH55" s="159"/>
      <c r="CI55" s="354" t="e">
        <f t="shared" si="11"/>
        <v>#DIV/0!</v>
      </c>
      <c r="CJ55" s="355" t="e">
        <f>IF(CI55&gt;KKM!$G$10,"A",IF(CI55&gt;KKM!$H$10,"B",IF(CI55&gt;=KKM!$I$10,"C","D")))</f>
        <v>#DIV/0!</v>
      </c>
      <c r="CK55" s="356">
        <f t="shared" si="12"/>
        <v>0</v>
      </c>
      <c r="CL55" s="361" t="str">
        <f>IF(CK55&gt;KKM!$G$10," sangat baik ",IF(CK55&gt;KKM!$H$10," baik ",IF(CK55&gt;=KKM!$I$10," cukup baik "," perlu bimbingan ")))</f>
        <v xml:space="preserve"> perlu bimbingan </v>
      </c>
      <c r="CM55" s="357">
        <f t="shared" si="13"/>
        <v>0</v>
      </c>
      <c r="CN55" s="361" t="str">
        <f>IF(CM55&gt;KKM!$G$10," sangat baik ",IF(CM55&gt;KKM!$H$10," baik ",IF(CM55&gt;=KKM!$I$10," cukup baik "," perlu bimbingan ")))</f>
        <v xml:space="preserve"> perlu bimbingan </v>
      </c>
      <c r="CO55" s="353" t="str">
        <f t="shared" si="10"/>
        <v xml:space="preserve"> </v>
      </c>
      <c r="CP55" s="485"/>
      <c r="CQ55" s="359" t="e">
        <f t="shared" si="14"/>
        <v>#N/A</v>
      </c>
      <c r="CR55" s="359" t="e">
        <f t="shared" si="15"/>
        <v>#N/A</v>
      </c>
      <c r="CS55" s="359" t="e">
        <f t="shared" si="6"/>
        <v>#N/A</v>
      </c>
      <c r="CT55" s="359" t="e">
        <f t="shared" si="7"/>
        <v>#N/A</v>
      </c>
      <c r="CU55" s="360" t="e">
        <f t="shared" si="8"/>
        <v>#N/A</v>
      </c>
      <c r="CV55" s="353" t="e">
        <f t="shared" si="16"/>
        <v>#N/A</v>
      </c>
      <c r="CW55" s="139" t="e">
        <f>IF(#REF!=1,G$4," ")</f>
        <v>#REF!</v>
      </c>
      <c r="CX55" s="139" t="e">
        <f>IF(#REF!=1,H$4," ")</f>
        <v>#REF!</v>
      </c>
      <c r="CY55" s="139" t="e">
        <f>IF(#REF!=1,I$4," ")</f>
        <v>#REF!</v>
      </c>
      <c r="CZ55" s="139" t="e">
        <f>IF(#REF!=1,J$4," ")</f>
        <v>#REF!</v>
      </c>
      <c r="DA55" s="139" t="e">
        <f>IF(#REF!=1,K$4," ")</f>
        <v>#REF!</v>
      </c>
      <c r="DB55" s="139" t="e">
        <f>IF(#REF!=1,L$4," ")</f>
        <v>#REF!</v>
      </c>
      <c r="DC55" s="139" t="e">
        <f>IF(#REF!=1,M$4," ")</f>
        <v>#REF!</v>
      </c>
      <c r="DD55" s="139" t="e">
        <f>IF(#REF!=1,#REF!," ")</f>
        <v>#REF!</v>
      </c>
      <c r="DE55" s="139" t="e">
        <f>IF(#REF!=1,#REF!," ")</f>
        <v>#REF!</v>
      </c>
      <c r="DF55" s="139" t="e">
        <f>IF(#REF!=1,CH$4," ")</f>
        <v>#REF!</v>
      </c>
      <c r="DG55" s="469" t="str">
        <f t="shared" si="9"/>
        <v/>
      </c>
      <c r="DJ55" s="469"/>
    </row>
    <row r="56" spans="2:114" ht="15.75">
      <c r="B56" s="154"/>
      <c r="C56" s="154"/>
      <c r="D56" s="154"/>
      <c r="E56" s="145"/>
      <c r="F56" s="146"/>
      <c r="G56" s="146"/>
      <c r="H56" s="146"/>
      <c r="I56" s="146"/>
      <c r="J56" s="145"/>
      <c r="K56" s="145"/>
      <c r="L56" s="145"/>
      <c r="M56" s="145"/>
      <c r="N56" s="145"/>
      <c r="O56" s="145"/>
      <c r="P56" s="145"/>
      <c r="Q56" s="145"/>
      <c r="R56" s="145"/>
      <c r="S56" s="145"/>
      <c r="T56" s="145"/>
      <c r="U56" s="145"/>
      <c r="V56" s="145"/>
      <c r="W56" s="145"/>
      <c r="X56" s="145"/>
      <c r="Y56" s="145"/>
      <c r="Z56" s="145"/>
      <c r="AA56" s="145"/>
      <c r="AB56" s="145"/>
      <c r="AC56" s="145"/>
      <c r="AD56" s="145"/>
      <c r="AE56" s="145"/>
      <c r="AF56" s="145"/>
      <c r="AG56" s="145"/>
      <c r="AH56" s="145"/>
      <c r="AI56" s="145"/>
      <c r="AJ56" s="145"/>
      <c r="AK56" s="145"/>
      <c r="AL56" s="145"/>
      <c r="AM56" s="145"/>
      <c r="AN56" s="145"/>
      <c r="AO56" s="145"/>
      <c r="AP56" s="145"/>
      <c r="AQ56" s="145"/>
      <c r="AR56" s="145"/>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c r="BW56" s="145"/>
      <c r="BX56" s="145"/>
      <c r="BY56" s="145"/>
      <c r="BZ56" s="145"/>
      <c r="CA56" s="145"/>
      <c r="CB56" s="145"/>
      <c r="CC56" s="145"/>
      <c r="CD56" s="145"/>
      <c r="CE56" s="145"/>
      <c r="CF56" s="145"/>
      <c r="CG56" s="145"/>
      <c r="CH56" s="145"/>
      <c r="CI56" s="147"/>
      <c r="CJ56" s="148"/>
      <c r="CK56" s="149"/>
      <c r="CL56" s="149"/>
      <c r="CM56" s="149"/>
      <c r="CN56" s="149"/>
      <c r="CO56" s="150"/>
      <c r="CP56" s="151"/>
      <c r="CQ56" s="152"/>
      <c r="CR56" s="155"/>
      <c r="CS56" s="155"/>
      <c r="CT56" s="155"/>
      <c r="CU56" s="155"/>
      <c r="CV56" s="155"/>
      <c r="CW56" s="156"/>
      <c r="CX56" s="156"/>
      <c r="CY56" s="156"/>
      <c r="CZ56" s="156"/>
      <c r="DA56" s="156"/>
      <c r="DB56" s="156"/>
      <c r="DC56" s="156"/>
      <c r="DD56" s="156"/>
      <c r="DE56" s="156"/>
      <c r="DF56" s="156"/>
      <c r="DG56" s="153"/>
      <c r="DJ56" s="466"/>
    </row>
    <row r="57" spans="2:114">
      <c r="DJ57" s="466"/>
    </row>
  </sheetData>
  <sheetProtection password="C70C" sheet="1" objects="1" scenarios="1"/>
  <mergeCells count="17">
    <mergeCell ref="BV3:CG3"/>
    <mergeCell ref="CO2:CO5"/>
    <mergeCell ref="CK4:CL4"/>
    <mergeCell ref="CM4:CN4"/>
    <mergeCell ref="B1:CN1"/>
    <mergeCell ref="B2:B5"/>
    <mergeCell ref="C2:C5"/>
    <mergeCell ref="D2:D5"/>
    <mergeCell ref="E2:CH2"/>
    <mergeCell ref="CI2:CI5"/>
    <mergeCell ref="CJ2:CJ5"/>
    <mergeCell ref="CK2:CN2"/>
    <mergeCell ref="E3:Y3"/>
    <mergeCell ref="Z3:AK3"/>
    <mergeCell ref="AL3:AW3"/>
    <mergeCell ref="AX3:BI3"/>
    <mergeCell ref="BJ3:BU3"/>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O55"/>
  <sheetViews>
    <sheetView zoomScale="85" zoomScaleNormal="85" workbookViewId="0">
      <pane xSplit="4" ySplit="4" topLeftCell="E13" activePane="bottomRight" state="frozen"/>
      <selection pane="topRight" activeCell="E1" sqref="E1"/>
      <selection pane="bottomLeft" activeCell="A5" sqref="A5"/>
      <selection pane="bottomRight"/>
    </sheetView>
  </sheetViews>
  <sheetFormatPr defaultColWidth="0" defaultRowHeight="15"/>
  <cols>
    <col min="1" max="1" width="23.42578125" style="507" customWidth="1"/>
    <col min="2" max="2" width="4.42578125" style="137" customWidth="1"/>
    <col min="3" max="3" width="6.42578125" style="137" customWidth="1"/>
    <col min="4" max="4" width="28.7109375" style="137" customWidth="1"/>
    <col min="5" max="9" width="6.7109375" style="137" customWidth="1"/>
    <col min="10" max="19" width="6.7109375" style="137" hidden="1" customWidth="1"/>
    <col min="20" max="20" width="6.7109375" style="137" customWidth="1"/>
    <col min="21" max="22" width="4.7109375" style="137" customWidth="1"/>
    <col min="23" max="23" width="5.140625" style="137" customWidth="1"/>
    <col min="24" max="24" width="10.140625" style="137" customWidth="1"/>
    <col min="25" max="25" width="5.140625" style="137" customWidth="1"/>
    <col min="26" max="26" width="10.7109375" style="137" customWidth="1"/>
    <col min="27" max="27" width="84.42578125" style="137" customWidth="1"/>
    <col min="28" max="28" width="29.85546875" style="137" customWidth="1"/>
    <col min="29" max="34" width="10.7109375" style="137" hidden="1" customWidth="1"/>
    <col min="35" max="42" width="9.140625" style="137" hidden="1" customWidth="1"/>
    <col min="43" max="43" width="9.140625" style="137" customWidth="1"/>
    <col min="44" max="45" width="9.140625" style="137" hidden="1" customWidth="1"/>
    <col min="46" max="47" width="9.140625" style="137" customWidth="1"/>
    <col min="48" max="48" width="5" style="137" hidden="1" customWidth="1"/>
    <col min="49" max="50" width="0" style="137" hidden="1" customWidth="1"/>
    <col min="51" max="64" width="10.7109375" style="137" hidden="1" customWidth="1"/>
    <col min="65" max="93" width="0" style="137" hidden="1" customWidth="1"/>
    <col min="94" max="16384" width="9.140625" style="137" hidden="1"/>
  </cols>
  <sheetData>
    <row r="1" spans="1:45" s="510" customFormat="1" ht="45.75" customHeight="1">
      <c r="B1" s="685" t="s">
        <v>54</v>
      </c>
      <c r="C1" s="685"/>
      <c r="D1" s="685"/>
      <c r="E1" s="685"/>
      <c r="F1" s="685"/>
      <c r="G1" s="685"/>
      <c r="H1" s="685"/>
      <c r="I1" s="685"/>
      <c r="J1" s="685"/>
      <c r="K1" s="685"/>
      <c r="L1" s="685"/>
      <c r="M1" s="685"/>
      <c r="N1" s="685"/>
      <c r="O1" s="685"/>
      <c r="P1" s="685"/>
      <c r="Q1" s="685"/>
      <c r="R1" s="685"/>
      <c r="S1" s="685"/>
      <c r="T1" s="685"/>
      <c r="U1" s="685"/>
      <c r="V1" s="685"/>
      <c r="W1" s="685"/>
      <c r="X1" s="685"/>
      <c r="Y1" s="685"/>
      <c r="Z1" s="685"/>
    </row>
    <row r="2" spans="1:45"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S2" s="502">
        <f>DEPAN!$E$23</f>
        <v>43</v>
      </c>
    </row>
    <row r="3" spans="1:45" ht="94.5" customHeight="1">
      <c r="B3" s="716"/>
      <c r="C3" s="717"/>
      <c r="D3" s="718"/>
      <c r="E3" s="408" t="str">
        <f>'KI-KD'!$C29</f>
        <v xml:space="preserve">memahami hak, kewajiban dan tanggung jawab sebagai warga dalam kehidupan sehari-hari.
</v>
      </c>
      <c r="F3" s="408" t="str">
        <f>'KI-KD'!$C30</f>
        <v>menelaah keberagaman sosial budaya masyarakat</v>
      </c>
      <c r="G3" s="408" t="str">
        <f>'KI-KD'!$C31</f>
        <v xml:space="preserve">menggali manfaat persatuan dan kesatuan untuk membangun kerukunan hidup.
</v>
      </c>
      <c r="H3" s="408">
        <f>'KI-KD'!$C32</f>
        <v>0</v>
      </c>
      <c r="I3" s="408">
        <f>'KI-KD'!$C33</f>
        <v>0</v>
      </c>
      <c r="J3" s="408">
        <f>'KI-KD'!$C34</f>
        <v>0</v>
      </c>
      <c r="K3" s="408">
        <f>'KI-KD'!$C36</f>
        <v>0</v>
      </c>
      <c r="L3" s="408">
        <f>'KI-KD'!$C35</f>
        <v>0</v>
      </c>
      <c r="M3" s="138"/>
      <c r="N3" s="138"/>
      <c r="O3" s="138"/>
      <c r="P3" s="138"/>
      <c r="Q3" s="138"/>
      <c r="R3" s="138"/>
      <c r="S3" s="138"/>
      <c r="T3" s="138"/>
      <c r="U3" s="720"/>
      <c r="V3" s="721"/>
      <c r="W3" s="712" t="s">
        <v>267</v>
      </c>
      <c r="X3" s="713"/>
      <c r="Y3" s="714" t="s">
        <v>268</v>
      </c>
      <c r="Z3" s="715"/>
      <c r="AA3" s="679"/>
      <c r="AB3" s="2"/>
      <c r="AC3" s="2"/>
      <c r="AD3" s="2"/>
      <c r="AE3" s="2"/>
      <c r="AF3" s="2"/>
      <c r="AG3" s="2"/>
      <c r="AH3" s="253"/>
      <c r="AS3" s="469">
        <f>AS4-AS5</f>
        <v>43</v>
      </c>
    </row>
    <row r="4" spans="1:45" s="141" customFormat="1" ht="25.5" customHeight="1">
      <c r="A4" s="509"/>
      <c r="B4" s="716"/>
      <c r="C4" s="717"/>
      <c r="D4" s="718"/>
      <c r="E4" s="140" t="str">
        <f>'KI-KD'!$B29</f>
        <v>3.2</v>
      </c>
      <c r="F4" s="140" t="str">
        <f>'KI-KD'!$B30</f>
        <v>3.3</v>
      </c>
      <c r="G4" s="140" t="str">
        <f>'KI-KD'!$B31</f>
        <v>3.4</v>
      </c>
      <c r="H4" s="140">
        <f>'KI-KD'!$B32</f>
        <v>0</v>
      </c>
      <c r="I4" s="140">
        <f>'KI-KD'!$B33</f>
        <v>0</v>
      </c>
      <c r="J4" s="140">
        <f>'KI-KD'!$B34</f>
        <v>0</v>
      </c>
      <c r="K4" s="140">
        <f>'KI-KD'!$B35</f>
        <v>0</v>
      </c>
      <c r="L4" s="140">
        <f>'KI-KD'!$B36</f>
        <v>0</v>
      </c>
      <c r="M4" s="140"/>
      <c r="N4" s="140"/>
      <c r="O4" s="140"/>
      <c r="P4" s="140"/>
      <c r="Q4" s="140"/>
      <c r="R4" s="140"/>
      <c r="S4" s="140"/>
      <c r="T4" s="140"/>
      <c r="U4" s="720"/>
      <c r="V4" s="721"/>
      <c r="W4" s="248" t="s">
        <v>269</v>
      </c>
      <c r="X4" s="249" t="s">
        <v>3</v>
      </c>
      <c r="Y4" s="250" t="s">
        <v>269</v>
      </c>
      <c r="Z4" s="251" t="s">
        <v>3</v>
      </c>
      <c r="AA4" s="680"/>
      <c r="AB4" s="2"/>
      <c r="AC4" s="254" t="s">
        <v>270</v>
      </c>
      <c r="AD4" s="254" t="s">
        <v>271</v>
      </c>
      <c r="AE4" s="254" t="s">
        <v>272</v>
      </c>
      <c r="AF4" s="254" t="s">
        <v>273</v>
      </c>
      <c r="AG4" s="255" t="s">
        <v>266</v>
      </c>
      <c r="AH4" s="252"/>
      <c r="AS4" s="141">
        <v>50</v>
      </c>
    </row>
    <row r="5" spans="1:45" ht="59.25" customHeight="1">
      <c r="B5" s="142">
        <v>1</v>
      </c>
      <c r="C5" s="143" t="str">
        <f>SISWA!B6</f>
        <v>1718250040305</v>
      </c>
      <c r="D5" s="144" t="str">
        <f>SISWA!E6</f>
        <v>YAHYA</v>
      </c>
      <c r="E5" s="594">
        <v>95</v>
      </c>
      <c r="F5" s="160">
        <v>95</v>
      </c>
      <c r="G5" s="160">
        <v>95</v>
      </c>
      <c r="H5" s="159"/>
      <c r="I5" s="160"/>
      <c r="J5" s="159"/>
      <c r="K5" s="159"/>
      <c r="L5" s="159"/>
      <c r="M5" s="159"/>
      <c r="N5" s="159"/>
      <c r="O5" s="159"/>
      <c r="P5" s="159"/>
      <c r="Q5" s="159"/>
      <c r="R5" s="160"/>
      <c r="S5" s="160"/>
      <c r="T5" s="159"/>
      <c r="U5" s="354">
        <f>ROUND((AVERAGE(E5:T5)),0)</f>
        <v>95</v>
      </c>
      <c r="V5" s="355" t="str">
        <f>IF(U5&gt;KKM!$G$10,"A",IF(U5&gt;KKM!$H$10,"B",IF(U5&gt;=KKM!$I$10,"C","D")))</f>
        <v>A</v>
      </c>
      <c r="W5" s="356">
        <f t="shared" ref="W5:W54" si="0">MAX(E5:T5)</f>
        <v>95</v>
      </c>
      <c r="X5" s="361" t="str">
        <f>IF(W5&gt;KKM!$G$10," sangat baik ",IF(W5&gt;KKM!$H$10," baik ",IF(W5&gt;=KKM!$I$10," cukup baik "," perlu bimbingan ")))</f>
        <v xml:space="preserve"> sangat baik </v>
      </c>
      <c r="Y5" s="357">
        <f t="shared" ref="Y5:Y54" si="1">MIN(E5:T5)</f>
        <v>95</v>
      </c>
      <c r="Z5" s="361" t="str">
        <f>IF(Y5&gt;KKM!$G$10," sangat baik ",IF(Y5&gt;KKM!$H$10," baik ",IF(Y5&gt;=KKM!$I$10," cukup baik "," perlu bimbingan ")))</f>
        <v xml:space="preserve"> sangat baik </v>
      </c>
      <c r="AA5" s="353" t="str">
        <f>IFERROR(AH5," ")</f>
        <v xml:space="preserve">YAHYA sangat baik  dalam memahami hak, kewajiban dan tanggung jawab sebagai warga dalam kehidupan sehari-hari.
</v>
      </c>
      <c r="AB5" s="256"/>
      <c r="AC5" s="257" t="str">
        <f t="shared" ref="AC5:AC54" si="2">X5&amp;" dalam "&amp;INDEX($E$3:$T$3,MATCH(W5,$E5:$T5,0))</f>
        <v xml:space="preserve"> sangat baik  dalam memahami hak, kewajiban dan tanggung jawab sebagai warga dalam kehidupan sehari-hari.
</v>
      </c>
      <c r="AD5" s="257" t="str">
        <f t="shared" ref="AD5:AD54" si="3">Z5&amp;" dalam "&amp;INDEX($E$3:$T$3,MATCH(Y5,$E5:$T5,0))</f>
        <v xml:space="preserve"> sangat baik  dalam memahami hak, kewajiban dan tanggung jawab sebagai warga dalam kehidupan sehari-hari.
</v>
      </c>
      <c r="AE5" s="257" t="str">
        <f>AC5&amp;", dan "&amp;AD5</f>
        <v xml:space="preserve"> sangat baik  dalam memahami hak, kewajiban dan tanggung jawab sebagai warga dalam kehidupan sehari-hari.
, dan  sangat baik  dalam memahami hak, kewajiban dan tanggung jawab sebagai warga dalam kehidupan sehari-hari.
</v>
      </c>
      <c r="AF5" s="257" t="str">
        <f>IF(AC5=AD5,AC5," ")</f>
        <v xml:space="preserve"> sangat baik  dalam memahami hak, kewajiban dan tanggung jawab sebagai warga dalam kehidupan sehari-hari.
</v>
      </c>
      <c r="AG5" s="258" t="str">
        <f>IF(AF5=" ",AE5,AF5)</f>
        <v xml:space="preserve"> sangat baik  dalam memahami hak, kewajiban dan tanggung jawab sebagai warga dalam kehidupan sehari-hari.
</v>
      </c>
      <c r="AH5" s="252" t="str">
        <f>CONCATENATE(D5,AG5)</f>
        <v xml:space="preserve">YAHYA sangat baik  dalam memahami hak, kewajiban dan tanggung jawab sebagai warga dalam kehidupan sehari-hari.
</v>
      </c>
      <c r="AI5" s="153"/>
      <c r="AR5" s="469">
        <f>IFERROR(U5,"")</f>
        <v>95</v>
      </c>
      <c r="AS5" s="469">
        <f>COUNTBLANK(AR5:AR54)</f>
        <v>7</v>
      </c>
    </row>
    <row r="6" spans="1:45" ht="59.25" customHeight="1">
      <c r="B6" s="142">
        <v>2</v>
      </c>
      <c r="C6" s="143" t="str">
        <f>SISWA!B7</f>
        <v>1718250040306</v>
      </c>
      <c r="D6" s="144" t="str">
        <f>SISWA!E7</f>
        <v>ADHWA</v>
      </c>
      <c r="E6" s="594">
        <v>90</v>
      </c>
      <c r="F6" s="160">
        <v>90</v>
      </c>
      <c r="G6" s="160">
        <v>90</v>
      </c>
      <c r="H6" s="159"/>
      <c r="I6" s="159"/>
      <c r="J6" s="159"/>
      <c r="K6" s="159"/>
      <c r="L6" s="159"/>
      <c r="M6" s="159"/>
      <c r="N6" s="159"/>
      <c r="O6" s="159"/>
      <c r="P6" s="159"/>
      <c r="Q6" s="159"/>
      <c r="R6" s="159"/>
      <c r="S6" s="159"/>
      <c r="T6" s="159"/>
      <c r="U6" s="354">
        <f t="shared" ref="U6:U54" si="4">ROUND((AVERAGE(E6:T6)),0)</f>
        <v>90</v>
      </c>
      <c r="V6" s="355" t="str">
        <f>IF(U6&gt;KKM!$G$10,"A",IF(U6&gt;KKM!$H$10,"B",IF(U6&gt;=KKM!$I$10,"C","D")))</f>
        <v>A</v>
      </c>
      <c r="W6" s="356">
        <f t="shared" si="0"/>
        <v>90</v>
      </c>
      <c r="X6" s="361" t="str">
        <f>IF(W6&gt;KKM!$G$10," sangat baik ",IF(W6&gt;KKM!$H$10," baik ",IF(W6&gt;=KKM!$I$10," cukup baik "," perlu bimbingan ")))</f>
        <v xml:space="preserve"> sangat baik </v>
      </c>
      <c r="Y6" s="357">
        <f t="shared" si="1"/>
        <v>90</v>
      </c>
      <c r="Z6" s="361" t="str">
        <f>IF(Y6&gt;KKM!$G$10," sangat baik ",IF(Y6&gt;KKM!$H$10," baik ",IF(Y6&gt;=KKM!$I$10," cukup baik "," perlu bimbingan ")))</f>
        <v xml:space="preserve"> sangat baik </v>
      </c>
      <c r="AA6" s="353" t="str">
        <f t="shared" ref="AA6:AA54" si="5">IFERROR(AH6," ")</f>
        <v xml:space="preserve">ADHWA sangat baik  dalam memahami hak, kewajiban dan tanggung jawab sebagai warga dalam kehidupan sehari-hari.
</v>
      </c>
      <c r="AB6" s="256"/>
      <c r="AC6" s="257" t="str">
        <f t="shared" si="2"/>
        <v xml:space="preserve"> sangat baik  dalam memahami hak, kewajiban dan tanggung jawab sebagai warga dalam kehidupan sehari-hari.
</v>
      </c>
      <c r="AD6" s="257" t="str">
        <f t="shared" si="3"/>
        <v xml:space="preserve"> sangat baik  dalam memahami hak, kewajiban dan tanggung jawab sebagai warga dalam kehidupan sehari-hari.
</v>
      </c>
      <c r="AE6" s="257" t="str">
        <f t="shared" ref="AE6:AE54" si="6">AC6&amp;", dan "&amp;AD6</f>
        <v xml:space="preserve"> sangat baik  dalam memahami hak, kewajiban dan tanggung jawab sebagai warga dalam kehidupan sehari-hari.
, dan  sangat baik  dalam memahami hak, kewajiban dan tanggung jawab sebagai warga dalam kehidupan sehari-hari.
</v>
      </c>
      <c r="AF6" s="257" t="str">
        <f t="shared" ref="AF6:AF54" si="7">IF(AC6=AD6,AC6," ")</f>
        <v xml:space="preserve"> sangat baik  dalam memahami hak, kewajiban dan tanggung jawab sebagai warga dalam kehidupan sehari-hari.
</v>
      </c>
      <c r="AG6" s="258" t="str">
        <f t="shared" ref="AG6:AG54" si="8">IF(AF6=" ",AE6,AF6)</f>
        <v xml:space="preserve"> sangat baik  dalam memahami hak, kewajiban dan tanggung jawab sebagai warga dalam kehidupan sehari-hari.
</v>
      </c>
      <c r="AH6" s="252" t="str">
        <f t="shared" ref="AH6:AH54" si="9">CONCATENATE(D6,AG6)</f>
        <v xml:space="preserve">ADHWA sangat baik  dalam memahami hak, kewajiban dan tanggung jawab sebagai warga dalam kehidupan sehari-hari.
</v>
      </c>
      <c r="AI6" s="153"/>
      <c r="AR6" s="469">
        <f t="shared" ref="AR6:AR54" si="10">IFERROR(U6,"")</f>
        <v>90</v>
      </c>
      <c r="AS6" s="503">
        <f>IFERROR(AS3/AS2,"0%")</f>
        <v>1</v>
      </c>
    </row>
    <row r="7" spans="1:45" ht="59.25" customHeight="1">
      <c r="B7" s="142">
        <v>3</v>
      </c>
      <c r="C7" s="143" t="str">
        <f>SISWA!B8</f>
        <v xml:space="preserve"> 1718250040307</v>
      </c>
      <c r="D7" s="144" t="str">
        <f>SISWA!E8</f>
        <v>ANDHIKA</v>
      </c>
      <c r="E7" s="594">
        <v>90</v>
      </c>
      <c r="F7" s="160">
        <v>90</v>
      </c>
      <c r="G7" s="160">
        <v>90</v>
      </c>
      <c r="H7" s="160"/>
      <c r="I7" s="160" t="s">
        <v>766</v>
      </c>
      <c r="J7" s="159"/>
      <c r="K7" s="159"/>
      <c r="L7" s="159"/>
      <c r="M7" s="159"/>
      <c r="N7" s="159"/>
      <c r="O7" s="159"/>
      <c r="P7" s="159"/>
      <c r="Q7" s="159"/>
      <c r="R7" s="160"/>
      <c r="S7" s="160"/>
      <c r="T7" s="159"/>
      <c r="U7" s="354">
        <f t="shared" si="4"/>
        <v>90</v>
      </c>
      <c r="V7" s="355" t="str">
        <f>IF(U7&gt;KKM!$G$10,"A",IF(U7&gt;KKM!$H$10,"B",IF(U7&gt;=KKM!$I$10,"C","D")))</f>
        <v>A</v>
      </c>
      <c r="W7" s="356">
        <f t="shared" si="0"/>
        <v>90</v>
      </c>
      <c r="X7" s="361" t="str">
        <f>IF(W7&gt;KKM!$G$10," sangat baik ",IF(W7&gt;KKM!$H$10," baik ",IF(W7&gt;=KKM!$I$10," cukup baik "," perlu bimbingan ")))</f>
        <v xml:space="preserve"> sangat baik </v>
      </c>
      <c r="Y7" s="357">
        <f t="shared" si="1"/>
        <v>90</v>
      </c>
      <c r="Z7" s="361" t="str">
        <f>IF(Y7&gt;KKM!$G$10," sangat baik ",IF(Y7&gt;KKM!$H$10," baik ",IF(Y7&gt;=KKM!$I$10," cukup baik "," perlu bimbingan ")))</f>
        <v xml:space="preserve"> sangat baik </v>
      </c>
      <c r="AA7" s="353" t="str">
        <f t="shared" si="5"/>
        <v xml:space="preserve">ANDHIKA sangat baik  dalam memahami hak, kewajiban dan tanggung jawab sebagai warga dalam kehidupan sehari-hari.
</v>
      </c>
      <c r="AB7" s="256"/>
      <c r="AC7" s="257" t="str">
        <f t="shared" si="2"/>
        <v xml:space="preserve"> sangat baik  dalam memahami hak, kewajiban dan tanggung jawab sebagai warga dalam kehidupan sehari-hari.
</v>
      </c>
      <c r="AD7" s="257" t="str">
        <f t="shared" si="3"/>
        <v xml:space="preserve"> sangat baik  dalam memahami hak, kewajiban dan tanggung jawab sebagai warga dalam kehidupan sehari-hari.
</v>
      </c>
      <c r="AE7" s="257" t="str">
        <f t="shared" si="6"/>
        <v xml:space="preserve"> sangat baik  dalam memahami hak, kewajiban dan tanggung jawab sebagai warga dalam kehidupan sehari-hari.
, dan  sangat baik  dalam memahami hak, kewajiban dan tanggung jawab sebagai warga dalam kehidupan sehari-hari.
</v>
      </c>
      <c r="AF7" s="257" t="str">
        <f t="shared" si="7"/>
        <v xml:space="preserve"> sangat baik  dalam memahami hak, kewajiban dan tanggung jawab sebagai warga dalam kehidupan sehari-hari.
</v>
      </c>
      <c r="AG7" s="258" t="str">
        <f t="shared" si="8"/>
        <v xml:space="preserve"> sangat baik  dalam memahami hak, kewajiban dan tanggung jawab sebagai warga dalam kehidupan sehari-hari.
</v>
      </c>
      <c r="AH7" s="252" t="str">
        <f t="shared" si="9"/>
        <v xml:space="preserve">ANDHIKA sangat baik  dalam memahami hak, kewajiban dan tanggung jawab sebagai warga dalam kehidupan sehari-hari.
</v>
      </c>
      <c r="AI7" s="153"/>
      <c r="AR7" s="469">
        <f t="shared" si="10"/>
        <v>90</v>
      </c>
    </row>
    <row r="8" spans="1:45" ht="59.25" customHeight="1">
      <c r="B8" s="142">
        <v>4</v>
      </c>
      <c r="C8" s="143" t="str">
        <f>SISWA!B9</f>
        <v xml:space="preserve"> 1718250040308</v>
      </c>
      <c r="D8" s="144" t="str">
        <f>SISWA!E9</f>
        <v>ANGGARA</v>
      </c>
      <c r="E8" s="594">
        <v>85</v>
      </c>
      <c r="F8" s="160">
        <v>85</v>
      </c>
      <c r="G8" s="160">
        <v>85</v>
      </c>
      <c r="H8" s="160"/>
      <c r="I8" s="160"/>
      <c r="J8" s="159"/>
      <c r="K8" s="159"/>
      <c r="L8" s="159"/>
      <c r="M8" s="159"/>
      <c r="N8" s="159"/>
      <c r="O8" s="159"/>
      <c r="P8" s="159"/>
      <c r="Q8" s="159"/>
      <c r="R8" s="160"/>
      <c r="S8" s="160"/>
      <c r="T8" s="159"/>
      <c r="U8" s="354">
        <f t="shared" si="4"/>
        <v>85</v>
      </c>
      <c r="V8" s="355" t="str">
        <f>IF(U8&gt;KKM!$G$10,"A",IF(U8&gt;KKM!$H$10,"B",IF(U8&gt;=KKM!$I$10,"C","D")))</f>
        <v>B</v>
      </c>
      <c r="W8" s="356">
        <f t="shared" si="0"/>
        <v>85</v>
      </c>
      <c r="X8" s="361" t="str">
        <f>IF(W8&gt;KKM!$G$10," sangat baik ",IF(W8&gt;KKM!$H$10," baik ",IF(W8&gt;=KKM!$I$10," cukup baik "," perlu bimbingan ")))</f>
        <v xml:space="preserve"> baik </v>
      </c>
      <c r="Y8" s="357">
        <f t="shared" si="1"/>
        <v>85</v>
      </c>
      <c r="Z8" s="361" t="str">
        <f>IF(Y8&gt;KKM!$G$10," sangat baik ",IF(Y8&gt;KKM!$H$10," baik ",IF(Y8&gt;=KKM!$I$10," cukup baik "," perlu bimbingan ")))</f>
        <v xml:space="preserve"> baik </v>
      </c>
      <c r="AA8" s="353" t="str">
        <f t="shared" si="5"/>
        <v xml:space="preserve">ANGGARA baik  dalam memahami hak, kewajiban dan tanggung jawab sebagai warga dalam kehidupan sehari-hari.
</v>
      </c>
      <c r="AB8" s="256"/>
      <c r="AC8" s="257" t="str">
        <f t="shared" si="2"/>
        <v xml:space="preserve"> baik  dalam memahami hak, kewajiban dan tanggung jawab sebagai warga dalam kehidupan sehari-hari.
</v>
      </c>
      <c r="AD8" s="257" t="str">
        <f t="shared" si="3"/>
        <v xml:space="preserve"> baik  dalam memahami hak, kewajiban dan tanggung jawab sebagai warga dalam kehidupan sehari-hari.
</v>
      </c>
      <c r="AE8" s="257" t="str">
        <f t="shared" si="6"/>
        <v xml:space="preserve"> baik  dalam memahami hak, kewajiban dan tanggung jawab sebagai warga dalam kehidupan sehari-hari.
, dan  baik  dalam memahami hak, kewajiban dan tanggung jawab sebagai warga dalam kehidupan sehari-hari.
</v>
      </c>
      <c r="AF8" s="257" t="str">
        <f t="shared" si="7"/>
        <v xml:space="preserve"> baik  dalam memahami hak, kewajiban dan tanggung jawab sebagai warga dalam kehidupan sehari-hari.
</v>
      </c>
      <c r="AG8" s="258" t="str">
        <f t="shared" si="8"/>
        <v xml:space="preserve"> baik  dalam memahami hak, kewajiban dan tanggung jawab sebagai warga dalam kehidupan sehari-hari.
</v>
      </c>
      <c r="AH8" s="252" t="str">
        <f t="shared" si="9"/>
        <v xml:space="preserve">ANGGARA baik  dalam memahami hak, kewajiban dan tanggung jawab sebagai warga dalam kehidupan sehari-hari.
</v>
      </c>
      <c r="AI8" s="153"/>
      <c r="AR8" s="469">
        <f t="shared" si="10"/>
        <v>85</v>
      </c>
    </row>
    <row r="9" spans="1:45" ht="59.25" customHeight="1">
      <c r="B9" s="142">
        <v>5</v>
      </c>
      <c r="C9" s="143" t="str">
        <f>SISWA!B10</f>
        <v>1718250040309</v>
      </c>
      <c r="D9" s="144" t="str">
        <f>SISWA!E10</f>
        <v>ARIA</v>
      </c>
      <c r="E9" s="594">
        <v>90</v>
      </c>
      <c r="F9" s="160">
        <v>90</v>
      </c>
      <c r="G9" s="160">
        <v>90</v>
      </c>
      <c r="H9" s="160"/>
      <c r="I9" s="160"/>
      <c r="J9" s="159"/>
      <c r="K9" s="159"/>
      <c r="L9" s="159"/>
      <c r="M9" s="159"/>
      <c r="N9" s="159"/>
      <c r="O9" s="159"/>
      <c r="P9" s="159"/>
      <c r="Q9" s="159"/>
      <c r="R9" s="160"/>
      <c r="S9" s="160"/>
      <c r="T9" s="159"/>
      <c r="U9" s="354">
        <f t="shared" si="4"/>
        <v>90</v>
      </c>
      <c r="V9" s="355" t="str">
        <f>IF(U9&gt;KKM!$G$10,"A",IF(U9&gt;KKM!$H$10,"B",IF(U9&gt;=KKM!$I$10,"C","D")))</f>
        <v>A</v>
      </c>
      <c r="W9" s="356">
        <f t="shared" si="0"/>
        <v>90</v>
      </c>
      <c r="X9" s="361" t="str">
        <f>IF(W9&gt;KKM!$G$10," sangat baik ",IF(W9&gt;KKM!$H$10," baik ",IF(W9&gt;=KKM!$I$10," cukup baik "," perlu bimbingan ")))</f>
        <v xml:space="preserve"> sangat baik </v>
      </c>
      <c r="Y9" s="357">
        <f t="shared" si="1"/>
        <v>90</v>
      </c>
      <c r="Z9" s="361" t="str">
        <f>IF(Y9&gt;KKM!$G$10," sangat baik ",IF(Y9&gt;KKM!$H$10," baik ",IF(Y9&gt;=KKM!$I$10," cukup baik "," perlu bimbingan ")))</f>
        <v xml:space="preserve"> sangat baik </v>
      </c>
      <c r="AA9" s="353" t="str">
        <f t="shared" si="5"/>
        <v xml:space="preserve">ARIA sangat baik  dalam memahami hak, kewajiban dan tanggung jawab sebagai warga dalam kehidupan sehari-hari.
</v>
      </c>
      <c r="AB9" s="256"/>
      <c r="AC9" s="257" t="str">
        <f t="shared" si="2"/>
        <v xml:space="preserve"> sangat baik  dalam memahami hak, kewajiban dan tanggung jawab sebagai warga dalam kehidupan sehari-hari.
</v>
      </c>
      <c r="AD9" s="257" t="str">
        <f t="shared" si="3"/>
        <v xml:space="preserve"> sangat baik  dalam memahami hak, kewajiban dan tanggung jawab sebagai warga dalam kehidupan sehari-hari.
</v>
      </c>
      <c r="AE9" s="257" t="str">
        <f t="shared" si="6"/>
        <v xml:space="preserve"> sangat baik  dalam memahami hak, kewajiban dan tanggung jawab sebagai warga dalam kehidupan sehari-hari.
, dan  sangat baik  dalam memahami hak, kewajiban dan tanggung jawab sebagai warga dalam kehidupan sehari-hari.
</v>
      </c>
      <c r="AF9" s="257" t="str">
        <f t="shared" si="7"/>
        <v xml:space="preserve"> sangat baik  dalam memahami hak, kewajiban dan tanggung jawab sebagai warga dalam kehidupan sehari-hari.
</v>
      </c>
      <c r="AG9" s="258" t="str">
        <f t="shared" si="8"/>
        <v xml:space="preserve"> sangat baik  dalam memahami hak, kewajiban dan tanggung jawab sebagai warga dalam kehidupan sehari-hari.
</v>
      </c>
      <c r="AH9" s="252" t="str">
        <f t="shared" si="9"/>
        <v xml:space="preserve">ARIA sangat baik  dalam memahami hak, kewajiban dan tanggung jawab sebagai warga dalam kehidupan sehari-hari.
</v>
      </c>
      <c r="AI9" s="153"/>
      <c r="AR9" s="469">
        <f t="shared" si="10"/>
        <v>90</v>
      </c>
    </row>
    <row r="10" spans="1:45" ht="59.25" customHeight="1">
      <c r="B10" s="142">
        <v>6</v>
      </c>
      <c r="C10" s="143" t="str">
        <f>SISWA!B11</f>
        <v>1718250040310</v>
      </c>
      <c r="D10" s="144" t="str">
        <f>SISWA!E11</f>
        <v>CAHAYA</v>
      </c>
      <c r="E10" s="594">
        <v>90</v>
      </c>
      <c r="F10" s="160">
        <v>90</v>
      </c>
      <c r="G10" s="160">
        <v>90</v>
      </c>
      <c r="H10" s="160"/>
      <c r="I10" s="160"/>
      <c r="J10" s="159"/>
      <c r="K10" s="159"/>
      <c r="L10" s="159"/>
      <c r="M10" s="159"/>
      <c r="N10" s="159"/>
      <c r="O10" s="159"/>
      <c r="P10" s="159"/>
      <c r="Q10" s="159"/>
      <c r="R10" s="160"/>
      <c r="S10" s="160"/>
      <c r="T10" s="159"/>
      <c r="U10" s="354">
        <f t="shared" si="4"/>
        <v>90</v>
      </c>
      <c r="V10" s="355" t="str">
        <f>IF(U10&gt;KKM!$G$10,"A",IF(U10&gt;KKM!$H$10,"B",IF(U10&gt;=KKM!$I$10,"C","D")))</f>
        <v>A</v>
      </c>
      <c r="W10" s="356">
        <f t="shared" si="0"/>
        <v>90</v>
      </c>
      <c r="X10" s="361" t="str">
        <f>IF(W10&gt;KKM!$G$10," sangat baik ",IF(W10&gt;KKM!$H$10," baik ",IF(W10&gt;=KKM!$I$10," cukup baik "," perlu bimbingan ")))</f>
        <v xml:space="preserve"> sangat baik </v>
      </c>
      <c r="Y10" s="357">
        <f t="shared" si="1"/>
        <v>90</v>
      </c>
      <c r="Z10" s="361" t="str">
        <f>IF(Y10&gt;KKM!$G$10," sangat baik ",IF(Y10&gt;KKM!$H$10," baik ",IF(Y10&gt;=KKM!$I$10," cukup baik "," perlu bimbingan ")))</f>
        <v xml:space="preserve"> sangat baik </v>
      </c>
      <c r="AA10" s="353" t="str">
        <f t="shared" si="5"/>
        <v xml:space="preserve">CAHAYA sangat baik  dalam memahami hak, kewajiban dan tanggung jawab sebagai warga dalam kehidupan sehari-hari.
</v>
      </c>
      <c r="AB10" s="256"/>
      <c r="AC10" s="257" t="str">
        <f t="shared" si="2"/>
        <v xml:space="preserve"> sangat baik  dalam memahami hak, kewajiban dan tanggung jawab sebagai warga dalam kehidupan sehari-hari.
</v>
      </c>
      <c r="AD10" s="257" t="str">
        <f t="shared" si="3"/>
        <v xml:space="preserve"> sangat baik  dalam memahami hak, kewajiban dan tanggung jawab sebagai warga dalam kehidupan sehari-hari.
</v>
      </c>
      <c r="AE10" s="257" t="str">
        <f t="shared" si="6"/>
        <v xml:space="preserve"> sangat baik  dalam memahami hak, kewajiban dan tanggung jawab sebagai warga dalam kehidupan sehari-hari.
, dan  sangat baik  dalam memahami hak, kewajiban dan tanggung jawab sebagai warga dalam kehidupan sehari-hari.
</v>
      </c>
      <c r="AF10" s="257" t="str">
        <f t="shared" si="7"/>
        <v xml:space="preserve"> sangat baik  dalam memahami hak, kewajiban dan tanggung jawab sebagai warga dalam kehidupan sehari-hari.
</v>
      </c>
      <c r="AG10" s="258" t="str">
        <f t="shared" si="8"/>
        <v xml:space="preserve"> sangat baik  dalam memahami hak, kewajiban dan tanggung jawab sebagai warga dalam kehidupan sehari-hari.
</v>
      </c>
      <c r="AH10" s="252" t="str">
        <f t="shared" si="9"/>
        <v xml:space="preserve">CAHAYA sangat baik  dalam memahami hak, kewajiban dan tanggung jawab sebagai warga dalam kehidupan sehari-hari.
</v>
      </c>
      <c r="AI10" s="153"/>
      <c r="AR10" s="469">
        <f t="shared" si="10"/>
        <v>90</v>
      </c>
    </row>
    <row r="11" spans="1:45" ht="59.25" customHeight="1">
      <c r="B11" s="142">
        <v>7</v>
      </c>
      <c r="C11" s="143" t="str">
        <f>SISWA!B12</f>
        <v>1718250040311</v>
      </c>
      <c r="D11" s="144" t="str">
        <f>SISWA!E12</f>
        <v>CALISTA</v>
      </c>
      <c r="E11" s="594">
        <v>82.5</v>
      </c>
      <c r="F11" s="160">
        <v>82.5</v>
      </c>
      <c r="G11" s="160">
        <v>82.5</v>
      </c>
      <c r="H11" s="160"/>
      <c r="I11" s="160"/>
      <c r="J11" s="159"/>
      <c r="K11" s="159"/>
      <c r="L11" s="159"/>
      <c r="M11" s="159"/>
      <c r="N11" s="159"/>
      <c r="O11" s="159"/>
      <c r="P11" s="159"/>
      <c r="Q11" s="159"/>
      <c r="R11" s="160"/>
      <c r="S11" s="160"/>
      <c r="T11" s="159"/>
      <c r="U11" s="354">
        <f t="shared" si="4"/>
        <v>83</v>
      </c>
      <c r="V11" s="355" t="str">
        <f>IF(U11&gt;KKM!$G$10,"A",IF(U11&gt;KKM!$H$10,"B",IF(U11&gt;=KKM!$I$10,"C","D")))</f>
        <v>B</v>
      </c>
      <c r="W11" s="356">
        <f t="shared" si="0"/>
        <v>82.5</v>
      </c>
      <c r="X11" s="361" t="str">
        <f>IF(W11&gt;KKM!$G$10," sangat baik ",IF(W11&gt;KKM!$H$10," baik ",IF(W11&gt;=KKM!$I$10," cukup baik "," perlu bimbingan ")))</f>
        <v xml:space="preserve"> baik </v>
      </c>
      <c r="Y11" s="357">
        <f t="shared" si="1"/>
        <v>82.5</v>
      </c>
      <c r="Z11" s="361" t="str">
        <f>IF(Y11&gt;KKM!$G$10," sangat baik ",IF(Y11&gt;KKM!$H$10," baik ",IF(Y11&gt;=KKM!$I$10," cukup baik "," perlu bimbingan ")))</f>
        <v xml:space="preserve"> baik </v>
      </c>
      <c r="AA11" s="353" t="str">
        <f t="shared" si="5"/>
        <v xml:space="preserve">CALISTA baik  dalam memahami hak, kewajiban dan tanggung jawab sebagai warga dalam kehidupan sehari-hari.
</v>
      </c>
      <c r="AB11" s="256"/>
      <c r="AC11" s="257" t="str">
        <f t="shared" si="2"/>
        <v xml:space="preserve"> baik  dalam memahami hak, kewajiban dan tanggung jawab sebagai warga dalam kehidupan sehari-hari.
</v>
      </c>
      <c r="AD11" s="257" t="str">
        <f t="shared" si="3"/>
        <v xml:space="preserve"> baik  dalam memahami hak, kewajiban dan tanggung jawab sebagai warga dalam kehidupan sehari-hari.
</v>
      </c>
      <c r="AE11" s="257" t="str">
        <f t="shared" si="6"/>
        <v xml:space="preserve"> baik  dalam memahami hak, kewajiban dan tanggung jawab sebagai warga dalam kehidupan sehari-hari.
, dan  baik  dalam memahami hak, kewajiban dan tanggung jawab sebagai warga dalam kehidupan sehari-hari.
</v>
      </c>
      <c r="AF11" s="257" t="str">
        <f t="shared" si="7"/>
        <v xml:space="preserve"> baik  dalam memahami hak, kewajiban dan tanggung jawab sebagai warga dalam kehidupan sehari-hari.
</v>
      </c>
      <c r="AG11" s="258" t="str">
        <f t="shared" si="8"/>
        <v xml:space="preserve"> baik  dalam memahami hak, kewajiban dan tanggung jawab sebagai warga dalam kehidupan sehari-hari.
</v>
      </c>
      <c r="AH11" s="252" t="str">
        <f t="shared" si="9"/>
        <v xml:space="preserve">CALISTA baik  dalam memahami hak, kewajiban dan tanggung jawab sebagai warga dalam kehidupan sehari-hari.
</v>
      </c>
      <c r="AI11" s="153"/>
      <c r="AR11" s="469">
        <f t="shared" si="10"/>
        <v>83</v>
      </c>
    </row>
    <row r="12" spans="1:45" ht="59.25" customHeight="1">
      <c r="B12" s="142">
        <v>8</v>
      </c>
      <c r="C12" s="143" t="str">
        <f>SISWA!B13</f>
        <v>1718250040312</v>
      </c>
      <c r="D12" s="144" t="str">
        <f>SISWA!E13</f>
        <v>CARISSA</v>
      </c>
      <c r="E12" s="594">
        <v>92.5</v>
      </c>
      <c r="F12" s="160">
        <v>92.5</v>
      </c>
      <c r="G12" s="160">
        <v>92.5</v>
      </c>
      <c r="H12" s="160"/>
      <c r="I12" s="160"/>
      <c r="J12" s="159"/>
      <c r="K12" s="159"/>
      <c r="L12" s="159"/>
      <c r="M12" s="159"/>
      <c r="N12" s="159"/>
      <c r="O12" s="159"/>
      <c r="P12" s="159"/>
      <c r="Q12" s="159"/>
      <c r="R12" s="160"/>
      <c r="S12" s="160"/>
      <c r="T12" s="159"/>
      <c r="U12" s="354">
        <f t="shared" si="4"/>
        <v>93</v>
      </c>
      <c r="V12" s="355" t="str">
        <f>IF(U12&gt;KKM!$G$10,"A",IF(U12&gt;KKM!$H$10,"B",IF(U12&gt;=KKM!$I$10,"C","D")))</f>
        <v>A</v>
      </c>
      <c r="W12" s="356">
        <f t="shared" si="0"/>
        <v>92.5</v>
      </c>
      <c r="X12" s="361" t="str">
        <f>IF(W12&gt;KKM!$G$10," sangat baik ",IF(W12&gt;KKM!$H$10," baik ",IF(W12&gt;=KKM!$I$10," cukup baik "," perlu bimbingan ")))</f>
        <v xml:space="preserve"> sangat baik </v>
      </c>
      <c r="Y12" s="357">
        <f t="shared" si="1"/>
        <v>92.5</v>
      </c>
      <c r="Z12" s="361" t="str">
        <f>IF(Y12&gt;KKM!$G$10," sangat baik ",IF(Y12&gt;KKM!$H$10," baik ",IF(Y12&gt;=KKM!$I$10," cukup baik "," perlu bimbingan ")))</f>
        <v xml:space="preserve"> sangat baik </v>
      </c>
      <c r="AA12" s="353" t="str">
        <f t="shared" si="5"/>
        <v xml:space="preserve">CARISSA sangat baik  dalam memahami hak, kewajiban dan tanggung jawab sebagai warga dalam kehidupan sehari-hari.
</v>
      </c>
      <c r="AB12" s="256"/>
      <c r="AC12" s="257" t="str">
        <f t="shared" si="2"/>
        <v xml:space="preserve"> sangat baik  dalam memahami hak, kewajiban dan tanggung jawab sebagai warga dalam kehidupan sehari-hari.
</v>
      </c>
      <c r="AD12" s="257" t="str">
        <f t="shared" si="3"/>
        <v xml:space="preserve"> sangat baik  dalam memahami hak, kewajiban dan tanggung jawab sebagai warga dalam kehidupan sehari-hari.
</v>
      </c>
      <c r="AE12" s="257" t="str">
        <f t="shared" si="6"/>
        <v xml:space="preserve"> sangat baik  dalam memahami hak, kewajiban dan tanggung jawab sebagai warga dalam kehidupan sehari-hari.
, dan  sangat baik  dalam memahami hak, kewajiban dan tanggung jawab sebagai warga dalam kehidupan sehari-hari.
</v>
      </c>
      <c r="AF12" s="257" t="str">
        <f t="shared" si="7"/>
        <v xml:space="preserve"> sangat baik  dalam memahami hak, kewajiban dan tanggung jawab sebagai warga dalam kehidupan sehari-hari.
</v>
      </c>
      <c r="AG12" s="258" t="str">
        <f t="shared" si="8"/>
        <v xml:space="preserve"> sangat baik  dalam memahami hak, kewajiban dan tanggung jawab sebagai warga dalam kehidupan sehari-hari.
</v>
      </c>
      <c r="AH12" s="252" t="str">
        <f t="shared" si="9"/>
        <v xml:space="preserve">CARISSA sangat baik  dalam memahami hak, kewajiban dan tanggung jawab sebagai warga dalam kehidupan sehari-hari.
</v>
      </c>
      <c r="AI12" s="153"/>
      <c r="AR12" s="469">
        <f t="shared" si="10"/>
        <v>93</v>
      </c>
    </row>
    <row r="13" spans="1:45" ht="59.25" customHeight="1">
      <c r="B13" s="142">
        <v>9</v>
      </c>
      <c r="C13" s="143" t="str">
        <f>SISWA!B14</f>
        <v>1718250040313</v>
      </c>
      <c r="D13" s="144" t="str">
        <f>SISWA!E14</f>
        <v>CHAIDAR</v>
      </c>
      <c r="E13" s="594">
        <v>95</v>
      </c>
      <c r="F13" s="160">
        <v>95</v>
      </c>
      <c r="G13" s="160">
        <v>95</v>
      </c>
      <c r="H13" s="160"/>
      <c r="I13" s="160"/>
      <c r="J13" s="159"/>
      <c r="K13" s="159"/>
      <c r="L13" s="159"/>
      <c r="M13" s="159"/>
      <c r="N13" s="159"/>
      <c r="O13" s="159"/>
      <c r="P13" s="159"/>
      <c r="Q13" s="159"/>
      <c r="R13" s="160"/>
      <c r="S13" s="160"/>
      <c r="T13" s="159"/>
      <c r="U13" s="354">
        <f t="shared" si="4"/>
        <v>95</v>
      </c>
      <c r="V13" s="355" t="str">
        <f>IF(U13&gt;KKM!$G$10,"A",IF(U13&gt;KKM!$H$10,"B",IF(U13&gt;=KKM!$I$10,"C","D")))</f>
        <v>A</v>
      </c>
      <c r="W13" s="356">
        <f t="shared" si="0"/>
        <v>95</v>
      </c>
      <c r="X13" s="361" t="str">
        <f>IF(W13&gt;KKM!$G$10," sangat baik ",IF(W13&gt;KKM!$H$10," baik ",IF(W13&gt;=KKM!$I$10," cukup baik "," perlu bimbingan ")))</f>
        <v xml:space="preserve"> sangat baik </v>
      </c>
      <c r="Y13" s="357">
        <f t="shared" si="1"/>
        <v>95</v>
      </c>
      <c r="Z13" s="361" t="str">
        <f>IF(Y13&gt;KKM!$G$10," sangat baik ",IF(Y13&gt;KKM!$H$10," baik ",IF(Y13&gt;=KKM!$I$10," cukup baik "," perlu bimbingan ")))</f>
        <v xml:space="preserve"> sangat baik </v>
      </c>
      <c r="AA13" s="353" t="str">
        <f t="shared" si="5"/>
        <v xml:space="preserve">CHAIDAR sangat baik  dalam memahami hak, kewajiban dan tanggung jawab sebagai warga dalam kehidupan sehari-hari.
</v>
      </c>
      <c r="AB13" s="256"/>
      <c r="AC13" s="257" t="str">
        <f t="shared" si="2"/>
        <v xml:space="preserve"> sangat baik  dalam memahami hak, kewajiban dan tanggung jawab sebagai warga dalam kehidupan sehari-hari.
</v>
      </c>
      <c r="AD13" s="257" t="str">
        <f t="shared" si="3"/>
        <v xml:space="preserve"> sangat baik  dalam memahami hak, kewajiban dan tanggung jawab sebagai warga dalam kehidupan sehari-hari.
</v>
      </c>
      <c r="AE13" s="257" t="str">
        <f t="shared" si="6"/>
        <v xml:space="preserve"> sangat baik  dalam memahami hak, kewajiban dan tanggung jawab sebagai warga dalam kehidupan sehari-hari.
, dan  sangat baik  dalam memahami hak, kewajiban dan tanggung jawab sebagai warga dalam kehidupan sehari-hari.
</v>
      </c>
      <c r="AF13" s="257" t="str">
        <f t="shared" si="7"/>
        <v xml:space="preserve"> sangat baik  dalam memahami hak, kewajiban dan tanggung jawab sebagai warga dalam kehidupan sehari-hari.
</v>
      </c>
      <c r="AG13" s="258" t="str">
        <f t="shared" si="8"/>
        <v xml:space="preserve"> sangat baik  dalam memahami hak, kewajiban dan tanggung jawab sebagai warga dalam kehidupan sehari-hari.
</v>
      </c>
      <c r="AH13" s="252" t="str">
        <f t="shared" si="9"/>
        <v xml:space="preserve">CHAIDAR sangat baik  dalam memahami hak, kewajiban dan tanggung jawab sebagai warga dalam kehidupan sehari-hari.
</v>
      </c>
      <c r="AI13" s="153"/>
      <c r="AR13" s="469">
        <f t="shared" si="10"/>
        <v>95</v>
      </c>
    </row>
    <row r="14" spans="1:45" ht="59.25" customHeight="1">
      <c r="B14" s="142">
        <v>10</v>
      </c>
      <c r="C14" s="143" t="str">
        <f>SISWA!B15</f>
        <v>1718250040314</v>
      </c>
      <c r="D14" s="144" t="str">
        <f>SISWA!E15</f>
        <v>DAVKA</v>
      </c>
      <c r="E14" s="594">
        <v>90</v>
      </c>
      <c r="F14" s="160">
        <v>90</v>
      </c>
      <c r="G14" s="160">
        <v>90</v>
      </c>
      <c r="H14" s="160"/>
      <c r="I14" s="160"/>
      <c r="J14" s="159"/>
      <c r="K14" s="159"/>
      <c r="L14" s="159"/>
      <c r="M14" s="159"/>
      <c r="N14" s="159"/>
      <c r="O14" s="159"/>
      <c r="P14" s="159"/>
      <c r="Q14" s="159"/>
      <c r="R14" s="160"/>
      <c r="S14" s="160"/>
      <c r="T14" s="159"/>
      <c r="U14" s="354">
        <f t="shared" si="4"/>
        <v>90</v>
      </c>
      <c r="V14" s="355" t="str">
        <f>IF(U14&gt;KKM!$G$10,"A",IF(U14&gt;KKM!$H$10,"B",IF(U14&gt;=KKM!$I$10,"C","D")))</f>
        <v>A</v>
      </c>
      <c r="W14" s="356">
        <f t="shared" si="0"/>
        <v>90</v>
      </c>
      <c r="X14" s="361" t="str">
        <f>IF(W14&gt;KKM!$G$10," sangat baik ",IF(W14&gt;KKM!$H$10," baik ",IF(W14&gt;=KKM!$I$10," cukup baik "," perlu bimbingan ")))</f>
        <v xml:space="preserve"> sangat baik </v>
      </c>
      <c r="Y14" s="357">
        <f t="shared" si="1"/>
        <v>90</v>
      </c>
      <c r="Z14" s="361" t="str">
        <f>IF(Y14&gt;KKM!$G$10," sangat baik ",IF(Y14&gt;KKM!$H$10," baik ",IF(Y14&gt;=KKM!$I$10," cukup baik "," perlu bimbingan ")))</f>
        <v xml:space="preserve"> sangat baik </v>
      </c>
      <c r="AA14" s="353" t="str">
        <f t="shared" si="5"/>
        <v xml:space="preserve">DAVKA sangat baik  dalam memahami hak, kewajiban dan tanggung jawab sebagai warga dalam kehidupan sehari-hari.
</v>
      </c>
      <c r="AB14" s="256"/>
      <c r="AC14" s="257" t="str">
        <f t="shared" si="2"/>
        <v xml:space="preserve"> sangat baik  dalam memahami hak, kewajiban dan tanggung jawab sebagai warga dalam kehidupan sehari-hari.
</v>
      </c>
      <c r="AD14" s="257" t="str">
        <f t="shared" si="3"/>
        <v xml:space="preserve"> sangat baik  dalam memahami hak, kewajiban dan tanggung jawab sebagai warga dalam kehidupan sehari-hari.
</v>
      </c>
      <c r="AE14" s="257" t="str">
        <f t="shared" si="6"/>
        <v xml:space="preserve"> sangat baik  dalam memahami hak, kewajiban dan tanggung jawab sebagai warga dalam kehidupan sehari-hari.
, dan  sangat baik  dalam memahami hak, kewajiban dan tanggung jawab sebagai warga dalam kehidupan sehari-hari.
</v>
      </c>
      <c r="AF14" s="257" t="str">
        <f t="shared" si="7"/>
        <v xml:space="preserve"> sangat baik  dalam memahami hak, kewajiban dan tanggung jawab sebagai warga dalam kehidupan sehari-hari.
</v>
      </c>
      <c r="AG14" s="258" t="str">
        <f t="shared" si="8"/>
        <v xml:space="preserve"> sangat baik  dalam memahami hak, kewajiban dan tanggung jawab sebagai warga dalam kehidupan sehari-hari.
</v>
      </c>
      <c r="AH14" s="252" t="str">
        <f t="shared" si="9"/>
        <v xml:space="preserve">DAVKA sangat baik  dalam memahami hak, kewajiban dan tanggung jawab sebagai warga dalam kehidupan sehari-hari.
</v>
      </c>
      <c r="AI14" s="153"/>
      <c r="AR14" s="469">
        <f t="shared" si="10"/>
        <v>90</v>
      </c>
    </row>
    <row r="15" spans="1:45" ht="59.25" customHeight="1">
      <c r="B15" s="142">
        <v>11</v>
      </c>
      <c r="C15" s="143" t="str">
        <f>SISWA!B16</f>
        <v>1718250040315</v>
      </c>
      <c r="D15" s="144" t="str">
        <f>SISWA!E16</f>
        <v>DZIBRIL</v>
      </c>
      <c r="E15" s="594">
        <v>87.5</v>
      </c>
      <c r="F15" s="160">
        <v>87.5</v>
      </c>
      <c r="G15" s="160">
        <v>87.5</v>
      </c>
      <c r="H15" s="160"/>
      <c r="I15" s="160"/>
      <c r="J15" s="159"/>
      <c r="K15" s="159"/>
      <c r="L15" s="159"/>
      <c r="M15" s="159"/>
      <c r="N15" s="159"/>
      <c r="O15" s="159"/>
      <c r="P15" s="159"/>
      <c r="Q15" s="159"/>
      <c r="R15" s="160"/>
      <c r="S15" s="160"/>
      <c r="T15" s="159"/>
      <c r="U15" s="354">
        <f t="shared" si="4"/>
        <v>88</v>
      </c>
      <c r="V15" s="355" t="str">
        <f>IF(U15&gt;KKM!$G$10,"A",IF(U15&gt;KKM!$H$10,"B",IF(U15&gt;=KKM!$I$10,"C","D")))</f>
        <v>A</v>
      </c>
      <c r="W15" s="356">
        <f t="shared" si="0"/>
        <v>87.5</v>
      </c>
      <c r="X15" s="361" t="str">
        <f>IF(W15&gt;KKM!$G$10," sangat baik ",IF(W15&gt;KKM!$H$10," baik ",IF(W15&gt;=KKM!$I$10," cukup baik "," perlu bimbingan ")))</f>
        <v xml:space="preserve"> sangat baik </v>
      </c>
      <c r="Y15" s="357">
        <f t="shared" si="1"/>
        <v>87.5</v>
      </c>
      <c r="Z15" s="361" t="str">
        <f>IF(Y15&gt;KKM!$G$10," sangat baik ",IF(Y15&gt;KKM!$H$10," baik ",IF(Y15&gt;=KKM!$I$10," cukup baik "," perlu bimbingan ")))</f>
        <v xml:space="preserve"> sangat baik </v>
      </c>
      <c r="AA15" s="353" t="str">
        <f t="shared" si="5"/>
        <v xml:space="preserve">DZIBRIL sangat baik  dalam memahami hak, kewajiban dan tanggung jawab sebagai warga dalam kehidupan sehari-hari.
</v>
      </c>
      <c r="AB15" s="256"/>
      <c r="AC15" s="257" t="str">
        <f t="shared" si="2"/>
        <v xml:space="preserve"> sangat baik  dalam memahami hak, kewajiban dan tanggung jawab sebagai warga dalam kehidupan sehari-hari.
</v>
      </c>
      <c r="AD15" s="257" t="str">
        <f t="shared" si="3"/>
        <v xml:space="preserve"> sangat baik  dalam memahami hak, kewajiban dan tanggung jawab sebagai warga dalam kehidupan sehari-hari.
</v>
      </c>
      <c r="AE15" s="257" t="str">
        <f t="shared" si="6"/>
        <v xml:space="preserve"> sangat baik  dalam memahami hak, kewajiban dan tanggung jawab sebagai warga dalam kehidupan sehari-hari.
, dan  sangat baik  dalam memahami hak, kewajiban dan tanggung jawab sebagai warga dalam kehidupan sehari-hari.
</v>
      </c>
      <c r="AF15" s="257" t="str">
        <f t="shared" si="7"/>
        <v xml:space="preserve"> sangat baik  dalam memahami hak, kewajiban dan tanggung jawab sebagai warga dalam kehidupan sehari-hari.
</v>
      </c>
      <c r="AG15" s="258" t="str">
        <f t="shared" si="8"/>
        <v xml:space="preserve"> sangat baik  dalam memahami hak, kewajiban dan tanggung jawab sebagai warga dalam kehidupan sehari-hari.
</v>
      </c>
      <c r="AH15" s="252" t="str">
        <f t="shared" si="9"/>
        <v xml:space="preserve">DZIBRIL sangat baik  dalam memahami hak, kewajiban dan tanggung jawab sebagai warga dalam kehidupan sehari-hari.
</v>
      </c>
      <c r="AI15" s="153"/>
      <c r="AR15" s="469">
        <f t="shared" si="10"/>
        <v>88</v>
      </c>
    </row>
    <row r="16" spans="1:45" ht="59.25" customHeight="1">
      <c r="B16" s="142">
        <v>12</v>
      </c>
      <c r="C16" s="143" t="str">
        <f>SISWA!B17</f>
        <v>1718250040316</v>
      </c>
      <c r="D16" s="144" t="str">
        <f>SISWA!E17</f>
        <v>ERICHA</v>
      </c>
      <c r="E16" s="594">
        <v>85</v>
      </c>
      <c r="F16" s="160">
        <v>85</v>
      </c>
      <c r="G16" s="160">
        <v>85</v>
      </c>
      <c r="H16" s="160"/>
      <c r="I16" s="160"/>
      <c r="J16" s="159"/>
      <c r="K16" s="159"/>
      <c r="L16" s="159"/>
      <c r="M16" s="159"/>
      <c r="N16" s="159"/>
      <c r="O16" s="159"/>
      <c r="P16" s="159"/>
      <c r="Q16" s="159"/>
      <c r="R16" s="160"/>
      <c r="S16" s="160"/>
      <c r="T16" s="159"/>
      <c r="U16" s="354">
        <f t="shared" si="4"/>
        <v>85</v>
      </c>
      <c r="V16" s="355" t="str">
        <f>IF(U16&gt;KKM!$G$10,"A",IF(U16&gt;KKM!$H$10,"B",IF(U16&gt;=KKM!$I$10,"C","D")))</f>
        <v>B</v>
      </c>
      <c r="W16" s="356">
        <f t="shared" si="0"/>
        <v>85</v>
      </c>
      <c r="X16" s="361" t="str">
        <f>IF(W16&gt;KKM!$G$10," sangat baik ",IF(W16&gt;KKM!$H$10," baik ",IF(W16&gt;=KKM!$I$10," cukup baik "," perlu bimbingan ")))</f>
        <v xml:space="preserve"> baik </v>
      </c>
      <c r="Y16" s="357">
        <f t="shared" si="1"/>
        <v>85</v>
      </c>
      <c r="Z16" s="361" t="str">
        <f>IF(Y16&gt;KKM!$G$10," sangat baik ",IF(Y16&gt;KKM!$H$10," baik ",IF(Y16&gt;=KKM!$I$10," cukup baik "," perlu bimbingan ")))</f>
        <v xml:space="preserve"> baik </v>
      </c>
      <c r="AA16" s="353" t="str">
        <f t="shared" si="5"/>
        <v xml:space="preserve">ERICHA baik  dalam memahami hak, kewajiban dan tanggung jawab sebagai warga dalam kehidupan sehari-hari.
</v>
      </c>
      <c r="AB16" s="256"/>
      <c r="AC16" s="257" t="str">
        <f t="shared" si="2"/>
        <v xml:space="preserve"> baik  dalam memahami hak, kewajiban dan tanggung jawab sebagai warga dalam kehidupan sehari-hari.
</v>
      </c>
      <c r="AD16" s="257" t="str">
        <f t="shared" si="3"/>
        <v xml:space="preserve"> baik  dalam memahami hak, kewajiban dan tanggung jawab sebagai warga dalam kehidupan sehari-hari.
</v>
      </c>
      <c r="AE16" s="257" t="str">
        <f t="shared" si="6"/>
        <v xml:space="preserve"> baik  dalam memahami hak, kewajiban dan tanggung jawab sebagai warga dalam kehidupan sehari-hari.
, dan  baik  dalam memahami hak, kewajiban dan tanggung jawab sebagai warga dalam kehidupan sehari-hari.
</v>
      </c>
      <c r="AF16" s="257" t="str">
        <f t="shared" si="7"/>
        <v xml:space="preserve"> baik  dalam memahami hak, kewajiban dan tanggung jawab sebagai warga dalam kehidupan sehari-hari.
</v>
      </c>
      <c r="AG16" s="258" t="str">
        <f t="shared" si="8"/>
        <v xml:space="preserve"> baik  dalam memahami hak, kewajiban dan tanggung jawab sebagai warga dalam kehidupan sehari-hari.
</v>
      </c>
      <c r="AH16" s="252" t="str">
        <f t="shared" si="9"/>
        <v xml:space="preserve">ERICHA baik  dalam memahami hak, kewajiban dan tanggung jawab sebagai warga dalam kehidupan sehari-hari.
</v>
      </c>
      <c r="AI16" s="153"/>
      <c r="AR16" s="469">
        <f t="shared" si="10"/>
        <v>85</v>
      </c>
    </row>
    <row r="17" spans="2:44" ht="59.25" customHeight="1">
      <c r="B17" s="142">
        <v>13</v>
      </c>
      <c r="C17" s="143" t="str">
        <f>SISWA!B18</f>
        <v>1718250040317</v>
      </c>
      <c r="D17" s="144" t="str">
        <f>SISWA!E18</f>
        <v>HISYAM</v>
      </c>
      <c r="E17" s="594">
        <v>90</v>
      </c>
      <c r="F17" s="160">
        <v>90</v>
      </c>
      <c r="G17" s="160">
        <v>90</v>
      </c>
      <c r="H17" s="160"/>
      <c r="I17" s="160"/>
      <c r="J17" s="159"/>
      <c r="K17" s="159"/>
      <c r="L17" s="159"/>
      <c r="M17" s="159"/>
      <c r="N17" s="159"/>
      <c r="O17" s="159"/>
      <c r="P17" s="159"/>
      <c r="Q17" s="159"/>
      <c r="R17" s="160"/>
      <c r="S17" s="160"/>
      <c r="T17" s="159"/>
      <c r="U17" s="354">
        <f t="shared" si="4"/>
        <v>90</v>
      </c>
      <c r="V17" s="355" t="str">
        <f>IF(U17&gt;KKM!$G$10,"A",IF(U17&gt;KKM!$H$10,"B",IF(U17&gt;=KKM!$I$10,"C","D")))</f>
        <v>A</v>
      </c>
      <c r="W17" s="356">
        <f t="shared" si="0"/>
        <v>90</v>
      </c>
      <c r="X17" s="361" t="str">
        <f>IF(W17&gt;KKM!$G$10," sangat baik ",IF(W17&gt;KKM!$H$10," baik ",IF(W17&gt;=KKM!$I$10," cukup baik "," perlu bimbingan ")))</f>
        <v xml:space="preserve"> sangat baik </v>
      </c>
      <c r="Y17" s="357">
        <f t="shared" si="1"/>
        <v>90</v>
      </c>
      <c r="Z17" s="361" t="str">
        <f>IF(Y17&gt;KKM!$G$10," sangat baik ",IF(Y17&gt;KKM!$H$10," baik ",IF(Y17&gt;=KKM!$I$10," cukup baik "," perlu bimbingan ")))</f>
        <v xml:space="preserve"> sangat baik </v>
      </c>
      <c r="AA17" s="353" t="str">
        <f t="shared" si="5"/>
        <v xml:space="preserve">HISYAM sangat baik  dalam memahami hak, kewajiban dan tanggung jawab sebagai warga dalam kehidupan sehari-hari.
</v>
      </c>
      <c r="AB17" s="256"/>
      <c r="AC17" s="257" t="str">
        <f t="shared" si="2"/>
        <v xml:space="preserve"> sangat baik  dalam memahami hak, kewajiban dan tanggung jawab sebagai warga dalam kehidupan sehari-hari.
</v>
      </c>
      <c r="AD17" s="257" t="str">
        <f t="shared" si="3"/>
        <v xml:space="preserve"> sangat baik  dalam memahami hak, kewajiban dan tanggung jawab sebagai warga dalam kehidupan sehari-hari.
</v>
      </c>
      <c r="AE17" s="257" t="str">
        <f t="shared" si="6"/>
        <v xml:space="preserve"> sangat baik  dalam memahami hak, kewajiban dan tanggung jawab sebagai warga dalam kehidupan sehari-hari.
, dan  sangat baik  dalam memahami hak, kewajiban dan tanggung jawab sebagai warga dalam kehidupan sehari-hari.
</v>
      </c>
      <c r="AF17" s="257" t="str">
        <f t="shared" si="7"/>
        <v xml:space="preserve"> sangat baik  dalam memahami hak, kewajiban dan tanggung jawab sebagai warga dalam kehidupan sehari-hari.
</v>
      </c>
      <c r="AG17" s="258" t="str">
        <f t="shared" si="8"/>
        <v xml:space="preserve"> sangat baik  dalam memahami hak, kewajiban dan tanggung jawab sebagai warga dalam kehidupan sehari-hari.
</v>
      </c>
      <c r="AH17" s="252" t="str">
        <f t="shared" si="9"/>
        <v xml:space="preserve">HISYAM sangat baik  dalam memahami hak, kewajiban dan tanggung jawab sebagai warga dalam kehidupan sehari-hari.
</v>
      </c>
      <c r="AI17" s="153"/>
      <c r="AR17" s="469">
        <f t="shared" si="10"/>
        <v>90</v>
      </c>
    </row>
    <row r="18" spans="2:44" ht="59.25" customHeight="1">
      <c r="B18" s="142">
        <v>14</v>
      </c>
      <c r="C18" s="143" t="str">
        <f>SISWA!B19</f>
        <v>1718250040318</v>
      </c>
      <c r="D18" s="144" t="str">
        <f>SISWA!E19</f>
        <v>FAUZI</v>
      </c>
      <c r="E18" s="594">
        <v>95</v>
      </c>
      <c r="F18" s="160">
        <v>95</v>
      </c>
      <c r="G18" s="160">
        <v>95</v>
      </c>
      <c r="H18" s="160"/>
      <c r="I18" s="160"/>
      <c r="J18" s="159"/>
      <c r="K18" s="159"/>
      <c r="L18" s="159"/>
      <c r="M18" s="159"/>
      <c r="N18" s="159"/>
      <c r="O18" s="159"/>
      <c r="P18" s="159"/>
      <c r="Q18" s="159"/>
      <c r="R18" s="160"/>
      <c r="S18" s="160"/>
      <c r="T18" s="159"/>
      <c r="U18" s="354">
        <f t="shared" si="4"/>
        <v>95</v>
      </c>
      <c r="V18" s="355" t="str">
        <f>IF(U18&gt;KKM!$G$10,"A",IF(U18&gt;KKM!$H$10,"B",IF(U18&gt;=KKM!$I$10,"C","D")))</f>
        <v>A</v>
      </c>
      <c r="W18" s="356">
        <f t="shared" si="0"/>
        <v>95</v>
      </c>
      <c r="X18" s="361" t="str">
        <f>IF(W18&gt;KKM!$G$10," sangat baik ",IF(W18&gt;KKM!$H$10," baik ",IF(W18&gt;=KKM!$I$10," cukup baik "," perlu bimbingan ")))</f>
        <v xml:space="preserve"> sangat baik </v>
      </c>
      <c r="Y18" s="357">
        <f t="shared" si="1"/>
        <v>95</v>
      </c>
      <c r="Z18" s="361" t="str">
        <f>IF(Y18&gt;KKM!$G$10," sangat baik ",IF(Y18&gt;KKM!$H$10," baik ",IF(Y18&gt;=KKM!$I$10," cukup baik "," perlu bimbingan ")))</f>
        <v xml:space="preserve"> sangat baik </v>
      </c>
      <c r="AA18" s="353" t="str">
        <f t="shared" si="5"/>
        <v xml:space="preserve">FAUZI sangat baik  dalam memahami hak, kewajiban dan tanggung jawab sebagai warga dalam kehidupan sehari-hari.
</v>
      </c>
      <c r="AB18" s="256"/>
      <c r="AC18" s="257" t="str">
        <f t="shared" si="2"/>
        <v xml:space="preserve"> sangat baik  dalam memahami hak, kewajiban dan tanggung jawab sebagai warga dalam kehidupan sehari-hari.
</v>
      </c>
      <c r="AD18" s="257" t="str">
        <f t="shared" si="3"/>
        <v xml:space="preserve"> sangat baik  dalam memahami hak, kewajiban dan tanggung jawab sebagai warga dalam kehidupan sehari-hari.
</v>
      </c>
      <c r="AE18" s="257" t="str">
        <f t="shared" si="6"/>
        <v xml:space="preserve"> sangat baik  dalam memahami hak, kewajiban dan tanggung jawab sebagai warga dalam kehidupan sehari-hari.
, dan  sangat baik  dalam memahami hak, kewajiban dan tanggung jawab sebagai warga dalam kehidupan sehari-hari.
</v>
      </c>
      <c r="AF18" s="257" t="str">
        <f t="shared" si="7"/>
        <v xml:space="preserve"> sangat baik  dalam memahami hak, kewajiban dan tanggung jawab sebagai warga dalam kehidupan sehari-hari.
</v>
      </c>
      <c r="AG18" s="258" t="str">
        <f t="shared" si="8"/>
        <v xml:space="preserve"> sangat baik  dalam memahami hak, kewajiban dan tanggung jawab sebagai warga dalam kehidupan sehari-hari.
</v>
      </c>
      <c r="AH18" s="252" t="str">
        <f t="shared" si="9"/>
        <v xml:space="preserve">FAUZI sangat baik  dalam memahami hak, kewajiban dan tanggung jawab sebagai warga dalam kehidupan sehari-hari.
</v>
      </c>
      <c r="AI18" s="153"/>
      <c r="AR18" s="469">
        <f t="shared" si="10"/>
        <v>95</v>
      </c>
    </row>
    <row r="19" spans="2:44" ht="59.25" customHeight="1">
      <c r="B19" s="142">
        <v>15</v>
      </c>
      <c r="C19" s="143" t="str">
        <f>SISWA!B20</f>
        <v>1718250040319</v>
      </c>
      <c r="D19" s="144" t="str">
        <f>SISWA!E20</f>
        <v>FIRLY</v>
      </c>
      <c r="E19" s="594">
        <v>90</v>
      </c>
      <c r="F19" s="160">
        <v>90</v>
      </c>
      <c r="G19" s="160">
        <v>90</v>
      </c>
      <c r="H19" s="160"/>
      <c r="I19" s="160"/>
      <c r="J19" s="159"/>
      <c r="K19" s="159"/>
      <c r="L19" s="159"/>
      <c r="M19" s="159"/>
      <c r="N19" s="159"/>
      <c r="O19" s="159"/>
      <c r="P19" s="159"/>
      <c r="Q19" s="159"/>
      <c r="R19" s="160"/>
      <c r="S19" s="160"/>
      <c r="T19" s="159"/>
      <c r="U19" s="354">
        <f t="shared" si="4"/>
        <v>90</v>
      </c>
      <c r="V19" s="355" t="str">
        <f>IF(U19&gt;KKM!$G$10,"A",IF(U19&gt;KKM!$H$10,"B",IF(U19&gt;=KKM!$I$10,"C","D")))</f>
        <v>A</v>
      </c>
      <c r="W19" s="356">
        <f t="shared" si="0"/>
        <v>90</v>
      </c>
      <c r="X19" s="361" t="str">
        <f>IF(W19&gt;KKM!$G$10," sangat baik ",IF(W19&gt;KKM!$H$10," baik ",IF(W19&gt;=KKM!$I$10," cukup baik "," perlu bimbingan ")))</f>
        <v xml:space="preserve"> sangat baik </v>
      </c>
      <c r="Y19" s="357">
        <f t="shared" si="1"/>
        <v>90</v>
      </c>
      <c r="Z19" s="361" t="str">
        <f>IF(Y19&gt;KKM!$G$10," sangat baik ",IF(Y19&gt;KKM!$H$10," baik ",IF(Y19&gt;=KKM!$I$10," cukup baik "," perlu bimbingan ")))</f>
        <v xml:space="preserve"> sangat baik </v>
      </c>
      <c r="AA19" s="353" t="str">
        <f t="shared" si="5"/>
        <v xml:space="preserve">FIRLY sangat baik  dalam memahami hak, kewajiban dan tanggung jawab sebagai warga dalam kehidupan sehari-hari.
</v>
      </c>
      <c r="AB19" s="256"/>
      <c r="AC19" s="257" t="str">
        <f t="shared" si="2"/>
        <v xml:space="preserve"> sangat baik  dalam memahami hak, kewajiban dan tanggung jawab sebagai warga dalam kehidupan sehari-hari.
</v>
      </c>
      <c r="AD19" s="257" t="str">
        <f t="shared" si="3"/>
        <v xml:space="preserve"> sangat baik  dalam memahami hak, kewajiban dan tanggung jawab sebagai warga dalam kehidupan sehari-hari.
</v>
      </c>
      <c r="AE19" s="257" t="str">
        <f t="shared" si="6"/>
        <v xml:space="preserve"> sangat baik  dalam memahami hak, kewajiban dan tanggung jawab sebagai warga dalam kehidupan sehari-hari.
, dan  sangat baik  dalam memahami hak, kewajiban dan tanggung jawab sebagai warga dalam kehidupan sehari-hari.
</v>
      </c>
      <c r="AF19" s="257" t="str">
        <f t="shared" si="7"/>
        <v xml:space="preserve"> sangat baik  dalam memahami hak, kewajiban dan tanggung jawab sebagai warga dalam kehidupan sehari-hari.
</v>
      </c>
      <c r="AG19" s="258" t="str">
        <f t="shared" si="8"/>
        <v xml:space="preserve"> sangat baik  dalam memahami hak, kewajiban dan tanggung jawab sebagai warga dalam kehidupan sehari-hari.
</v>
      </c>
      <c r="AH19" s="252" t="str">
        <f t="shared" si="9"/>
        <v xml:space="preserve">FIRLY sangat baik  dalam memahami hak, kewajiban dan tanggung jawab sebagai warga dalam kehidupan sehari-hari.
</v>
      </c>
      <c r="AI19" s="153"/>
      <c r="AR19" s="469">
        <f t="shared" si="10"/>
        <v>90</v>
      </c>
    </row>
    <row r="20" spans="2:44" ht="59.25" customHeight="1">
      <c r="B20" s="142">
        <v>16</v>
      </c>
      <c r="C20" s="143" t="str">
        <f>SISWA!B21</f>
        <v>1718250040320</v>
      </c>
      <c r="D20" s="144" t="str">
        <f>SISWA!E21</f>
        <v>HANA</v>
      </c>
      <c r="E20" s="594">
        <v>77.5</v>
      </c>
      <c r="F20" s="160">
        <v>77.5</v>
      </c>
      <c r="G20" s="160">
        <v>77.5</v>
      </c>
      <c r="H20" s="160"/>
      <c r="I20" s="160"/>
      <c r="J20" s="159"/>
      <c r="K20" s="159"/>
      <c r="L20" s="159"/>
      <c r="M20" s="159"/>
      <c r="N20" s="159"/>
      <c r="O20" s="159"/>
      <c r="P20" s="159"/>
      <c r="Q20" s="159"/>
      <c r="R20" s="160"/>
      <c r="S20" s="160"/>
      <c r="T20" s="159"/>
      <c r="U20" s="354">
        <f t="shared" si="4"/>
        <v>78</v>
      </c>
      <c r="V20" s="355" t="str">
        <f>IF(U20&gt;KKM!$G$10,"A",IF(U20&gt;KKM!$H$10,"B",IF(U20&gt;=KKM!$I$10,"C","D")))</f>
        <v>B</v>
      </c>
      <c r="W20" s="356">
        <f t="shared" si="0"/>
        <v>77.5</v>
      </c>
      <c r="X20" s="361" t="str">
        <f>IF(W20&gt;KKM!$G$10," sangat baik ",IF(W20&gt;KKM!$H$10," baik ",IF(W20&gt;=KKM!$I$10," cukup baik "," perlu bimbingan ")))</f>
        <v xml:space="preserve"> baik </v>
      </c>
      <c r="Y20" s="357">
        <f t="shared" si="1"/>
        <v>77.5</v>
      </c>
      <c r="Z20" s="361" t="str">
        <f>IF(Y20&gt;KKM!$G$10," sangat baik ",IF(Y20&gt;KKM!$H$10," baik ",IF(Y20&gt;=KKM!$I$10," cukup baik "," perlu bimbingan ")))</f>
        <v xml:space="preserve"> baik </v>
      </c>
      <c r="AA20" s="353" t="str">
        <f t="shared" si="5"/>
        <v xml:space="preserve">HANA baik  dalam memahami hak, kewajiban dan tanggung jawab sebagai warga dalam kehidupan sehari-hari.
</v>
      </c>
      <c r="AB20" s="256"/>
      <c r="AC20" s="257" t="str">
        <f t="shared" si="2"/>
        <v xml:space="preserve"> baik  dalam memahami hak, kewajiban dan tanggung jawab sebagai warga dalam kehidupan sehari-hari.
</v>
      </c>
      <c r="AD20" s="257" t="str">
        <f t="shared" si="3"/>
        <v xml:space="preserve"> baik  dalam memahami hak, kewajiban dan tanggung jawab sebagai warga dalam kehidupan sehari-hari.
</v>
      </c>
      <c r="AE20" s="257" t="str">
        <f t="shared" si="6"/>
        <v xml:space="preserve"> baik  dalam memahami hak, kewajiban dan tanggung jawab sebagai warga dalam kehidupan sehari-hari.
, dan  baik  dalam memahami hak, kewajiban dan tanggung jawab sebagai warga dalam kehidupan sehari-hari.
</v>
      </c>
      <c r="AF20" s="257" t="str">
        <f t="shared" si="7"/>
        <v xml:space="preserve"> baik  dalam memahami hak, kewajiban dan tanggung jawab sebagai warga dalam kehidupan sehari-hari.
</v>
      </c>
      <c r="AG20" s="258" t="str">
        <f t="shared" si="8"/>
        <v xml:space="preserve"> baik  dalam memahami hak, kewajiban dan tanggung jawab sebagai warga dalam kehidupan sehari-hari.
</v>
      </c>
      <c r="AH20" s="252" t="str">
        <f t="shared" si="9"/>
        <v xml:space="preserve">HANA baik  dalam memahami hak, kewajiban dan tanggung jawab sebagai warga dalam kehidupan sehari-hari.
</v>
      </c>
      <c r="AI20" s="153"/>
      <c r="AR20" s="469">
        <f t="shared" si="10"/>
        <v>78</v>
      </c>
    </row>
    <row r="21" spans="2:44" ht="59.25" customHeight="1">
      <c r="B21" s="142">
        <v>17</v>
      </c>
      <c r="C21" s="143" t="str">
        <f>SISWA!B22</f>
        <v>1718250040321</v>
      </c>
      <c r="D21" s="144" t="str">
        <f>SISWA!E22</f>
        <v>MALLA</v>
      </c>
      <c r="E21" s="594">
        <v>87.5</v>
      </c>
      <c r="F21" s="160">
        <v>87.5</v>
      </c>
      <c r="G21" s="160">
        <v>87.5</v>
      </c>
      <c r="H21" s="160"/>
      <c r="I21" s="160"/>
      <c r="J21" s="159"/>
      <c r="K21" s="159"/>
      <c r="L21" s="159"/>
      <c r="M21" s="159"/>
      <c r="N21" s="159"/>
      <c r="O21" s="159"/>
      <c r="P21" s="159"/>
      <c r="Q21" s="159"/>
      <c r="R21" s="160"/>
      <c r="S21" s="160"/>
      <c r="T21" s="159"/>
      <c r="U21" s="354">
        <f t="shared" si="4"/>
        <v>88</v>
      </c>
      <c r="V21" s="355" t="str">
        <f>IF(U21&gt;KKM!$G$10,"A",IF(U21&gt;KKM!$H$10,"B",IF(U21&gt;=KKM!$I$10,"C","D")))</f>
        <v>A</v>
      </c>
      <c r="W21" s="356">
        <f t="shared" si="0"/>
        <v>87.5</v>
      </c>
      <c r="X21" s="361" t="str">
        <f>IF(W21&gt;KKM!$G$10," sangat baik ",IF(W21&gt;KKM!$H$10," baik ",IF(W21&gt;=KKM!$I$10," cukup baik "," perlu bimbingan ")))</f>
        <v xml:space="preserve"> sangat baik </v>
      </c>
      <c r="Y21" s="357">
        <f t="shared" si="1"/>
        <v>87.5</v>
      </c>
      <c r="Z21" s="361" t="str">
        <f>IF(Y21&gt;KKM!$G$10," sangat baik ",IF(Y21&gt;KKM!$H$10," baik ",IF(Y21&gt;=KKM!$I$10," cukup baik "," perlu bimbingan ")))</f>
        <v xml:space="preserve"> sangat baik </v>
      </c>
      <c r="AA21" s="353" t="str">
        <f t="shared" si="5"/>
        <v xml:space="preserve">MALLA sangat baik  dalam memahami hak, kewajiban dan tanggung jawab sebagai warga dalam kehidupan sehari-hari.
</v>
      </c>
      <c r="AB21" s="256"/>
      <c r="AC21" s="257" t="str">
        <f t="shared" si="2"/>
        <v xml:space="preserve"> sangat baik  dalam memahami hak, kewajiban dan tanggung jawab sebagai warga dalam kehidupan sehari-hari.
</v>
      </c>
      <c r="AD21" s="257" t="str">
        <f t="shared" si="3"/>
        <v xml:space="preserve"> sangat baik  dalam memahami hak, kewajiban dan tanggung jawab sebagai warga dalam kehidupan sehari-hari.
</v>
      </c>
      <c r="AE21" s="257" t="str">
        <f t="shared" si="6"/>
        <v xml:space="preserve"> sangat baik  dalam memahami hak, kewajiban dan tanggung jawab sebagai warga dalam kehidupan sehari-hari.
, dan  sangat baik  dalam memahami hak, kewajiban dan tanggung jawab sebagai warga dalam kehidupan sehari-hari.
</v>
      </c>
      <c r="AF21" s="257" t="str">
        <f t="shared" si="7"/>
        <v xml:space="preserve"> sangat baik  dalam memahami hak, kewajiban dan tanggung jawab sebagai warga dalam kehidupan sehari-hari.
</v>
      </c>
      <c r="AG21" s="258" t="str">
        <f t="shared" si="8"/>
        <v xml:space="preserve"> sangat baik  dalam memahami hak, kewajiban dan tanggung jawab sebagai warga dalam kehidupan sehari-hari.
</v>
      </c>
      <c r="AH21" s="252" t="str">
        <f t="shared" si="9"/>
        <v xml:space="preserve">MALLA sangat baik  dalam memahami hak, kewajiban dan tanggung jawab sebagai warga dalam kehidupan sehari-hari.
</v>
      </c>
      <c r="AI21" s="153"/>
      <c r="AR21" s="469">
        <f t="shared" si="10"/>
        <v>88</v>
      </c>
    </row>
    <row r="22" spans="2:44" ht="59.25" customHeight="1">
      <c r="B22" s="142">
        <v>18</v>
      </c>
      <c r="C22" s="143" t="str">
        <f>SISWA!B23</f>
        <v>1718250040322</v>
      </c>
      <c r="D22" s="144" t="str">
        <f>SISWA!E23</f>
        <v>INTAN</v>
      </c>
      <c r="E22" s="594">
        <v>87.5</v>
      </c>
      <c r="F22" s="160">
        <v>87.5</v>
      </c>
      <c r="G22" s="160">
        <v>87.5</v>
      </c>
      <c r="H22" s="160"/>
      <c r="I22" s="160"/>
      <c r="J22" s="159"/>
      <c r="K22" s="159"/>
      <c r="L22" s="159"/>
      <c r="M22" s="159"/>
      <c r="N22" s="159"/>
      <c r="O22" s="159"/>
      <c r="P22" s="159"/>
      <c r="Q22" s="159"/>
      <c r="R22" s="160"/>
      <c r="S22" s="160"/>
      <c r="T22" s="159"/>
      <c r="U22" s="354">
        <f t="shared" si="4"/>
        <v>88</v>
      </c>
      <c r="V22" s="355" t="str">
        <f>IF(U22&gt;KKM!$G$10,"A",IF(U22&gt;KKM!$H$10,"B",IF(U22&gt;=KKM!$I$10,"C","D")))</f>
        <v>A</v>
      </c>
      <c r="W22" s="356">
        <f t="shared" si="0"/>
        <v>87.5</v>
      </c>
      <c r="X22" s="361" t="str">
        <f>IF(W22&gt;KKM!$G$10," sangat baik ",IF(W22&gt;KKM!$H$10," baik ",IF(W22&gt;=KKM!$I$10," cukup baik "," perlu bimbingan ")))</f>
        <v xml:space="preserve"> sangat baik </v>
      </c>
      <c r="Y22" s="357">
        <f t="shared" si="1"/>
        <v>87.5</v>
      </c>
      <c r="Z22" s="361" t="str">
        <f>IF(Y22&gt;KKM!$G$10," sangat baik ",IF(Y22&gt;KKM!$H$10," baik ",IF(Y22&gt;=KKM!$I$10," cukup baik "," perlu bimbingan ")))</f>
        <v xml:space="preserve"> sangat baik </v>
      </c>
      <c r="AA22" s="353" t="str">
        <f t="shared" si="5"/>
        <v xml:space="preserve">INTAN sangat baik  dalam memahami hak, kewajiban dan tanggung jawab sebagai warga dalam kehidupan sehari-hari.
</v>
      </c>
      <c r="AB22" s="256"/>
      <c r="AC22" s="257" t="str">
        <f t="shared" si="2"/>
        <v xml:space="preserve"> sangat baik  dalam memahami hak, kewajiban dan tanggung jawab sebagai warga dalam kehidupan sehari-hari.
</v>
      </c>
      <c r="AD22" s="257" t="str">
        <f t="shared" si="3"/>
        <v xml:space="preserve"> sangat baik  dalam memahami hak, kewajiban dan tanggung jawab sebagai warga dalam kehidupan sehari-hari.
</v>
      </c>
      <c r="AE22" s="257" t="str">
        <f t="shared" si="6"/>
        <v xml:space="preserve"> sangat baik  dalam memahami hak, kewajiban dan tanggung jawab sebagai warga dalam kehidupan sehari-hari.
, dan  sangat baik  dalam memahami hak, kewajiban dan tanggung jawab sebagai warga dalam kehidupan sehari-hari.
</v>
      </c>
      <c r="AF22" s="257" t="str">
        <f t="shared" si="7"/>
        <v xml:space="preserve"> sangat baik  dalam memahami hak, kewajiban dan tanggung jawab sebagai warga dalam kehidupan sehari-hari.
</v>
      </c>
      <c r="AG22" s="258" t="str">
        <f t="shared" si="8"/>
        <v xml:space="preserve"> sangat baik  dalam memahami hak, kewajiban dan tanggung jawab sebagai warga dalam kehidupan sehari-hari.
</v>
      </c>
      <c r="AH22" s="252" t="str">
        <f t="shared" si="9"/>
        <v xml:space="preserve">INTAN sangat baik  dalam memahami hak, kewajiban dan tanggung jawab sebagai warga dalam kehidupan sehari-hari.
</v>
      </c>
      <c r="AI22" s="153"/>
      <c r="AR22" s="469">
        <f t="shared" si="10"/>
        <v>88</v>
      </c>
    </row>
    <row r="23" spans="2:44" ht="59.25" customHeight="1">
      <c r="B23" s="142">
        <v>19</v>
      </c>
      <c r="C23" s="143" t="str">
        <f>SISWA!B24</f>
        <v>1718250040323</v>
      </c>
      <c r="D23" s="144" t="str">
        <f>SISWA!E24</f>
        <v>JORDY</v>
      </c>
      <c r="E23" s="594">
        <v>87.5</v>
      </c>
      <c r="F23" s="160">
        <v>87.5</v>
      </c>
      <c r="G23" s="160">
        <v>87.5</v>
      </c>
      <c r="H23" s="160"/>
      <c r="I23" s="160"/>
      <c r="J23" s="159"/>
      <c r="K23" s="159"/>
      <c r="L23" s="159"/>
      <c r="M23" s="159"/>
      <c r="N23" s="159"/>
      <c r="O23" s="159"/>
      <c r="P23" s="159"/>
      <c r="Q23" s="159"/>
      <c r="R23" s="160"/>
      <c r="S23" s="160"/>
      <c r="T23" s="159"/>
      <c r="U23" s="354">
        <f t="shared" si="4"/>
        <v>88</v>
      </c>
      <c r="V23" s="355" t="str">
        <f>IF(U23&gt;KKM!$G$10,"A",IF(U23&gt;KKM!$H$10,"B",IF(U23&gt;=KKM!$I$10,"C","D")))</f>
        <v>A</v>
      </c>
      <c r="W23" s="356">
        <f t="shared" si="0"/>
        <v>87.5</v>
      </c>
      <c r="X23" s="361" t="str">
        <f>IF(W23&gt;KKM!$G$10," sangat baik ",IF(W23&gt;KKM!$H$10," baik ",IF(W23&gt;=KKM!$I$10," cukup baik "," perlu bimbingan ")))</f>
        <v xml:space="preserve"> sangat baik </v>
      </c>
      <c r="Y23" s="357">
        <f t="shared" si="1"/>
        <v>87.5</v>
      </c>
      <c r="Z23" s="361" t="str">
        <f>IF(Y23&gt;KKM!$G$10," sangat baik ",IF(Y23&gt;KKM!$H$10," baik ",IF(Y23&gt;=KKM!$I$10," cukup baik "," perlu bimbingan ")))</f>
        <v xml:space="preserve"> sangat baik </v>
      </c>
      <c r="AA23" s="353" t="str">
        <f t="shared" si="5"/>
        <v xml:space="preserve">JORDY sangat baik  dalam memahami hak, kewajiban dan tanggung jawab sebagai warga dalam kehidupan sehari-hari.
</v>
      </c>
      <c r="AB23" s="256"/>
      <c r="AC23" s="257" t="str">
        <f t="shared" si="2"/>
        <v xml:space="preserve"> sangat baik  dalam memahami hak, kewajiban dan tanggung jawab sebagai warga dalam kehidupan sehari-hari.
</v>
      </c>
      <c r="AD23" s="257" t="str">
        <f t="shared" si="3"/>
        <v xml:space="preserve"> sangat baik  dalam memahami hak, kewajiban dan tanggung jawab sebagai warga dalam kehidupan sehari-hari.
</v>
      </c>
      <c r="AE23" s="257" t="str">
        <f t="shared" si="6"/>
        <v xml:space="preserve"> sangat baik  dalam memahami hak, kewajiban dan tanggung jawab sebagai warga dalam kehidupan sehari-hari.
, dan  sangat baik  dalam memahami hak, kewajiban dan tanggung jawab sebagai warga dalam kehidupan sehari-hari.
</v>
      </c>
      <c r="AF23" s="257" t="str">
        <f t="shared" si="7"/>
        <v xml:space="preserve"> sangat baik  dalam memahami hak, kewajiban dan tanggung jawab sebagai warga dalam kehidupan sehari-hari.
</v>
      </c>
      <c r="AG23" s="258" t="str">
        <f t="shared" si="8"/>
        <v xml:space="preserve"> sangat baik  dalam memahami hak, kewajiban dan tanggung jawab sebagai warga dalam kehidupan sehari-hari.
</v>
      </c>
      <c r="AH23" s="252" t="str">
        <f t="shared" si="9"/>
        <v xml:space="preserve">JORDY sangat baik  dalam memahami hak, kewajiban dan tanggung jawab sebagai warga dalam kehidupan sehari-hari.
</v>
      </c>
      <c r="AI23" s="153"/>
      <c r="AR23" s="469">
        <f t="shared" si="10"/>
        <v>88</v>
      </c>
    </row>
    <row r="24" spans="2:44" ht="59.25" customHeight="1">
      <c r="B24" s="142">
        <v>20</v>
      </c>
      <c r="C24" s="143" t="str">
        <f>SISWA!B25</f>
        <v>1718250040324</v>
      </c>
      <c r="D24" s="144" t="str">
        <f>SISWA!E25</f>
        <v>KURNIA</v>
      </c>
      <c r="E24" s="594">
        <v>82.5</v>
      </c>
      <c r="F24" s="160">
        <v>82.5</v>
      </c>
      <c r="G24" s="160">
        <v>82.5</v>
      </c>
      <c r="H24" s="160"/>
      <c r="I24" s="160"/>
      <c r="J24" s="159"/>
      <c r="K24" s="159"/>
      <c r="L24" s="159"/>
      <c r="M24" s="159"/>
      <c r="N24" s="159"/>
      <c r="O24" s="159"/>
      <c r="P24" s="159"/>
      <c r="Q24" s="159"/>
      <c r="R24" s="160"/>
      <c r="S24" s="160"/>
      <c r="T24" s="159"/>
      <c r="U24" s="354">
        <f t="shared" si="4"/>
        <v>83</v>
      </c>
      <c r="V24" s="355" t="str">
        <f>IF(U24&gt;KKM!$G$10,"A",IF(U24&gt;KKM!$H$10,"B",IF(U24&gt;=KKM!$I$10,"C","D")))</f>
        <v>B</v>
      </c>
      <c r="W24" s="356">
        <f t="shared" si="0"/>
        <v>82.5</v>
      </c>
      <c r="X24" s="361" t="str">
        <f>IF(W24&gt;KKM!$G$10," sangat baik ",IF(W24&gt;KKM!$H$10," baik ",IF(W24&gt;=KKM!$I$10," cukup baik "," perlu bimbingan ")))</f>
        <v xml:space="preserve"> baik </v>
      </c>
      <c r="Y24" s="357">
        <f t="shared" si="1"/>
        <v>82.5</v>
      </c>
      <c r="Z24" s="361" t="str">
        <f>IF(Y24&gt;KKM!$G$10," sangat baik ",IF(Y24&gt;KKM!$H$10," baik ",IF(Y24&gt;=KKM!$I$10," cukup baik "," perlu bimbingan ")))</f>
        <v xml:space="preserve"> baik </v>
      </c>
      <c r="AA24" s="353" t="str">
        <f t="shared" si="5"/>
        <v xml:space="preserve">KURNIA baik  dalam memahami hak, kewajiban dan tanggung jawab sebagai warga dalam kehidupan sehari-hari.
</v>
      </c>
      <c r="AB24" s="256"/>
      <c r="AC24" s="257" t="str">
        <f t="shared" si="2"/>
        <v xml:space="preserve"> baik  dalam memahami hak, kewajiban dan tanggung jawab sebagai warga dalam kehidupan sehari-hari.
</v>
      </c>
      <c r="AD24" s="257" t="str">
        <f t="shared" si="3"/>
        <v xml:space="preserve"> baik  dalam memahami hak, kewajiban dan tanggung jawab sebagai warga dalam kehidupan sehari-hari.
</v>
      </c>
      <c r="AE24" s="257" t="str">
        <f t="shared" si="6"/>
        <v xml:space="preserve"> baik  dalam memahami hak, kewajiban dan tanggung jawab sebagai warga dalam kehidupan sehari-hari.
, dan  baik  dalam memahami hak, kewajiban dan tanggung jawab sebagai warga dalam kehidupan sehari-hari.
</v>
      </c>
      <c r="AF24" s="257" t="str">
        <f t="shared" si="7"/>
        <v xml:space="preserve"> baik  dalam memahami hak, kewajiban dan tanggung jawab sebagai warga dalam kehidupan sehari-hari.
</v>
      </c>
      <c r="AG24" s="258" t="str">
        <f t="shared" si="8"/>
        <v xml:space="preserve"> baik  dalam memahami hak, kewajiban dan tanggung jawab sebagai warga dalam kehidupan sehari-hari.
</v>
      </c>
      <c r="AH24" s="252" t="str">
        <f t="shared" si="9"/>
        <v xml:space="preserve">KURNIA baik  dalam memahami hak, kewajiban dan tanggung jawab sebagai warga dalam kehidupan sehari-hari.
</v>
      </c>
      <c r="AI24" s="153"/>
      <c r="AR24" s="469">
        <f t="shared" si="10"/>
        <v>83</v>
      </c>
    </row>
    <row r="25" spans="2:44" ht="59.25" customHeight="1">
      <c r="B25" s="142">
        <v>21</v>
      </c>
      <c r="C25" s="143" t="str">
        <f>SISWA!B26</f>
        <v>1718250040325</v>
      </c>
      <c r="D25" s="144" t="str">
        <f>SISWA!E26</f>
        <v>LATIZA</v>
      </c>
      <c r="E25" s="594">
        <v>97.5</v>
      </c>
      <c r="F25" s="160">
        <v>97.5</v>
      </c>
      <c r="G25" s="160">
        <v>97.5</v>
      </c>
      <c r="H25" s="160"/>
      <c r="I25" s="160"/>
      <c r="J25" s="159"/>
      <c r="K25" s="159"/>
      <c r="L25" s="159"/>
      <c r="M25" s="159"/>
      <c r="N25" s="159"/>
      <c r="O25" s="159"/>
      <c r="P25" s="159"/>
      <c r="Q25" s="159"/>
      <c r="R25" s="160"/>
      <c r="S25" s="160"/>
      <c r="T25" s="159"/>
      <c r="U25" s="354">
        <f t="shared" si="4"/>
        <v>98</v>
      </c>
      <c r="V25" s="355" t="str">
        <f>IF(U25&gt;KKM!$G$10,"A",IF(U25&gt;KKM!$H$10,"B",IF(U25&gt;=KKM!$I$10,"C","D")))</f>
        <v>A</v>
      </c>
      <c r="W25" s="356">
        <f t="shared" si="0"/>
        <v>97.5</v>
      </c>
      <c r="X25" s="361" t="str">
        <f>IF(W25&gt;KKM!$G$10," sangat baik ",IF(W25&gt;KKM!$H$10," baik ",IF(W25&gt;=KKM!$I$10," cukup baik "," perlu bimbingan ")))</f>
        <v xml:space="preserve"> sangat baik </v>
      </c>
      <c r="Y25" s="357">
        <f t="shared" si="1"/>
        <v>97.5</v>
      </c>
      <c r="Z25" s="361" t="str">
        <f>IF(Y25&gt;KKM!$G$10," sangat baik ",IF(Y25&gt;KKM!$H$10," baik ",IF(Y25&gt;=KKM!$I$10," cukup baik "," perlu bimbingan ")))</f>
        <v xml:space="preserve"> sangat baik </v>
      </c>
      <c r="AA25" s="353" t="str">
        <f t="shared" si="5"/>
        <v xml:space="preserve">LATIZA sangat baik  dalam memahami hak, kewajiban dan tanggung jawab sebagai warga dalam kehidupan sehari-hari.
</v>
      </c>
      <c r="AB25" s="256"/>
      <c r="AC25" s="257" t="str">
        <f t="shared" si="2"/>
        <v xml:space="preserve"> sangat baik  dalam memahami hak, kewajiban dan tanggung jawab sebagai warga dalam kehidupan sehari-hari.
</v>
      </c>
      <c r="AD25" s="257" t="str">
        <f t="shared" si="3"/>
        <v xml:space="preserve"> sangat baik  dalam memahami hak, kewajiban dan tanggung jawab sebagai warga dalam kehidupan sehari-hari.
</v>
      </c>
      <c r="AE25" s="257" t="str">
        <f t="shared" si="6"/>
        <v xml:space="preserve"> sangat baik  dalam memahami hak, kewajiban dan tanggung jawab sebagai warga dalam kehidupan sehari-hari.
, dan  sangat baik  dalam memahami hak, kewajiban dan tanggung jawab sebagai warga dalam kehidupan sehari-hari.
</v>
      </c>
      <c r="AF25" s="257" t="str">
        <f t="shared" si="7"/>
        <v xml:space="preserve"> sangat baik  dalam memahami hak, kewajiban dan tanggung jawab sebagai warga dalam kehidupan sehari-hari.
</v>
      </c>
      <c r="AG25" s="258" t="str">
        <f t="shared" si="8"/>
        <v xml:space="preserve"> sangat baik  dalam memahami hak, kewajiban dan tanggung jawab sebagai warga dalam kehidupan sehari-hari.
</v>
      </c>
      <c r="AH25" s="252" t="str">
        <f t="shared" si="9"/>
        <v xml:space="preserve">LATIZA sangat baik  dalam memahami hak, kewajiban dan tanggung jawab sebagai warga dalam kehidupan sehari-hari.
</v>
      </c>
      <c r="AI25" s="153"/>
      <c r="AR25" s="469">
        <f t="shared" si="10"/>
        <v>98</v>
      </c>
    </row>
    <row r="26" spans="2:44" ht="59.25" customHeight="1">
      <c r="B26" s="142">
        <v>22</v>
      </c>
      <c r="C26" s="143" t="str">
        <f>SISWA!B27</f>
        <v>1718250040326</v>
      </c>
      <c r="D26" s="144" t="str">
        <f>SISWA!E27</f>
        <v>RIZKY</v>
      </c>
      <c r="E26" s="594">
        <v>85</v>
      </c>
      <c r="F26" s="160">
        <v>85</v>
      </c>
      <c r="G26" s="160">
        <v>85</v>
      </c>
      <c r="H26" s="160"/>
      <c r="I26" s="160"/>
      <c r="J26" s="159"/>
      <c r="K26" s="159"/>
      <c r="L26" s="159"/>
      <c r="M26" s="159"/>
      <c r="N26" s="159"/>
      <c r="O26" s="159"/>
      <c r="P26" s="159"/>
      <c r="Q26" s="159"/>
      <c r="R26" s="160"/>
      <c r="S26" s="160"/>
      <c r="T26" s="159"/>
      <c r="U26" s="354">
        <f t="shared" si="4"/>
        <v>85</v>
      </c>
      <c r="V26" s="355" t="str">
        <f>IF(U26&gt;KKM!$G$10,"A",IF(U26&gt;KKM!$H$10,"B",IF(U26&gt;=KKM!$I$10,"C","D")))</f>
        <v>B</v>
      </c>
      <c r="W26" s="356">
        <f t="shared" si="0"/>
        <v>85</v>
      </c>
      <c r="X26" s="361" t="str">
        <f>IF(W26&gt;KKM!$G$10," sangat baik ",IF(W26&gt;KKM!$H$10," baik ",IF(W26&gt;=KKM!$I$10," cukup baik "," perlu bimbingan ")))</f>
        <v xml:space="preserve"> baik </v>
      </c>
      <c r="Y26" s="357">
        <f t="shared" si="1"/>
        <v>85</v>
      </c>
      <c r="Z26" s="361" t="str">
        <f>IF(Y26&gt;KKM!$G$10," sangat baik ",IF(Y26&gt;KKM!$H$10," baik ",IF(Y26&gt;=KKM!$I$10," cukup baik "," perlu bimbingan ")))</f>
        <v xml:space="preserve"> baik </v>
      </c>
      <c r="AA26" s="353" t="str">
        <f t="shared" si="5"/>
        <v xml:space="preserve">RIZKY baik  dalam memahami hak, kewajiban dan tanggung jawab sebagai warga dalam kehidupan sehari-hari.
</v>
      </c>
      <c r="AB26" s="256"/>
      <c r="AC26" s="257" t="str">
        <f t="shared" si="2"/>
        <v xml:space="preserve"> baik  dalam memahami hak, kewajiban dan tanggung jawab sebagai warga dalam kehidupan sehari-hari.
</v>
      </c>
      <c r="AD26" s="257" t="str">
        <f t="shared" si="3"/>
        <v xml:space="preserve"> baik  dalam memahami hak, kewajiban dan tanggung jawab sebagai warga dalam kehidupan sehari-hari.
</v>
      </c>
      <c r="AE26" s="257" t="str">
        <f t="shared" si="6"/>
        <v xml:space="preserve"> baik  dalam memahami hak, kewajiban dan tanggung jawab sebagai warga dalam kehidupan sehari-hari.
, dan  baik  dalam memahami hak, kewajiban dan tanggung jawab sebagai warga dalam kehidupan sehari-hari.
</v>
      </c>
      <c r="AF26" s="257" t="str">
        <f t="shared" si="7"/>
        <v xml:space="preserve"> baik  dalam memahami hak, kewajiban dan tanggung jawab sebagai warga dalam kehidupan sehari-hari.
</v>
      </c>
      <c r="AG26" s="258" t="str">
        <f t="shared" si="8"/>
        <v xml:space="preserve"> baik  dalam memahami hak, kewajiban dan tanggung jawab sebagai warga dalam kehidupan sehari-hari.
</v>
      </c>
      <c r="AH26" s="252" t="str">
        <f t="shared" si="9"/>
        <v xml:space="preserve">RIZKY baik  dalam memahami hak, kewajiban dan tanggung jawab sebagai warga dalam kehidupan sehari-hari.
</v>
      </c>
      <c r="AI26" s="153"/>
      <c r="AR26" s="469">
        <f t="shared" si="10"/>
        <v>85</v>
      </c>
    </row>
    <row r="27" spans="2:44" ht="59.25" customHeight="1">
      <c r="B27" s="142">
        <v>23</v>
      </c>
      <c r="C27" s="143" t="str">
        <f>SISWA!B28</f>
        <v>1718250040327</v>
      </c>
      <c r="D27" s="144" t="str">
        <f>SISWA!E28</f>
        <v>RAMADHANDANI</v>
      </c>
      <c r="E27" s="594">
        <v>87.5</v>
      </c>
      <c r="F27" s="160">
        <v>87.5</v>
      </c>
      <c r="G27" s="160">
        <v>87.5</v>
      </c>
      <c r="H27" s="160"/>
      <c r="I27" s="160"/>
      <c r="J27" s="159"/>
      <c r="K27" s="159"/>
      <c r="L27" s="159"/>
      <c r="M27" s="159"/>
      <c r="N27" s="159"/>
      <c r="O27" s="159"/>
      <c r="P27" s="159"/>
      <c r="Q27" s="159"/>
      <c r="R27" s="160"/>
      <c r="S27" s="160"/>
      <c r="T27" s="159"/>
      <c r="U27" s="354">
        <f t="shared" si="4"/>
        <v>88</v>
      </c>
      <c r="V27" s="355" t="str">
        <f>IF(U27&gt;KKM!$G$10,"A",IF(U27&gt;KKM!$H$10,"B",IF(U27&gt;=KKM!$I$10,"C","D")))</f>
        <v>A</v>
      </c>
      <c r="W27" s="356">
        <f t="shared" si="0"/>
        <v>87.5</v>
      </c>
      <c r="X27" s="361" t="str">
        <f>IF(W27&gt;KKM!$G$10," sangat baik ",IF(W27&gt;KKM!$H$10," baik ",IF(W27&gt;=KKM!$I$10," cukup baik "," perlu bimbingan ")))</f>
        <v xml:space="preserve"> sangat baik </v>
      </c>
      <c r="Y27" s="357">
        <f t="shared" si="1"/>
        <v>87.5</v>
      </c>
      <c r="Z27" s="361" t="str">
        <f>IF(Y27&gt;KKM!$G$10," sangat baik ",IF(Y27&gt;KKM!$H$10," baik ",IF(Y27&gt;=KKM!$I$10," cukup baik "," perlu bimbingan ")))</f>
        <v xml:space="preserve"> sangat baik </v>
      </c>
      <c r="AA27" s="353" t="str">
        <f t="shared" si="5"/>
        <v xml:space="preserve">RAMADHANDANI sangat baik  dalam memahami hak, kewajiban dan tanggung jawab sebagai warga dalam kehidupan sehari-hari.
</v>
      </c>
      <c r="AB27" s="256"/>
      <c r="AC27" s="257" t="str">
        <f t="shared" si="2"/>
        <v xml:space="preserve"> sangat baik  dalam memahami hak, kewajiban dan tanggung jawab sebagai warga dalam kehidupan sehari-hari.
</v>
      </c>
      <c r="AD27" s="257" t="str">
        <f t="shared" si="3"/>
        <v xml:space="preserve"> sangat baik  dalam memahami hak, kewajiban dan tanggung jawab sebagai warga dalam kehidupan sehari-hari.
</v>
      </c>
      <c r="AE27" s="257" t="str">
        <f t="shared" si="6"/>
        <v xml:space="preserve"> sangat baik  dalam memahami hak, kewajiban dan tanggung jawab sebagai warga dalam kehidupan sehari-hari.
, dan  sangat baik  dalam memahami hak, kewajiban dan tanggung jawab sebagai warga dalam kehidupan sehari-hari.
</v>
      </c>
      <c r="AF27" s="257" t="str">
        <f t="shared" si="7"/>
        <v xml:space="preserve"> sangat baik  dalam memahami hak, kewajiban dan tanggung jawab sebagai warga dalam kehidupan sehari-hari.
</v>
      </c>
      <c r="AG27" s="258" t="str">
        <f t="shared" si="8"/>
        <v xml:space="preserve"> sangat baik  dalam memahami hak, kewajiban dan tanggung jawab sebagai warga dalam kehidupan sehari-hari.
</v>
      </c>
      <c r="AH27" s="252" t="str">
        <f t="shared" si="9"/>
        <v xml:space="preserve">RAMADHANDANI sangat baik  dalam memahami hak, kewajiban dan tanggung jawab sebagai warga dalam kehidupan sehari-hari.
</v>
      </c>
      <c r="AI27" s="153"/>
      <c r="AR27" s="469">
        <f t="shared" si="10"/>
        <v>88</v>
      </c>
    </row>
    <row r="28" spans="2:44" ht="59.25" customHeight="1">
      <c r="B28" s="142">
        <v>24</v>
      </c>
      <c r="C28" s="143" t="str">
        <f>SISWA!B29</f>
        <v>1718250040328</v>
      </c>
      <c r="D28" s="144" t="str">
        <f>SISWA!E29</f>
        <v>SYAEPUL</v>
      </c>
      <c r="E28" s="594">
        <v>77.5</v>
      </c>
      <c r="F28" s="160">
        <v>77.5</v>
      </c>
      <c r="G28" s="160">
        <v>77.5</v>
      </c>
      <c r="H28" s="160"/>
      <c r="I28" s="160"/>
      <c r="J28" s="159"/>
      <c r="K28" s="159"/>
      <c r="L28" s="159"/>
      <c r="M28" s="159"/>
      <c r="N28" s="159"/>
      <c r="O28" s="159"/>
      <c r="P28" s="159"/>
      <c r="Q28" s="159"/>
      <c r="R28" s="160"/>
      <c r="S28" s="160"/>
      <c r="T28" s="159"/>
      <c r="U28" s="354">
        <f t="shared" si="4"/>
        <v>78</v>
      </c>
      <c r="V28" s="355" t="str">
        <f>IF(U28&gt;KKM!$G$10,"A",IF(U28&gt;KKM!$H$10,"B",IF(U28&gt;=KKM!$I$10,"C","D")))</f>
        <v>B</v>
      </c>
      <c r="W28" s="356">
        <f t="shared" si="0"/>
        <v>77.5</v>
      </c>
      <c r="X28" s="361" t="str">
        <f>IF(W28&gt;KKM!$G$10," sangat baik ",IF(W28&gt;KKM!$H$10," baik ",IF(W28&gt;=KKM!$I$10," cukup baik "," perlu bimbingan ")))</f>
        <v xml:space="preserve"> baik </v>
      </c>
      <c r="Y28" s="357">
        <f t="shared" si="1"/>
        <v>77.5</v>
      </c>
      <c r="Z28" s="361" t="str">
        <f>IF(Y28&gt;KKM!$G$10," sangat baik ",IF(Y28&gt;KKM!$H$10," baik ",IF(Y28&gt;=KKM!$I$10," cukup baik "," perlu bimbingan ")))</f>
        <v xml:space="preserve"> baik </v>
      </c>
      <c r="AA28" s="353" t="str">
        <f t="shared" si="5"/>
        <v xml:space="preserve">SYAEPUL baik  dalam memahami hak, kewajiban dan tanggung jawab sebagai warga dalam kehidupan sehari-hari.
</v>
      </c>
      <c r="AB28" s="256"/>
      <c r="AC28" s="257" t="str">
        <f t="shared" si="2"/>
        <v xml:space="preserve"> baik  dalam memahami hak, kewajiban dan tanggung jawab sebagai warga dalam kehidupan sehari-hari.
</v>
      </c>
      <c r="AD28" s="257" t="str">
        <f t="shared" si="3"/>
        <v xml:space="preserve"> baik  dalam memahami hak, kewajiban dan tanggung jawab sebagai warga dalam kehidupan sehari-hari.
</v>
      </c>
      <c r="AE28" s="257" t="str">
        <f t="shared" si="6"/>
        <v xml:space="preserve"> baik  dalam memahami hak, kewajiban dan tanggung jawab sebagai warga dalam kehidupan sehari-hari.
, dan  baik  dalam memahami hak, kewajiban dan tanggung jawab sebagai warga dalam kehidupan sehari-hari.
</v>
      </c>
      <c r="AF28" s="257" t="str">
        <f t="shared" si="7"/>
        <v xml:space="preserve"> baik  dalam memahami hak, kewajiban dan tanggung jawab sebagai warga dalam kehidupan sehari-hari.
</v>
      </c>
      <c r="AG28" s="258" t="str">
        <f t="shared" si="8"/>
        <v xml:space="preserve"> baik  dalam memahami hak, kewajiban dan tanggung jawab sebagai warga dalam kehidupan sehari-hari.
</v>
      </c>
      <c r="AH28" s="252" t="str">
        <f t="shared" si="9"/>
        <v xml:space="preserve">SYAEPUL baik  dalam memahami hak, kewajiban dan tanggung jawab sebagai warga dalam kehidupan sehari-hari.
</v>
      </c>
      <c r="AI28" s="153"/>
      <c r="AR28" s="469">
        <f t="shared" si="10"/>
        <v>78</v>
      </c>
    </row>
    <row r="29" spans="2:44" ht="59.25" customHeight="1">
      <c r="B29" s="142">
        <v>25</v>
      </c>
      <c r="C29" s="143" t="str">
        <f>SISWA!B30</f>
        <v>1718250040329</v>
      </c>
      <c r="D29" s="144" t="str">
        <f>SISWA!E30</f>
        <v>ALIF</v>
      </c>
      <c r="E29" s="594">
        <v>90</v>
      </c>
      <c r="F29" s="160">
        <v>90</v>
      </c>
      <c r="G29" s="160">
        <v>90</v>
      </c>
      <c r="H29" s="160"/>
      <c r="I29" s="160"/>
      <c r="J29" s="159"/>
      <c r="K29" s="159"/>
      <c r="L29" s="159"/>
      <c r="M29" s="159"/>
      <c r="N29" s="159"/>
      <c r="O29" s="159"/>
      <c r="P29" s="159"/>
      <c r="Q29" s="159"/>
      <c r="R29" s="160"/>
      <c r="S29" s="160"/>
      <c r="T29" s="159"/>
      <c r="U29" s="354">
        <f t="shared" si="4"/>
        <v>90</v>
      </c>
      <c r="V29" s="355" t="str">
        <f>IF(U29&gt;KKM!$G$10,"A",IF(U29&gt;KKM!$H$10,"B",IF(U29&gt;=KKM!$I$10,"C","D")))</f>
        <v>A</v>
      </c>
      <c r="W29" s="356">
        <f t="shared" si="0"/>
        <v>90</v>
      </c>
      <c r="X29" s="361" t="str">
        <f>IF(W29&gt;KKM!$G$10," sangat baik ",IF(W29&gt;KKM!$H$10," baik ",IF(W29&gt;=KKM!$I$10," cukup baik "," perlu bimbingan ")))</f>
        <v xml:space="preserve"> sangat baik </v>
      </c>
      <c r="Y29" s="357">
        <f t="shared" si="1"/>
        <v>90</v>
      </c>
      <c r="Z29" s="361" t="str">
        <f>IF(Y29&gt;KKM!$G$10," sangat baik ",IF(Y29&gt;KKM!$H$10," baik ",IF(Y29&gt;=KKM!$I$10," cukup baik "," perlu bimbingan ")))</f>
        <v xml:space="preserve"> sangat baik </v>
      </c>
      <c r="AA29" s="353" t="str">
        <f t="shared" si="5"/>
        <v xml:space="preserve">ALIF sangat baik  dalam memahami hak, kewajiban dan tanggung jawab sebagai warga dalam kehidupan sehari-hari.
</v>
      </c>
      <c r="AB29" s="256"/>
      <c r="AC29" s="257" t="str">
        <f t="shared" si="2"/>
        <v xml:space="preserve"> sangat baik  dalam memahami hak, kewajiban dan tanggung jawab sebagai warga dalam kehidupan sehari-hari.
</v>
      </c>
      <c r="AD29" s="257" t="str">
        <f t="shared" si="3"/>
        <v xml:space="preserve"> sangat baik  dalam memahami hak, kewajiban dan tanggung jawab sebagai warga dalam kehidupan sehari-hari.
</v>
      </c>
      <c r="AE29" s="257" t="str">
        <f t="shared" si="6"/>
        <v xml:space="preserve"> sangat baik  dalam memahami hak, kewajiban dan tanggung jawab sebagai warga dalam kehidupan sehari-hari.
, dan  sangat baik  dalam memahami hak, kewajiban dan tanggung jawab sebagai warga dalam kehidupan sehari-hari.
</v>
      </c>
      <c r="AF29" s="257" t="str">
        <f t="shared" si="7"/>
        <v xml:space="preserve"> sangat baik  dalam memahami hak, kewajiban dan tanggung jawab sebagai warga dalam kehidupan sehari-hari.
</v>
      </c>
      <c r="AG29" s="258" t="str">
        <f t="shared" si="8"/>
        <v xml:space="preserve"> sangat baik  dalam memahami hak, kewajiban dan tanggung jawab sebagai warga dalam kehidupan sehari-hari.
</v>
      </c>
      <c r="AH29" s="252" t="str">
        <f t="shared" si="9"/>
        <v xml:space="preserve">ALIF sangat baik  dalam memahami hak, kewajiban dan tanggung jawab sebagai warga dalam kehidupan sehari-hari.
</v>
      </c>
      <c r="AI29" s="153"/>
      <c r="AR29" s="469">
        <f t="shared" si="10"/>
        <v>90</v>
      </c>
    </row>
    <row r="30" spans="2:44" ht="59.25" customHeight="1">
      <c r="B30" s="142">
        <v>26</v>
      </c>
      <c r="C30" s="143" t="str">
        <f>SISWA!B31</f>
        <v>1718250040330</v>
      </c>
      <c r="D30" s="144" t="str">
        <f>SISWA!E31</f>
        <v>HIZKIEL</v>
      </c>
      <c r="E30" s="594">
        <v>85</v>
      </c>
      <c r="F30" s="160">
        <v>85</v>
      </c>
      <c r="G30" s="160">
        <v>85</v>
      </c>
      <c r="H30" s="160"/>
      <c r="I30" s="160"/>
      <c r="J30" s="159"/>
      <c r="K30" s="159"/>
      <c r="L30" s="159"/>
      <c r="M30" s="159"/>
      <c r="N30" s="159"/>
      <c r="O30" s="159"/>
      <c r="P30" s="159"/>
      <c r="Q30" s="159"/>
      <c r="R30" s="160"/>
      <c r="S30" s="160"/>
      <c r="T30" s="159"/>
      <c r="U30" s="354">
        <f t="shared" si="4"/>
        <v>85</v>
      </c>
      <c r="V30" s="355" t="str">
        <f>IF(U30&gt;KKM!$G$10,"A",IF(U30&gt;KKM!$H$10,"B",IF(U30&gt;=KKM!$I$10,"C","D")))</f>
        <v>B</v>
      </c>
      <c r="W30" s="356">
        <f t="shared" si="0"/>
        <v>85</v>
      </c>
      <c r="X30" s="361" t="str">
        <f>IF(W30&gt;KKM!$G$10," sangat baik ",IF(W30&gt;KKM!$H$10," baik ",IF(W30&gt;=KKM!$I$10," cukup baik "," perlu bimbingan ")))</f>
        <v xml:space="preserve"> baik </v>
      </c>
      <c r="Y30" s="357">
        <f t="shared" si="1"/>
        <v>85</v>
      </c>
      <c r="Z30" s="361" t="str">
        <f>IF(Y30&gt;KKM!$G$10," sangat baik ",IF(Y30&gt;KKM!$H$10," baik ",IF(Y30&gt;=KKM!$I$10," cukup baik "," perlu bimbingan ")))</f>
        <v xml:space="preserve"> baik </v>
      </c>
      <c r="AA30" s="353" t="str">
        <f t="shared" si="5"/>
        <v xml:space="preserve">HIZKIEL baik  dalam memahami hak, kewajiban dan tanggung jawab sebagai warga dalam kehidupan sehari-hari.
</v>
      </c>
      <c r="AB30" s="256"/>
      <c r="AC30" s="257" t="str">
        <f t="shared" si="2"/>
        <v xml:space="preserve"> baik  dalam memahami hak, kewajiban dan tanggung jawab sebagai warga dalam kehidupan sehari-hari.
</v>
      </c>
      <c r="AD30" s="257" t="str">
        <f t="shared" si="3"/>
        <v xml:space="preserve"> baik  dalam memahami hak, kewajiban dan tanggung jawab sebagai warga dalam kehidupan sehari-hari.
</v>
      </c>
      <c r="AE30" s="257" t="str">
        <f t="shared" si="6"/>
        <v xml:space="preserve"> baik  dalam memahami hak, kewajiban dan tanggung jawab sebagai warga dalam kehidupan sehari-hari.
, dan  baik  dalam memahami hak, kewajiban dan tanggung jawab sebagai warga dalam kehidupan sehari-hari.
</v>
      </c>
      <c r="AF30" s="257" t="str">
        <f t="shared" si="7"/>
        <v xml:space="preserve"> baik  dalam memahami hak, kewajiban dan tanggung jawab sebagai warga dalam kehidupan sehari-hari.
</v>
      </c>
      <c r="AG30" s="258" t="str">
        <f t="shared" si="8"/>
        <v xml:space="preserve"> baik  dalam memahami hak, kewajiban dan tanggung jawab sebagai warga dalam kehidupan sehari-hari.
</v>
      </c>
      <c r="AH30" s="252" t="str">
        <f t="shared" si="9"/>
        <v xml:space="preserve">HIZKIEL baik  dalam memahami hak, kewajiban dan tanggung jawab sebagai warga dalam kehidupan sehari-hari.
</v>
      </c>
      <c r="AI30" s="153"/>
      <c r="AR30" s="469">
        <f t="shared" si="10"/>
        <v>85</v>
      </c>
    </row>
    <row r="31" spans="2:44" ht="59.25" customHeight="1">
      <c r="B31" s="142">
        <v>27</v>
      </c>
      <c r="C31" s="143" t="str">
        <f>SISWA!B32</f>
        <v>1718250040331</v>
      </c>
      <c r="D31" s="144" t="str">
        <f>SISWA!E32</f>
        <v>LAEL</v>
      </c>
      <c r="E31" s="594">
        <v>92.5</v>
      </c>
      <c r="F31" s="160">
        <v>92.5</v>
      </c>
      <c r="G31" s="160">
        <v>92.5</v>
      </c>
      <c r="H31" s="160"/>
      <c r="I31" s="160"/>
      <c r="J31" s="159"/>
      <c r="K31" s="159"/>
      <c r="L31" s="159"/>
      <c r="M31" s="159"/>
      <c r="N31" s="159"/>
      <c r="O31" s="159"/>
      <c r="P31" s="159"/>
      <c r="Q31" s="159"/>
      <c r="R31" s="160"/>
      <c r="S31" s="160"/>
      <c r="T31" s="159"/>
      <c r="U31" s="354">
        <f t="shared" si="4"/>
        <v>93</v>
      </c>
      <c r="V31" s="355" t="str">
        <f>IF(U31&gt;KKM!$G$10,"A",IF(U31&gt;KKM!$H$10,"B",IF(U31&gt;=KKM!$I$10,"C","D")))</f>
        <v>A</v>
      </c>
      <c r="W31" s="356">
        <f t="shared" si="0"/>
        <v>92.5</v>
      </c>
      <c r="X31" s="361" t="str">
        <f>IF(W31&gt;KKM!$G$10," sangat baik ",IF(W31&gt;KKM!$H$10," baik ",IF(W31&gt;=KKM!$I$10," cukup baik "," perlu bimbingan ")))</f>
        <v xml:space="preserve"> sangat baik </v>
      </c>
      <c r="Y31" s="357">
        <f t="shared" si="1"/>
        <v>92.5</v>
      </c>
      <c r="Z31" s="361" t="str">
        <f>IF(Y31&gt;KKM!$G$10," sangat baik ",IF(Y31&gt;KKM!$H$10," baik ",IF(Y31&gt;=KKM!$I$10," cukup baik "," perlu bimbingan ")))</f>
        <v xml:space="preserve"> sangat baik </v>
      </c>
      <c r="AA31" s="353" t="str">
        <f t="shared" si="5"/>
        <v xml:space="preserve">LAEL sangat baik  dalam memahami hak, kewajiban dan tanggung jawab sebagai warga dalam kehidupan sehari-hari.
</v>
      </c>
      <c r="AB31" s="256"/>
      <c r="AC31" s="257" t="str">
        <f t="shared" si="2"/>
        <v xml:space="preserve"> sangat baik  dalam memahami hak, kewajiban dan tanggung jawab sebagai warga dalam kehidupan sehari-hari.
</v>
      </c>
      <c r="AD31" s="257" t="str">
        <f t="shared" si="3"/>
        <v xml:space="preserve"> sangat baik  dalam memahami hak, kewajiban dan tanggung jawab sebagai warga dalam kehidupan sehari-hari.
</v>
      </c>
      <c r="AE31" s="257" t="str">
        <f t="shared" si="6"/>
        <v xml:space="preserve"> sangat baik  dalam memahami hak, kewajiban dan tanggung jawab sebagai warga dalam kehidupan sehari-hari.
, dan  sangat baik  dalam memahami hak, kewajiban dan tanggung jawab sebagai warga dalam kehidupan sehari-hari.
</v>
      </c>
      <c r="AF31" s="257" t="str">
        <f t="shared" si="7"/>
        <v xml:space="preserve"> sangat baik  dalam memahami hak, kewajiban dan tanggung jawab sebagai warga dalam kehidupan sehari-hari.
</v>
      </c>
      <c r="AG31" s="258" t="str">
        <f t="shared" si="8"/>
        <v xml:space="preserve"> sangat baik  dalam memahami hak, kewajiban dan tanggung jawab sebagai warga dalam kehidupan sehari-hari.
</v>
      </c>
      <c r="AH31" s="252" t="str">
        <f t="shared" si="9"/>
        <v xml:space="preserve">LAEL sangat baik  dalam memahami hak, kewajiban dan tanggung jawab sebagai warga dalam kehidupan sehari-hari.
</v>
      </c>
      <c r="AI31" s="153"/>
      <c r="AR31" s="469">
        <f t="shared" si="10"/>
        <v>93</v>
      </c>
    </row>
    <row r="32" spans="2:44" ht="59.25" customHeight="1">
      <c r="B32" s="142">
        <v>28</v>
      </c>
      <c r="C32" s="143" t="str">
        <f>SISWA!B33</f>
        <v>1718250040332</v>
      </c>
      <c r="D32" s="144" t="str">
        <f>SISWA!E33</f>
        <v>NABIL</v>
      </c>
      <c r="E32" s="594">
        <v>82.5</v>
      </c>
      <c r="F32" s="160">
        <v>82.5</v>
      </c>
      <c r="G32" s="160">
        <v>82.5</v>
      </c>
      <c r="H32" s="160"/>
      <c r="I32" s="160"/>
      <c r="J32" s="159"/>
      <c r="K32" s="159"/>
      <c r="L32" s="159"/>
      <c r="M32" s="159"/>
      <c r="N32" s="159"/>
      <c r="O32" s="159"/>
      <c r="P32" s="159"/>
      <c r="Q32" s="159"/>
      <c r="R32" s="160"/>
      <c r="S32" s="160"/>
      <c r="T32" s="159"/>
      <c r="U32" s="354">
        <f t="shared" si="4"/>
        <v>83</v>
      </c>
      <c r="V32" s="355" t="str">
        <f>IF(U32&gt;KKM!$G$10,"A",IF(U32&gt;KKM!$H$10,"B",IF(U32&gt;=KKM!$I$10,"C","D")))</f>
        <v>B</v>
      </c>
      <c r="W32" s="356">
        <f t="shared" si="0"/>
        <v>82.5</v>
      </c>
      <c r="X32" s="361" t="str">
        <f>IF(W32&gt;KKM!$G$10," sangat baik ",IF(W32&gt;KKM!$H$10," baik ",IF(W32&gt;=KKM!$I$10," cukup baik "," perlu bimbingan ")))</f>
        <v xml:space="preserve"> baik </v>
      </c>
      <c r="Y32" s="357">
        <f t="shared" si="1"/>
        <v>82.5</v>
      </c>
      <c r="Z32" s="361" t="str">
        <f>IF(Y32&gt;KKM!$G$10," sangat baik ",IF(Y32&gt;KKM!$H$10," baik ",IF(Y32&gt;=KKM!$I$10," cukup baik "," perlu bimbingan ")))</f>
        <v xml:space="preserve"> baik </v>
      </c>
      <c r="AA32" s="353" t="str">
        <f t="shared" si="5"/>
        <v xml:space="preserve">NABIL baik  dalam memahami hak, kewajiban dan tanggung jawab sebagai warga dalam kehidupan sehari-hari.
</v>
      </c>
      <c r="AB32" s="256"/>
      <c r="AC32" s="257" t="str">
        <f t="shared" si="2"/>
        <v xml:space="preserve"> baik  dalam memahami hak, kewajiban dan tanggung jawab sebagai warga dalam kehidupan sehari-hari.
</v>
      </c>
      <c r="AD32" s="257" t="str">
        <f t="shared" si="3"/>
        <v xml:space="preserve"> baik  dalam memahami hak, kewajiban dan tanggung jawab sebagai warga dalam kehidupan sehari-hari.
</v>
      </c>
      <c r="AE32" s="257" t="str">
        <f t="shared" si="6"/>
        <v xml:space="preserve"> baik  dalam memahami hak, kewajiban dan tanggung jawab sebagai warga dalam kehidupan sehari-hari.
, dan  baik  dalam memahami hak, kewajiban dan tanggung jawab sebagai warga dalam kehidupan sehari-hari.
</v>
      </c>
      <c r="AF32" s="257" t="str">
        <f t="shared" si="7"/>
        <v xml:space="preserve"> baik  dalam memahami hak, kewajiban dan tanggung jawab sebagai warga dalam kehidupan sehari-hari.
</v>
      </c>
      <c r="AG32" s="258" t="str">
        <f t="shared" si="8"/>
        <v xml:space="preserve"> baik  dalam memahami hak, kewajiban dan tanggung jawab sebagai warga dalam kehidupan sehari-hari.
</v>
      </c>
      <c r="AH32" s="252" t="str">
        <f t="shared" si="9"/>
        <v xml:space="preserve">NABIL baik  dalam memahami hak, kewajiban dan tanggung jawab sebagai warga dalam kehidupan sehari-hari.
</v>
      </c>
      <c r="AI32" s="153"/>
      <c r="AR32" s="469">
        <f t="shared" si="10"/>
        <v>83</v>
      </c>
    </row>
    <row r="33" spans="2:44" ht="59.25" customHeight="1">
      <c r="B33" s="142">
        <v>29</v>
      </c>
      <c r="C33" s="143" t="str">
        <f>SISWA!B34</f>
        <v>1718250040333</v>
      </c>
      <c r="D33" s="144" t="str">
        <f>SISWA!E34</f>
        <v>RASYA</v>
      </c>
      <c r="E33" s="594">
        <v>82.5</v>
      </c>
      <c r="F33" s="160">
        <v>82.5</v>
      </c>
      <c r="G33" s="160">
        <v>82.5</v>
      </c>
      <c r="H33" s="160"/>
      <c r="I33" s="160"/>
      <c r="J33" s="159"/>
      <c r="K33" s="159"/>
      <c r="L33" s="159"/>
      <c r="M33" s="159"/>
      <c r="N33" s="159"/>
      <c r="O33" s="159"/>
      <c r="P33" s="159"/>
      <c r="Q33" s="159"/>
      <c r="R33" s="160"/>
      <c r="S33" s="160"/>
      <c r="T33" s="159"/>
      <c r="U33" s="354">
        <f t="shared" si="4"/>
        <v>83</v>
      </c>
      <c r="V33" s="355" t="str">
        <f>IF(U33&gt;KKM!$G$10,"A",IF(U33&gt;KKM!$H$10,"B",IF(U33&gt;=KKM!$I$10,"C","D")))</f>
        <v>B</v>
      </c>
      <c r="W33" s="356">
        <f t="shared" si="0"/>
        <v>82.5</v>
      </c>
      <c r="X33" s="361" t="str">
        <f>IF(W33&gt;KKM!$G$10," sangat baik ",IF(W33&gt;KKM!$H$10," baik ",IF(W33&gt;=KKM!$I$10," cukup baik "," perlu bimbingan ")))</f>
        <v xml:space="preserve"> baik </v>
      </c>
      <c r="Y33" s="357">
        <f t="shared" si="1"/>
        <v>82.5</v>
      </c>
      <c r="Z33" s="361" t="str">
        <f>IF(Y33&gt;KKM!$G$10," sangat baik ",IF(Y33&gt;KKM!$H$10," baik ",IF(Y33&gt;=KKM!$I$10," cukup baik "," perlu bimbingan ")))</f>
        <v xml:space="preserve"> baik </v>
      </c>
      <c r="AA33" s="353" t="str">
        <f t="shared" si="5"/>
        <v xml:space="preserve">RASYA baik  dalam memahami hak, kewajiban dan tanggung jawab sebagai warga dalam kehidupan sehari-hari.
</v>
      </c>
      <c r="AB33" s="256"/>
      <c r="AC33" s="257" t="str">
        <f t="shared" si="2"/>
        <v xml:space="preserve"> baik  dalam memahami hak, kewajiban dan tanggung jawab sebagai warga dalam kehidupan sehari-hari.
</v>
      </c>
      <c r="AD33" s="257" t="str">
        <f t="shared" si="3"/>
        <v xml:space="preserve"> baik  dalam memahami hak, kewajiban dan tanggung jawab sebagai warga dalam kehidupan sehari-hari.
</v>
      </c>
      <c r="AE33" s="257" t="str">
        <f t="shared" si="6"/>
        <v xml:space="preserve"> baik  dalam memahami hak, kewajiban dan tanggung jawab sebagai warga dalam kehidupan sehari-hari.
, dan  baik  dalam memahami hak, kewajiban dan tanggung jawab sebagai warga dalam kehidupan sehari-hari.
</v>
      </c>
      <c r="AF33" s="257" t="str">
        <f t="shared" si="7"/>
        <v xml:space="preserve"> baik  dalam memahami hak, kewajiban dan tanggung jawab sebagai warga dalam kehidupan sehari-hari.
</v>
      </c>
      <c r="AG33" s="258" t="str">
        <f t="shared" si="8"/>
        <v xml:space="preserve"> baik  dalam memahami hak, kewajiban dan tanggung jawab sebagai warga dalam kehidupan sehari-hari.
</v>
      </c>
      <c r="AH33" s="252" t="str">
        <f t="shared" si="9"/>
        <v xml:space="preserve">RASYA baik  dalam memahami hak, kewajiban dan tanggung jawab sebagai warga dalam kehidupan sehari-hari.
</v>
      </c>
      <c r="AI33" s="153"/>
      <c r="AR33" s="469">
        <f t="shared" si="10"/>
        <v>83</v>
      </c>
    </row>
    <row r="34" spans="2:44" ht="59.25" customHeight="1">
      <c r="B34" s="142">
        <v>30</v>
      </c>
      <c r="C34" s="143" t="str">
        <f>SISWA!B35</f>
        <v>1718250040334</v>
      </c>
      <c r="D34" s="144" t="str">
        <f>SISWA!E35</f>
        <v>RIZKI</v>
      </c>
      <c r="E34" s="594">
        <v>92.5</v>
      </c>
      <c r="F34" s="160">
        <v>92.5</v>
      </c>
      <c r="G34" s="160">
        <v>92.5</v>
      </c>
      <c r="H34" s="160"/>
      <c r="I34" s="160"/>
      <c r="J34" s="159"/>
      <c r="K34" s="159"/>
      <c r="L34" s="159"/>
      <c r="M34" s="159"/>
      <c r="N34" s="159"/>
      <c r="O34" s="159"/>
      <c r="P34" s="159"/>
      <c r="Q34" s="159"/>
      <c r="R34" s="160"/>
      <c r="S34" s="160"/>
      <c r="T34" s="159"/>
      <c r="U34" s="354">
        <f t="shared" si="4"/>
        <v>93</v>
      </c>
      <c r="V34" s="355" t="str">
        <f>IF(U34&gt;KKM!$G$10,"A",IF(U34&gt;KKM!$H$10,"B",IF(U34&gt;=KKM!$I$10,"C","D")))</f>
        <v>A</v>
      </c>
      <c r="W34" s="356">
        <f t="shared" si="0"/>
        <v>92.5</v>
      </c>
      <c r="X34" s="361" t="str">
        <f>IF(W34&gt;KKM!$G$10," sangat baik ",IF(W34&gt;KKM!$H$10," baik ",IF(W34&gt;=KKM!$I$10," cukup baik "," perlu bimbingan ")))</f>
        <v xml:space="preserve"> sangat baik </v>
      </c>
      <c r="Y34" s="357">
        <f t="shared" si="1"/>
        <v>92.5</v>
      </c>
      <c r="Z34" s="361" t="str">
        <f>IF(Y34&gt;KKM!$G$10," sangat baik ",IF(Y34&gt;KKM!$H$10," baik ",IF(Y34&gt;=KKM!$I$10," cukup baik "," perlu bimbingan ")))</f>
        <v xml:space="preserve"> sangat baik </v>
      </c>
      <c r="AA34" s="353" t="str">
        <f t="shared" si="5"/>
        <v xml:space="preserve">RIZKI sangat baik  dalam memahami hak, kewajiban dan tanggung jawab sebagai warga dalam kehidupan sehari-hari.
</v>
      </c>
      <c r="AB34" s="256"/>
      <c r="AC34" s="257" t="str">
        <f t="shared" si="2"/>
        <v xml:space="preserve"> sangat baik  dalam memahami hak, kewajiban dan tanggung jawab sebagai warga dalam kehidupan sehari-hari.
</v>
      </c>
      <c r="AD34" s="257" t="str">
        <f t="shared" si="3"/>
        <v xml:space="preserve"> sangat baik  dalam memahami hak, kewajiban dan tanggung jawab sebagai warga dalam kehidupan sehari-hari.
</v>
      </c>
      <c r="AE34" s="257" t="str">
        <f t="shared" si="6"/>
        <v xml:space="preserve"> sangat baik  dalam memahami hak, kewajiban dan tanggung jawab sebagai warga dalam kehidupan sehari-hari.
, dan  sangat baik  dalam memahami hak, kewajiban dan tanggung jawab sebagai warga dalam kehidupan sehari-hari.
</v>
      </c>
      <c r="AF34" s="257" t="str">
        <f t="shared" si="7"/>
        <v xml:space="preserve"> sangat baik  dalam memahami hak, kewajiban dan tanggung jawab sebagai warga dalam kehidupan sehari-hari.
</v>
      </c>
      <c r="AG34" s="258" t="str">
        <f t="shared" si="8"/>
        <v xml:space="preserve"> sangat baik  dalam memahami hak, kewajiban dan tanggung jawab sebagai warga dalam kehidupan sehari-hari.
</v>
      </c>
      <c r="AH34" s="252" t="str">
        <f t="shared" si="9"/>
        <v xml:space="preserve">RIZKI sangat baik  dalam memahami hak, kewajiban dan tanggung jawab sebagai warga dalam kehidupan sehari-hari.
</v>
      </c>
      <c r="AI34" s="153"/>
      <c r="AR34" s="469">
        <f t="shared" si="10"/>
        <v>93</v>
      </c>
    </row>
    <row r="35" spans="2:44" ht="59.25" customHeight="1">
      <c r="B35" s="142">
        <v>31</v>
      </c>
      <c r="C35" s="143" t="str">
        <f>SISWA!B36</f>
        <v>1718250040335</v>
      </c>
      <c r="D35" s="144" t="str">
        <f>SISWA!E36</f>
        <v>SATRIA</v>
      </c>
      <c r="E35" s="594">
        <v>90</v>
      </c>
      <c r="F35" s="160">
        <v>90</v>
      </c>
      <c r="G35" s="160">
        <v>90</v>
      </c>
      <c r="H35" s="160"/>
      <c r="I35" s="160"/>
      <c r="J35" s="159"/>
      <c r="K35" s="159"/>
      <c r="L35" s="159"/>
      <c r="M35" s="159"/>
      <c r="N35" s="159"/>
      <c r="O35" s="159"/>
      <c r="P35" s="159"/>
      <c r="Q35" s="159"/>
      <c r="R35" s="160"/>
      <c r="S35" s="160"/>
      <c r="T35" s="159"/>
      <c r="U35" s="354">
        <f t="shared" si="4"/>
        <v>90</v>
      </c>
      <c r="V35" s="355" t="str">
        <f>IF(U35&gt;KKM!$G$10,"A",IF(U35&gt;KKM!$H$10,"B",IF(U35&gt;=KKM!$I$10,"C","D")))</f>
        <v>A</v>
      </c>
      <c r="W35" s="356">
        <f t="shared" si="0"/>
        <v>90</v>
      </c>
      <c r="X35" s="361" t="str">
        <f>IF(W35&gt;KKM!$G$10," sangat baik ",IF(W35&gt;KKM!$H$10," baik ",IF(W35&gt;=KKM!$I$10," cukup baik "," perlu bimbingan ")))</f>
        <v xml:space="preserve"> sangat baik </v>
      </c>
      <c r="Y35" s="357">
        <f t="shared" si="1"/>
        <v>90</v>
      </c>
      <c r="Z35" s="361" t="str">
        <f>IF(Y35&gt;KKM!$G$10," sangat baik ",IF(Y35&gt;KKM!$H$10," baik ",IF(Y35&gt;=KKM!$I$10," cukup baik "," perlu bimbingan ")))</f>
        <v xml:space="preserve"> sangat baik </v>
      </c>
      <c r="AA35" s="353" t="str">
        <f t="shared" si="5"/>
        <v xml:space="preserve">SATRIA sangat baik  dalam memahami hak, kewajiban dan tanggung jawab sebagai warga dalam kehidupan sehari-hari.
</v>
      </c>
      <c r="AB35" s="256"/>
      <c r="AC35" s="257" t="str">
        <f t="shared" si="2"/>
        <v xml:space="preserve"> sangat baik  dalam memahami hak, kewajiban dan tanggung jawab sebagai warga dalam kehidupan sehari-hari.
</v>
      </c>
      <c r="AD35" s="257" t="str">
        <f t="shared" si="3"/>
        <v xml:space="preserve"> sangat baik  dalam memahami hak, kewajiban dan tanggung jawab sebagai warga dalam kehidupan sehari-hari.
</v>
      </c>
      <c r="AE35" s="257" t="str">
        <f t="shared" si="6"/>
        <v xml:space="preserve"> sangat baik  dalam memahami hak, kewajiban dan tanggung jawab sebagai warga dalam kehidupan sehari-hari.
, dan  sangat baik  dalam memahami hak, kewajiban dan tanggung jawab sebagai warga dalam kehidupan sehari-hari.
</v>
      </c>
      <c r="AF35" s="257" t="str">
        <f t="shared" si="7"/>
        <v xml:space="preserve"> sangat baik  dalam memahami hak, kewajiban dan tanggung jawab sebagai warga dalam kehidupan sehari-hari.
</v>
      </c>
      <c r="AG35" s="258" t="str">
        <f t="shared" si="8"/>
        <v xml:space="preserve"> sangat baik  dalam memahami hak, kewajiban dan tanggung jawab sebagai warga dalam kehidupan sehari-hari.
</v>
      </c>
      <c r="AH35" s="252" t="str">
        <f t="shared" si="9"/>
        <v xml:space="preserve">SATRIA sangat baik  dalam memahami hak, kewajiban dan tanggung jawab sebagai warga dalam kehidupan sehari-hari.
</v>
      </c>
      <c r="AI35" s="153"/>
      <c r="AR35" s="469">
        <f t="shared" si="10"/>
        <v>90</v>
      </c>
    </row>
    <row r="36" spans="2:44" ht="59.25" customHeight="1">
      <c r="B36" s="142">
        <v>32</v>
      </c>
      <c r="C36" s="143" t="str">
        <f>SISWA!B37</f>
        <v>1718250040336</v>
      </c>
      <c r="D36" s="144" t="str">
        <f>SISWA!E37</f>
        <v>NADIA</v>
      </c>
      <c r="E36" s="594">
        <v>97.5</v>
      </c>
      <c r="F36" s="160">
        <v>97.5</v>
      </c>
      <c r="G36" s="160">
        <v>97.5</v>
      </c>
      <c r="H36" s="160"/>
      <c r="I36" s="160"/>
      <c r="J36" s="159"/>
      <c r="K36" s="159"/>
      <c r="L36" s="159"/>
      <c r="M36" s="159"/>
      <c r="N36" s="159"/>
      <c r="O36" s="159"/>
      <c r="P36" s="159"/>
      <c r="Q36" s="159"/>
      <c r="R36" s="160"/>
      <c r="S36" s="160"/>
      <c r="T36" s="159"/>
      <c r="U36" s="354">
        <f t="shared" si="4"/>
        <v>98</v>
      </c>
      <c r="V36" s="355" t="str">
        <f>IF(U36&gt;KKM!$G$10,"A",IF(U36&gt;KKM!$H$10,"B",IF(U36&gt;=KKM!$I$10,"C","D")))</f>
        <v>A</v>
      </c>
      <c r="W36" s="356">
        <f t="shared" si="0"/>
        <v>97.5</v>
      </c>
      <c r="X36" s="361" t="str">
        <f>IF(W36&gt;KKM!$G$10," sangat baik ",IF(W36&gt;KKM!$H$10," baik ",IF(W36&gt;=KKM!$I$10," cukup baik "," perlu bimbingan ")))</f>
        <v xml:space="preserve"> sangat baik </v>
      </c>
      <c r="Y36" s="357">
        <f t="shared" si="1"/>
        <v>97.5</v>
      </c>
      <c r="Z36" s="361" t="str">
        <f>IF(Y36&gt;KKM!$G$10," sangat baik ",IF(Y36&gt;KKM!$H$10," baik ",IF(Y36&gt;=KKM!$I$10," cukup baik "," perlu bimbingan ")))</f>
        <v xml:space="preserve"> sangat baik </v>
      </c>
      <c r="AA36" s="353" t="str">
        <f t="shared" si="5"/>
        <v xml:space="preserve">NADIA sangat baik  dalam memahami hak, kewajiban dan tanggung jawab sebagai warga dalam kehidupan sehari-hari.
</v>
      </c>
      <c r="AB36" s="256"/>
      <c r="AC36" s="257" t="str">
        <f t="shared" si="2"/>
        <v xml:space="preserve"> sangat baik  dalam memahami hak, kewajiban dan tanggung jawab sebagai warga dalam kehidupan sehari-hari.
</v>
      </c>
      <c r="AD36" s="257" t="str">
        <f t="shared" si="3"/>
        <v xml:space="preserve"> sangat baik  dalam memahami hak, kewajiban dan tanggung jawab sebagai warga dalam kehidupan sehari-hari.
</v>
      </c>
      <c r="AE36" s="257" t="str">
        <f t="shared" si="6"/>
        <v xml:space="preserve"> sangat baik  dalam memahami hak, kewajiban dan tanggung jawab sebagai warga dalam kehidupan sehari-hari.
, dan  sangat baik  dalam memahami hak, kewajiban dan tanggung jawab sebagai warga dalam kehidupan sehari-hari.
</v>
      </c>
      <c r="AF36" s="257" t="str">
        <f t="shared" si="7"/>
        <v xml:space="preserve"> sangat baik  dalam memahami hak, kewajiban dan tanggung jawab sebagai warga dalam kehidupan sehari-hari.
</v>
      </c>
      <c r="AG36" s="258" t="str">
        <f t="shared" si="8"/>
        <v xml:space="preserve"> sangat baik  dalam memahami hak, kewajiban dan tanggung jawab sebagai warga dalam kehidupan sehari-hari.
</v>
      </c>
      <c r="AH36" s="252" t="str">
        <f t="shared" si="9"/>
        <v xml:space="preserve">NADIA sangat baik  dalam memahami hak, kewajiban dan tanggung jawab sebagai warga dalam kehidupan sehari-hari.
</v>
      </c>
      <c r="AI36" s="153"/>
      <c r="AR36" s="469">
        <f t="shared" si="10"/>
        <v>98</v>
      </c>
    </row>
    <row r="37" spans="2:44" ht="59.25" customHeight="1">
      <c r="B37" s="142">
        <v>33</v>
      </c>
      <c r="C37" s="143" t="str">
        <f>SISWA!B38</f>
        <v>1718250040337</v>
      </c>
      <c r="D37" s="144" t="str">
        <f>SISWA!E38</f>
        <v>NAFILA</v>
      </c>
      <c r="E37" s="594">
        <v>85</v>
      </c>
      <c r="F37" s="160">
        <v>85</v>
      </c>
      <c r="G37" s="160">
        <v>85</v>
      </c>
      <c r="H37" s="160"/>
      <c r="I37" s="160"/>
      <c r="J37" s="159"/>
      <c r="K37" s="159"/>
      <c r="L37" s="159"/>
      <c r="M37" s="159"/>
      <c r="N37" s="159"/>
      <c r="O37" s="159"/>
      <c r="P37" s="159"/>
      <c r="Q37" s="159"/>
      <c r="R37" s="160"/>
      <c r="S37" s="160"/>
      <c r="T37" s="159"/>
      <c r="U37" s="354">
        <f t="shared" si="4"/>
        <v>85</v>
      </c>
      <c r="V37" s="355" t="str">
        <f>IF(U37&gt;KKM!$G$10,"A",IF(U37&gt;KKM!$H$10,"B",IF(U37&gt;=KKM!$I$10,"C","D")))</f>
        <v>B</v>
      </c>
      <c r="W37" s="356">
        <f t="shared" si="0"/>
        <v>85</v>
      </c>
      <c r="X37" s="361" t="str">
        <f>IF(W37&gt;KKM!$G$10," sangat baik ",IF(W37&gt;KKM!$H$10," baik ",IF(W37&gt;=KKM!$I$10," cukup baik "," perlu bimbingan ")))</f>
        <v xml:space="preserve"> baik </v>
      </c>
      <c r="Y37" s="357">
        <f t="shared" si="1"/>
        <v>85</v>
      </c>
      <c r="Z37" s="361" t="str">
        <f>IF(Y37&gt;KKM!$G$10," sangat baik ",IF(Y37&gt;KKM!$H$10," baik ",IF(Y37&gt;=KKM!$I$10," cukup baik "," perlu bimbingan ")))</f>
        <v xml:space="preserve"> baik </v>
      </c>
      <c r="AA37" s="353" t="str">
        <f t="shared" si="5"/>
        <v xml:space="preserve">NAFILA baik  dalam memahami hak, kewajiban dan tanggung jawab sebagai warga dalam kehidupan sehari-hari.
</v>
      </c>
      <c r="AB37" s="256"/>
      <c r="AC37" s="257" t="str">
        <f t="shared" si="2"/>
        <v xml:space="preserve"> baik  dalam memahami hak, kewajiban dan tanggung jawab sebagai warga dalam kehidupan sehari-hari.
</v>
      </c>
      <c r="AD37" s="257" t="str">
        <f t="shared" si="3"/>
        <v xml:space="preserve"> baik  dalam memahami hak, kewajiban dan tanggung jawab sebagai warga dalam kehidupan sehari-hari.
</v>
      </c>
      <c r="AE37" s="257" t="str">
        <f t="shared" si="6"/>
        <v xml:space="preserve"> baik  dalam memahami hak, kewajiban dan tanggung jawab sebagai warga dalam kehidupan sehari-hari.
, dan  baik  dalam memahami hak, kewajiban dan tanggung jawab sebagai warga dalam kehidupan sehari-hari.
</v>
      </c>
      <c r="AF37" s="257" t="str">
        <f t="shared" si="7"/>
        <v xml:space="preserve"> baik  dalam memahami hak, kewajiban dan tanggung jawab sebagai warga dalam kehidupan sehari-hari.
</v>
      </c>
      <c r="AG37" s="258" t="str">
        <f t="shared" si="8"/>
        <v xml:space="preserve"> baik  dalam memahami hak, kewajiban dan tanggung jawab sebagai warga dalam kehidupan sehari-hari.
</v>
      </c>
      <c r="AH37" s="252" t="str">
        <f t="shared" si="9"/>
        <v xml:space="preserve">NAFILA baik  dalam memahami hak, kewajiban dan tanggung jawab sebagai warga dalam kehidupan sehari-hari.
</v>
      </c>
      <c r="AI37" s="153"/>
      <c r="AR37" s="469">
        <f t="shared" si="10"/>
        <v>85</v>
      </c>
    </row>
    <row r="38" spans="2:44" ht="59.25" customHeight="1">
      <c r="B38" s="142">
        <v>34</v>
      </c>
      <c r="C38" s="143" t="str">
        <f>SISWA!B39</f>
        <v>1718250040338</v>
      </c>
      <c r="D38" s="144" t="str">
        <f>SISWA!E39</f>
        <v>NAZZALA</v>
      </c>
      <c r="E38" s="594">
        <v>85</v>
      </c>
      <c r="F38" s="160">
        <v>85</v>
      </c>
      <c r="G38" s="160">
        <v>85</v>
      </c>
      <c r="H38" s="160"/>
      <c r="I38" s="160"/>
      <c r="J38" s="159"/>
      <c r="K38" s="159"/>
      <c r="L38" s="159"/>
      <c r="M38" s="159"/>
      <c r="N38" s="159"/>
      <c r="O38" s="159"/>
      <c r="P38" s="159"/>
      <c r="Q38" s="159"/>
      <c r="R38" s="160"/>
      <c r="S38" s="160"/>
      <c r="T38" s="159"/>
      <c r="U38" s="354">
        <f t="shared" si="4"/>
        <v>85</v>
      </c>
      <c r="V38" s="355" t="str">
        <f>IF(U38&gt;KKM!$G$10,"A",IF(U38&gt;KKM!$H$10,"B",IF(U38&gt;=KKM!$I$10,"C","D")))</f>
        <v>B</v>
      </c>
      <c r="W38" s="356">
        <f t="shared" si="0"/>
        <v>85</v>
      </c>
      <c r="X38" s="361" t="str">
        <f>IF(W38&gt;KKM!$G$10," sangat baik ",IF(W38&gt;KKM!$H$10," baik ",IF(W38&gt;=KKM!$I$10," cukup baik "," perlu bimbingan ")))</f>
        <v xml:space="preserve"> baik </v>
      </c>
      <c r="Y38" s="357">
        <f t="shared" si="1"/>
        <v>85</v>
      </c>
      <c r="Z38" s="361" t="str">
        <f>IF(Y38&gt;KKM!$G$10," sangat baik ",IF(Y38&gt;KKM!$H$10," baik ",IF(Y38&gt;=KKM!$I$10," cukup baik "," perlu bimbingan ")))</f>
        <v xml:space="preserve"> baik </v>
      </c>
      <c r="AA38" s="353" t="str">
        <f t="shared" si="5"/>
        <v xml:space="preserve">NAZZALA baik  dalam memahami hak, kewajiban dan tanggung jawab sebagai warga dalam kehidupan sehari-hari.
</v>
      </c>
      <c r="AB38" s="256"/>
      <c r="AC38" s="257" t="str">
        <f t="shared" si="2"/>
        <v xml:space="preserve"> baik  dalam memahami hak, kewajiban dan tanggung jawab sebagai warga dalam kehidupan sehari-hari.
</v>
      </c>
      <c r="AD38" s="257" t="str">
        <f t="shared" si="3"/>
        <v xml:space="preserve"> baik  dalam memahami hak, kewajiban dan tanggung jawab sebagai warga dalam kehidupan sehari-hari.
</v>
      </c>
      <c r="AE38" s="257" t="str">
        <f t="shared" si="6"/>
        <v xml:space="preserve"> baik  dalam memahami hak, kewajiban dan tanggung jawab sebagai warga dalam kehidupan sehari-hari.
, dan  baik  dalam memahami hak, kewajiban dan tanggung jawab sebagai warga dalam kehidupan sehari-hari.
</v>
      </c>
      <c r="AF38" s="257" t="str">
        <f t="shared" si="7"/>
        <v xml:space="preserve"> baik  dalam memahami hak, kewajiban dan tanggung jawab sebagai warga dalam kehidupan sehari-hari.
</v>
      </c>
      <c r="AG38" s="258" t="str">
        <f t="shared" si="8"/>
        <v xml:space="preserve"> baik  dalam memahami hak, kewajiban dan tanggung jawab sebagai warga dalam kehidupan sehari-hari.
</v>
      </c>
      <c r="AH38" s="252" t="str">
        <f t="shared" si="9"/>
        <v xml:space="preserve">NAZZALA baik  dalam memahami hak, kewajiban dan tanggung jawab sebagai warga dalam kehidupan sehari-hari.
</v>
      </c>
      <c r="AI38" s="153"/>
      <c r="AR38" s="469">
        <f t="shared" si="10"/>
        <v>85</v>
      </c>
    </row>
    <row r="39" spans="2:44" ht="59.25" customHeight="1">
      <c r="B39" s="142">
        <v>35</v>
      </c>
      <c r="C39" s="143" t="str">
        <f>SISWA!B40</f>
        <v>1718250040339</v>
      </c>
      <c r="D39" s="144" t="str">
        <f>SISWA!E40</f>
        <v>RAFAREL</v>
      </c>
      <c r="E39" s="594">
        <v>87.5</v>
      </c>
      <c r="F39" s="160">
        <v>87.5</v>
      </c>
      <c r="G39" s="160">
        <v>87.5</v>
      </c>
      <c r="H39" s="160"/>
      <c r="I39" s="160"/>
      <c r="J39" s="159"/>
      <c r="K39" s="159"/>
      <c r="L39" s="159"/>
      <c r="M39" s="159"/>
      <c r="N39" s="159"/>
      <c r="O39" s="159"/>
      <c r="P39" s="159"/>
      <c r="Q39" s="159"/>
      <c r="R39" s="160"/>
      <c r="S39" s="160"/>
      <c r="T39" s="159"/>
      <c r="U39" s="354">
        <f t="shared" si="4"/>
        <v>88</v>
      </c>
      <c r="V39" s="355" t="str">
        <f>IF(U39&gt;KKM!$G$10,"A",IF(U39&gt;KKM!$H$10,"B",IF(U39&gt;=KKM!$I$10,"C","D")))</f>
        <v>A</v>
      </c>
      <c r="W39" s="356">
        <f t="shared" si="0"/>
        <v>87.5</v>
      </c>
      <c r="X39" s="361" t="str">
        <f>IF(W39&gt;KKM!$G$10," sangat baik ",IF(W39&gt;KKM!$H$10," baik ",IF(W39&gt;=KKM!$I$10," cukup baik "," perlu bimbingan ")))</f>
        <v xml:space="preserve"> sangat baik </v>
      </c>
      <c r="Y39" s="357">
        <f t="shared" si="1"/>
        <v>87.5</v>
      </c>
      <c r="Z39" s="361" t="str">
        <f>IF(Y39&gt;KKM!$G$10," sangat baik ",IF(Y39&gt;KKM!$H$10," baik ",IF(Y39&gt;=KKM!$I$10," cukup baik "," perlu bimbingan ")))</f>
        <v xml:space="preserve"> sangat baik </v>
      </c>
      <c r="AA39" s="353" t="str">
        <f t="shared" si="5"/>
        <v xml:space="preserve">RAFAREL sangat baik  dalam memahami hak, kewajiban dan tanggung jawab sebagai warga dalam kehidupan sehari-hari.
</v>
      </c>
      <c r="AB39" s="256"/>
      <c r="AC39" s="257" t="str">
        <f t="shared" si="2"/>
        <v xml:space="preserve"> sangat baik  dalam memahami hak, kewajiban dan tanggung jawab sebagai warga dalam kehidupan sehari-hari.
</v>
      </c>
      <c r="AD39" s="257" t="str">
        <f t="shared" si="3"/>
        <v xml:space="preserve"> sangat baik  dalam memahami hak, kewajiban dan tanggung jawab sebagai warga dalam kehidupan sehari-hari.
</v>
      </c>
      <c r="AE39" s="257" t="str">
        <f t="shared" si="6"/>
        <v xml:space="preserve"> sangat baik  dalam memahami hak, kewajiban dan tanggung jawab sebagai warga dalam kehidupan sehari-hari.
, dan  sangat baik  dalam memahami hak, kewajiban dan tanggung jawab sebagai warga dalam kehidupan sehari-hari.
</v>
      </c>
      <c r="AF39" s="257" t="str">
        <f t="shared" si="7"/>
        <v xml:space="preserve"> sangat baik  dalam memahami hak, kewajiban dan tanggung jawab sebagai warga dalam kehidupan sehari-hari.
</v>
      </c>
      <c r="AG39" s="258" t="str">
        <f t="shared" si="8"/>
        <v xml:space="preserve"> sangat baik  dalam memahami hak, kewajiban dan tanggung jawab sebagai warga dalam kehidupan sehari-hari.
</v>
      </c>
      <c r="AH39" s="252" t="str">
        <f t="shared" si="9"/>
        <v xml:space="preserve">RAFAREL sangat baik  dalam memahami hak, kewajiban dan tanggung jawab sebagai warga dalam kehidupan sehari-hari.
</v>
      </c>
      <c r="AI39" s="153"/>
      <c r="AR39" s="469">
        <f t="shared" si="10"/>
        <v>88</v>
      </c>
    </row>
    <row r="40" spans="2:44" ht="59.25" customHeight="1">
      <c r="B40" s="142">
        <v>36</v>
      </c>
      <c r="C40" s="143" t="str">
        <f>SISWA!B41</f>
        <v>1718250040340</v>
      </c>
      <c r="D40" s="144" t="str">
        <f>SISWA!E41</f>
        <v>RAKHA</v>
      </c>
      <c r="E40" s="594">
        <v>92.5</v>
      </c>
      <c r="F40" s="160">
        <v>92.5</v>
      </c>
      <c r="G40" s="160">
        <v>92.5</v>
      </c>
      <c r="H40" s="160"/>
      <c r="I40" s="160"/>
      <c r="J40" s="159"/>
      <c r="K40" s="159"/>
      <c r="L40" s="159"/>
      <c r="M40" s="159"/>
      <c r="N40" s="159"/>
      <c r="O40" s="159"/>
      <c r="P40" s="159"/>
      <c r="Q40" s="159"/>
      <c r="R40" s="160"/>
      <c r="S40" s="160"/>
      <c r="T40" s="159"/>
      <c r="U40" s="354">
        <f t="shared" si="4"/>
        <v>93</v>
      </c>
      <c r="V40" s="355" t="str">
        <f>IF(U40&gt;KKM!$G$10,"A",IF(U40&gt;KKM!$H$10,"B",IF(U40&gt;=KKM!$I$10,"C","D")))</f>
        <v>A</v>
      </c>
      <c r="W40" s="356">
        <f t="shared" si="0"/>
        <v>92.5</v>
      </c>
      <c r="X40" s="361" t="str">
        <f>IF(W40&gt;KKM!$G$10," sangat baik ",IF(W40&gt;KKM!$H$10," baik ",IF(W40&gt;=KKM!$I$10," cukup baik "," perlu bimbingan ")))</f>
        <v xml:space="preserve"> sangat baik </v>
      </c>
      <c r="Y40" s="357">
        <f t="shared" si="1"/>
        <v>92.5</v>
      </c>
      <c r="Z40" s="361" t="str">
        <f>IF(Y40&gt;KKM!$G$10," sangat baik ",IF(Y40&gt;KKM!$H$10," baik ",IF(Y40&gt;=KKM!$I$10," cukup baik "," perlu bimbingan ")))</f>
        <v xml:space="preserve"> sangat baik </v>
      </c>
      <c r="AA40" s="353" t="str">
        <f t="shared" si="5"/>
        <v xml:space="preserve">RAKHA sangat baik  dalam memahami hak, kewajiban dan tanggung jawab sebagai warga dalam kehidupan sehari-hari.
</v>
      </c>
      <c r="AB40" s="256"/>
      <c r="AC40" s="257" t="str">
        <f t="shared" si="2"/>
        <v xml:space="preserve"> sangat baik  dalam memahami hak, kewajiban dan tanggung jawab sebagai warga dalam kehidupan sehari-hari.
</v>
      </c>
      <c r="AD40" s="257" t="str">
        <f t="shared" si="3"/>
        <v xml:space="preserve"> sangat baik  dalam memahami hak, kewajiban dan tanggung jawab sebagai warga dalam kehidupan sehari-hari.
</v>
      </c>
      <c r="AE40" s="257" t="str">
        <f t="shared" si="6"/>
        <v xml:space="preserve"> sangat baik  dalam memahami hak, kewajiban dan tanggung jawab sebagai warga dalam kehidupan sehari-hari.
, dan  sangat baik  dalam memahami hak, kewajiban dan tanggung jawab sebagai warga dalam kehidupan sehari-hari.
</v>
      </c>
      <c r="AF40" s="257" t="str">
        <f t="shared" si="7"/>
        <v xml:space="preserve"> sangat baik  dalam memahami hak, kewajiban dan tanggung jawab sebagai warga dalam kehidupan sehari-hari.
</v>
      </c>
      <c r="AG40" s="258" t="str">
        <f t="shared" si="8"/>
        <v xml:space="preserve"> sangat baik  dalam memahami hak, kewajiban dan tanggung jawab sebagai warga dalam kehidupan sehari-hari.
</v>
      </c>
      <c r="AH40" s="252" t="str">
        <f t="shared" si="9"/>
        <v xml:space="preserve">RAKHA sangat baik  dalam memahami hak, kewajiban dan tanggung jawab sebagai warga dalam kehidupan sehari-hari.
</v>
      </c>
      <c r="AI40" s="153"/>
      <c r="AR40" s="469">
        <f t="shared" si="10"/>
        <v>93</v>
      </c>
    </row>
    <row r="41" spans="2:44" ht="59.25" customHeight="1">
      <c r="B41" s="142">
        <v>37</v>
      </c>
      <c r="C41" s="143" t="str">
        <f>SISWA!B42</f>
        <v>1718250040341</v>
      </c>
      <c r="D41" s="144" t="str">
        <f>SISWA!E42</f>
        <v>RYU</v>
      </c>
      <c r="E41" s="594">
        <v>70</v>
      </c>
      <c r="F41" s="160">
        <v>70</v>
      </c>
      <c r="G41" s="160">
        <v>70</v>
      </c>
      <c r="H41" s="160"/>
      <c r="I41" s="160"/>
      <c r="J41" s="159"/>
      <c r="K41" s="159"/>
      <c r="L41" s="159"/>
      <c r="M41" s="159"/>
      <c r="N41" s="159"/>
      <c r="O41" s="159"/>
      <c r="P41" s="159"/>
      <c r="Q41" s="159"/>
      <c r="R41" s="160"/>
      <c r="S41" s="160"/>
      <c r="T41" s="159"/>
      <c r="U41" s="354">
        <f t="shared" si="4"/>
        <v>70</v>
      </c>
      <c r="V41" s="355" t="str">
        <f>IF(U41&gt;KKM!$G$10,"A",IF(U41&gt;KKM!$H$10,"B",IF(U41&gt;=KKM!$I$10,"C","D")))</f>
        <v>C</v>
      </c>
      <c r="W41" s="356">
        <f t="shared" si="0"/>
        <v>70</v>
      </c>
      <c r="X41" s="361" t="str">
        <f>IF(W41&gt;KKM!$G$10," sangat baik ",IF(W41&gt;KKM!$H$10," baik ",IF(W41&gt;=KKM!$I$10," cukup baik "," perlu bimbingan ")))</f>
        <v xml:space="preserve"> cukup baik </v>
      </c>
      <c r="Y41" s="357">
        <f t="shared" si="1"/>
        <v>70</v>
      </c>
      <c r="Z41" s="361" t="str">
        <f>IF(Y41&gt;KKM!$G$10," sangat baik ",IF(Y41&gt;KKM!$H$10," baik ",IF(Y41&gt;=KKM!$I$10," cukup baik "," perlu bimbingan ")))</f>
        <v xml:space="preserve"> cukup baik </v>
      </c>
      <c r="AA41" s="353" t="str">
        <f t="shared" si="5"/>
        <v xml:space="preserve">RYU cukup baik  dalam memahami hak, kewajiban dan tanggung jawab sebagai warga dalam kehidupan sehari-hari.
</v>
      </c>
      <c r="AB41" s="256"/>
      <c r="AC41" s="257" t="str">
        <f t="shared" si="2"/>
        <v xml:space="preserve"> cukup baik  dalam memahami hak, kewajiban dan tanggung jawab sebagai warga dalam kehidupan sehari-hari.
</v>
      </c>
      <c r="AD41" s="257" t="str">
        <f t="shared" si="3"/>
        <v xml:space="preserve"> cukup baik  dalam memahami hak, kewajiban dan tanggung jawab sebagai warga dalam kehidupan sehari-hari.
</v>
      </c>
      <c r="AE41" s="257" t="str">
        <f t="shared" si="6"/>
        <v xml:space="preserve"> cukup baik  dalam memahami hak, kewajiban dan tanggung jawab sebagai warga dalam kehidupan sehari-hari.
, dan  cukup baik  dalam memahami hak, kewajiban dan tanggung jawab sebagai warga dalam kehidupan sehari-hari.
</v>
      </c>
      <c r="AF41" s="257" t="str">
        <f t="shared" si="7"/>
        <v xml:space="preserve"> cukup baik  dalam memahami hak, kewajiban dan tanggung jawab sebagai warga dalam kehidupan sehari-hari.
</v>
      </c>
      <c r="AG41" s="258" t="str">
        <f t="shared" si="8"/>
        <v xml:space="preserve"> cukup baik  dalam memahami hak, kewajiban dan tanggung jawab sebagai warga dalam kehidupan sehari-hari.
</v>
      </c>
      <c r="AH41" s="252" t="str">
        <f t="shared" si="9"/>
        <v xml:space="preserve">RYU cukup baik  dalam memahami hak, kewajiban dan tanggung jawab sebagai warga dalam kehidupan sehari-hari.
</v>
      </c>
      <c r="AI41" s="153"/>
      <c r="AR41" s="469">
        <f t="shared" si="10"/>
        <v>70</v>
      </c>
    </row>
    <row r="42" spans="2:44" ht="59.25" customHeight="1">
      <c r="B42" s="142">
        <v>38</v>
      </c>
      <c r="C42" s="143" t="str">
        <f>SISWA!B43</f>
        <v>1718250040342</v>
      </c>
      <c r="D42" s="144" t="str">
        <f>SISWA!E43</f>
        <v>SAEPUL</v>
      </c>
      <c r="E42" s="594">
        <v>82.5</v>
      </c>
      <c r="F42" s="160">
        <v>82.5</v>
      </c>
      <c r="G42" s="160">
        <v>82.5</v>
      </c>
      <c r="H42" s="160"/>
      <c r="I42" s="160"/>
      <c r="J42" s="159"/>
      <c r="K42" s="159"/>
      <c r="L42" s="159"/>
      <c r="M42" s="159"/>
      <c r="N42" s="159"/>
      <c r="O42" s="159"/>
      <c r="P42" s="159"/>
      <c r="Q42" s="159"/>
      <c r="R42" s="160"/>
      <c r="S42" s="160"/>
      <c r="T42" s="159"/>
      <c r="U42" s="354">
        <f t="shared" si="4"/>
        <v>83</v>
      </c>
      <c r="V42" s="355" t="str">
        <f>IF(U42&gt;KKM!$G$10,"A",IF(U42&gt;KKM!$H$10,"B",IF(U42&gt;=KKM!$I$10,"C","D")))</f>
        <v>B</v>
      </c>
      <c r="W42" s="356">
        <f t="shared" si="0"/>
        <v>82.5</v>
      </c>
      <c r="X42" s="361" t="str">
        <f>IF(W42&gt;KKM!$G$10," sangat baik ",IF(W42&gt;KKM!$H$10," baik ",IF(W42&gt;=KKM!$I$10," cukup baik "," perlu bimbingan ")))</f>
        <v xml:space="preserve"> baik </v>
      </c>
      <c r="Y42" s="357">
        <f t="shared" si="1"/>
        <v>82.5</v>
      </c>
      <c r="Z42" s="361" t="str">
        <f>IF(Y42&gt;KKM!$G$10," sangat baik ",IF(Y42&gt;KKM!$H$10," baik ",IF(Y42&gt;=KKM!$I$10," cukup baik "," perlu bimbingan ")))</f>
        <v xml:space="preserve"> baik </v>
      </c>
      <c r="AA42" s="353" t="str">
        <f t="shared" si="5"/>
        <v xml:space="preserve">SAEPUL baik  dalam memahami hak, kewajiban dan tanggung jawab sebagai warga dalam kehidupan sehari-hari.
</v>
      </c>
      <c r="AB42" s="256"/>
      <c r="AC42" s="257" t="str">
        <f t="shared" si="2"/>
        <v xml:space="preserve"> baik  dalam memahami hak, kewajiban dan tanggung jawab sebagai warga dalam kehidupan sehari-hari.
</v>
      </c>
      <c r="AD42" s="257" t="str">
        <f t="shared" si="3"/>
        <v xml:space="preserve"> baik  dalam memahami hak, kewajiban dan tanggung jawab sebagai warga dalam kehidupan sehari-hari.
</v>
      </c>
      <c r="AE42" s="257" t="str">
        <f t="shared" si="6"/>
        <v xml:space="preserve"> baik  dalam memahami hak, kewajiban dan tanggung jawab sebagai warga dalam kehidupan sehari-hari.
, dan  baik  dalam memahami hak, kewajiban dan tanggung jawab sebagai warga dalam kehidupan sehari-hari.
</v>
      </c>
      <c r="AF42" s="257" t="str">
        <f t="shared" si="7"/>
        <v xml:space="preserve"> baik  dalam memahami hak, kewajiban dan tanggung jawab sebagai warga dalam kehidupan sehari-hari.
</v>
      </c>
      <c r="AG42" s="258" t="str">
        <f t="shared" si="8"/>
        <v xml:space="preserve"> baik  dalam memahami hak, kewajiban dan tanggung jawab sebagai warga dalam kehidupan sehari-hari.
</v>
      </c>
      <c r="AH42" s="252" t="str">
        <f t="shared" si="9"/>
        <v xml:space="preserve">SAEPUL baik  dalam memahami hak, kewajiban dan tanggung jawab sebagai warga dalam kehidupan sehari-hari.
</v>
      </c>
      <c r="AI42" s="153"/>
      <c r="AR42" s="469">
        <f t="shared" si="10"/>
        <v>83</v>
      </c>
    </row>
    <row r="43" spans="2:44" ht="59.25" customHeight="1">
      <c r="B43" s="142">
        <v>39</v>
      </c>
      <c r="C43" s="143" t="str">
        <f>SISWA!B44</f>
        <v>1718250040343</v>
      </c>
      <c r="D43" s="144" t="str">
        <f>SISWA!E44</f>
        <v>SALMA</v>
      </c>
      <c r="E43" s="594">
        <v>77.5</v>
      </c>
      <c r="F43" s="160">
        <v>77.5</v>
      </c>
      <c r="G43" s="160">
        <v>77.5</v>
      </c>
      <c r="H43" s="160"/>
      <c r="I43" s="160"/>
      <c r="J43" s="159"/>
      <c r="K43" s="159"/>
      <c r="L43" s="159"/>
      <c r="M43" s="159"/>
      <c r="N43" s="159"/>
      <c r="O43" s="159"/>
      <c r="P43" s="159"/>
      <c r="Q43" s="159"/>
      <c r="R43" s="160"/>
      <c r="S43" s="160"/>
      <c r="T43" s="159"/>
      <c r="U43" s="354">
        <f t="shared" si="4"/>
        <v>78</v>
      </c>
      <c r="V43" s="355" t="str">
        <f>IF(U43&gt;KKM!$G$10,"A",IF(U43&gt;KKM!$H$10,"B",IF(U43&gt;=KKM!$I$10,"C","D")))</f>
        <v>B</v>
      </c>
      <c r="W43" s="356">
        <f t="shared" si="0"/>
        <v>77.5</v>
      </c>
      <c r="X43" s="361" t="str">
        <f>IF(W43&gt;KKM!$G$10," sangat baik ",IF(W43&gt;KKM!$H$10," baik ",IF(W43&gt;=KKM!$I$10," cukup baik "," perlu bimbingan ")))</f>
        <v xml:space="preserve"> baik </v>
      </c>
      <c r="Y43" s="357">
        <f t="shared" si="1"/>
        <v>77.5</v>
      </c>
      <c r="Z43" s="361" t="str">
        <f>IF(Y43&gt;KKM!$G$10," sangat baik ",IF(Y43&gt;KKM!$H$10," baik ",IF(Y43&gt;=KKM!$I$10," cukup baik "," perlu bimbingan ")))</f>
        <v xml:space="preserve"> baik </v>
      </c>
      <c r="AA43" s="353" t="str">
        <f t="shared" si="5"/>
        <v xml:space="preserve">SALMA baik  dalam memahami hak, kewajiban dan tanggung jawab sebagai warga dalam kehidupan sehari-hari.
</v>
      </c>
      <c r="AB43" s="256"/>
      <c r="AC43" s="257" t="str">
        <f t="shared" si="2"/>
        <v xml:space="preserve"> baik  dalam memahami hak, kewajiban dan tanggung jawab sebagai warga dalam kehidupan sehari-hari.
</v>
      </c>
      <c r="AD43" s="257" t="str">
        <f t="shared" si="3"/>
        <v xml:space="preserve"> baik  dalam memahami hak, kewajiban dan tanggung jawab sebagai warga dalam kehidupan sehari-hari.
</v>
      </c>
      <c r="AE43" s="257" t="str">
        <f t="shared" si="6"/>
        <v xml:space="preserve"> baik  dalam memahami hak, kewajiban dan tanggung jawab sebagai warga dalam kehidupan sehari-hari.
, dan  baik  dalam memahami hak, kewajiban dan tanggung jawab sebagai warga dalam kehidupan sehari-hari.
</v>
      </c>
      <c r="AF43" s="257" t="str">
        <f t="shared" si="7"/>
        <v xml:space="preserve"> baik  dalam memahami hak, kewajiban dan tanggung jawab sebagai warga dalam kehidupan sehari-hari.
</v>
      </c>
      <c r="AG43" s="258" t="str">
        <f t="shared" si="8"/>
        <v xml:space="preserve"> baik  dalam memahami hak, kewajiban dan tanggung jawab sebagai warga dalam kehidupan sehari-hari.
</v>
      </c>
      <c r="AH43" s="252" t="str">
        <f t="shared" si="9"/>
        <v xml:space="preserve">SALMA baik  dalam memahami hak, kewajiban dan tanggung jawab sebagai warga dalam kehidupan sehari-hari.
</v>
      </c>
      <c r="AI43" s="153"/>
      <c r="AR43" s="469">
        <f t="shared" si="10"/>
        <v>78</v>
      </c>
    </row>
    <row r="44" spans="2:44" ht="59.25" customHeight="1">
      <c r="B44" s="142">
        <v>40</v>
      </c>
      <c r="C44" s="143" t="str">
        <f>SISWA!B45</f>
        <v>1718250040344</v>
      </c>
      <c r="D44" s="144" t="str">
        <f>SISWA!E45</f>
        <v>SYAKILA</v>
      </c>
      <c r="E44" s="594">
        <v>90</v>
      </c>
      <c r="F44" s="160">
        <v>90</v>
      </c>
      <c r="G44" s="160">
        <v>90</v>
      </c>
      <c r="H44" s="160"/>
      <c r="I44" s="160"/>
      <c r="J44" s="159"/>
      <c r="K44" s="159"/>
      <c r="L44" s="159"/>
      <c r="M44" s="159"/>
      <c r="N44" s="159"/>
      <c r="O44" s="159"/>
      <c r="P44" s="159"/>
      <c r="Q44" s="159"/>
      <c r="R44" s="160"/>
      <c r="S44" s="160"/>
      <c r="T44" s="159"/>
      <c r="U44" s="354">
        <f t="shared" si="4"/>
        <v>90</v>
      </c>
      <c r="V44" s="355" t="str">
        <f>IF(U44&gt;KKM!$G$10,"A",IF(U44&gt;KKM!$H$10,"B",IF(U44&gt;=KKM!$I$10,"C","D")))</f>
        <v>A</v>
      </c>
      <c r="W44" s="356">
        <f t="shared" si="0"/>
        <v>90</v>
      </c>
      <c r="X44" s="361" t="str">
        <f>IF(W44&gt;KKM!$G$10," sangat baik ",IF(W44&gt;KKM!$H$10," baik ",IF(W44&gt;=KKM!$I$10," cukup baik "," perlu bimbingan ")))</f>
        <v xml:space="preserve"> sangat baik </v>
      </c>
      <c r="Y44" s="357">
        <f t="shared" si="1"/>
        <v>90</v>
      </c>
      <c r="Z44" s="361" t="str">
        <f>IF(Y44&gt;KKM!$G$10," sangat baik ",IF(Y44&gt;KKM!$H$10," baik ",IF(Y44&gt;=KKM!$I$10," cukup baik "," perlu bimbingan ")))</f>
        <v xml:space="preserve"> sangat baik </v>
      </c>
      <c r="AA44" s="353" t="str">
        <f t="shared" si="5"/>
        <v xml:space="preserve">SYAKILA sangat baik  dalam memahami hak, kewajiban dan tanggung jawab sebagai warga dalam kehidupan sehari-hari.
</v>
      </c>
      <c r="AB44" s="256"/>
      <c r="AC44" s="257" t="str">
        <f t="shared" si="2"/>
        <v xml:space="preserve"> sangat baik  dalam memahami hak, kewajiban dan tanggung jawab sebagai warga dalam kehidupan sehari-hari.
</v>
      </c>
      <c r="AD44" s="257" t="str">
        <f t="shared" si="3"/>
        <v xml:space="preserve"> sangat baik  dalam memahami hak, kewajiban dan tanggung jawab sebagai warga dalam kehidupan sehari-hari.
</v>
      </c>
      <c r="AE44" s="257" t="str">
        <f t="shared" si="6"/>
        <v xml:space="preserve"> sangat baik  dalam memahami hak, kewajiban dan tanggung jawab sebagai warga dalam kehidupan sehari-hari.
, dan  sangat baik  dalam memahami hak, kewajiban dan tanggung jawab sebagai warga dalam kehidupan sehari-hari.
</v>
      </c>
      <c r="AF44" s="257" t="str">
        <f t="shared" si="7"/>
        <v xml:space="preserve"> sangat baik  dalam memahami hak, kewajiban dan tanggung jawab sebagai warga dalam kehidupan sehari-hari.
</v>
      </c>
      <c r="AG44" s="258" t="str">
        <f t="shared" si="8"/>
        <v xml:space="preserve"> sangat baik  dalam memahami hak, kewajiban dan tanggung jawab sebagai warga dalam kehidupan sehari-hari.
</v>
      </c>
      <c r="AH44" s="252" t="str">
        <f t="shared" si="9"/>
        <v xml:space="preserve">SYAKILA sangat baik  dalam memahami hak, kewajiban dan tanggung jawab sebagai warga dalam kehidupan sehari-hari.
</v>
      </c>
      <c r="AI44" s="153"/>
      <c r="AR44" s="469">
        <f t="shared" si="10"/>
        <v>90</v>
      </c>
    </row>
    <row r="45" spans="2:44" ht="59.25" customHeight="1">
      <c r="B45" s="142">
        <v>41</v>
      </c>
      <c r="C45" s="143" t="str">
        <f>SISWA!B46</f>
        <v>1718250040345</v>
      </c>
      <c r="D45" s="144" t="str">
        <f>SISWA!E46</f>
        <v>SYIFA</v>
      </c>
      <c r="E45" s="594">
        <v>72.5</v>
      </c>
      <c r="F45" s="160">
        <v>72.5</v>
      </c>
      <c r="G45" s="160">
        <v>72.5</v>
      </c>
      <c r="H45" s="160"/>
      <c r="I45" s="160"/>
      <c r="J45" s="159"/>
      <c r="K45" s="159"/>
      <c r="L45" s="159"/>
      <c r="M45" s="159"/>
      <c r="N45" s="159"/>
      <c r="O45" s="159"/>
      <c r="P45" s="159"/>
      <c r="Q45" s="159"/>
      <c r="R45" s="160"/>
      <c r="S45" s="160"/>
      <c r="T45" s="159"/>
      <c r="U45" s="354">
        <f t="shared" si="4"/>
        <v>73</v>
      </c>
      <c r="V45" s="355" t="str">
        <f>IF(U45&gt;KKM!$G$10,"A",IF(U45&gt;KKM!$H$10,"B",IF(U45&gt;=KKM!$I$10,"C","D")))</f>
        <v>C</v>
      </c>
      <c r="W45" s="356">
        <f t="shared" si="0"/>
        <v>72.5</v>
      </c>
      <c r="X45" s="361" t="str">
        <f>IF(W45&gt;KKM!$G$10," sangat baik ",IF(W45&gt;KKM!$H$10," baik ",IF(W45&gt;=KKM!$I$10," cukup baik "," perlu bimbingan ")))</f>
        <v xml:space="preserve"> cukup baik </v>
      </c>
      <c r="Y45" s="357">
        <f t="shared" si="1"/>
        <v>72.5</v>
      </c>
      <c r="Z45" s="361" t="str">
        <f>IF(Y45&gt;KKM!$G$10," sangat baik ",IF(Y45&gt;KKM!$H$10," baik ",IF(Y45&gt;=KKM!$I$10," cukup baik "," perlu bimbingan ")))</f>
        <v xml:space="preserve"> cukup baik </v>
      </c>
      <c r="AA45" s="353" t="str">
        <f t="shared" si="5"/>
        <v xml:space="preserve">SYIFA cukup baik  dalam memahami hak, kewajiban dan tanggung jawab sebagai warga dalam kehidupan sehari-hari.
</v>
      </c>
      <c r="AB45" s="256"/>
      <c r="AC45" s="257" t="str">
        <f t="shared" si="2"/>
        <v xml:space="preserve"> cukup baik  dalam memahami hak, kewajiban dan tanggung jawab sebagai warga dalam kehidupan sehari-hari.
</v>
      </c>
      <c r="AD45" s="257" t="str">
        <f t="shared" si="3"/>
        <v xml:space="preserve"> cukup baik  dalam memahami hak, kewajiban dan tanggung jawab sebagai warga dalam kehidupan sehari-hari.
</v>
      </c>
      <c r="AE45" s="257" t="str">
        <f t="shared" si="6"/>
        <v xml:space="preserve"> cukup baik  dalam memahami hak, kewajiban dan tanggung jawab sebagai warga dalam kehidupan sehari-hari.
, dan  cukup baik  dalam memahami hak, kewajiban dan tanggung jawab sebagai warga dalam kehidupan sehari-hari.
</v>
      </c>
      <c r="AF45" s="257" t="str">
        <f t="shared" si="7"/>
        <v xml:space="preserve"> cukup baik  dalam memahami hak, kewajiban dan tanggung jawab sebagai warga dalam kehidupan sehari-hari.
</v>
      </c>
      <c r="AG45" s="258" t="str">
        <f t="shared" si="8"/>
        <v xml:space="preserve"> cukup baik  dalam memahami hak, kewajiban dan tanggung jawab sebagai warga dalam kehidupan sehari-hari.
</v>
      </c>
      <c r="AH45" s="252" t="str">
        <f t="shared" si="9"/>
        <v xml:space="preserve">SYIFA cukup baik  dalam memahami hak, kewajiban dan tanggung jawab sebagai warga dalam kehidupan sehari-hari.
</v>
      </c>
      <c r="AI45" s="153"/>
      <c r="AR45" s="469">
        <f t="shared" si="10"/>
        <v>73</v>
      </c>
    </row>
    <row r="46" spans="2:44" ht="59.25" customHeight="1">
      <c r="B46" s="142">
        <v>42</v>
      </c>
      <c r="C46" s="143" t="str">
        <f>SISWA!B47</f>
        <v>1718250040346</v>
      </c>
      <c r="D46" s="144" t="str">
        <f>SISWA!E47</f>
        <v>WAFDAN</v>
      </c>
      <c r="E46" s="594">
        <v>85</v>
      </c>
      <c r="F46" s="160">
        <v>85</v>
      </c>
      <c r="G46" s="160">
        <v>85</v>
      </c>
      <c r="H46" s="160"/>
      <c r="I46" s="160"/>
      <c r="J46" s="159"/>
      <c r="K46" s="159"/>
      <c r="L46" s="159"/>
      <c r="M46" s="159"/>
      <c r="N46" s="159"/>
      <c r="O46" s="159"/>
      <c r="P46" s="159"/>
      <c r="Q46" s="159"/>
      <c r="R46" s="160"/>
      <c r="S46" s="160"/>
      <c r="T46" s="159"/>
      <c r="U46" s="354">
        <f t="shared" si="4"/>
        <v>85</v>
      </c>
      <c r="V46" s="355" t="str">
        <f>IF(U46&gt;KKM!$G$10,"A",IF(U46&gt;KKM!$H$10,"B",IF(U46&gt;=KKM!$I$10,"C","D")))</f>
        <v>B</v>
      </c>
      <c r="W46" s="356">
        <f t="shared" si="0"/>
        <v>85</v>
      </c>
      <c r="X46" s="361" t="str">
        <f>IF(W46&gt;KKM!$G$10," sangat baik ",IF(W46&gt;KKM!$H$10," baik ",IF(W46&gt;=KKM!$I$10," cukup baik "," perlu bimbingan ")))</f>
        <v xml:space="preserve"> baik </v>
      </c>
      <c r="Y46" s="357">
        <f t="shared" si="1"/>
        <v>85</v>
      </c>
      <c r="Z46" s="361" t="str">
        <f>IF(Y46&gt;KKM!$G$10," sangat baik ",IF(Y46&gt;KKM!$H$10," baik ",IF(Y46&gt;=KKM!$I$10," cukup baik "," perlu bimbingan ")))</f>
        <v xml:space="preserve"> baik </v>
      </c>
      <c r="AA46" s="353" t="str">
        <f t="shared" si="5"/>
        <v xml:space="preserve">WAFDAN baik  dalam memahami hak, kewajiban dan tanggung jawab sebagai warga dalam kehidupan sehari-hari.
</v>
      </c>
      <c r="AB46" s="256"/>
      <c r="AC46" s="257" t="str">
        <f t="shared" si="2"/>
        <v xml:space="preserve"> baik  dalam memahami hak, kewajiban dan tanggung jawab sebagai warga dalam kehidupan sehari-hari.
</v>
      </c>
      <c r="AD46" s="257" t="str">
        <f t="shared" si="3"/>
        <v xml:space="preserve"> baik  dalam memahami hak, kewajiban dan tanggung jawab sebagai warga dalam kehidupan sehari-hari.
</v>
      </c>
      <c r="AE46" s="257" t="str">
        <f t="shared" si="6"/>
        <v xml:space="preserve"> baik  dalam memahami hak, kewajiban dan tanggung jawab sebagai warga dalam kehidupan sehari-hari.
, dan  baik  dalam memahami hak, kewajiban dan tanggung jawab sebagai warga dalam kehidupan sehari-hari.
</v>
      </c>
      <c r="AF46" s="257" t="str">
        <f t="shared" si="7"/>
        <v xml:space="preserve"> baik  dalam memahami hak, kewajiban dan tanggung jawab sebagai warga dalam kehidupan sehari-hari.
</v>
      </c>
      <c r="AG46" s="258" t="str">
        <f t="shared" si="8"/>
        <v xml:space="preserve"> baik  dalam memahami hak, kewajiban dan tanggung jawab sebagai warga dalam kehidupan sehari-hari.
</v>
      </c>
      <c r="AH46" s="252" t="str">
        <f t="shared" si="9"/>
        <v xml:space="preserve">WAFDAN baik  dalam memahami hak, kewajiban dan tanggung jawab sebagai warga dalam kehidupan sehari-hari.
</v>
      </c>
      <c r="AI46" s="153"/>
      <c r="AR46" s="469">
        <f t="shared" si="10"/>
        <v>85</v>
      </c>
    </row>
    <row r="47" spans="2:44" ht="59.25" customHeight="1">
      <c r="B47" s="142">
        <v>43</v>
      </c>
      <c r="C47" s="143" t="str">
        <f>SISWA!B48</f>
        <v>1718250040347</v>
      </c>
      <c r="D47" s="144" t="str">
        <f>SISWA!E48</f>
        <v>ZEVA</v>
      </c>
      <c r="E47" s="594">
        <v>85</v>
      </c>
      <c r="F47" s="160">
        <v>85</v>
      </c>
      <c r="G47" s="160">
        <v>85</v>
      </c>
      <c r="H47" s="160"/>
      <c r="I47" s="160"/>
      <c r="J47" s="159"/>
      <c r="K47" s="159"/>
      <c r="L47" s="159"/>
      <c r="M47" s="159"/>
      <c r="N47" s="159"/>
      <c r="O47" s="159"/>
      <c r="P47" s="159"/>
      <c r="Q47" s="159"/>
      <c r="R47" s="160"/>
      <c r="S47" s="160"/>
      <c r="T47" s="159"/>
      <c r="U47" s="354">
        <f t="shared" si="4"/>
        <v>85</v>
      </c>
      <c r="V47" s="355" t="str">
        <f>IF(U47&gt;KKM!$G$10,"A",IF(U47&gt;KKM!$H$10,"B",IF(U47&gt;=KKM!$I$10,"C","D")))</f>
        <v>B</v>
      </c>
      <c r="W47" s="356">
        <f t="shared" si="0"/>
        <v>85</v>
      </c>
      <c r="X47" s="361" t="str">
        <f>IF(W47&gt;KKM!$G$10," sangat baik ",IF(W47&gt;KKM!$H$10," baik ",IF(W47&gt;=KKM!$I$10," cukup baik "," perlu bimbingan ")))</f>
        <v xml:space="preserve"> baik </v>
      </c>
      <c r="Y47" s="357">
        <f t="shared" si="1"/>
        <v>85</v>
      </c>
      <c r="Z47" s="361" t="str">
        <f>IF(Y47&gt;KKM!$G$10," sangat baik ",IF(Y47&gt;KKM!$H$10," baik ",IF(Y47&gt;=KKM!$I$10," cukup baik "," perlu bimbingan ")))</f>
        <v xml:space="preserve"> baik </v>
      </c>
      <c r="AA47" s="353" t="str">
        <f t="shared" si="5"/>
        <v xml:space="preserve">ZEVA baik  dalam memahami hak, kewajiban dan tanggung jawab sebagai warga dalam kehidupan sehari-hari.
</v>
      </c>
      <c r="AB47" s="256"/>
      <c r="AC47" s="257" t="str">
        <f t="shared" si="2"/>
        <v xml:space="preserve"> baik  dalam memahami hak, kewajiban dan tanggung jawab sebagai warga dalam kehidupan sehari-hari.
</v>
      </c>
      <c r="AD47" s="257" t="str">
        <f t="shared" si="3"/>
        <v xml:space="preserve"> baik  dalam memahami hak, kewajiban dan tanggung jawab sebagai warga dalam kehidupan sehari-hari.
</v>
      </c>
      <c r="AE47" s="257" t="str">
        <f t="shared" si="6"/>
        <v xml:space="preserve"> baik  dalam memahami hak, kewajiban dan tanggung jawab sebagai warga dalam kehidupan sehari-hari.
, dan  baik  dalam memahami hak, kewajiban dan tanggung jawab sebagai warga dalam kehidupan sehari-hari.
</v>
      </c>
      <c r="AF47" s="257" t="str">
        <f t="shared" si="7"/>
        <v xml:space="preserve"> baik  dalam memahami hak, kewajiban dan tanggung jawab sebagai warga dalam kehidupan sehari-hari.
</v>
      </c>
      <c r="AG47" s="258" t="str">
        <f t="shared" si="8"/>
        <v xml:space="preserve"> baik  dalam memahami hak, kewajiban dan tanggung jawab sebagai warga dalam kehidupan sehari-hari.
</v>
      </c>
      <c r="AH47" s="252" t="str">
        <f t="shared" si="9"/>
        <v xml:space="preserve">ZEVA baik  dalam memahami hak, kewajiban dan tanggung jawab sebagai warga dalam kehidupan sehari-hari.
</v>
      </c>
      <c r="AI47" s="153"/>
      <c r="AR47" s="469">
        <f t="shared" si="10"/>
        <v>85</v>
      </c>
    </row>
    <row r="48" spans="2:44" ht="59.25" customHeight="1">
      <c r="B48" s="142">
        <v>44</v>
      </c>
      <c r="C48" s="143">
        <f>SISWA!B49</f>
        <v>0</v>
      </c>
      <c r="D48" s="144">
        <f>SISWA!E49</f>
        <v>0</v>
      </c>
      <c r="E48" s="159"/>
      <c r="F48" s="160"/>
      <c r="G48" s="160"/>
      <c r="H48" s="160"/>
      <c r="I48" s="160"/>
      <c r="J48" s="159"/>
      <c r="K48" s="159"/>
      <c r="L48" s="159"/>
      <c r="M48" s="159"/>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53"/>
      <c r="AR48" s="469" t="str">
        <f t="shared" si="10"/>
        <v/>
      </c>
    </row>
    <row r="49" spans="2:44" ht="59.25" customHeight="1">
      <c r="B49" s="142">
        <v>45</v>
      </c>
      <c r="C49" s="143">
        <f>SISWA!B50</f>
        <v>0</v>
      </c>
      <c r="D49" s="144">
        <f>SISWA!E50</f>
        <v>0</v>
      </c>
      <c r="E49" s="159"/>
      <c r="F49" s="160"/>
      <c r="G49" s="160"/>
      <c r="H49" s="160"/>
      <c r="I49" s="160"/>
      <c r="J49" s="159"/>
      <c r="K49" s="159"/>
      <c r="L49" s="159"/>
      <c r="M49" s="159"/>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53"/>
      <c r="AR49" s="469" t="str">
        <f t="shared" si="10"/>
        <v/>
      </c>
    </row>
    <row r="50" spans="2:44" ht="59.25" customHeight="1">
      <c r="B50" s="142">
        <v>46</v>
      </c>
      <c r="C50" s="143">
        <f>SISWA!B51</f>
        <v>0</v>
      </c>
      <c r="D50" s="144">
        <f>SISWA!E51</f>
        <v>0</v>
      </c>
      <c r="E50" s="159"/>
      <c r="F50" s="160"/>
      <c r="G50" s="160"/>
      <c r="H50" s="160"/>
      <c r="I50" s="160"/>
      <c r="J50" s="159"/>
      <c r="K50" s="159"/>
      <c r="L50" s="159"/>
      <c r="M50" s="159"/>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53"/>
      <c r="AR50" s="469" t="str">
        <f t="shared" si="10"/>
        <v/>
      </c>
    </row>
    <row r="51" spans="2:44" ht="59.25" customHeight="1">
      <c r="B51" s="142">
        <v>47</v>
      </c>
      <c r="C51" s="143">
        <f>SISWA!B52</f>
        <v>0</v>
      </c>
      <c r="D51" s="144">
        <f>SISWA!E52</f>
        <v>0</v>
      </c>
      <c r="E51" s="159"/>
      <c r="F51" s="160"/>
      <c r="G51" s="160"/>
      <c r="H51" s="160"/>
      <c r="I51" s="160"/>
      <c r="J51" s="159"/>
      <c r="K51" s="159"/>
      <c r="L51" s="159"/>
      <c r="M51" s="159"/>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53"/>
      <c r="AR51" s="469" t="str">
        <f t="shared" si="10"/>
        <v/>
      </c>
    </row>
    <row r="52" spans="2:44" ht="59.25" customHeight="1">
      <c r="B52" s="142">
        <v>48</v>
      </c>
      <c r="C52" s="143">
        <f>SISWA!B53</f>
        <v>0</v>
      </c>
      <c r="D52" s="144">
        <f>SISWA!E53</f>
        <v>0</v>
      </c>
      <c r="E52" s="159"/>
      <c r="F52" s="160"/>
      <c r="G52" s="160"/>
      <c r="H52" s="160"/>
      <c r="I52" s="160"/>
      <c r="J52" s="159"/>
      <c r="K52" s="159"/>
      <c r="L52" s="159"/>
      <c r="M52" s="159"/>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53"/>
      <c r="AR52" s="469" t="str">
        <f t="shared" si="10"/>
        <v/>
      </c>
    </row>
    <row r="53" spans="2:44" ht="59.25" customHeight="1">
      <c r="B53" s="142">
        <v>49</v>
      </c>
      <c r="C53" s="143">
        <f>SISWA!B54</f>
        <v>0</v>
      </c>
      <c r="D53" s="144">
        <f>SISWA!E54</f>
        <v>0</v>
      </c>
      <c r="E53" s="159"/>
      <c r="F53" s="160"/>
      <c r="G53" s="160"/>
      <c r="H53" s="160"/>
      <c r="I53" s="160"/>
      <c r="J53" s="159"/>
      <c r="K53" s="159"/>
      <c r="L53" s="159"/>
      <c r="M53" s="159"/>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53"/>
      <c r="AR53" s="469" t="str">
        <f t="shared" si="10"/>
        <v/>
      </c>
    </row>
    <row r="54" spans="2:44" ht="59.25" customHeight="1">
      <c r="B54" s="142">
        <v>50</v>
      </c>
      <c r="C54" s="143">
        <f>SISWA!B55</f>
        <v>0</v>
      </c>
      <c r="D54" s="144">
        <f>SISWA!E55</f>
        <v>0</v>
      </c>
      <c r="E54" s="159"/>
      <c r="F54" s="160"/>
      <c r="G54" s="160"/>
      <c r="H54" s="160"/>
      <c r="I54" s="160"/>
      <c r="J54" s="159"/>
      <c r="K54" s="159"/>
      <c r="L54" s="159"/>
      <c r="M54" s="159"/>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53"/>
      <c r="AR54" s="469" t="str">
        <f t="shared" si="10"/>
        <v/>
      </c>
    </row>
    <row r="55" spans="2:44" ht="15.75">
      <c r="B55" s="154"/>
      <c r="C55" s="154"/>
      <c r="D55" s="154"/>
      <c r="E55" s="159"/>
      <c r="F55" s="160"/>
      <c r="G55" s="160"/>
      <c r="H55" s="160"/>
      <c r="I55" s="160"/>
      <c r="J55" s="159"/>
      <c r="K55" s="159"/>
      <c r="L55" s="159"/>
      <c r="M55" s="159"/>
      <c r="N55" s="159"/>
      <c r="O55" s="159"/>
      <c r="P55" s="159"/>
      <c r="Q55" s="159"/>
      <c r="R55" s="160"/>
      <c r="S55" s="160"/>
      <c r="T55" s="159"/>
      <c r="U55" s="147"/>
      <c r="V55" s="148"/>
      <c r="W55" s="149"/>
      <c r="X55" s="149"/>
      <c r="Y55" s="149"/>
      <c r="Z55" s="149"/>
      <c r="AA55" s="150"/>
      <c r="AB55" s="151"/>
      <c r="AC55" s="152"/>
      <c r="AD55" s="155"/>
      <c r="AE55" s="155"/>
      <c r="AF55" s="155"/>
      <c r="AG55" s="155"/>
      <c r="AH55" s="155"/>
      <c r="AI55" s="153"/>
    </row>
  </sheetData>
  <sheetProtection password="C70C" sheet="1" objects="1" scenarios="1"/>
  <mergeCells count="11">
    <mergeCell ref="AA2:AA4"/>
    <mergeCell ref="W3:X3"/>
    <mergeCell ref="Y3:Z3"/>
    <mergeCell ref="B1:Z1"/>
    <mergeCell ref="B2:B4"/>
    <mergeCell ref="C2:C4"/>
    <mergeCell ref="D2:D4"/>
    <mergeCell ref="E2:T2"/>
    <mergeCell ref="U2:U4"/>
    <mergeCell ref="V2:V4"/>
    <mergeCell ref="W2:Z2"/>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N55"/>
  <sheetViews>
    <sheetView zoomScale="85" zoomScaleNormal="85"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507" customWidth="1"/>
    <col min="2" max="2" width="4.42578125" style="137" customWidth="1"/>
    <col min="3" max="3" width="6.42578125" style="137" customWidth="1"/>
    <col min="4" max="4" width="28.7109375" style="137" customWidth="1"/>
    <col min="5" max="14" width="6.7109375" style="137" customWidth="1"/>
    <col min="15" max="19" width="6.7109375" style="137" hidden="1" customWidth="1"/>
    <col min="20" max="20" width="6.7109375" style="137" customWidth="1"/>
    <col min="21" max="22" width="4.7109375" style="137" customWidth="1"/>
    <col min="23" max="23" width="5.140625" style="137" customWidth="1"/>
    <col min="24" max="24" width="10" style="137" customWidth="1"/>
    <col min="25" max="25" width="5.140625" style="137" customWidth="1"/>
    <col min="26" max="26" width="11.42578125" style="137" customWidth="1"/>
    <col min="27" max="27" width="84.42578125" style="137" customWidth="1"/>
    <col min="28" max="28" width="29.85546875" style="137" customWidth="1"/>
    <col min="29" max="34" width="10.7109375" style="137" hidden="1" customWidth="1"/>
    <col min="35" max="41" width="9.140625" style="137" hidden="1" customWidth="1"/>
    <col min="42" max="42" width="9.140625" style="137" customWidth="1"/>
    <col min="43" max="44" width="9.140625" style="137" hidden="1" customWidth="1"/>
    <col min="45" max="46" width="9.140625" style="137" customWidth="1"/>
    <col min="47" max="60" width="10.7109375" style="137" hidden="1" customWidth="1"/>
    <col min="61" max="92" width="0" style="137" hidden="1" customWidth="1"/>
    <col min="93" max="16384" width="9.140625" style="137" hidden="1"/>
  </cols>
  <sheetData>
    <row r="1" spans="1:44" s="510" customFormat="1" ht="45.75" customHeight="1">
      <c r="B1" s="685" t="s">
        <v>55</v>
      </c>
      <c r="C1" s="685"/>
      <c r="D1" s="685"/>
      <c r="E1" s="685"/>
      <c r="F1" s="685"/>
      <c r="G1" s="685"/>
      <c r="H1" s="685"/>
      <c r="I1" s="685"/>
      <c r="J1" s="685"/>
      <c r="K1" s="685"/>
      <c r="L1" s="685"/>
      <c r="M1" s="685"/>
      <c r="N1" s="685"/>
      <c r="O1" s="685"/>
      <c r="P1" s="685"/>
      <c r="Q1" s="685"/>
      <c r="R1" s="685"/>
      <c r="S1" s="685"/>
      <c r="T1" s="685"/>
      <c r="U1" s="685"/>
      <c r="V1" s="685"/>
      <c r="W1" s="685"/>
      <c r="X1" s="685"/>
      <c r="Y1" s="685"/>
      <c r="Z1" s="685"/>
    </row>
    <row r="2" spans="1:44"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R2" s="502">
        <f>DEPAN!$E$23</f>
        <v>43</v>
      </c>
    </row>
    <row r="3" spans="1:44" ht="94.5" customHeight="1">
      <c r="B3" s="716"/>
      <c r="C3" s="717"/>
      <c r="D3" s="718"/>
      <c r="E3" s="408" t="str">
        <f>'KI-KD'!$C40</f>
        <v>meringkas teks penjelasan (eksplanasi) dari media cetak atau elektronik.</v>
      </c>
      <c r="F3" s="408" t="str">
        <f>'KI-KD'!$C41</f>
        <v>menggali informasi penting dari teks narasi sejarah yang disajikan secara lisan dan tulis menggunakan aspek: apa, di mana, kapan, siapa, mengapa, dan bagaimana</v>
      </c>
      <c r="G3" s="408" t="str">
        <f>'KI-KD'!$C42</f>
        <v>mencermati penggunaan kalimat efektif dan ejaan dalam surat undangan (ulang tahun, kegiatan sekolah, kenaikan kelas, dll.)</v>
      </c>
      <c r="H3" s="408" t="str">
        <f>'KI-KD'!$C43</f>
        <v>menguraikan urutan peristiwa atau tindakan yang terdapat pada teks nonfiksi</v>
      </c>
      <c r="I3" s="408" t="str">
        <f>'KI-KD'!$C44</f>
        <v>menganalisis informasi yang disampaikan paparan iklan dari media cetak atau elektronik.</v>
      </c>
      <c r="J3" s="408">
        <f>'KI-KD'!$C45</f>
        <v>0</v>
      </c>
      <c r="K3" s="408">
        <f>'KI-KD'!$C46</f>
        <v>0</v>
      </c>
      <c r="L3" s="408">
        <f>'KI-KD'!$C47</f>
        <v>0</v>
      </c>
      <c r="M3" s="408">
        <f>'KI-KD'!$C48</f>
        <v>0</v>
      </c>
      <c r="N3" s="408">
        <f>'KI-KD'!$C49</f>
        <v>0</v>
      </c>
      <c r="O3" s="408">
        <f>'KI-KD'!$C50</f>
        <v>0</v>
      </c>
      <c r="P3" s="408">
        <f>'KI-KD'!$C51</f>
        <v>0</v>
      </c>
      <c r="Q3" s="138"/>
      <c r="R3" s="138"/>
      <c r="S3" s="138"/>
      <c r="T3" s="138"/>
      <c r="U3" s="720"/>
      <c r="V3" s="721"/>
      <c r="W3" s="712" t="s">
        <v>267</v>
      </c>
      <c r="X3" s="713"/>
      <c r="Y3" s="714" t="s">
        <v>268</v>
      </c>
      <c r="Z3" s="715"/>
      <c r="AA3" s="679"/>
      <c r="AB3" s="2"/>
      <c r="AC3" s="2"/>
      <c r="AD3" s="2"/>
      <c r="AE3" s="2"/>
      <c r="AF3" s="2"/>
      <c r="AG3" s="2"/>
      <c r="AH3" s="253"/>
      <c r="AR3" s="469">
        <f>AR4-AR5</f>
        <v>43</v>
      </c>
    </row>
    <row r="4" spans="1:44" s="141" customFormat="1" ht="25.5" customHeight="1">
      <c r="A4" s="509"/>
      <c r="B4" s="716"/>
      <c r="C4" s="717"/>
      <c r="D4" s="718"/>
      <c r="E4" s="140" t="str">
        <f>'KI-KD'!$B40</f>
        <v>3.3</v>
      </c>
      <c r="F4" s="140" t="str">
        <f>'KI-KD'!$B41</f>
        <v>3.5</v>
      </c>
      <c r="G4" s="140" t="str">
        <f>'KI-KD'!$B42</f>
        <v>3.9</v>
      </c>
      <c r="H4" s="140" t="str">
        <f>'KI-KD'!$B43</f>
        <v>3.8</v>
      </c>
      <c r="I4" s="140" t="str">
        <f>'KI-KD'!$B44</f>
        <v>3.4</v>
      </c>
      <c r="J4" s="140">
        <f>'KI-KD'!$B45</f>
        <v>0</v>
      </c>
      <c r="K4" s="140">
        <f>'KI-KD'!$B46</f>
        <v>0</v>
      </c>
      <c r="L4" s="140">
        <f>'KI-KD'!$B47</f>
        <v>0</v>
      </c>
      <c r="M4" s="140">
        <f>'KI-KD'!$B48</f>
        <v>0</v>
      </c>
      <c r="N4" s="140">
        <f>'KI-KD'!$B49</f>
        <v>0</v>
      </c>
      <c r="O4" s="140">
        <f>'KI-KD'!$B50</f>
        <v>0</v>
      </c>
      <c r="P4" s="140">
        <f>'KI-KD'!$B51</f>
        <v>0</v>
      </c>
      <c r="Q4" s="140"/>
      <c r="R4" s="140"/>
      <c r="S4" s="140"/>
      <c r="T4" s="140"/>
      <c r="U4" s="720"/>
      <c r="V4" s="721"/>
      <c r="W4" s="248" t="s">
        <v>269</v>
      </c>
      <c r="X4" s="249" t="s">
        <v>3</v>
      </c>
      <c r="Y4" s="250" t="s">
        <v>269</v>
      </c>
      <c r="Z4" s="251" t="s">
        <v>3</v>
      </c>
      <c r="AA4" s="680"/>
      <c r="AB4" s="2"/>
      <c r="AC4" s="254" t="s">
        <v>270</v>
      </c>
      <c r="AD4" s="254" t="s">
        <v>271</v>
      </c>
      <c r="AE4" s="254" t="s">
        <v>272</v>
      </c>
      <c r="AF4" s="254" t="s">
        <v>273</v>
      </c>
      <c r="AG4" s="255" t="s">
        <v>266</v>
      </c>
      <c r="AH4" s="252"/>
      <c r="AR4" s="141">
        <v>50</v>
      </c>
    </row>
    <row r="5" spans="1:44" ht="51.75" customHeight="1">
      <c r="B5" s="142">
        <v>1</v>
      </c>
      <c r="C5" s="143" t="str">
        <f>SISWA!B6</f>
        <v>1718250040305</v>
      </c>
      <c r="D5" s="144" t="str">
        <f>SISWA!E6</f>
        <v>YAHYA</v>
      </c>
      <c r="E5" s="159">
        <v>92.75</v>
      </c>
      <c r="F5" s="159">
        <v>92.75</v>
      </c>
      <c r="G5" s="160">
        <v>92.75</v>
      </c>
      <c r="H5" s="160">
        <v>92.75</v>
      </c>
      <c r="I5" s="160">
        <v>92.75</v>
      </c>
      <c r="J5" s="159"/>
      <c r="K5" s="160"/>
      <c r="L5" s="160"/>
      <c r="M5" s="160"/>
      <c r="N5" s="160"/>
      <c r="O5" s="160"/>
      <c r="P5" s="160"/>
      <c r="Q5" s="160"/>
      <c r="R5" s="159"/>
      <c r="S5" s="160"/>
      <c r="T5" s="159"/>
      <c r="U5" s="354">
        <f>ROUND((AVERAGE(E5:T5)),0)</f>
        <v>93</v>
      </c>
      <c r="V5" s="355" t="str">
        <f>IF(U5&gt;KKM!$G$10,"A",IF(U5&gt;KKM!$H$10,"B",IF(U5&gt;=KKM!$I$10,"C","D")))</f>
        <v>A</v>
      </c>
      <c r="W5" s="356">
        <f t="shared" ref="W5:W54" si="0">MAX(E5:T5)</f>
        <v>92.75</v>
      </c>
      <c r="X5" s="361" t="str">
        <f>IF(W5&gt;KKM!$G$10," sangat baik ",IF(W5&gt;KKM!$H$10," baik ",IF(W5&gt;=KKM!$I$10," cukup baik "," perlu bimbingan ")))</f>
        <v xml:space="preserve"> sangat baik </v>
      </c>
      <c r="Y5" s="357">
        <f t="shared" ref="Y5:Y54" si="1">MIN(E5:T5)</f>
        <v>92.75</v>
      </c>
      <c r="Z5" s="361" t="str">
        <f>IF(Y5&gt;KKM!$G$10," sangat baik ",IF(Y5&gt;KKM!$H$10," baik ",IF(Y5&gt;=KKM!$I$10," cukup baik "," perlu bimbingan ")))</f>
        <v xml:space="preserve"> sangat baik </v>
      </c>
      <c r="AA5" s="353" t="str">
        <f>IFERROR(AH5," ")</f>
        <v>YAHYA sangat baik  dalam meringkas teks penjelasan (eksplanasi) dari media cetak atau elektronik.</v>
      </c>
      <c r="AB5" s="256"/>
      <c r="AC5" s="257" t="str">
        <f t="shared" ref="AC5:AC54" si="2">X5&amp;" dalam "&amp;INDEX($E$3:$T$3,MATCH(W5,$E5:$T5,0))</f>
        <v xml:space="preserve"> sangat baik  dalam meringkas teks penjelasan (eksplanasi) dari media cetak atau elektronik.</v>
      </c>
      <c r="AD5" s="257" t="str">
        <f t="shared" ref="AD5:AD54" si="3">Z5&amp;" dalam "&amp;INDEX($E$3:$T$3,MATCH(Y5,$E5:$T5,0))</f>
        <v xml:space="preserve"> sangat baik  dalam meringkas teks penjelasan (eksplanasi) dari media cetak atau elektronik.</v>
      </c>
      <c r="AE5" s="257" t="str">
        <f>AC5&amp;", dan "&amp;AD5</f>
        <v xml:space="preserve"> sangat baik  dalam meringkas teks penjelasan (eksplanasi) dari media cetak atau elektronik., dan  sangat baik  dalam meringkas teks penjelasan (eksplanasi) dari media cetak atau elektronik.</v>
      </c>
      <c r="AF5" s="257" t="str">
        <f>IF(AC5=AD5,AC5," ")</f>
        <v xml:space="preserve"> sangat baik  dalam meringkas teks penjelasan (eksplanasi) dari media cetak atau elektronik.</v>
      </c>
      <c r="AG5" s="258" t="str">
        <f>IF(AF5=" ",AE5,AF5)</f>
        <v xml:space="preserve"> sangat baik  dalam meringkas teks penjelasan (eksplanasi) dari media cetak atau elektronik.</v>
      </c>
      <c r="AH5" s="252" t="str">
        <f>CONCATENATE(D5,AG5)</f>
        <v>YAHYA sangat baik  dalam meringkas teks penjelasan (eksplanasi) dari media cetak atau elektronik.</v>
      </c>
      <c r="AI5" s="153"/>
      <c r="AQ5" s="469">
        <f>IFERROR(U5,"")</f>
        <v>93</v>
      </c>
      <c r="AR5" s="469">
        <f>COUNTBLANK(AQ5:AQ54)</f>
        <v>7</v>
      </c>
    </row>
    <row r="6" spans="1:44" ht="51.75" customHeight="1">
      <c r="B6" s="142">
        <v>2</v>
      </c>
      <c r="C6" s="143" t="str">
        <f>SISWA!B7</f>
        <v>1718250040306</v>
      </c>
      <c r="D6" s="144" t="str">
        <f>SISWA!E7</f>
        <v>ADHWA</v>
      </c>
      <c r="E6" s="159">
        <v>88.25</v>
      </c>
      <c r="F6" s="159">
        <v>88.25</v>
      </c>
      <c r="G6" s="160">
        <v>88.25</v>
      </c>
      <c r="H6" s="160">
        <v>88.25</v>
      </c>
      <c r="I6" s="160">
        <v>88.25</v>
      </c>
      <c r="J6" s="159"/>
      <c r="K6" s="160" t="s">
        <v>766</v>
      </c>
      <c r="L6" s="160"/>
      <c r="M6" s="160"/>
      <c r="N6" s="160"/>
      <c r="O6" s="160"/>
      <c r="P6" s="160"/>
      <c r="Q6" s="160"/>
      <c r="R6" s="159"/>
      <c r="S6" s="160"/>
      <c r="T6" s="159"/>
      <c r="U6" s="354">
        <f t="shared" ref="U6:U54" si="4">ROUND((AVERAGE(E6:T6)),0)</f>
        <v>88</v>
      </c>
      <c r="V6" s="355" t="str">
        <f>IF(U6&gt;KKM!$G$10,"A",IF(U6&gt;KKM!$H$10,"B",IF(U6&gt;=KKM!$I$10,"C","D")))</f>
        <v>A</v>
      </c>
      <c r="W6" s="356">
        <f t="shared" si="0"/>
        <v>88.25</v>
      </c>
      <c r="X6" s="361" t="str">
        <f>IF(W6&gt;KKM!$G$10," sangat baik ",IF(W6&gt;KKM!$H$10," baik ",IF(W6&gt;=KKM!$I$10," cukup baik "," perlu bimbingan ")))</f>
        <v xml:space="preserve"> sangat baik </v>
      </c>
      <c r="Y6" s="357">
        <f t="shared" si="1"/>
        <v>88.25</v>
      </c>
      <c r="Z6" s="361" t="str">
        <f>IF(Y6&gt;KKM!$G$10," sangat baik ",IF(Y6&gt;KKM!$H$10," baik ",IF(Y6&gt;=KKM!$I$10," cukup baik "," perlu bimbingan ")))</f>
        <v xml:space="preserve"> sangat baik </v>
      </c>
      <c r="AA6" s="353" t="str">
        <f t="shared" ref="AA6:AA54" si="5">IFERROR(AH6," ")</f>
        <v>ADHWA sangat baik  dalam meringkas teks penjelasan (eksplanasi) dari media cetak atau elektronik.</v>
      </c>
      <c r="AB6" s="256"/>
      <c r="AC6" s="257" t="str">
        <f t="shared" si="2"/>
        <v xml:space="preserve"> sangat baik  dalam meringkas teks penjelasan (eksplanasi) dari media cetak atau elektronik.</v>
      </c>
      <c r="AD6" s="257" t="str">
        <f t="shared" si="3"/>
        <v xml:space="preserve"> sangat baik  dalam meringkas teks penjelasan (eksplanasi) dari media cetak atau elektronik.</v>
      </c>
      <c r="AE6" s="257" t="str">
        <f t="shared" ref="AE6:AE54" si="6">AC6&amp;", dan "&amp;AD6</f>
        <v xml:space="preserve"> sangat baik  dalam meringkas teks penjelasan (eksplanasi) dari media cetak atau elektronik., dan  sangat baik  dalam meringkas teks penjelasan (eksplanasi) dari media cetak atau elektronik.</v>
      </c>
      <c r="AF6" s="257" t="str">
        <f t="shared" ref="AF6:AF54" si="7">IF(AC6=AD6,AC6," ")</f>
        <v xml:space="preserve"> sangat baik  dalam meringkas teks penjelasan (eksplanasi) dari media cetak atau elektronik.</v>
      </c>
      <c r="AG6" s="258" t="str">
        <f t="shared" ref="AG6:AG54" si="8">IF(AF6=" ",AE6,AF6)</f>
        <v xml:space="preserve"> sangat baik  dalam meringkas teks penjelasan (eksplanasi) dari media cetak atau elektronik.</v>
      </c>
      <c r="AH6" s="252" t="str">
        <f t="shared" ref="AH6:AH54" si="9">CONCATENATE(D6,AG6)</f>
        <v>ADHWA sangat baik  dalam meringkas teks penjelasan (eksplanasi) dari media cetak atau elektronik.</v>
      </c>
      <c r="AI6" s="153"/>
      <c r="AQ6" s="469">
        <f>IFERROR(U6,"")</f>
        <v>88</v>
      </c>
      <c r="AR6" s="503">
        <f>IFERROR(AR3/AR2,"0%")</f>
        <v>1</v>
      </c>
    </row>
    <row r="7" spans="1:44" ht="51.75" customHeight="1">
      <c r="B7" s="142">
        <v>3</v>
      </c>
      <c r="C7" s="143" t="str">
        <f>SISWA!B8</f>
        <v xml:space="preserve"> 1718250040307</v>
      </c>
      <c r="D7" s="144" t="str">
        <f>SISWA!E8</f>
        <v>ANDHIKA</v>
      </c>
      <c r="E7" s="159">
        <v>88.5</v>
      </c>
      <c r="F7" s="159">
        <v>88.5</v>
      </c>
      <c r="G7" s="160">
        <v>88.5</v>
      </c>
      <c r="H7" s="160">
        <v>88.5</v>
      </c>
      <c r="I7" s="160">
        <v>88.5</v>
      </c>
      <c r="J7" s="159"/>
      <c r="K7" s="159"/>
      <c r="L7" s="159"/>
      <c r="M7" s="159"/>
      <c r="N7" s="159"/>
      <c r="O7" s="159"/>
      <c r="P7" s="159"/>
      <c r="Q7" s="159"/>
      <c r="R7" s="160"/>
      <c r="S7" s="160"/>
      <c r="T7" s="159"/>
      <c r="U7" s="354">
        <f t="shared" si="4"/>
        <v>89</v>
      </c>
      <c r="V7" s="355" t="str">
        <f>IF(U7&gt;KKM!$G$10,"A",IF(U7&gt;KKM!$H$10,"B",IF(U7&gt;=KKM!$I$10,"C","D")))</f>
        <v>A</v>
      </c>
      <c r="W7" s="356">
        <f t="shared" si="0"/>
        <v>88.5</v>
      </c>
      <c r="X7" s="361" t="str">
        <f>IF(W7&gt;KKM!$G$10," sangat baik ",IF(W7&gt;KKM!$H$10," baik ",IF(W7&gt;=KKM!$I$10," cukup baik "," perlu bimbingan ")))</f>
        <v xml:space="preserve"> sangat baik </v>
      </c>
      <c r="Y7" s="357">
        <f t="shared" si="1"/>
        <v>88.5</v>
      </c>
      <c r="Z7" s="361" t="str">
        <f>IF(Y7&gt;KKM!$G$10," sangat baik ",IF(Y7&gt;KKM!$H$10," baik ",IF(Y7&gt;=KKM!$I$10," cukup baik "," perlu bimbingan ")))</f>
        <v xml:space="preserve"> sangat baik </v>
      </c>
      <c r="AA7" s="353" t="str">
        <f t="shared" si="5"/>
        <v>ANDHIKA sangat baik  dalam meringkas teks penjelasan (eksplanasi) dari media cetak atau elektronik.</v>
      </c>
      <c r="AB7" s="256"/>
      <c r="AC7" s="257" t="str">
        <f t="shared" si="2"/>
        <v xml:space="preserve"> sangat baik  dalam meringkas teks penjelasan (eksplanasi) dari media cetak atau elektronik.</v>
      </c>
      <c r="AD7" s="257" t="str">
        <f t="shared" si="3"/>
        <v xml:space="preserve"> sangat baik  dalam meringkas teks penjelasan (eksplanasi) dari media cetak atau elektronik.</v>
      </c>
      <c r="AE7" s="257" t="str">
        <f t="shared" si="6"/>
        <v xml:space="preserve"> sangat baik  dalam meringkas teks penjelasan (eksplanasi) dari media cetak atau elektronik., dan  sangat baik  dalam meringkas teks penjelasan (eksplanasi) dari media cetak atau elektronik.</v>
      </c>
      <c r="AF7" s="257" t="str">
        <f t="shared" si="7"/>
        <v xml:space="preserve"> sangat baik  dalam meringkas teks penjelasan (eksplanasi) dari media cetak atau elektronik.</v>
      </c>
      <c r="AG7" s="258" t="str">
        <f t="shared" si="8"/>
        <v xml:space="preserve"> sangat baik  dalam meringkas teks penjelasan (eksplanasi) dari media cetak atau elektronik.</v>
      </c>
      <c r="AH7" s="252" t="str">
        <f t="shared" si="9"/>
        <v>ANDHIKA sangat baik  dalam meringkas teks penjelasan (eksplanasi) dari media cetak atau elektronik.</v>
      </c>
      <c r="AI7" s="153"/>
      <c r="AQ7" s="469">
        <f t="shared" ref="AQ7:AQ54" si="10">IFERROR(U7,"")</f>
        <v>89</v>
      </c>
    </row>
    <row r="8" spans="1:44" ht="51.75" customHeight="1">
      <c r="B8" s="142">
        <v>4</v>
      </c>
      <c r="C8" s="143" t="str">
        <f>SISWA!B9</f>
        <v xml:space="preserve"> 1718250040308</v>
      </c>
      <c r="D8" s="144" t="str">
        <f>SISWA!E9</f>
        <v>ANGGARA</v>
      </c>
      <c r="E8" s="159">
        <v>81.75</v>
      </c>
      <c r="F8" s="159">
        <v>81.75</v>
      </c>
      <c r="G8" s="160">
        <v>81.75</v>
      </c>
      <c r="H8" s="160">
        <v>81.75</v>
      </c>
      <c r="I8" s="160">
        <v>81.75</v>
      </c>
      <c r="J8" s="159"/>
      <c r="K8" s="159"/>
      <c r="L8" s="159"/>
      <c r="M8" s="159"/>
      <c r="N8" s="159"/>
      <c r="O8" s="159"/>
      <c r="P8" s="159"/>
      <c r="Q8" s="159"/>
      <c r="R8" s="160"/>
      <c r="S8" s="160"/>
      <c r="T8" s="159"/>
      <c r="U8" s="354">
        <f t="shared" si="4"/>
        <v>82</v>
      </c>
      <c r="V8" s="355" t="str">
        <f>IF(U8&gt;KKM!$G$10,"A",IF(U8&gt;KKM!$H$10,"B",IF(U8&gt;=KKM!$I$10,"C","D")))</f>
        <v>B</v>
      </c>
      <c r="W8" s="356">
        <f t="shared" si="0"/>
        <v>81.75</v>
      </c>
      <c r="X8" s="361" t="str">
        <f>IF(W8&gt;KKM!$G$10," sangat baik ",IF(W8&gt;KKM!$H$10," baik ",IF(W8&gt;=KKM!$I$10," cukup baik "," perlu bimbingan ")))</f>
        <v xml:space="preserve"> baik </v>
      </c>
      <c r="Y8" s="357">
        <f t="shared" si="1"/>
        <v>81.75</v>
      </c>
      <c r="Z8" s="361" t="str">
        <f>IF(Y8&gt;KKM!$G$10," sangat baik ",IF(Y8&gt;KKM!$H$10," baik ",IF(Y8&gt;=KKM!$I$10," cukup baik "," perlu bimbingan ")))</f>
        <v xml:space="preserve"> baik </v>
      </c>
      <c r="AA8" s="353" t="str">
        <f t="shared" si="5"/>
        <v>ANGGARA baik  dalam meringkas teks penjelasan (eksplanasi) dari media cetak atau elektronik.</v>
      </c>
      <c r="AB8" s="256"/>
      <c r="AC8" s="257" t="str">
        <f t="shared" si="2"/>
        <v xml:space="preserve"> baik  dalam meringkas teks penjelasan (eksplanasi) dari media cetak atau elektronik.</v>
      </c>
      <c r="AD8" s="257" t="str">
        <f t="shared" si="3"/>
        <v xml:space="preserve"> baik  dalam meringkas teks penjelasan (eksplanasi) dari media cetak atau elektronik.</v>
      </c>
      <c r="AE8" s="257" t="str">
        <f t="shared" si="6"/>
        <v xml:space="preserve"> baik  dalam meringkas teks penjelasan (eksplanasi) dari media cetak atau elektronik., dan  baik  dalam meringkas teks penjelasan (eksplanasi) dari media cetak atau elektronik.</v>
      </c>
      <c r="AF8" s="257" t="str">
        <f t="shared" si="7"/>
        <v xml:space="preserve"> baik  dalam meringkas teks penjelasan (eksplanasi) dari media cetak atau elektronik.</v>
      </c>
      <c r="AG8" s="258" t="str">
        <f t="shared" si="8"/>
        <v xml:space="preserve"> baik  dalam meringkas teks penjelasan (eksplanasi) dari media cetak atau elektronik.</v>
      </c>
      <c r="AH8" s="252" t="str">
        <f t="shared" si="9"/>
        <v>ANGGARA baik  dalam meringkas teks penjelasan (eksplanasi) dari media cetak atau elektronik.</v>
      </c>
      <c r="AI8" s="153"/>
      <c r="AQ8" s="469">
        <f t="shared" si="10"/>
        <v>82</v>
      </c>
    </row>
    <row r="9" spans="1:44" ht="51.75" customHeight="1">
      <c r="B9" s="142">
        <v>5</v>
      </c>
      <c r="C9" s="143" t="str">
        <f>SISWA!B10</f>
        <v>1718250040309</v>
      </c>
      <c r="D9" s="144" t="str">
        <f>SISWA!E10</f>
        <v>ARIA</v>
      </c>
      <c r="E9" s="159">
        <v>86</v>
      </c>
      <c r="F9" s="159">
        <v>86</v>
      </c>
      <c r="G9" s="160">
        <v>86</v>
      </c>
      <c r="H9" s="160">
        <v>86</v>
      </c>
      <c r="I9" s="160">
        <v>86</v>
      </c>
      <c r="J9" s="159"/>
      <c r="K9" s="159"/>
      <c r="L9" s="159"/>
      <c r="M9" s="159"/>
      <c r="N9" s="159"/>
      <c r="O9" s="159"/>
      <c r="P9" s="159"/>
      <c r="Q9" s="159"/>
      <c r="R9" s="160"/>
      <c r="S9" s="160"/>
      <c r="T9" s="159"/>
      <c r="U9" s="354">
        <f t="shared" si="4"/>
        <v>86</v>
      </c>
      <c r="V9" s="355" t="str">
        <f>IF(U9&gt;KKM!$G$10,"A",IF(U9&gt;KKM!$H$10,"B",IF(U9&gt;=KKM!$I$10,"C","D")))</f>
        <v>B</v>
      </c>
      <c r="W9" s="356">
        <f t="shared" si="0"/>
        <v>86</v>
      </c>
      <c r="X9" s="361" t="str">
        <f>IF(W9&gt;KKM!$G$10," sangat baik ",IF(W9&gt;KKM!$H$10," baik ",IF(W9&gt;=KKM!$I$10," cukup baik "," perlu bimbingan ")))</f>
        <v xml:space="preserve"> baik </v>
      </c>
      <c r="Y9" s="357">
        <f t="shared" si="1"/>
        <v>86</v>
      </c>
      <c r="Z9" s="361" t="str">
        <f>IF(Y9&gt;KKM!$G$10," sangat baik ",IF(Y9&gt;KKM!$H$10," baik ",IF(Y9&gt;=KKM!$I$10," cukup baik "," perlu bimbingan ")))</f>
        <v xml:space="preserve"> baik </v>
      </c>
      <c r="AA9" s="353" t="str">
        <f t="shared" si="5"/>
        <v>ARIA baik  dalam meringkas teks penjelasan (eksplanasi) dari media cetak atau elektronik.</v>
      </c>
      <c r="AB9" s="256"/>
      <c r="AC9" s="257" t="str">
        <f t="shared" si="2"/>
        <v xml:space="preserve"> baik  dalam meringkas teks penjelasan (eksplanasi) dari media cetak atau elektronik.</v>
      </c>
      <c r="AD9" s="257" t="str">
        <f t="shared" si="3"/>
        <v xml:space="preserve"> baik  dalam meringkas teks penjelasan (eksplanasi) dari media cetak atau elektronik.</v>
      </c>
      <c r="AE9" s="257" t="str">
        <f t="shared" si="6"/>
        <v xml:space="preserve"> baik  dalam meringkas teks penjelasan (eksplanasi) dari media cetak atau elektronik., dan  baik  dalam meringkas teks penjelasan (eksplanasi) dari media cetak atau elektronik.</v>
      </c>
      <c r="AF9" s="257" t="str">
        <f t="shared" si="7"/>
        <v xml:space="preserve"> baik  dalam meringkas teks penjelasan (eksplanasi) dari media cetak atau elektronik.</v>
      </c>
      <c r="AG9" s="258" t="str">
        <f t="shared" si="8"/>
        <v xml:space="preserve"> baik  dalam meringkas teks penjelasan (eksplanasi) dari media cetak atau elektronik.</v>
      </c>
      <c r="AH9" s="252" t="str">
        <f t="shared" si="9"/>
        <v>ARIA baik  dalam meringkas teks penjelasan (eksplanasi) dari media cetak atau elektronik.</v>
      </c>
      <c r="AI9" s="153"/>
      <c r="AQ9" s="469">
        <f t="shared" si="10"/>
        <v>86</v>
      </c>
    </row>
    <row r="10" spans="1:44" ht="51.75" customHeight="1">
      <c r="B10" s="142">
        <v>6</v>
      </c>
      <c r="C10" s="143" t="str">
        <f>SISWA!B11</f>
        <v>1718250040310</v>
      </c>
      <c r="D10" s="144" t="str">
        <f>SISWA!E11</f>
        <v>CAHAYA</v>
      </c>
      <c r="E10" s="159">
        <v>84.25</v>
      </c>
      <c r="F10" s="159">
        <v>84.25</v>
      </c>
      <c r="G10" s="160">
        <v>84.25</v>
      </c>
      <c r="H10" s="160">
        <v>84.25</v>
      </c>
      <c r="I10" s="160">
        <v>84.25</v>
      </c>
      <c r="J10" s="159"/>
      <c r="K10" s="159"/>
      <c r="L10" s="159"/>
      <c r="M10" s="159"/>
      <c r="N10" s="159"/>
      <c r="O10" s="159"/>
      <c r="P10" s="159"/>
      <c r="Q10" s="159"/>
      <c r="R10" s="160"/>
      <c r="S10" s="160"/>
      <c r="T10" s="159"/>
      <c r="U10" s="354">
        <f t="shared" si="4"/>
        <v>84</v>
      </c>
      <c r="V10" s="355" t="str">
        <f>IF(U10&gt;KKM!$G$10,"A",IF(U10&gt;KKM!$H$10,"B",IF(U10&gt;=KKM!$I$10,"C","D")))</f>
        <v>B</v>
      </c>
      <c r="W10" s="356">
        <f t="shared" si="0"/>
        <v>84.25</v>
      </c>
      <c r="X10" s="361" t="str">
        <f>IF(W10&gt;KKM!$G$10," sangat baik ",IF(W10&gt;KKM!$H$10," baik ",IF(W10&gt;=KKM!$I$10," cukup baik "," perlu bimbingan ")))</f>
        <v xml:space="preserve"> baik </v>
      </c>
      <c r="Y10" s="357">
        <f t="shared" si="1"/>
        <v>84.25</v>
      </c>
      <c r="Z10" s="361" t="str">
        <f>IF(Y10&gt;KKM!$G$10," sangat baik ",IF(Y10&gt;KKM!$H$10," baik ",IF(Y10&gt;=KKM!$I$10," cukup baik "," perlu bimbingan ")))</f>
        <v xml:space="preserve"> baik </v>
      </c>
      <c r="AA10" s="353" t="str">
        <f t="shared" si="5"/>
        <v>CAHAYA baik  dalam meringkas teks penjelasan (eksplanasi) dari media cetak atau elektronik.</v>
      </c>
      <c r="AB10" s="256"/>
      <c r="AC10" s="257" t="str">
        <f t="shared" si="2"/>
        <v xml:space="preserve"> baik  dalam meringkas teks penjelasan (eksplanasi) dari media cetak atau elektronik.</v>
      </c>
      <c r="AD10" s="257" t="str">
        <f t="shared" si="3"/>
        <v xml:space="preserve"> baik  dalam meringkas teks penjelasan (eksplanasi) dari media cetak atau elektronik.</v>
      </c>
      <c r="AE10" s="257" t="str">
        <f t="shared" si="6"/>
        <v xml:space="preserve"> baik  dalam meringkas teks penjelasan (eksplanasi) dari media cetak atau elektronik., dan  baik  dalam meringkas teks penjelasan (eksplanasi) dari media cetak atau elektronik.</v>
      </c>
      <c r="AF10" s="257" t="str">
        <f t="shared" si="7"/>
        <v xml:space="preserve"> baik  dalam meringkas teks penjelasan (eksplanasi) dari media cetak atau elektronik.</v>
      </c>
      <c r="AG10" s="258" t="str">
        <f t="shared" si="8"/>
        <v xml:space="preserve"> baik  dalam meringkas teks penjelasan (eksplanasi) dari media cetak atau elektronik.</v>
      </c>
      <c r="AH10" s="252" t="str">
        <f t="shared" si="9"/>
        <v>CAHAYA baik  dalam meringkas teks penjelasan (eksplanasi) dari media cetak atau elektronik.</v>
      </c>
      <c r="AI10" s="153"/>
      <c r="AQ10" s="469">
        <f t="shared" si="10"/>
        <v>84</v>
      </c>
    </row>
    <row r="11" spans="1:44" ht="51.75" customHeight="1">
      <c r="B11" s="142">
        <v>7</v>
      </c>
      <c r="C11" s="143" t="str">
        <f>SISWA!B12</f>
        <v>1718250040311</v>
      </c>
      <c r="D11" s="144" t="str">
        <f>SISWA!E12</f>
        <v>CALISTA</v>
      </c>
      <c r="E11" s="159">
        <v>80.25</v>
      </c>
      <c r="F11" s="159">
        <v>80.25</v>
      </c>
      <c r="G11" s="160">
        <v>80.25</v>
      </c>
      <c r="H11" s="160">
        <v>80.25</v>
      </c>
      <c r="I11" s="160">
        <v>80.25</v>
      </c>
      <c r="J11" s="159"/>
      <c r="K11" s="159"/>
      <c r="L11" s="159"/>
      <c r="M11" s="159"/>
      <c r="N11" s="159"/>
      <c r="O11" s="159"/>
      <c r="P11" s="159"/>
      <c r="Q11" s="159"/>
      <c r="R11" s="160"/>
      <c r="S11" s="160"/>
      <c r="T11" s="159"/>
      <c r="U11" s="354">
        <f t="shared" si="4"/>
        <v>80</v>
      </c>
      <c r="V11" s="355" t="str">
        <f>IF(U11&gt;KKM!$G$10,"A",IF(U11&gt;KKM!$H$10,"B",IF(U11&gt;=KKM!$I$10,"C","D")))</f>
        <v>B</v>
      </c>
      <c r="W11" s="356">
        <f t="shared" si="0"/>
        <v>80.25</v>
      </c>
      <c r="X11" s="361" t="str">
        <f>IF(W11&gt;KKM!$G$10," sangat baik ",IF(W11&gt;KKM!$H$10," baik ",IF(W11&gt;=KKM!$I$10," cukup baik "," perlu bimbingan ")))</f>
        <v xml:space="preserve"> baik </v>
      </c>
      <c r="Y11" s="357">
        <f t="shared" si="1"/>
        <v>80.25</v>
      </c>
      <c r="Z11" s="361" t="str">
        <f>IF(Y11&gt;KKM!$G$10," sangat baik ",IF(Y11&gt;KKM!$H$10," baik ",IF(Y11&gt;=KKM!$I$10," cukup baik "," perlu bimbingan ")))</f>
        <v xml:space="preserve"> baik </v>
      </c>
      <c r="AA11" s="353" t="str">
        <f t="shared" si="5"/>
        <v>CALISTA baik  dalam meringkas teks penjelasan (eksplanasi) dari media cetak atau elektronik.</v>
      </c>
      <c r="AB11" s="256"/>
      <c r="AC11" s="257" t="str">
        <f t="shared" si="2"/>
        <v xml:space="preserve"> baik  dalam meringkas teks penjelasan (eksplanasi) dari media cetak atau elektronik.</v>
      </c>
      <c r="AD11" s="257" t="str">
        <f t="shared" si="3"/>
        <v xml:space="preserve"> baik  dalam meringkas teks penjelasan (eksplanasi) dari media cetak atau elektronik.</v>
      </c>
      <c r="AE11" s="257" t="str">
        <f t="shared" si="6"/>
        <v xml:space="preserve"> baik  dalam meringkas teks penjelasan (eksplanasi) dari media cetak atau elektronik., dan  baik  dalam meringkas teks penjelasan (eksplanasi) dari media cetak atau elektronik.</v>
      </c>
      <c r="AF11" s="257" t="str">
        <f t="shared" si="7"/>
        <v xml:space="preserve"> baik  dalam meringkas teks penjelasan (eksplanasi) dari media cetak atau elektronik.</v>
      </c>
      <c r="AG11" s="258" t="str">
        <f t="shared" si="8"/>
        <v xml:space="preserve"> baik  dalam meringkas teks penjelasan (eksplanasi) dari media cetak atau elektronik.</v>
      </c>
      <c r="AH11" s="252" t="str">
        <f t="shared" si="9"/>
        <v>CALISTA baik  dalam meringkas teks penjelasan (eksplanasi) dari media cetak atau elektronik.</v>
      </c>
      <c r="AI11" s="153"/>
      <c r="AQ11" s="469">
        <f t="shared" si="10"/>
        <v>80</v>
      </c>
    </row>
    <row r="12" spans="1:44" ht="51.75" customHeight="1">
      <c r="B12" s="142">
        <v>8</v>
      </c>
      <c r="C12" s="143" t="str">
        <f>SISWA!B13</f>
        <v>1718250040312</v>
      </c>
      <c r="D12" s="144" t="str">
        <f>SISWA!E13</f>
        <v>CARISSA</v>
      </c>
      <c r="E12" s="159">
        <v>89.5</v>
      </c>
      <c r="F12" s="159">
        <v>89.5</v>
      </c>
      <c r="G12" s="160">
        <v>89.5</v>
      </c>
      <c r="H12" s="160">
        <v>89.5</v>
      </c>
      <c r="I12" s="160">
        <v>89.5</v>
      </c>
      <c r="J12" s="159"/>
      <c r="K12" s="159"/>
      <c r="L12" s="159"/>
      <c r="M12" s="159"/>
      <c r="N12" s="159"/>
      <c r="O12" s="159"/>
      <c r="P12" s="159"/>
      <c r="Q12" s="159"/>
      <c r="R12" s="160"/>
      <c r="S12" s="160"/>
      <c r="T12" s="159"/>
      <c r="U12" s="354">
        <f t="shared" si="4"/>
        <v>90</v>
      </c>
      <c r="V12" s="355" t="str">
        <f>IF(U12&gt;KKM!$G$10,"A",IF(U12&gt;KKM!$H$10,"B",IF(U12&gt;=KKM!$I$10,"C","D")))</f>
        <v>A</v>
      </c>
      <c r="W12" s="356">
        <f t="shared" si="0"/>
        <v>89.5</v>
      </c>
      <c r="X12" s="361" t="str">
        <f>IF(W12&gt;KKM!$G$10," sangat baik ",IF(W12&gt;KKM!$H$10," baik ",IF(W12&gt;=KKM!$I$10," cukup baik "," perlu bimbingan ")))</f>
        <v xml:space="preserve"> sangat baik </v>
      </c>
      <c r="Y12" s="357">
        <f t="shared" si="1"/>
        <v>89.5</v>
      </c>
      <c r="Z12" s="361" t="str">
        <f>IF(Y12&gt;KKM!$G$10," sangat baik ",IF(Y12&gt;KKM!$H$10," baik ",IF(Y12&gt;=KKM!$I$10," cukup baik "," perlu bimbingan ")))</f>
        <v xml:space="preserve"> sangat baik </v>
      </c>
      <c r="AA12" s="353" t="str">
        <f t="shared" si="5"/>
        <v>CARISSA sangat baik  dalam meringkas teks penjelasan (eksplanasi) dari media cetak atau elektronik.</v>
      </c>
      <c r="AB12" s="256"/>
      <c r="AC12" s="257" t="str">
        <f t="shared" si="2"/>
        <v xml:space="preserve"> sangat baik  dalam meringkas teks penjelasan (eksplanasi) dari media cetak atau elektronik.</v>
      </c>
      <c r="AD12" s="257" t="str">
        <f t="shared" si="3"/>
        <v xml:space="preserve"> sangat baik  dalam meringkas teks penjelasan (eksplanasi) dari media cetak atau elektronik.</v>
      </c>
      <c r="AE12" s="257" t="str">
        <f t="shared" si="6"/>
        <v xml:space="preserve"> sangat baik  dalam meringkas teks penjelasan (eksplanasi) dari media cetak atau elektronik., dan  sangat baik  dalam meringkas teks penjelasan (eksplanasi) dari media cetak atau elektronik.</v>
      </c>
      <c r="AF12" s="257" t="str">
        <f t="shared" si="7"/>
        <v xml:space="preserve"> sangat baik  dalam meringkas teks penjelasan (eksplanasi) dari media cetak atau elektronik.</v>
      </c>
      <c r="AG12" s="258" t="str">
        <f t="shared" si="8"/>
        <v xml:space="preserve"> sangat baik  dalam meringkas teks penjelasan (eksplanasi) dari media cetak atau elektronik.</v>
      </c>
      <c r="AH12" s="252" t="str">
        <f t="shared" si="9"/>
        <v>CARISSA sangat baik  dalam meringkas teks penjelasan (eksplanasi) dari media cetak atau elektronik.</v>
      </c>
      <c r="AI12" s="153"/>
      <c r="AQ12" s="469">
        <f t="shared" si="10"/>
        <v>90</v>
      </c>
    </row>
    <row r="13" spans="1:44" ht="51.75" customHeight="1">
      <c r="B13" s="142">
        <v>9</v>
      </c>
      <c r="C13" s="143" t="str">
        <f>SISWA!B14</f>
        <v>1718250040313</v>
      </c>
      <c r="D13" s="144" t="str">
        <f>SISWA!E14</f>
        <v>CHAIDAR</v>
      </c>
      <c r="E13" s="159">
        <v>84</v>
      </c>
      <c r="F13" s="159">
        <v>84</v>
      </c>
      <c r="G13" s="160">
        <v>84</v>
      </c>
      <c r="H13" s="160">
        <v>84</v>
      </c>
      <c r="I13" s="160">
        <v>84</v>
      </c>
      <c r="J13" s="159"/>
      <c r="K13" s="159"/>
      <c r="L13" s="159"/>
      <c r="M13" s="159"/>
      <c r="N13" s="159"/>
      <c r="O13" s="159"/>
      <c r="P13" s="159"/>
      <c r="Q13" s="159"/>
      <c r="R13" s="160"/>
      <c r="S13" s="160"/>
      <c r="T13" s="159"/>
      <c r="U13" s="354">
        <f t="shared" si="4"/>
        <v>84</v>
      </c>
      <c r="V13" s="355" t="str">
        <f>IF(U13&gt;KKM!$G$10,"A",IF(U13&gt;KKM!$H$10,"B",IF(U13&gt;=KKM!$I$10,"C","D")))</f>
        <v>B</v>
      </c>
      <c r="W13" s="356">
        <f t="shared" si="0"/>
        <v>84</v>
      </c>
      <c r="X13" s="361" t="str">
        <f>IF(W13&gt;KKM!$G$10," sangat baik ",IF(W13&gt;KKM!$H$10," baik ",IF(W13&gt;=KKM!$I$10," cukup baik "," perlu bimbingan ")))</f>
        <v xml:space="preserve"> baik </v>
      </c>
      <c r="Y13" s="357">
        <f t="shared" si="1"/>
        <v>84</v>
      </c>
      <c r="Z13" s="361" t="str">
        <f>IF(Y13&gt;KKM!$G$10," sangat baik ",IF(Y13&gt;KKM!$H$10," baik ",IF(Y13&gt;=KKM!$I$10," cukup baik "," perlu bimbingan ")))</f>
        <v xml:space="preserve"> baik </v>
      </c>
      <c r="AA13" s="353" t="str">
        <f t="shared" si="5"/>
        <v>CHAIDAR baik  dalam meringkas teks penjelasan (eksplanasi) dari media cetak atau elektronik.</v>
      </c>
      <c r="AB13" s="256"/>
      <c r="AC13" s="257" t="str">
        <f t="shared" si="2"/>
        <v xml:space="preserve"> baik  dalam meringkas teks penjelasan (eksplanasi) dari media cetak atau elektronik.</v>
      </c>
      <c r="AD13" s="257" t="str">
        <f t="shared" si="3"/>
        <v xml:space="preserve"> baik  dalam meringkas teks penjelasan (eksplanasi) dari media cetak atau elektronik.</v>
      </c>
      <c r="AE13" s="257" t="str">
        <f t="shared" si="6"/>
        <v xml:space="preserve"> baik  dalam meringkas teks penjelasan (eksplanasi) dari media cetak atau elektronik., dan  baik  dalam meringkas teks penjelasan (eksplanasi) dari media cetak atau elektronik.</v>
      </c>
      <c r="AF13" s="257" t="str">
        <f t="shared" si="7"/>
        <v xml:space="preserve"> baik  dalam meringkas teks penjelasan (eksplanasi) dari media cetak atau elektronik.</v>
      </c>
      <c r="AG13" s="258" t="str">
        <f t="shared" si="8"/>
        <v xml:space="preserve"> baik  dalam meringkas teks penjelasan (eksplanasi) dari media cetak atau elektronik.</v>
      </c>
      <c r="AH13" s="252" t="str">
        <f t="shared" si="9"/>
        <v>CHAIDAR baik  dalam meringkas teks penjelasan (eksplanasi) dari media cetak atau elektronik.</v>
      </c>
      <c r="AI13" s="153"/>
      <c r="AQ13" s="469">
        <f t="shared" si="10"/>
        <v>84</v>
      </c>
    </row>
    <row r="14" spans="1:44" ht="51.75" customHeight="1">
      <c r="B14" s="142">
        <v>10</v>
      </c>
      <c r="C14" s="143" t="str">
        <f>SISWA!B15</f>
        <v>1718250040314</v>
      </c>
      <c r="D14" s="144" t="str">
        <f>SISWA!E15</f>
        <v>DAVKA</v>
      </c>
      <c r="E14" s="159">
        <v>84.5</v>
      </c>
      <c r="F14" s="159">
        <v>84.5</v>
      </c>
      <c r="G14" s="160">
        <v>84.5</v>
      </c>
      <c r="H14" s="160">
        <v>84.5</v>
      </c>
      <c r="I14" s="160">
        <v>84.5</v>
      </c>
      <c r="J14" s="159"/>
      <c r="K14" s="159"/>
      <c r="L14" s="159"/>
      <c r="M14" s="159"/>
      <c r="N14" s="159"/>
      <c r="O14" s="159"/>
      <c r="P14" s="159"/>
      <c r="Q14" s="159"/>
      <c r="R14" s="160"/>
      <c r="S14" s="160"/>
      <c r="T14" s="159"/>
      <c r="U14" s="354">
        <f t="shared" si="4"/>
        <v>85</v>
      </c>
      <c r="V14" s="355" t="str">
        <f>IF(U14&gt;KKM!$G$10,"A",IF(U14&gt;KKM!$H$10,"B",IF(U14&gt;=KKM!$I$10,"C","D")))</f>
        <v>B</v>
      </c>
      <c r="W14" s="356">
        <f t="shared" si="0"/>
        <v>84.5</v>
      </c>
      <c r="X14" s="361" t="str">
        <f>IF(W14&gt;KKM!$G$10," sangat baik ",IF(W14&gt;KKM!$H$10," baik ",IF(W14&gt;=KKM!$I$10," cukup baik "," perlu bimbingan ")))</f>
        <v xml:space="preserve"> baik </v>
      </c>
      <c r="Y14" s="357">
        <f t="shared" si="1"/>
        <v>84.5</v>
      </c>
      <c r="Z14" s="361" t="str">
        <f>IF(Y14&gt;KKM!$G$10," sangat baik ",IF(Y14&gt;KKM!$H$10," baik ",IF(Y14&gt;=KKM!$I$10," cukup baik "," perlu bimbingan ")))</f>
        <v xml:space="preserve"> baik </v>
      </c>
      <c r="AA14" s="353" t="str">
        <f t="shared" si="5"/>
        <v>DAVKA baik  dalam meringkas teks penjelasan (eksplanasi) dari media cetak atau elektronik.</v>
      </c>
      <c r="AB14" s="256"/>
      <c r="AC14" s="257" t="str">
        <f t="shared" si="2"/>
        <v xml:space="preserve"> baik  dalam meringkas teks penjelasan (eksplanasi) dari media cetak atau elektronik.</v>
      </c>
      <c r="AD14" s="257" t="str">
        <f t="shared" si="3"/>
        <v xml:space="preserve"> baik  dalam meringkas teks penjelasan (eksplanasi) dari media cetak atau elektronik.</v>
      </c>
      <c r="AE14" s="257" t="str">
        <f t="shared" si="6"/>
        <v xml:space="preserve"> baik  dalam meringkas teks penjelasan (eksplanasi) dari media cetak atau elektronik., dan  baik  dalam meringkas teks penjelasan (eksplanasi) dari media cetak atau elektronik.</v>
      </c>
      <c r="AF14" s="257" t="str">
        <f t="shared" si="7"/>
        <v xml:space="preserve"> baik  dalam meringkas teks penjelasan (eksplanasi) dari media cetak atau elektronik.</v>
      </c>
      <c r="AG14" s="258" t="str">
        <f t="shared" si="8"/>
        <v xml:space="preserve"> baik  dalam meringkas teks penjelasan (eksplanasi) dari media cetak atau elektronik.</v>
      </c>
      <c r="AH14" s="252" t="str">
        <f t="shared" si="9"/>
        <v>DAVKA baik  dalam meringkas teks penjelasan (eksplanasi) dari media cetak atau elektronik.</v>
      </c>
      <c r="AI14" s="153"/>
      <c r="AQ14" s="469">
        <f t="shared" si="10"/>
        <v>85</v>
      </c>
    </row>
    <row r="15" spans="1:44" ht="51.75" customHeight="1">
      <c r="B15" s="142">
        <v>11</v>
      </c>
      <c r="C15" s="143" t="str">
        <f>SISWA!B16</f>
        <v>1718250040315</v>
      </c>
      <c r="D15" s="144" t="str">
        <f>SISWA!E16</f>
        <v>DZIBRIL</v>
      </c>
      <c r="E15" s="159">
        <v>81.25</v>
      </c>
      <c r="F15" s="159">
        <v>81.25</v>
      </c>
      <c r="G15" s="160">
        <v>81.25</v>
      </c>
      <c r="H15" s="160">
        <v>81.25</v>
      </c>
      <c r="I15" s="160">
        <v>81.25</v>
      </c>
      <c r="J15" s="159"/>
      <c r="K15" s="159"/>
      <c r="L15" s="159"/>
      <c r="M15" s="159"/>
      <c r="N15" s="159"/>
      <c r="O15" s="159"/>
      <c r="P15" s="159"/>
      <c r="Q15" s="159"/>
      <c r="R15" s="160"/>
      <c r="S15" s="160"/>
      <c r="T15" s="159"/>
      <c r="U15" s="354">
        <f t="shared" si="4"/>
        <v>81</v>
      </c>
      <c r="V15" s="355" t="str">
        <f>IF(U15&gt;KKM!$G$10,"A",IF(U15&gt;KKM!$H$10,"B",IF(U15&gt;=KKM!$I$10,"C","D")))</f>
        <v>B</v>
      </c>
      <c r="W15" s="356">
        <f t="shared" si="0"/>
        <v>81.25</v>
      </c>
      <c r="X15" s="361" t="str">
        <f>IF(W15&gt;KKM!$G$10," sangat baik ",IF(W15&gt;KKM!$H$10," baik ",IF(W15&gt;=KKM!$I$10," cukup baik "," perlu bimbingan ")))</f>
        <v xml:space="preserve"> baik </v>
      </c>
      <c r="Y15" s="357">
        <f t="shared" si="1"/>
        <v>81.25</v>
      </c>
      <c r="Z15" s="361" t="str">
        <f>IF(Y15&gt;KKM!$G$10," sangat baik ",IF(Y15&gt;KKM!$H$10," baik ",IF(Y15&gt;=KKM!$I$10," cukup baik "," perlu bimbingan ")))</f>
        <v xml:space="preserve"> baik </v>
      </c>
      <c r="AA15" s="353" t="str">
        <f t="shared" si="5"/>
        <v>DZIBRIL baik  dalam meringkas teks penjelasan (eksplanasi) dari media cetak atau elektronik.</v>
      </c>
      <c r="AB15" s="256"/>
      <c r="AC15" s="257" t="str">
        <f t="shared" si="2"/>
        <v xml:space="preserve"> baik  dalam meringkas teks penjelasan (eksplanasi) dari media cetak atau elektronik.</v>
      </c>
      <c r="AD15" s="257" t="str">
        <f t="shared" si="3"/>
        <v xml:space="preserve"> baik  dalam meringkas teks penjelasan (eksplanasi) dari media cetak atau elektronik.</v>
      </c>
      <c r="AE15" s="257" t="str">
        <f t="shared" si="6"/>
        <v xml:space="preserve"> baik  dalam meringkas teks penjelasan (eksplanasi) dari media cetak atau elektronik., dan  baik  dalam meringkas teks penjelasan (eksplanasi) dari media cetak atau elektronik.</v>
      </c>
      <c r="AF15" s="257" t="str">
        <f t="shared" si="7"/>
        <v xml:space="preserve"> baik  dalam meringkas teks penjelasan (eksplanasi) dari media cetak atau elektronik.</v>
      </c>
      <c r="AG15" s="258" t="str">
        <f t="shared" si="8"/>
        <v xml:space="preserve"> baik  dalam meringkas teks penjelasan (eksplanasi) dari media cetak atau elektronik.</v>
      </c>
      <c r="AH15" s="252" t="str">
        <f t="shared" si="9"/>
        <v>DZIBRIL baik  dalam meringkas teks penjelasan (eksplanasi) dari media cetak atau elektronik.</v>
      </c>
      <c r="AI15" s="153"/>
      <c r="AQ15" s="469">
        <f t="shared" si="10"/>
        <v>81</v>
      </c>
    </row>
    <row r="16" spans="1:44" ht="51.75" customHeight="1">
      <c r="B16" s="142">
        <v>12</v>
      </c>
      <c r="C16" s="143" t="str">
        <f>SISWA!B17</f>
        <v>1718250040316</v>
      </c>
      <c r="D16" s="144" t="str">
        <f>SISWA!E17</f>
        <v>ERICHA</v>
      </c>
      <c r="E16" s="159">
        <v>85.25</v>
      </c>
      <c r="F16" s="159">
        <v>85.25</v>
      </c>
      <c r="G16" s="160">
        <v>85.25</v>
      </c>
      <c r="H16" s="160">
        <v>85.25</v>
      </c>
      <c r="I16" s="160">
        <v>85.25</v>
      </c>
      <c r="J16" s="159"/>
      <c r="K16" s="159"/>
      <c r="L16" s="159"/>
      <c r="M16" s="159"/>
      <c r="N16" s="159"/>
      <c r="O16" s="159"/>
      <c r="P16" s="159"/>
      <c r="Q16" s="159"/>
      <c r="R16" s="160"/>
      <c r="S16" s="160"/>
      <c r="T16" s="159"/>
      <c r="U16" s="354">
        <f t="shared" si="4"/>
        <v>85</v>
      </c>
      <c r="V16" s="355" t="str">
        <f>IF(U16&gt;KKM!$G$10,"A",IF(U16&gt;KKM!$H$10,"B",IF(U16&gt;=KKM!$I$10,"C","D")))</f>
        <v>B</v>
      </c>
      <c r="W16" s="356">
        <f t="shared" si="0"/>
        <v>85.25</v>
      </c>
      <c r="X16" s="361" t="str">
        <f>IF(W16&gt;KKM!$G$10," sangat baik ",IF(W16&gt;KKM!$H$10," baik ",IF(W16&gt;=KKM!$I$10," cukup baik "," perlu bimbingan ")))</f>
        <v xml:space="preserve"> baik </v>
      </c>
      <c r="Y16" s="357">
        <f t="shared" si="1"/>
        <v>85.25</v>
      </c>
      <c r="Z16" s="361" t="str">
        <f>IF(Y16&gt;KKM!$G$10," sangat baik ",IF(Y16&gt;KKM!$H$10," baik ",IF(Y16&gt;=KKM!$I$10," cukup baik "," perlu bimbingan ")))</f>
        <v xml:space="preserve"> baik </v>
      </c>
      <c r="AA16" s="353" t="str">
        <f t="shared" si="5"/>
        <v>ERICHA baik  dalam meringkas teks penjelasan (eksplanasi) dari media cetak atau elektronik.</v>
      </c>
      <c r="AB16" s="256"/>
      <c r="AC16" s="257" t="str">
        <f t="shared" si="2"/>
        <v xml:space="preserve"> baik  dalam meringkas teks penjelasan (eksplanasi) dari media cetak atau elektronik.</v>
      </c>
      <c r="AD16" s="257" t="str">
        <f t="shared" si="3"/>
        <v xml:space="preserve"> baik  dalam meringkas teks penjelasan (eksplanasi) dari media cetak atau elektronik.</v>
      </c>
      <c r="AE16" s="257" t="str">
        <f t="shared" si="6"/>
        <v xml:space="preserve"> baik  dalam meringkas teks penjelasan (eksplanasi) dari media cetak atau elektronik., dan  baik  dalam meringkas teks penjelasan (eksplanasi) dari media cetak atau elektronik.</v>
      </c>
      <c r="AF16" s="257" t="str">
        <f t="shared" si="7"/>
        <v xml:space="preserve"> baik  dalam meringkas teks penjelasan (eksplanasi) dari media cetak atau elektronik.</v>
      </c>
      <c r="AG16" s="258" t="str">
        <f t="shared" si="8"/>
        <v xml:space="preserve"> baik  dalam meringkas teks penjelasan (eksplanasi) dari media cetak atau elektronik.</v>
      </c>
      <c r="AH16" s="252" t="str">
        <f t="shared" si="9"/>
        <v>ERICHA baik  dalam meringkas teks penjelasan (eksplanasi) dari media cetak atau elektronik.</v>
      </c>
      <c r="AI16" s="153"/>
      <c r="AQ16" s="469">
        <f t="shared" si="10"/>
        <v>85</v>
      </c>
    </row>
    <row r="17" spans="2:43" ht="51.75" customHeight="1">
      <c r="B17" s="142">
        <v>13</v>
      </c>
      <c r="C17" s="143" t="str">
        <f>SISWA!B18</f>
        <v>1718250040317</v>
      </c>
      <c r="D17" s="144" t="str">
        <f>SISWA!E18</f>
        <v>HISYAM</v>
      </c>
      <c r="E17" s="159">
        <v>88</v>
      </c>
      <c r="F17" s="159">
        <v>88</v>
      </c>
      <c r="G17" s="160">
        <v>88</v>
      </c>
      <c r="H17" s="160">
        <v>88</v>
      </c>
      <c r="I17" s="160">
        <v>88</v>
      </c>
      <c r="J17" s="159"/>
      <c r="K17" s="159"/>
      <c r="L17" s="159"/>
      <c r="M17" s="159"/>
      <c r="N17" s="159"/>
      <c r="O17" s="159"/>
      <c r="P17" s="159"/>
      <c r="Q17" s="159"/>
      <c r="R17" s="160"/>
      <c r="S17" s="160"/>
      <c r="T17" s="159"/>
      <c r="U17" s="354">
        <f t="shared" si="4"/>
        <v>88</v>
      </c>
      <c r="V17" s="355" t="str">
        <f>IF(U17&gt;KKM!$G$10,"A",IF(U17&gt;KKM!$H$10,"B",IF(U17&gt;=KKM!$I$10,"C","D")))</f>
        <v>A</v>
      </c>
      <c r="W17" s="356">
        <f t="shared" si="0"/>
        <v>88</v>
      </c>
      <c r="X17" s="361" t="str">
        <f>IF(W17&gt;KKM!$G$10," sangat baik ",IF(W17&gt;KKM!$H$10," baik ",IF(W17&gt;=KKM!$I$10," cukup baik "," perlu bimbingan ")))</f>
        <v xml:space="preserve"> sangat baik </v>
      </c>
      <c r="Y17" s="357">
        <f t="shared" si="1"/>
        <v>88</v>
      </c>
      <c r="Z17" s="361" t="str">
        <f>IF(Y17&gt;KKM!$G$10," sangat baik ",IF(Y17&gt;KKM!$H$10," baik ",IF(Y17&gt;=KKM!$I$10," cukup baik "," perlu bimbingan ")))</f>
        <v xml:space="preserve"> sangat baik </v>
      </c>
      <c r="AA17" s="353" t="str">
        <f t="shared" si="5"/>
        <v>HISYAM sangat baik  dalam meringkas teks penjelasan (eksplanasi) dari media cetak atau elektronik.</v>
      </c>
      <c r="AB17" s="256"/>
      <c r="AC17" s="257" t="str">
        <f t="shared" si="2"/>
        <v xml:space="preserve"> sangat baik  dalam meringkas teks penjelasan (eksplanasi) dari media cetak atau elektronik.</v>
      </c>
      <c r="AD17" s="257" t="str">
        <f t="shared" si="3"/>
        <v xml:space="preserve"> sangat baik  dalam meringkas teks penjelasan (eksplanasi) dari media cetak atau elektronik.</v>
      </c>
      <c r="AE17" s="257" t="str">
        <f t="shared" si="6"/>
        <v xml:space="preserve"> sangat baik  dalam meringkas teks penjelasan (eksplanasi) dari media cetak atau elektronik., dan  sangat baik  dalam meringkas teks penjelasan (eksplanasi) dari media cetak atau elektronik.</v>
      </c>
      <c r="AF17" s="257" t="str">
        <f t="shared" si="7"/>
        <v xml:space="preserve"> sangat baik  dalam meringkas teks penjelasan (eksplanasi) dari media cetak atau elektronik.</v>
      </c>
      <c r="AG17" s="258" t="str">
        <f t="shared" si="8"/>
        <v xml:space="preserve"> sangat baik  dalam meringkas teks penjelasan (eksplanasi) dari media cetak atau elektronik.</v>
      </c>
      <c r="AH17" s="252" t="str">
        <f t="shared" si="9"/>
        <v>HISYAM sangat baik  dalam meringkas teks penjelasan (eksplanasi) dari media cetak atau elektronik.</v>
      </c>
      <c r="AI17" s="153"/>
      <c r="AQ17" s="469">
        <f t="shared" si="10"/>
        <v>88</v>
      </c>
    </row>
    <row r="18" spans="2:43" ht="51.75" customHeight="1">
      <c r="B18" s="142">
        <v>14</v>
      </c>
      <c r="C18" s="143" t="str">
        <f>SISWA!B19</f>
        <v>1718250040318</v>
      </c>
      <c r="D18" s="144" t="str">
        <f>SISWA!E19</f>
        <v>FAUZI</v>
      </c>
      <c r="E18" s="159">
        <v>92</v>
      </c>
      <c r="F18" s="159">
        <v>92</v>
      </c>
      <c r="G18" s="160">
        <v>92</v>
      </c>
      <c r="H18" s="160">
        <v>92</v>
      </c>
      <c r="I18" s="160">
        <v>92</v>
      </c>
      <c r="J18" s="159"/>
      <c r="K18" s="159"/>
      <c r="L18" s="159"/>
      <c r="M18" s="159"/>
      <c r="N18" s="159"/>
      <c r="O18" s="159"/>
      <c r="P18" s="159"/>
      <c r="Q18" s="159"/>
      <c r="R18" s="160"/>
      <c r="S18" s="160"/>
      <c r="T18" s="159"/>
      <c r="U18" s="354">
        <f t="shared" si="4"/>
        <v>92</v>
      </c>
      <c r="V18" s="355" t="str">
        <f>IF(U18&gt;KKM!$G$10,"A",IF(U18&gt;KKM!$H$10,"B",IF(U18&gt;=KKM!$I$10,"C","D")))</f>
        <v>A</v>
      </c>
      <c r="W18" s="356">
        <f t="shared" si="0"/>
        <v>92</v>
      </c>
      <c r="X18" s="361" t="str">
        <f>IF(W18&gt;KKM!$G$10," sangat baik ",IF(W18&gt;KKM!$H$10," baik ",IF(W18&gt;=KKM!$I$10," cukup baik "," perlu bimbingan ")))</f>
        <v xml:space="preserve"> sangat baik </v>
      </c>
      <c r="Y18" s="357">
        <f t="shared" si="1"/>
        <v>92</v>
      </c>
      <c r="Z18" s="361" t="str">
        <f>IF(Y18&gt;KKM!$G$10," sangat baik ",IF(Y18&gt;KKM!$H$10," baik ",IF(Y18&gt;=KKM!$I$10," cukup baik "," perlu bimbingan ")))</f>
        <v xml:space="preserve"> sangat baik </v>
      </c>
      <c r="AA18" s="353" t="str">
        <f t="shared" si="5"/>
        <v>FAUZI sangat baik  dalam meringkas teks penjelasan (eksplanasi) dari media cetak atau elektronik.</v>
      </c>
      <c r="AB18" s="256"/>
      <c r="AC18" s="257" t="str">
        <f t="shared" si="2"/>
        <v xml:space="preserve"> sangat baik  dalam meringkas teks penjelasan (eksplanasi) dari media cetak atau elektronik.</v>
      </c>
      <c r="AD18" s="257" t="str">
        <f t="shared" si="3"/>
        <v xml:space="preserve"> sangat baik  dalam meringkas teks penjelasan (eksplanasi) dari media cetak atau elektronik.</v>
      </c>
      <c r="AE18" s="257" t="str">
        <f t="shared" si="6"/>
        <v xml:space="preserve"> sangat baik  dalam meringkas teks penjelasan (eksplanasi) dari media cetak atau elektronik., dan  sangat baik  dalam meringkas teks penjelasan (eksplanasi) dari media cetak atau elektronik.</v>
      </c>
      <c r="AF18" s="257" t="str">
        <f t="shared" si="7"/>
        <v xml:space="preserve"> sangat baik  dalam meringkas teks penjelasan (eksplanasi) dari media cetak atau elektronik.</v>
      </c>
      <c r="AG18" s="258" t="str">
        <f t="shared" si="8"/>
        <v xml:space="preserve"> sangat baik  dalam meringkas teks penjelasan (eksplanasi) dari media cetak atau elektronik.</v>
      </c>
      <c r="AH18" s="252" t="str">
        <f t="shared" si="9"/>
        <v>FAUZI sangat baik  dalam meringkas teks penjelasan (eksplanasi) dari media cetak atau elektronik.</v>
      </c>
      <c r="AI18" s="153"/>
      <c r="AQ18" s="469">
        <f t="shared" si="10"/>
        <v>92</v>
      </c>
    </row>
    <row r="19" spans="2:43" ht="51.75" customHeight="1">
      <c r="B19" s="142">
        <v>15</v>
      </c>
      <c r="C19" s="143" t="str">
        <f>SISWA!B20</f>
        <v>1718250040319</v>
      </c>
      <c r="D19" s="144" t="str">
        <f>SISWA!E20</f>
        <v>FIRLY</v>
      </c>
      <c r="E19" s="159">
        <v>94</v>
      </c>
      <c r="F19" s="159">
        <v>94</v>
      </c>
      <c r="G19" s="160">
        <v>94</v>
      </c>
      <c r="H19" s="160">
        <v>94</v>
      </c>
      <c r="I19" s="160">
        <v>94</v>
      </c>
      <c r="J19" s="159"/>
      <c r="K19" s="159"/>
      <c r="L19" s="159"/>
      <c r="M19" s="159"/>
      <c r="N19" s="159"/>
      <c r="O19" s="159"/>
      <c r="P19" s="159"/>
      <c r="Q19" s="159"/>
      <c r="R19" s="160"/>
      <c r="S19" s="160"/>
      <c r="T19" s="159"/>
      <c r="U19" s="354">
        <f t="shared" si="4"/>
        <v>94</v>
      </c>
      <c r="V19" s="355" t="str">
        <f>IF(U19&gt;KKM!$G$10,"A",IF(U19&gt;KKM!$H$10,"B",IF(U19&gt;=KKM!$I$10,"C","D")))</f>
        <v>A</v>
      </c>
      <c r="W19" s="356">
        <f t="shared" si="0"/>
        <v>94</v>
      </c>
      <c r="X19" s="361" t="str">
        <f>IF(W19&gt;KKM!$G$10," sangat baik ",IF(W19&gt;KKM!$H$10," baik ",IF(W19&gt;=KKM!$I$10," cukup baik "," perlu bimbingan ")))</f>
        <v xml:space="preserve"> sangat baik </v>
      </c>
      <c r="Y19" s="357">
        <f t="shared" si="1"/>
        <v>94</v>
      </c>
      <c r="Z19" s="361" t="str">
        <f>IF(Y19&gt;KKM!$G$10," sangat baik ",IF(Y19&gt;KKM!$H$10," baik ",IF(Y19&gt;=KKM!$I$10," cukup baik "," perlu bimbingan ")))</f>
        <v xml:space="preserve"> sangat baik </v>
      </c>
      <c r="AA19" s="353" t="str">
        <f t="shared" si="5"/>
        <v>FIRLY sangat baik  dalam meringkas teks penjelasan (eksplanasi) dari media cetak atau elektronik.</v>
      </c>
      <c r="AB19" s="256"/>
      <c r="AC19" s="257" t="str">
        <f t="shared" si="2"/>
        <v xml:space="preserve"> sangat baik  dalam meringkas teks penjelasan (eksplanasi) dari media cetak atau elektronik.</v>
      </c>
      <c r="AD19" s="257" t="str">
        <f t="shared" si="3"/>
        <v xml:space="preserve"> sangat baik  dalam meringkas teks penjelasan (eksplanasi) dari media cetak atau elektronik.</v>
      </c>
      <c r="AE19" s="257" t="str">
        <f t="shared" si="6"/>
        <v xml:space="preserve"> sangat baik  dalam meringkas teks penjelasan (eksplanasi) dari media cetak atau elektronik., dan  sangat baik  dalam meringkas teks penjelasan (eksplanasi) dari media cetak atau elektronik.</v>
      </c>
      <c r="AF19" s="257" t="str">
        <f t="shared" si="7"/>
        <v xml:space="preserve"> sangat baik  dalam meringkas teks penjelasan (eksplanasi) dari media cetak atau elektronik.</v>
      </c>
      <c r="AG19" s="258" t="str">
        <f t="shared" si="8"/>
        <v xml:space="preserve"> sangat baik  dalam meringkas teks penjelasan (eksplanasi) dari media cetak atau elektronik.</v>
      </c>
      <c r="AH19" s="252" t="str">
        <f t="shared" si="9"/>
        <v>FIRLY sangat baik  dalam meringkas teks penjelasan (eksplanasi) dari media cetak atau elektronik.</v>
      </c>
      <c r="AI19" s="153"/>
      <c r="AQ19" s="469">
        <f t="shared" si="10"/>
        <v>94</v>
      </c>
    </row>
    <row r="20" spans="2:43" ht="51.75" customHeight="1">
      <c r="B20" s="142">
        <v>16</v>
      </c>
      <c r="C20" s="143" t="str">
        <f>SISWA!B21</f>
        <v>1718250040320</v>
      </c>
      <c r="D20" s="144" t="str">
        <f>SISWA!E21</f>
        <v>HANA</v>
      </c>
      <c r="E20" s="159">
        <v>81</v>
      </c>
      <c r="F20" s="159">
        <v>81</v>
      </c>
      <c r="G20" s="160">
        <v>81</v>
      </c>
      <c r="H20" s="160">
        <v>81</v>
      </c>
      <c r="I20" s="160">
        <v>81</v>
      </c>
      <c r="J20" s="159"/>
      <c r="K20" s="159"/>
      <c r="L20" s="159"/>
      <c r="M20" s="159"/>
      <c r="N20" s="159"/>
      <c r="O20" s="159"/>
      <c r="P20" s="159"/>
      <c r="Q20" s="159"/>
      <c r="R20" s="160"/>
      <c r="S20" s="160"/>
      <c r="T20" s="159"/>
      <c r="U20" s="354">
        <f t="shared" si="4"/>
        <v>81</v>
      </c>
      <c r="V20" s="355" t="str">
        <f>IF(U20&gt;KKM!$G$10,"A",IF(U20&gt;KKM!$H$10,"B",IF(U20&gt;=KKM!$I$10,"C","D")))</f>
        <v>B</v>
      </c>
      <c r="W20" s="356">
        <f t="shared" si="0"/>
        <v>81</v>
      </c>
      <c r="X20" s="361" t="str">
        <f>IF(W20&gt;KKM!$G$10," sangat baik ",IF(W20&gt;KKM!$H$10," baik ",IF(W20&gt;=KKM!$I$10," cukup baik "," perlu bimbingan ")))</f>
        <v xml:space="preserve"> baik </v>
      </c>
      <c r="Y20" s="357">
        <f t="shared" si="1"/>
        <v>81</v>
      </c>
      <c r="Z20" s="361" t="str">
        <f>IF(Y20&gt;KKM!$G$10," sangat baik ",IF(Y20&gt;KKM!$H$10," baik ",IF(Y20&gt;=KKM!$I$10," cukup baik "," perlu bimbingan ")))</f>
        <v xml:space="preserve"> baik </v>
      </c>
      <c r="AA20" s="353" t="str">
        <f t="shared" si="5"/>
        <v>HANA baik  dalam meringkas teks penjelasan (eksplanasi) dari media cetak atau elektronik.</v>
      </c>
      <c r="AB20" s="256"/>
      <c r="AC20" s="257" t="str">
        <f t="shared" si="2"/>
        <v xml:space="preserve"> baik  dalam meringkas teks penjelasan (eksplanasi) dari media cetak atau elektronik.</v>
      </c>
      <c r="AD20" s="257" t="str">
        <f t="shared" si="3"/>
        <v xml:space="preserve"> baik  dalam meringkas teks penjelasan (eksplanasi) dari media cetak atau elektronik.</v>
      </c>
      <c r="AE20" s="257" t="str">
        <f t="shared" si="6"/>
        <v xml:space="preserve"> baik  dalam meringkas teks penjelasan (eksplanasi) dari media cetak atau elektronik., dan  baik  dalam meringkas teks penjelasan (eksplanasi) dari media cetak atau elektronik.</v>
      </c>
      <c r="AF20" s="257" t="str">
        <f t="shared" si="7"/>
        <v xml:space="preserve"> baik  dalam meringkas teks penjelasan (eksplanasi) dari media cetak atau elektronik.</v>
      </c>
      <c r="AG20" s="258" t="str">
        <f t="shared" si="8"/>
        <v xml:space="preserve"> baik  dalam meringkas teks penjelasan (eksplanasi) dari media cetak atau elektronik.</v>
      </c>
      <c r="AH20" s="252" t="str">
        <f t="shared" si="9"/>
        <v>HANA baik  dalam meringkas teks penjelasan (eksplanasi) dari media cetak atau elektronik.</v>
      </c>
      <c r="AI20" s="153"/>
      <c r="AQ20" s="469">
        <f t="shared" si="10"/>
        <v>81</v>
      </c>
    </row>
    <row r="21" spans="2:43" ht="51.75" customHeight="1">
      <c r="B21" s="142">
        <v>17</v>
      </c>
      <c r="C21" s="143" t="str">
        <f>SISWA!B22</f>
        <v>1718250040321</v>
      </c>
      <c r="D21" s="144" t="str">
        <f>SISWA!E22</f>
        <v>MALLA</v>
      </c>
      <c r="E21" s="159">
        <v>90.25</v>
      </c>
      <c r="F21" s="159">
        <v>90.25</v>
      </c>
      <c r="G21" s="160">
        <v>90.25</v>
      </c>
      <c r="H21" s="160">
        <v>90.25</v>
      </c>
      <c r="I21" s="160">
        <v>90.25</v>
      </c>
      <c r="J21" s="159"/>
      <c r="K21" s="159"/>
      <c r="L21" s="159"/>
      <c r="M21" s="159"/>
      <c r="N21" s="159"/>
      <c r="O21" s="159"/>
      <c r="P21" s="159"/>
      <c r="Q21" s="159"/>
      <c r="R21" s="160"/>
      <c r="S21" s="160"/>
      <c r="T21" s="159"/>
      <c r="U21" s="354">
        <f t="shared" si="4"/>
        <v>90</v>
      </c>
      <c r="V21" s="355" t="str">
        <f>IF(U21&gt;KKM!$G$10,"A",IF(U21&gt;KKM!$H$10,"B",IF(U21&gt;=KKM!$I$10,"C","D")))</f>
        <v>A</v>
      </c>
      <c r="W21" s="356">
        <f t="shared" si="0"/>
        <v>90.25</v>
      </c>
      <c r="X21" s="361" t="str">
        <f>IF(W21&gt;KKM!$G$10," sangat baik ",IF(W21&gt;KKM!$H$10," baik ",IF(W21&gt;=KKM!$I$10," cukup baik "," perlu bimbingan ")))</f>
        <v xml:space="preserve"> sangat baik </v>
      </c>
      <c r="Y21" s="357">
        <f t="shared" si="1"/>
        <v>90.25</v>
      </c>
      <c r="Z21" s="361" t="str">
        <f>IF(Y21&gt;KKM!$G$10," sangat baik ",IF(Y21&gt;KKM!$H$10," baik ",IF(Y21&gt;=KKM!$I$10," cukup baik "," perlu bimbingan ")))</f>
        <v xml:space="preserve"> sangat baik </v>
      </c>
      <c r="AA21" s="353" t="str">
        <f t="shared" si="5"/>
        <v>MALLA sangat baik  dalam meringkas teks penjelasan (eksplanasi) dari media cetak atau elektronik.</v>
      </c>
      <c r="AB21" s="256"/>
      <c r="AC21" s="257" t="str">
        <f t="shared" si="2"/>
        <v xml:space="preserve"> sangat baik  dalam meringkas teks penjelasan (eksplanasi) dari media cetak atau elektronik.</v>
      </c>
      <c r="AD21" s="257" t="str">
        <f t="shared" si="3"/>
        <v xml:space="preserve"> sangat baik  dalam meringkas teks penjelasan (eksplanasi) dari media cetak atau elektronik.</v>
      </c>
      <c r="AE21" s="257" t="str">
        <f t="shared" si="6"/>
        <v xml:space="preserve"> sangat baik  dalam meringkas teks penjelasan (eksplanasi) dari media cetak atau elektronik., dan  sangat baik  dalam meringkas teks penjelasan (eksplanasi) dari media cetak atau elektronik.</v>
      </c>
      <c r="AF21" s="257" t="str">
        <f t="shared" si="7"/>
        <v xml:space="preserve"> sangat baik  dalam meringkas teks penjelasan (eksplanasi) dari media cetak atau elektronik.</v>
      </c>
      <c r="AG21" s="258" t="str">
        <f t="shared" si="8"/>
        <v xml:space="preserve"> sangat baik  dalam meringkas teks penjelasan (eksplanasi) dari media cetak atau elektronik.</v>
      </c>
      <c r="AH21" s="252" t="str">
        <f t="shared" si="9"/>
        <v>MALLA sangat baik  dalam meringkas teks penjelasan (eksplanasi) dari media cetak atau elektronik.</v>
      </c>
      <c r="AI21" s="153"/>
      <c r="AQ21" s="469">
        <f t="shared" si="10"/>
        <v>90</v>
      </c>
    </row>
    <row r="22" spans="2:43" ht="51.75" customHeight="1">
      <c r="B22" s="142">
        <v>18</v>
      </c>
      <c r="C22" s="143" t="str">
        <f>SISWA!B23</f>
        <v>1718250040322</v>
      </c>
      <c r="D22" s="144" t="str">
        <f>SISWA!E23</f>
        <v>INTAN</v>
      </c>
      <c r="E22" s="159">
        <v>90.75</v>
      </c>
      <c r="F22" s="159">
        <v>90.75</v>
      </c>
      <c r="G22" s="160">
        <v>90.75</v>
      </c>
      <c r="H22" s="160">
        <v>90.75</v>
      </c>
      <c r="I22" s="160">
        <v>90.75</v>
      </c>
      <c r="J22" s="159"/>
      <c r="K22" s="159"/>
      <c r="L22" s="159"/>
      <c r="M22" s="159"/>
      <c r="N22" s="159"/>
      <c r="O22" s="159"/>
      <c r="P22" s="159"/>
      <c r="Q22" s="159"/>
      <c r="R22" s="160"/>
      <c r="S22" s="160"/>
      <c r="T22" s="159"/>
      <c r="U22" s="354">
        <f t="shared" si="4"/>
        <v>91</v>
      </c>
      <c r="V22" s="355" t="str">
        <f>IF(U22&gt;KKM!$G$10,"A",IF(U22&gt;KKM!$H$10,"B",IF(U22&gt;=KKM!$I$10,"C","D")))</f>
        <v>A</v>
      </c>
      <c r="W22" s="356">
        <f t="shared" si="0"/>
        <v>90.75</v>
      </c>
      <c r="X22" s="361" t="str">
        <f>IF(W22&gt;KKM!$G$10," sangat baik ",IF(W22&gt;KKM!$H$10," baik ",IF(W22&gt;=KKM!$I$10," cukup baik "," perlu bimbingan ")))</f>
        <v xml:space="preserve"> sangat baik </v>
      </c>
      <c r="Y22" s="357">
        <f t="shared" si="1"/>
        <v>90.75</v>
      </c>
      <c r="Z22" s="361" t="str">
        <f>IF(Y22&gt;KKM!$G$10," sangat baik ",IF(Y22&gt;KKM!$H$10," baik ",IF(Y22&gt;=KKM!$I$10," cukup baik "," perlu bimbingan ")))</f>
        <v xml:space="preserve"> sangat baik </v>
      </c>
      <c r="AA22" s="353" t="str">
        <f t="shared" si="5"/>
        <v>INTAN sangat baik  dalam meringkas teks penjelasan (eksplanasi) dari media cetak atau elektronik.</v>
      </c>
      <c r="AB22" s="256"/>
      <c r="AC22" s="257" t="str">
        <f t="shared" si="2"/>
        <v xml:space="preserve"> sangat baik  dalam meringkas teks penjelasan (eksplanasi) dari media cetak atau elektronik.</v>
      </c>
      <c r="AD22" s="257" t="str">
        <f t="shared" si="3"/>
        <v xml:space="preserve"> sangat baik  dalam meringkas teks penjelasan (eksplanasi) dari media cetak atau elektronik.</v>
      </c>
      <c r="AE22" s="257" t="str">
        <f t="shared" si="6"/>
        <v xml:space="preserve"> sangat baik  dalam meringkas teks penjelasan (eksplanasi) dari media cetak atau elektronik., dan  sangat baik  dalam meringkas teks penjelasan (eksplanasi) dari media cetak atau elektronik.</v>
      </c>
      <c r="AF22" s="257" t="str">
        <f t="shared" si="7"/>
        <v xml:space="preserve"> sangat baik  dalam meringkas teks penjelasan (eksplanasi) dari media cetak atau elektronik.</v>
      </c>
      <c r="AG22" s="258" t="str">
        <f t="shared" si="8"/>
        <v xml:space="preserve"> sangat baik  dalam meringkas teks penjelasan (eksplanasi) dari media cetak atau elektronik.</v>
      </c>
      <c r="AH22" s="252" t="str">
        <f t="shared" si="9"/>
        <v>INTAN sangat baik  dalam meringkas teks penjelasan (eksplanasi) dari media cetak atau elektronik.</v>
      </c>
      <c r="AI22" s="153"/>
      <c r="AQ22" s="469">
        <f t="shared" si="10"/>
        <v>91</v>
      </c>
    </row>
    <row r="23" spans="2:43" ht="51.75" customHeight="1">
      <c r="B23" s="142">
        <v>19</v>
      </c>
      <c r="C23" s="143" t="str">
        <f>SISWA!B24</f>
        <v>1718250040323</v>
      </c>
      <c r="D23" s="144" t="str">
        <f>SISWA!E24</f>
        <v>JORDY</v>
      </c>
      <c r="E23" s="159">
        <v>92.75</v>
      </c>
      <c r="F23" s="159">
        <v>92.75</v>
      </c>
      <c r="G23" s="160">
        <v>92.75</v>
      </c>
      <c r="H23" s="160">
        <v>92.75</v>
      </c>
      <c r="I23" s="160">
        <v>92.75</v>
      </c>
      <c r="J23" s="159"/>
      <c r="K23" s="159"/>
      <c r="L23" s="159"/>
      <c r="M23" s="159"/>
      <c r="N23" s="159"/>
      <c r="O23" s="159"/>
      <c r="P23" s="159"/>
      <c r="Q23" s="159"/>
      <c r="R23" s="160"/>
      <c r="S23" s="160"/>
      <c r="T23" s="159"/>
      <c r="U23" s="354">
        <f t="shared" si="4"/>
        <v>93</v>
      </c>
      <c r="V23" s="355" t="str">
        <f>IF(U23&gt;KKM!$G$10,"A",IF(U23&gt;KKM!$H$10,"B",IF(U23&gt;=KKM!$I$10,"C","D")))</f>
        <v>A</v>
      </c>
      <c r="W23" s="356">
        <f t="shared" si="0"/>
        <v>92.75</v>
      </c>
      <c r="X23" s="361" t="str">
        <f>IF(W23&gt;KKM!$G$10," sangat baik ",IF(W23&gt;KKM!$H$10," baik ",IF(W23&gt;=KKM!$I$10," cukup baik "," perlu bimbingan ")))</f>
        <v xml:space="preserve"> sangat baik </v>
      </c>
      <c r="Y23" s="357">
        <f t="shared" si="1"/>
        <v>92.75</v>
      </c>
      <c r="Z23" s="361" t="str">
        <f>IF(Y23&gt;KKM!$G$10," sangat baik ",IF(Y23&gt;KKM!$H$10," baik ",IF(Y23&gt;=KKM!$I$10," cukup baik "," perlu bimbingan ")))</f>
        <v xml:space="preserve"> sangat baik </v>
      </c>
      <c r="AA23" s="353" t="str">
        <f t="shared" si="5"/>
        <v>JORDY sangat baik  dalam meringkas teks penjelasan (eksplanasi) dari media cetak atau elektronik.</v>
      </c>
      <c r="AB23" s="256"/>
      <c r="AC23" s="257" t="str">
        <f t="shared" si="2"/>
        <v xml:space="preserve"> sangat baik  dalam meringkas teks penjelasan (eksplanasi) dari media cetak atau elektronik.</v>
      </c>
      <c r="AD23" s="257" t="str">
        <f t="shared" si="3"/>
        <v xml:space="preserve"> sangat baik  dalam meringkas teks penjelasan (eksplanasi) dari media cetak atau elektronik.</v>
      </c>
      <c r="AE23" s="257" t="str">
        <f t="shared" si="6"/>
        <v xml:space="preserve"> sangat baik  dalam meringkas teks penjelasan (eksplanasi) dari media cetak atau elektronik., dan  sangat baik  dalam meringkas teks penjelasan (eksplanasi) dari media cetak atau elektronik.</v>
      </c>
      <c r="AF23" s="257" t="str">
        <f t="shared" si="7"/>
        <v xml:space="preserve"> sangat baik  dalam meringkas teks penjelasan (eksplanasi) dari media cetak atau elektronik.</v>
      </c>
      <c r="AG23" s="258" t="str">
        <f t="shared" si="8"/>
        <v xml:space="preserve"> sangat baik  dalam meringkas teks penjelasan (eksplanasi) dari media cetak atau elektronik.</v>
      </c>
      <c r="AH23" s="252" t="str">
        <f t="shared" si="9"/>
        <v>JORDY sangat baik  dalam meringkas teks penjelasan (eksplanasi) dari media cetak atau elektronik.</v>
      </c>
      <c r="AI23" s="153"/>
      <c r="AQ23" s="469">
        <f t="shared" si="10"/>
        <v>93</v>
      </c>
    </row>
    <row r="24" spans="2:43" ht="51.75" customHeight="1">
      <c r="B24" s="142">
        <v>20</v>
      </c>
      <c r="C24" s="143" t="str">
        <f>SISWA!B25</f>
        <v>1718250040324</v>
      </c>
      <c r="D24" s="144" t="str">
        <f>SISWA!E25</f>
        <v>KURNIA</v>
      </c>
      <c r="E24" s="159">
        <v>86</v>
      </c>
      <c r="F24" s="159">
        <v>86</v>
      </c>
      <c r="G24" s="160">
        <v>86</v>
      </c>
      <c r="H24" s="160">
        <v>86</v>
      </c>
      <c r="I24" s="160">
        <v>86</v>
      </c>
      <c r="J24" s="159"/>
      <c r="K24" s="159"/>
      <c r="L24" s="159"/>
      <c r="M24" s="159"/>
      <c r="N24" s="159"/>
      <c r="O24" s="159"/>
      <c r="P24" s="159"/>
      <c r="Q24" s="159"/>
      <c r="R24" s="160"/>
      <c r="S24" s="160"/>
      <c r="T24" s="159"/>
      <c r="U24" s="354">
        <f t="shared" si="4"/>
        <v>86</v>
      </c>
      <c r="V24" s="355" t="str">
        <f>IF(U24&gt;KKM!$G$10,"A",IF(U24&gt;KKM!$H$10,"B",IF(U24&gt;=KKM!$I$10,"C","D")))</f>
        <v>B</v>
      </c>
      <c r="W24" s="356">
        <f t="shared" si="0"/>
        <v>86</v>
      </c>
      <c r="X24" s="361" t="str">
        <f>IF(W24&gt;KKM!$G$10," sangat baik ",IF(W24&gt;KKM!$H$10," baik ",IF(W24&gt;=KKM!$I$10," cukup baik "," perlu bimbingan ")))</f>
        <v xml:space="preserve"> baik </v>
      </c>
      <c r="Y24" s="357">
        <f t="shared" si="1"/>
        <v>86</v>
      </c>
      <c r="Z24" s="361" t="str">
        <f>IF(Y24&gt;KKM!$G$10," sangat baik ",IF(Y24&gt;KKM!$H$10," baik ",IF(Y24&gt;=KKM!$I$10," cukup baik "," perlu bimbingan ")))</f>
        <v xml:space="preserve"> baik </v>
      </c>
      <c r="AA24" s="353" t="str">
        <f t="shared" si="5"/>
        <v>KURNIA baik  dalam meringkas teks penjelasan (eksplanasi) dari media cetak atau elektronik.</v>
      </c>
      <c r="AB24" s="256"/>
      <c r="AC24" s="257" t="str">
        <f t="shared" si="2"/>
        <v xml:space="preserve"> baik  dalam meringkas teks penjelasan (eksplanasi) dari media cetak atau elektronik.</v>
      </c>
      <c r="AD24" s="257" t="str">
        <f t="shared" si="3"/>
        <v xml:space="preserve"> baik  dalam meringkas teks penjelasan (eksplanasi) dari media cetak atau elektronik.</v>
      </c>
      <c r="AE24" s="257" t="str">
        <f t="shared" si="6"/>
        <v xml:space="preserve"> baik  dalam meringkas teks penjelasan (eksplanasi) dari media cetak atau elektronik., dan  baik  dalam meringkas teks penjelasan (eksplanasi) dari media cetak atau elektronik.</v>
      </c>
      <c r="AF24" s="257" t="str">
        <f t="shared" si="7"/>
        <v xml:space="preserve"> baik  dalam meringkas teks penjelasan (eksplanasi) dari media cetak atau elektronik.</v>
      </c>
      <c r="AG24" s="258" t="str">
        <f t="shared" si="8"/>
        <v xml:space="preserve"> baik  dalam meringkas teks penjelasan (eksplanasi) dari media cetak atau elektronik.</v>
      </c>
      <c r="AH24" s="252" t="str">
        <f t="shared" si="9"/>
        <v>KURNIA baik  dalam meringkas teks penjelasan (eksplanasi) dari media cetak atau elektronik.</v>
      </c>
      <c r="AI24" s="153"/>
      <c r="AQ24" s="469">
        <f t="shared" si="10"/>
        <v>86</v>
      </c>
    </row>
    <row r="25" spans="2:43" ht="51.75" customHeight="1">
      <c r="B25" s="142">
        <v>21</v>
      </c>
      <c r="C25" s="143" t="str">
        <f>SISWA!B26</f>
        <v>1718250040325</v>
      </c>
      <c r="D25" s="144" t="str">
        <f>SISWA!E26</f>
        <v>LATIZA</v>
      </c>
      <c r="E25" s="159">
        <v>98.25</v>
      </c>
      <c r="F25" s="159">
        <v>98.25</v>
      </c>
      <c r="G25" s="160">
        <v>98.25</v>
      </c>
      <c r="H25" s="160">
        <v>98.25</v>
      </c>
      <c r="I25" s="160">
        <v>98.25</v>
      </c>
      <c r="J25" s="159"/>
      <c r="K25" s="159"/>
      <c r="L25" s="159"/>
      <c r="M25" s="159"/>
      <c r="N25" s="159"/>
      <c r="O25" s="159"/>
      <c r="P25" s="159"/>
      <c r="Q25" s="159"/>
      <c r="R25" s="160"/>
      <c r="S25" s="160"/>
      <c r="T25" s="159"/>
      <c r="U25" s="354">
        <f t="shared" si="4"/>
        <v>98</v>
      </c>
      <c r="V25" s="355" t="str">
        <f>IF(U25&gt;KKM!$G$10,"A",IF(U25&gt;KKM!$H$10,"B",IF(U25&gt;=KKM!$I$10,"C","D")))</f>
        <v>A</v>
      </c>
      <c r="W25" s="356">
        <f t="shared" si="0"/>
        <v>98.25</v>
      </c>
      <c r="X25" s="361" t="str">
        <f>IF(W25&gt;KKM!$G$10," sangat baik ",IF(W25&gt;KKM!$H$10," baik ",IF(W25&gt;=KKM!$I$10," cukup baik "," perlu bimbingan ")))</f>
        <v xml:space="preserve"> sangat baik </v>
      </c>
      <c r="Y25" s="357">
        <f t="shared" si="1"/>
        <v>98.25</v>
      </c>
      <c r="Z25" s="361" t="str">
        <f>IF(Y25&gt;KKM!$G$10," sangat baik ",IF(Y25&gt;KKM!$H$10," baik ",IF(Y25&gt;=KKM!$I$10," cukup baik "," perlu bimbingan ")))</f>
        <v xml:space="preserve"> sangat baik </v>
      </c>
      <c r="AA25" s="353" t="str">
        <f t="shared" si="5"/>
        <v>LATIZA sangat baik  dalam meringkas teks penjelasan (eksplanasi) dari media cetak atau elektronik.</v>
      </c>
      <c r="AB25" s="256"/>
      <c r="AC25" s="257" t="str">
        <f t="shared" si="2"/>
        <v xml:space="preserve"> sangat baik  dalam meringkas teks penjelasan (eksplanasi) dari media cetak atau elektronik.</v>
      </c>
      <c r="AD25" s="257" t="str">
        <f t="shared" si="3"/>
        <v xml:space="preserve"> sangat baik  dalam meringkas teks penjelasan (eksplanasi) dari media cetak atau elektronik.</v>
      </c>
      <c r="AE25" s="257" t="str">
        <f t="shared" si="6"/>
        <v xml:space="preserve"> sangat baik  dalam meringkas teks penjelasan (eksplanasi) dari media cetak atau elektronik., dan  sangat baik  dalam meringkas teks penjelasan (eksplanasi) dari media cetak atau elektronik.</v>
      </c>
      <c r="AF25" s="257" t="str">
        <f t="shared" si="7"/>
        <v xml:space="preserve"> sangat baik  dalam meringkas teks penjelasan (eksplanasi) dari media cetak atau elektronik.</v>
      </c>
      <c r="AG25" s="258" t="str">
        <f t="shared" si="8"/>
        <v xml:space="preserve"> sangat baik  dalam meringkas teks penjelasan (eksplanasi) dari media cetak atau elektronik.</v>
      </c>
      <c r="AH25" s="252" t="str">
        <f t="shared" si="9"/>
        <v>LATIZA sangat baik  dalam meringkas teks penjelasan (eksplanasi) dari media cetak atau elektronik.</v>
      </c>
      <c r="AI25" s="153"/>
      <c r="AQ25" s="469">
        <f t="shared" si="10"/>
        <v>98</v>
      </c>
    </row>
    <row r="26" spans="2:43" ht="51.75" customHeight="1">
      <c r="B26" s="142">
        <v>22</v>
      </c>
      <c r="C26" s="143" t="str">
        <f>SISWA!B27</f>
        <v>1718250040326</v>
      </c>
      <c r="D26" s="144" t="str">
        <f>SISWA!E27</f>
        <v>RIZKY</v>
      </c>
      <c r="E26" s="159">
        <v>92.75</v>
      </c>
      <c r="F26" s="159">
        <v>92.75</v>
      </c>
      <c r="G26" s="160">
        <v>92.75</v>
      </c>
      <c r="H26" s="160">
        <v>92.75</v>
      </c>
      <c r="I26" s="160">
        <v>92.75</v>
      </c>
      <c r="J26" s="159"/>
      <c r="K26" s="159"/>
      <c r="L26" s="159"/>
      <c r="M26" s="159"/>
      <c r="N26" s="159"/>
      <c r="O26" s="159"/>
      <c r="P26" s="159"/>
      <c r="Q26" s="159"/>
      <c r="R26" s="160"/>
      <c r="S26" s="160"/>
      <c r="T26" s="159"/>
      <c r="U26" s="354">
        <f t="shared" si="4"/>
        <v>93</v>
      </c>
      <c r="V26" s="355" t="str">
        <f>IF(U26&gt;KKM!$G$10,"A",IF(U26&gt;KKM!$H$10,"B",IF(U26&gt;=KKM!$I$10,"C","D")))</f>
        <v>A</v>
      </c>
      <c r="W26" s="356">
        <f t="shared" si="0"/>
        <v>92.75</v>
      </c>
      <c r="X26" s="361" t="str">
        <f>IF(W26&gt;KKM!$G$10," sangat baik ",IF(W26&gt;KKM!$H$10," baik ",IF(W26&gt;=KKM!$I$10," cukup baik "," perlu bimbingan ")))</f>
        <v xml:space="preserve"> sangat baik </v>
      </c>
      <c r="Y26" s="357">
        <f t="shared" si="1"/>
        <v>92.75</v>
      </c>
      <c r="Z26" s="361" t="str">
        <f>IF(Y26&gt;KKM!$G$10," sangat baik ",IF(Y26&gt;KKM!$H$10," baik ",IF(Y26&gt;=KKM!$I$10," cukup baik "," perlu bimbingan ")))</f>
        <v xml:space="preserve"> sangat baik </v>
      </c>
      <c r="AA26" s="353" t="str">
        <f t="shared" si="5"/>
        <v>RIZKY sangat baik  dalam meringkas teks penjelasan (eksplanasi) dari media cetak atau elektronik.</v>
      </c>
      <c r="AB26" s="256"/>
      <c r="AC26" s="257" t="str">
        <f t="shared" si="2"/>
        <v xml:space="preserve"> sangat baik  dalam meringkas teks penjelasan (eksplanasi) dari media cetak atau elektronik.</v>
      </c>
      <c r="AD26" s="257" t="str">
        <f t="shared" si="3"/>
        <v xml:space="preserve"> sangat baik  dalam meringkas teks penjelasan (eksplanasi) dari media cetak atau elektronik.</v>
      </c>
      <c r="AE26" s="257" t="str">
        <f t="shared" si="6"/>
        <v xml:space="preserve"> sangat baik  dalam meringkas teks penjelasan (eksplanasi) dari media cetak atau elektronik., dan  sangat baik  dalam meringkas teks penjelasan (eksplanasi) dari media cetak atau elektronik.</v>
      </c>
      <c r="AF26" s="257" t="str">
        <f t="shared" si="7"/>
        <v xml:space="preserve"> sangat baik  dalam meringkas teks penjelasan (eksplanasi) dari media cetak atau elektronik.</v>
      </c>
      <c r="AG26" s="258" t="str">
        <f t="shared" si="8"/>
        <v xml:space="preserve"> sangat baik  dalam meringkas teks penjelasan (eksplanasi) dari media cetak atau elektronik.</v>
      </c>
      <c r="AH26" s="252" t="str">
        <f t="shared" si="9"/>
        <v>RIZKY sangat baik  dalam meringkas teks penjelasan (eksplanasi) dari media cetak atau elektronik.</v>
      </c>
      <c r="AI26" s="153"/>
      <c r="AQ26" s="469">
        <f t="shared" si="10"/>
        <v>93</v>
      </c>
    </row>
    <row r="27" spans="2:43" ht="51.75" customHeight="1">
      <c r="B27" s="142">
        <v>23</v>
      </c>
      <c r="C27" s="143" t="str">
        <f>SISWA!B28</f>
        <v>1718250040327</v>
      </c>
      <c r="D27" s="144" t="str">
        <f>SISWA!E28</f>
        <v>RAMADHANDANI</v>
      </c>
      <c r="E27" s="159">
        <v>90.75</v>
      </c>
      <c r="F27" s="159">
        <v>90.75</v>
      </c>
      <c r="G27" s="160">
        <v>90.75</v>
      </c>
      <c r="H27" s="160">
        <v>90.75</v>
      </c>
      <c r="I27" s="160">
        <v>90.75</v>
      </c>
      <c r="J27" s="159"/>
      <c r="K27" s="159"/>
      <c r="L27" s="159"/>
      <c r="M27" s="159"/>
      <c r="N27" s="159"/>
      <c r="O27" s="159"/>
      <c r="P27" s="159"/>
      <c r="Q27" s="159"/>
      <c r="R27" s="160"/>
      <c r="S27" s="160"/>
      <c r="T27" s="159"/>
      <c r="U27" s="354">
        <f t="shared" si="4"/>
        <v>91</v>
      </c>
      <c r="V27" s="355" t="str">
        <f>IF(U27&gt;KKM!$G$10,"A",IF(U27&gt;KKM!$H$10,"B",IF(U27&gt;=KKM!$I$10,"C","D")))</f>
        <v>A</v>
      </c>
      <c r="W27" s="356">
        <f t="shared" si="0"/>
        <v>90.75</v>
      </c>
      <c r="X27" s="361" t="str">
        <f>IF(W27&gt;KKM!$G$10," sangat baik ",IF(W27&gt;KKM!$H$10," baik ",IF(W27&gt;=KKM!$I$10," cukup baik "," perlu bimbingan ")))</f>
        <v xml:space="preserve"> sangat baik </v>
      </c>
      <c r="Y27" s="357">
        <f t="shared" si="1"/>
        <v>90.75</v>
      </c>
      <c r="Z27" s="361" t="str">
        <f>IF(Y27&gt;KKM!$G$10," sangat baik ",IF(Y27&gt;KKM!$H$10," baik ",IF(Y27&gt;=KKM!$I$10," cukup baik "," perlu bimbingan ")))</f>
        <v xml:space="preserve"> sangat baik </v>
      </c>
      <c r="AA27" s="353" t="str">
        <f t="shared" si="5"/>
        <v>RAMADHANDANI sangat baik  dalam meringkas teks penjelasan (eksplanasi) dari media cetak atau elektronik.</v>
      </c>
      <c r="AB27" s="256"/>
      <c r="AC27" s="257" t="str">
        <f t="shared" si="2"/>
        <v xml:space="preserve"> sangat baik  dalam meringkas teks penjelasan (eksplanasi) dari media cetak atau elektronik.</v>
      </c>
      <c r="AD27" s="257" t="str">
        <f t="shared" si="3"/>
        <v xml:space="preserve"> sangat baik  dalam meringkas teks penjelasan (eksplanasi) dari media cetak atau elektronik.</v>
      </c>
      <c r="AE27" s="257" t="str">
        <f t="shared" si="6"/>
        <v xml:space="preserve"> sangat baik  dalam meringkas teks penjelasan (eksplanasi) dari media cetak atau elektronik., dan  sangat baik  dalam meringkas teks penjelasan (eksplanasi) dari media cetak atau elektronik.</v>
      </c>
      <c r="AF27" s="257" t="str">
        <f t="shared" si="7"/>
        <v xml:space="preserve"> sangat baik  dalam meringkas teks penjelasan (eksplanasi) dari media cetak atau elektronik.</v>
      </c>
      <c r="AG27" s="258" t="str">
        <f t="shared" si="8"/>
        <v xml:space="preserve"> sangat baik  dalam meringkas teks penjelasan (eksplanasi) dari media cetak atau elektronik.</v>
      </c>
      <c r="AH27" s="252" t="str">
        <f t="shared" si="9"/>
        <v>RAMADHANDANI sangat baik  dalam meringkas teks penjelasan (eksplanasi) dari media cetak atau elektronik.</v>
      </c>
      <c r="AI27" s="153"/>
      <c r="AQ27" s="469">
        <f t="shared" si="10"/>
        <v>91</v>
      </c>
    </row>
    <row r="28" spans="2:43" ht="51.75" customHeight="1">
      <c r="B28" s="142">
        <v>24</v>
      </c>
      <c r="C28" s="143" t="str">
        <f>SISWA!B29</f>
        <v>1718250040328</v>
      </c>
      <c r="D28" s="144" t="str">
        <f>SISWA!E29</f>
        <v>SYAEPUL</v>
      </c>
      <c r="E28" s="159">
        <v>80.25</v>
      </c>
      <c r="F28" s="159">
        <v>80.25</v>
      </c>
      <c r="G28" s="160">
        <v>80.25</v>
      </c>
      <c r="H28" s="160">
        <v>80.25</v>
      </c>
      <c r="I28" s="160">
        <v>80.25</v>
      </c>
      <c r="J28" s="159"/>
      <c r="K28" s="159"/>
      <c r="L28" s="159"/>
      <c r="M28" s="159"/>
      <c r="N28" s="159"/>
      <c r="O28" s="159"/>
      <c r="P28" s="159"/>
      <c r="Q28" s="159"/>
      <c r="R28" s="160"/>
      <c r="S28" s="160"/>
      <c r="T28" s="159"/>
      <c r="U28" s="354">
        <f t="shared" si="4"/>
        <v>80</v>
      </c>
      <c r="V28" s="355" t="str">
        <f>IF(U28&gt;KKM!$G$10,"A",IF(U28&gt;KKM!$H$10,"B",IF(U28&gt;=KKM!$I$10,"C","D")))</f>
        <v>B</v>
      </c>
      <c r="W28" s="356">
        <f t="shared" si="0"/>
        <v>80.25</v>
      </c>
      <c r="X28" s="361" t="str">
        <f>IF(W28&gt;KKM!$G$10," sangat baik ",IF(W28&gt;KKM!$H$10," baik ",IF(W28&gt;=KKM!$I$10," cukup baik "," perlu bimbingan ")))</f>
        <v xml:space="preserve"> baik </v>
      </c>
      <c r="Y28" s="357">
        <f t="shared" si="1"/>
        <v>80.25</v>
      </c>
      <c r="Z28" s="361" t="str">
        <f>IF(Y28&gt;KKM!$G$10," sangat baik ",IF(Y28&gt;KKM!$H$10," baik ",IF(Y28&gt;=KKM!$I$10," cukup baik "," perlu bimbingan ")))</f>
        <v xml:space="preserve"> baik </v>
      </c>
      <c r="AA28" s="353" t="str">
        <f t="shared" si="5"/>
        <v>SYAEPUL baik  dalam meringkas teks penjelasan (eksplanasi) dari media cetak atau elektronik.</v>
      </c>
      <c r="AB28" s="256"/>
      <c r="AC28" s="257" t="str">
        <f t="shared" si="2"/>
        <v xml:space="preserve"> baik  dalam meringkas teks penjelasan (eksplanasi) dari media cetak atau elektronik.</v>
      </c>
      <c r="AD28" s="257" t="str">
        <f t="shared" si="3"/>
        <v xml:space="preserve"> baik  dalam meringkas teks penjelasan (eksplanasi) dari media cetak atau elektronik.</v>
      </c>
      <c r="AE28" s="257" t="str">
        <f t="shared" si="6"/>
        <v xml:space="preserve"> baik  dalam meringkas teks penjelasan (eksplanasi) dari media cetak atau elektronik., dan  baik  dalam meringkas teks penjelasan (eksplanasi) dari media cetak atau elektronik.</v>
      </c>
      <c r="AF28" s="257" t="str">
        <f t="shared" si="7"/>
        <v xml:space="preserve"> baik  dalam meringkas teks penjelasan (eksplanasi) dari media cetak atau elektronik.</v>
      </c>
      <c r="AG28" s="258" t="str">
        <f t="shared" si="8"/>
        <v xml:space="preserve"> baik  dalam meringkas teks penjelasan (eksplanasi) dari media cetak atau elektronik.</v>
      </c>
      <c r="AH28" s="252" t="str">
        <f t="shared" si="9"/>
        <v>SYAEPUL baik  dalam meringkas teks penjelasan (eksplanasi) dari media cetak atau elektronik.</v>
      </c>
      <c r="AI28" s="153"/>
      <c r="AQ28" s="469">
        <f t="shared" si="10"/>
        <v>80</v>
      </c>
    </row>
    <row r="29" spans="2:43" ht="51.75" customHeight="1">
      <c r="B29" s="142">
        <v>25</v>
      </c>
      <c r="C29" s="143" t="str">
        <f>SISWA!B30</f>
        <v>1718250040329</v>
      </c>
      <c r="D29" s="144" t="str">
        <f>SISWA!E30</f>
        <v>ALIF</v>
      </c>
      <c r="E29" s="159">
        <v>82.75</v>
      </c>
      <c r="F29" s="159">
        <v>82.75</v>
      </c>
      <c r="G29" s="160">
        <v>82.75</v>
      </c>
      <c r="H29" s="160">
        <v>82.75</v>
      </c>
      <c r="I29" s="160">
        <v>82.75</v>
      </c>
      <c r="J29" s="159"/>
      <c r="K29" s="159"/>
      <c r="L29" s="159"/>
      <c r="M29" s="159"/>
      <c r="N29" s="159"/>
      <c r="O29" s="159"/>
      <c r="P29" s="159"/>
      <c r="Q29" s="159"/>
      <c r="R29" s="160"/>
      <c r="S29" s="160"/>
      <c r="T29" s="159"/>
      <c r="U29" s="354">
        <f t="shared" si="4"/>
        <v>83</v>
      </c>
      <c r="V29" s="355" t="str">
        <f>IF(U29&gt;KKM!$G$10,"A",IF(U29&gt;KKM!$H$10,"B",IF(U29&gt;=KKM!$I$10,"C","D")))</f>
        <v>B</v>
      </c>
      <c r="W29" s="356">
        <f t="shared" si="0"/>
        <v>82.75</v>
      </c>
      <c r="X29" s="361" t="str">
        <f>IF(W29&gt;KKM!$G$10," sangat baik ",IF(W29&gt;KKM!$H$10," baik ",IF(W29&gt;=KKM!$I$10," cukup baik "," perlu bimbingan ")))</f>
        <v xml:space="preserve"> baik </v>
      </c>
      <c r="Y29" s="357">
        <f t="shared" si="1"/>
        <v>82.75</v>
      </c>
      <c r="Z29" s="361" t="str">
        <f>IF(Y29&gt;KKM!$G$10," sangat baik ",IF(Y29&gt;KKM!$H$10," baik ",IF(Y29&gt;=KKM!$I$10," cukup baik "," perlu bimbingan ")))</f>
        <v xml:space="preserve"> baik </v>
      </c>
      <c r="AA29" s="353" t="str">
        <f t="shared" si="5"/>
        <v>ALIF baik  dalam meringkas teks penjelasan (eksplanasi) dari media cetak atau elektronik.</v>
      </c>
      <c r="AB29" s="256"/>
      <c r="AC29" s="257" t="str">
        <f t="shared" si="2"/>
        <v xml:space="preserve"> baik  dalam meringkas teks penjelasan (eksplanasi) dari media cetak atau elektronik.</v>
      </c>
      <c r="AD29" s="257" t="str">
        <f t="shared" si="3"/>
        <v xml:space="preserve"> baik  dalam meringkas teks penjelasan (eksplanasi) dari media cetak atau elektronik.</v>
      </c>
      <c r="AE29" s="257" t="str">
        <f t="shared" si="6"/>
        <v xml:space="preserve"> baik  dalam meringkas teks penjelasan (eksplanasi) dari media cetak atau elektronik., dan  baik  dalam meringkas teks penjelasan (eksplanasi) dari media cetak atau elektronik.</v>
      </c>
      <c r="AF29" s="257" t="str">
        <f t="shared" si="7"/>
        <v xml:space="preserve"> baik  dalam meringkas teks penjelasan (eksplanasi) dari media cetak atau elektronik.</v>
      </c>
      <c r="AG29" s="258" t="str">
        <f t="shared" si="8"/>
        <v xml:space="preserve"> baik  dalam meringkas teks penjelasan (eksplanasi) dari media cetak atau elektronik.</v>
      </c>
      <c r="AH29" s="252" t="str">
        <f t="shared" si="9"/>
        <v>ALIF baik  dalam meringkas teks penjelasan (eksplanasi) dari media cetak atau elektronik.</v>
      </c>
      <c r="AI29" s="153"/>
      <c r="AQ29" s="469">
        <f t="shared" si="10"/>
        <v>83</v>
      </c>
    </row>
    <row r="30" spans="2:43" ht="51.75" customHeight="1">
      <c r="B30" s="142">
        <v>26</v>
      </c>
      <c r="C30" s="143" t="str">
        <f>SISWA!B31</f>
        <v>1718250040330</v>
      </c>
      <c r="D30" s="144" t="str">
        <f>SISWA!E31</f>
        <v>HIZKIEL</v>
      </c>
      <c r="E30" s="159">
        <v>89</v>
      </c>
      <c r="F30" s="159">
        <v>89</v>
      </c>
      <c r="G30" s="160">
        <v>89</v>
      </c>
      <c r="H30" s="160">
        <v>89</v>
      </c>
      <c r="I30" s="160">
        <v>89</v>
      </c>
      <c r="J30" s="159"/>
      <c r="K30" s="159"/>
      <c r="L30" s="159"/>
      <c r="M30" s="159"/>
      <c r="N30" s="159"/>
      <c r="O30" s="159"/>
      <c r="P30" s="159"/>
      <c r="Q30" s="159"/>
      <c r="R30" s="160"/>
      <c r="S30" s="160"/>
      <c r="T30" s="159"/>
      <c r="U30" s="354">
        <f t="shared" si="4"/>
        <v>89</v>
      </c>
      <c r="V30" s="355" t="str">
        <f>IF(U30&gt;KKM!$G$10,"A",IF(U30&gt;KKM!$H$10,"B",IF(U30&gt;=KKM!$I$10,"C","D")))</f>
        <v>A</v>
      </c>
      <c r="W30" s="356">
        <f t="shared" si="0"/>
        <v>89</v>
      </c>
      <c r="X30" s="361" t="str">
        <f>IF(W30&gt;KKM!$G$10," sangat baik ",IF(W30&gt;KKM!$H$10," baik ",IF(W30&gt;=KKM!$I$10," cukup baik "," perlu bimbingan ")))</f>
        <v xml:space="preserve"> sangat baik </v>
      </c>
      <c r="Y30" s="357">
        <f t="shared" si="1"/>
        <v>89</v>
      </c>
      <c r="Z30" s="361" t="str">
        <f>IF(Y30&gt;KKM!$G$10," sangat baik ",IF(Y30&gt;KKM!$H$10," baik ",IF(Y30&gt;=KKM!$I$10," cukup baik "," perlu bimbingan ")))</f>
        <v xml:space="preserve"> sangat baik </v>
      </c>
      <c r="AA30" s="353" t="str">
        <f t="shared" si="5"/>
        <v>HIZKIEL sangat baik  dalam meringkas teks penjelasan (eksplanasi) dari media cetak atau elektronik.</v>
      </c>
      <c r="AB30" s="256"/>
      <c r="AC30" s="257" t="str">
        <f t="shared" si="2"/>
        <v xml:space="preserve"> sangat baik  dalam meringkas teks penjelasan (eksplanasi) dari media cetak atau elektronik.</v>
      </c>
      <c r="AD30" s="257" t="str">
        <f t="shared" si="3"/>
        <v xml:space="preserve"> sangat baik  dalam meringkas teks penjelasan (eksplanasi) dari media cetak atau elektronik.</v>
      </c>
      <c r="AE30" s="257" t="str">
        <f t="shared" si="6"/>
        <v xml:space="preserve"> sangat baik  dalam meringkas teks penjelasan (eksplanasi) dari media cetak atau elektronik., dan  sangat baik  dalam meringkas teks penjelasan (eksplanasi) dari media cetak atau elektronik.</v>
      </c>
      <c r="AF30" s="257" t="str">
        <f t="shared" si="7"/>
        <v xml:space="preserve"> sangat baik  dalam meringkas teks penjelasan (eksplanasi) dari media cetak atau elektronik.</v>
      </c>
      <c r="AG30" s="258" t="str">
        <f t="shared" si="8"/>
        <v xml:space="preserve"> sangat baik  dalam meringkas teks penjelasan (eksplanasi) dari media cetak atau elektronik.</v>
      </c>
      <c r="AH30" s="252" t="str">
        <f t="shared" si="9"/>
        <v>HIZKIEL sangat baik  dalam meringkas teks penjelasan (eksplanasi) dari media cetak atau elektronik.</v>
      </c>
      <c r="AI30" s="153"/>
      <c r="AQ30" s="469">
        <f t="shared" si="10"/>
        <v>89</v>
      </c>
    </row>
    <row r="31" spans="2:43" ht="51.75" customHeight="1">
      <c r="B31" s="142">
        <v>27</v>
      </c>
      <c r="C31" s="143" t="str">
        <f>SISWA!B32</f>
        <v>1718250040331</v>
      </c>
      <c r="D31" s="144" t="str">
        <f>SISWA!E32</f>
        <v>LAEL</v>
      </c>
      <c r="E31" s="159">
        <v>91.5</v>
      </c>
      <c r="F31" s="159">
        <v>91.5</v>
      </c>
      <c r="G31" s="160">
        <v>91.5</v>
      </c>
      <c r="H31" s="160">
        <v>91.5</v>
      </c>
      <c r="I31" s="160">
        <v>91.5</v>
      </c>
      <c r="J31" s="159"/>
      <c r="K31" s="159"/>
      <c r="L31" s="159"/>
      <c r="M31" s="159"/>
      <c r="N31" s="159"/>
      <c r="O31" s="159"/>
      <c r="P31" s="159"/>
      <c r="Q31" s="159"/>
      <c r="R31" s="160"/>
      <c r="S31" s="160"/>
      <c r="T31" s="159"/>
      <c r="U31" s="354">
        <f t="shared" si="4"/>
        <v>92</v>
      </c>
      <c r="V31" s="355" t="str">
        <f>IF(U31&gt;KKM!$G$10,"A",IF(U31&gt;KKM!$H$10,"B",IF(U31&gt;=KKM!$I$10,"C","D")))</f>
        <v>A</v>
      </c>
      <c r="W31" s="356">
        <f t="shared" si="0"/>
        <v>91.5</v>
      </c>
      <c r="X31" s="361" t="str">
        <f>IF(W31&gt;KKM!$G$10," sangat baik ",IF(W31&gt;KKM!$H$10," baik ",IF(W31&gt;=KKM!$I$10," cukup baik "," perlu bimbingan ")))</f>
        <v xml:space="preserve"> sangat baik </v>
      </c>
      <c r="Y31" s="357">
        <f t="shared" si="1"/>
        <v>91.5</v>
      </c>
      <c r="Z31" s="361" t="str">
        <f>IF(Y31&gt;KKM!$G$10," sangat baik ",IF(Y31&gt;KKM!$H$10," baik ",IF(Y31&gt;=KKM!$I$10," cukup baik "," perlu bimbingan ")))</f>
        <v xml:space="preserve"> sangat baik </v>
      </c>
      <c r="AA31" s="353" t="str">
        <f t="shared" si="5"/>
        <v>LAEL sangat baik  dalam meringkas teks penjelasan (eksplanasi) dari media cetak atau elektronik.</v>
      </c>
      <c r="AB31" s="256"/>
      <c r="AC31" s="257" t="str">
        <f t="shared" si="2"/>
        <v xml:space="preserve"> sangat baik  dalam meringkas teks penjelasan (eksplanasi) dari media cetak atau elektronik.</v>
      </c>
      <c r="AD31" s="257" t="str">
        <f t="shared" si="3"/>
        <v xml:space="preserve"> sangat baik  dalam meringkas teks penjelasan (eksplanasi) dari media cetak atau elektronik.</v>
      </c>
      <c r="AE31" s="257" t="str">
        <f t="shared" si="6"/>
        <v xml:space="preserve"> sangat baik  dalam meringkas teks penjelasan (eksplanasi) dari media cetak atau elektronik., dan  sangat baik  dalam meringkas teks penjelasan (eksplanasi) dari media cetak atau elektronik.</v>
      </c>
      <c r="AF31" s="257" t="str">
        <f t="shared" si="7"/>
        <v xml:space="preserve"> sangat baik  dalam meringkas teks penjelasan (eksplanasi) dari media cetak atau elektronik.</v>
      </c>
      <c r="AG31" s="258" t="str">
        <f t="shared" si="8"/>
        <v xml:space="preserve"> sangat baik  dalam meringkas teks penjelasan (eksplanasi) dari media cetak atau elektronik.</v>
      </c>
      <c r="AH31" s="252" t="str">
        <f t="shared" si="9"/>
        <v>LAEL sangat baik  dalam meringkas teks penjelasan (eksplanasi) dari media cetak atau elektronik.</v>
      </c>
      <c r="AI31" s="153"/>
      <c r="AQ31" s="469">
        <f t="shared" si="10"/>
        <v>92</v>
      </c>
    </row>
    <row r="32" spans="2:43" ht="51.75" customHeight="1">
      <c r="B32" s="142">
        <v>28</v>
      </c>
      <c r="C32" s="143" t="str">
        <f>SISWA!B33</f>
        <v>1718250040332</v>
      </c>
      <c r="D32" s="144" t="str">
        <f>SISWA!E33</f>
        <v>NABIL</v>
      </c>
      <c r="E32" s="159">
        <v>81.5</v>
      </c>
      <c r="F32" s="159">
        <v>81.5</v>
      </c>
      <c r="G32" s="160">
        <v>81.5</v>
      </c>
      <c r="H32" s="160">
        <v>81.5</v>
      </c>
      <c r="I32" s="160">
        <v>81.5</v>
      </c>
      <c r="J32" s="159"/>
      <c r="K32" s="159"/>
      <c r="L32" s="159"/>
      <c r="M32" s="159"/>
      <c r="N32" s="159"/>
      <c r="O32" s="159"/>
      <c r="P32" s="159"/>
      <c r="Q32" s="159"/>
      <c r="R32" s="160"/>
      <c r="S32" s="160"/>
      <c r="T32" s="159"/>
      <c r="U32" s="354">
        <f t="shared" si="4"/>
        <v>82</v>
      </c>
      <c r="V32" s="355" t="str">
        <f>IF(U32&gt;KKM!$G$10,"A",IF(U32&gt;KKM!$H$10,"B",IF(U32&gt;=KKM!$I$10,"C","D")))</f>
        <v>B</v>
      </c>
      <c r="W32" s="356">
        <f t="shared" si="0"/>
        <v>81.5</v>
      </c>
      <c r="X32" s="361" t="str">
        <f>IF(W32&gt;KKM!$G$10," sangat baik ",IF(W32&gt;KKM!$H$10," baik ",IF(W32&gt;=KKM!$I$10," cukup baik "," perlu bimbingan ")))</f>
        <v xml:space="preserve"> baik </v>
      </c>
      <c r="Y32" s="357">
        <f t="shared" si="1"/>
        <v>81.5</v>
      </c>
      <c r="Z32" s="361" t="str">
        <f>IF(Y32&gt;KKM!$G$10," sangat baik ",IF(Y32&gt;KKM!$H$10," baik ",IF(Y32&gt;=KKM!$I$10," cukup baik "," perlu bimbingan ")))</f>
        <v xml:space="preserve"> baik </v>
      </c>
      <c r="AA32" s="353" t="str">
        <f t="shared" si="5"/>
        <v>NABIL baik  dalam meringkas teks penjelasan (eksplanasi) dari media cetak atau elektronik.</v>
      </c>
      <c r="AB32" s="256"/>
      <c r="AC32" s="257" t="str">
        <f t="shared" si="2"/>
        <v xml:space="preserve"> baik  dalam meringkas teks penjelasan (eksplanasi) dari media cetak atau elektronik.</v>
      </c>
      <c r="AD32" s="257" t="str">
        <f t="shared" si="3"/>
        <v xml:space="preserve"> baik  dalam meringkas teks penjelasan (eksplanasi) dari media cetak atau elektronik.</v>
      </c>
      <c r="AE32" s="257" t="str">
        <f t="shared" si="6"/>
        <v xml:space="preserve"> baik  dalam meringkas teks penjelasan (eksplanasi) dari media cetak atau elektronik., dan  baik  dalam meringkas teks penjelasan (eksplanasi) dari media cetak atau elektronik.</v>
      </c>
      <c r="AF32" s="257" t="str">
        <f t="shared" si="7"/>
        <v xml:space="preserve"> baik  dalam meringkas teks penjelasan (eksplanasi) dari media cetak atau elektronik.</v>
      </c>
      <c r="AG32" s="258" t="str">
        <f t="shared" si="8"/>
        <v xml:space="preserve"> baik  dalam meringkas teks penjelasan (eksplanasi) dari media cetak atau elektronik.</v>
      </c>
      <c r="AH32" s="252" t="str">
        <f t="shared" si="9"/>
        <v>NABIL baik  dalam meringkas teks penjelasan (eksplanasi) dari media cetak atau elektronik.</v>
      </c>
      <c r="AI32" s="153"/>
      <c r="AQ32" s="469">
        <f t="shared" si="10"/>
        <v>82</v>
      </c>
    </row>
    <row r="33" spans="2:43" ht="51.75" customHeight="1">
      <c r="B33" s="142">
        <v>29</v>
      </c>
      <c r="C33" s="143" t="str">
        <f>SISWA!B34</f>
        <v>1718250040333</v>
      </c>
      <c r="D33" s="144" t="str">
        <f>SISWA!E34</f>
        <v>RASYA</v>
      </c>
      <c r="E33" s="159">
        <v>80.5</v>
      </c>
      <c r="F33" s="159">
        <v>80.5</v>
      </c>
      <c r="G33" s="160">
        <v>80.5</v>
      </c>
      <c r="H33" s="160">
        <v>80.5</v>
      </c>
      <c r="I33" s="160">
        <v>80.5</v>
      </c>
      <c r="J33" s="159"/>
      <c r="K33" s="159"/>
      <c r="L33" s="159"/>
      <c r="M33" s="159"/>
      <c r="N33" s="159"/>
      <c r="O33" s="159"/>
      <c r="P33" s="159"/>
      <c r="Q33" s="159"/>
      <c r="R33" s="160"/>
      <c r="S33" s="160"/>
      <c r="T33" s="159"/>
      <c r="U33" s="354">
        <f t="shared" si="4"/>
        <v>81</v>
      </c>
      <c r="V33" s="355" t="str">
        <f>IF(U33&gt;KKM!$G$10,"A",IF(U33&gt;KKM!$H$10,"B",IF(U33&gt;=KKM!$I$10,"C","D")))</f>
        <v>B</v>
      </c>
      <c r="W33" s="356">
        <f t="shared" si="0"/>
        <v>80.5</v>
      </c>
      <c r="X33" s="361" t="str">
        <f>IF(W33&gt;KKM!$G$10," sangat baik ",IF(W33&gt;KKM!$H$10," baik ",IF(W33&gt;=KKM!$I$10," cukup baik "," perlu bimbingan ")))</f>
        <v xml:space="preserve"> baik </v>
      </c>
      <c r="Y33" s="357">
        <f t="shared" si="1"/>
        <v>80.5</v>
      </c>
      <c r="Z33" s="361" t="str">
        <f>IF(Y33&gt;KKM!$G$10," sangat baik ",IF(Y33&gt;KKM!$H$10," baik ",IF(Y33&gt;=KKM!$I$10," cukup baik "," perlu bimbingan ")))</f>
        <v xml:space="preserve"> baik </v>
      </c>
      <c r="AA33" s="353" t="str">
        <f t="shared" si="5"/>
        <v>RASYA baik  dalam meringkas teks penjelasan (eksplanasi) dari media cetak atau elektronik.</v>
      </c>
      <c r="AB33" s="256"/>
      <c r="AC33" s="257" t="str">
        <f t="shared" si="2"/>
        <v xml:space="preserve"> baik  dalam meringkas teks penjelasan (eksplanasi) dari media cetak atau elektronik.</v>
      </c>
      <c r="AD33" s="257" t="str">
        <f t="shared" si="3"/>
        <v xml:space="preserve"> baik  dalam meringkas teks penjelasan (eksplanasi) dari media cetak atau elektronik.</v>
      </c>
      <c r="AE33" s="257" t="str">
        <f t="shared" si="6"/>
        <v xml:space="preserve"> baik  dalam meringkas teks penjelasan (eksplanasi) dari media cetak atau elektronik., dan  baik  dalam meringkas teks penjelasan (eksplanasi) dari media cetak atau elektronik.</v>
      </c>
      <c r="AF33" s="257" t="str">
        <f t="shared" si="7"/>
        <v xml:space="preserve"> baik  dalam meringkas teks penjelasan (eksplanasi) dari media cetak atau elektronik.</v>
      </c>
      <c r="AG33" s="258" t="str">
        <f t="shared" si="8"/>
        <v xml:space="preserve"> baik  dalam meringkas teks penjelasan (eksplanasi) dari media cetak atau elektronik.</v>
      </c>
      <c r="AH33" s="252" t="str">
        <f t="shared" si="9"/>
        <v>RASYA baik  dalam meringkas teks penjelasan (eksplanasi) dari media cetak atau elektronik.</v>
      </c>
      <c r="AI33" s="153"/>
      <c r="AQ33" s="469">
        <f t="shared" si="10"/>
        <v>81</v>
      </c>
    </row>
    <row r="34" spans="2:43" ht="51.75" customHeight="1">
      <c r="B34" s="142">
        <v>30</v>
      </c>
      <c r="C34" s="143" t="str">
        <f>SISWA!B35</f>
        <v>1718250040334</v>
      </c>
      <c r="D34" s="144" t="str">
        <f>SISWA!E35</f>
        <v>RIZKI</v>
      </c>
      <c r="E34" s="159">
        <v>89</v>
      </c>
      <c r="F34" s="159">
        <v>89</v>
      </c>
      <c r="G34" s="160">
        <v>89</v>
      </c>
      <c r="H34" s="160">
        <v>89</v>
      </c>
      <c r="I34" s="160">
        <v>89</v>
      </c>
      <c r="J34" s="159"/>
      <c r="K34" s="159"/>
      <c r="L34" s="159"/>
      <c r="M34" s="159"/>
      <c r="N34" s="159"/>
      <c r="O34" s="159"/>
      <c r="P34" s="159"/>
      <c r="Q34" s="159"/>
      <c r="R34" s="160"/>
      <c r="S34" s="160"/>
      <c r="T34" s="159"/>
      <c r="U34" s="354">
        <f t="shared" si="4"/>
        <v>89</v>
      </c>
      <c r="V34" s="355" t="str">
        <f>IF(U34&gt;KKM!$G$10,"A",IF(U34&gt;KKM!$H$10,"B",IF(U34&gt;=KKM!$I$10,"C","D")))</f>
        <v>A</v>
      </c>
      <c r="W34" s="356">
        <f t="shared" si="0"/>
        <v>89</v>
      </c>
      <c r="X34" s="361" t="str">
        <f>IF(W34&gt;KKM!$G$10," sangat baik ",IF(W34&gt;KKM!$H$10," baik ",IF(W34&gt;=KKM!$I$10," cukup baik "," perlu bimbingan ")))</f>
        <v xml:space="preserve"> sangat baik </v>
      </c>
      <c r="Y34" s="357">
        <f t="shared" si="1"/>
        <v>89</v>
      </c>
      <c r="Z34" s="361" t="str">
        <f>IF(Y34&gt;KKM!$G$10," sangat baik ",IF(Y34&gt;KKM!$H$10," baik ",IF(Y34&gt;=KKM!$I$10," cukup baik "," perlu bimbingan ")))</f>
        <v xml:space="preserve"> sangat baik </v>
      </c>
      <c r="AA34" s="353" t="str">
        <f t="shared" si="5"/>
        <v>RIZKI sangat baik  dalam meringkas teks penjelasan (eksplanasi) dari media cetak atau elektronik.</v>
      </c>
      <c r="AB34" s="256"/>
      <c r="AC34" s="257" t="str">
        <f t="shared" si="2"/>
        <v xml:space="preserve"> sangat baik  dalam meringkas teks penjelasan (eksplanasi) dari media cetak atau elektronik.</v>
      </c>
      <c r="AD34" s="257" t="str">
        <f t="shared" si="3"/>
        <v xml:space="preserve"> sangat baik  dalam meringkas teks penjelasan (eksplanasi) dari media cetak atau elektronik.</v>
      </c>
      <c r="AE34" s="257" t="str">
        <f t="shared" si="6"/>
        <v xml:space="preserve"> sangat baik  dalam meringkas teks penjelasan (eksplanasi) dari media cetak atau elektronik., dan  sangat baik  dalam meringkas teks penjelasan (eksplanasi) dari media cetak atau elektronik.</v>
      </c>
      <c r="AF34" s="257" t="str">
        <f t="shared" si="7"/>
        <v xml:space="preserve"> sangat baik  dalam meringkas teks penjelasan (eksplanasi) dari media cetak atau elektronik.</v>
      </c>
      <c r="AG34" s="258" t="str">
        <f t="shared" si="8"/>
        <v xml:space="preserve"> sangat baik  dalam meringkas teks penjelasan (eksplanasi) dari media cetak atau elektronik.</v>
      </c>
      <c r="AH34" s="252" t="str">
        <f t="shared" si="9"/>
        <v>RIZKI sangat baik  dalam meringkas teks penjelasan (eksplanasi) dari media cetak atau elektronik.</v>
      </c>
      <c r="AI34" s="153"/>
      <c r="AQ34" s="469">
        <f t="shared" si="10"/>
        <v>89</v>
      </c>
    </row>
    <row r="35" spans="2:43" ht="51.75" customHeight="1">
      <c r="B35" s="142">
        <v>31</v>
      </c>
      <c r="C35" s="143" t="str">
        <f>SISWA!B36</f>
        <v>1718250040335</v>
      </c>
      <c r="D35" s="144" t="str">
        <f>SISWA!E36</f>
        <v>SATRIA</v>
      </c>
      <c r="E35" s="159">
        <v>92.25</v>
      </c>
      <c r="F35" s="159">
        <v>92.25</v>
      </c>
      <c r="G35" s="160">
        <v>92.25</v>
      </c>
      <c r="H35" s="160">
        <v>92.25</v>
      </c>
      <c r="I35" s="160">
        <v>92.25</v>
      </c>
      <c r="J35" s="159"/>
      <c r="K35" s="159"/>
      <c r="L35" s="159"/>
      <c r="M35" s="159"/>
      <c r="N35" s="159"/>
      <c r="O35" s="159"/>
      <c r="P35" s="159"/>
      <c r="Q35" s="159"/>
      <c r="R35" s="160"/>
      <c r="S35" s="160"/>
      <c r="T35" s="159"/>
      <c r="U35" s="354">
        <f t="shared" si="4"/>
        <v>92</v>
      </c>
      <c r="V35" s="355" t="str">
        <f>IF(U35&gt;KKM!$G$10,"A",IF(U35&gt;KKM!$H$10,"B",IF(U35&gt;=KKM!$I$10,"C","D")))</f>
        <v>A</v>
      </c>
      <c r="W35" s="356">
        <f t="shared" si="0"/>
        <v>92.25</v>
      </c>
      <c r="X35" s="361" t="str">
        <f>IF(W35&gt;KKM!$G$10," sangat baik ",IF(W35&gt;KKM!$H$10," baik ",IF(W35&gt;=KKM!$I$10," cukup baik "," perlu bimbingan ")))</f>
        <v xml:space="preserve"> sangat baik </v>
      </c>
      <c r="Y35" s="357">
        <f t="shared" si="1"/>
        <v>92.25</v>
      </c>
      <c r="Z35" s="361" t="str">
        <f>IF(Y35&gt;KKM!$G$10," sangat baik ",IF(Y35&gt;KKM!$H$10," baik ",IF(Y35&gt;=KKM!$I$10," cukup baik "," perlu bimbingan ")))</f>
        <v xml:space="preserve"> sangat baik </v>
      </c>
      <c r="AA35" s="353" t="str">
        <f t="shared" si="5"/>
        <v>SATRIA sangat baik  dalam meringkas teks penjelasan (eksplanasi) dari media cetak atau elektronik.</v>
      </c>
      <c r="AB35" s="256"/>
      <c r="AC35" s="257" t="str">
        <f t="shared" si="2"/>
        <v xml:space="preserve"> sangat baik  dalam meringkas teks penjelasan (eksplanasi) dari media cetak atau elektronik.</v>
      </c>
      <c r="AD35" s="257" t="str">
        <f t="shared" si="3"/>
        <v xml:space="preserve"> sangat baik  dalam meringkas teks penjelasan (eksplanasi) dari media cetak atau elektronik.</v>
      </c>
      <c r="AE35" s="257" t="str">
        <f t="shared" si="6"/>
        <v xml:space="preserve"> sangat baik  dalam meringkas teks penjelasan (eksplanasi) dari media cetak atau elektronik., dan  sangat baik  dalam meringkas teks penjelasan (eksplanasi) dari media cetak atau elektronik.</v>
      </c>
      <c r="AF35" s="257" t="str">
        <f t="shared" si="7"/>
        <v xml:space="preserve"> sangat baik  dalam meringkas teks penjelasan (eksplanasi) dari media cetak atau elektronik.</v>
      </c>
      <c r="AG35" s="258" t="str">
        <f t="shared" si="8"/>
        <v xml:space="preserve"> sangat baik  dalam meringkas teks penjelasan (eksplanasi) dari media cetak atau elektronik.</v>
      </c>
      <c r="AH35" s="252" t="str">
        <f t="shared" si="9"/>
        <v>SATRIA sangat baik  dalam meringkas teks penjelasan (eksplanasi) dari media cetak atau elektronik.</v>
      </c>
      <c r="AI35" s="153"/>
      <c r="AQ35" s="469">
        <f t="shared" si="10"/>
        <v>92</v>
      </c>
    </row>
    <row r="36" spans="2:43" ht="51.75" customHeight="1">
      <c r="B36" s="142">
        <v>32</v>
      </c>
      <c r="C36" s="143" t="str">
        <f>SISWA!B37</f>
        <v>1718250040336</v>
      </c>
      <c r="D36" s="144" t="str">
        <f>SISWA!E37</f>
        <v>NADIA</v>
      </c>
      <c r="E36" s="159">
        <v>93.5</v>
      </c>
      <c r="F36" s="159">
        <v>93.5</v>
      </c>
      <c r="G36" s="160">
        <v>93.5</v>
      </c>
      <c r="H36" s="160">
        <v>93.5</v>
      </c>
      <c r="I36" s="160">
        <v>93.5</v>
      </c>
      <c r="J36" s="159"/>
      <c r="K36" s="159"/>
      <c r="L36" s="159"/>
      <c r="M36" s="159"/>
      <c r="N36" s="159"/>
      <c r="O36" s="159"/>
      <c r="P36" s="159"/>
      <c r="Q36" s="159"/>
      <c r="R36" s="160"/>
      <c r="S36" s="160"/>
      <c r="T36" s="159"/>
      <c r="U36" s="354">
        <f t="shared" si="4"/>
        <v>94</v>
      </c>
      <c r="V36" s="355" t="str">
        <f>IF(U36&gt;KKM!$G$10,"A",IF(U36&gt;KKM!$H$10,"B",IF(U36&gt;=KKM!$I$10,"C","D")))</f>
        <v>A</v>
      </c>
      <c r="W36" s="356">
        <f t="shared" si="0"/>
        <v>93.5</v>
      </c>
      <c r="X36" s="361" t="str">
        <f>IF(W36&gt;KKM!$G$10," sangat baik ",IF(W36&gt;KKM!$H$10," baik ",IF(W36&gt;=KKM!$I$10," cukup baik "," perlu bimbingan ")))</f>
        <v xml:space="preserve"> sangat baik </v>
      </c>
      <c r="Y36" s="357">
        <f t="shared" si="1"/>
        <v>93.5</v>
      </c>
      <c r="Z36" s="361" t="str">
        <f>IF(Y36&gt;KKM!$G$10," sangat baik ",IF(Y36&gt;KKM!$H$10," baik ",IF(Y36&gt;=KKM!$I$10," cukup baik "," perlu bimbingan ")))</f>
        <v xml:space="preserve"> sangat baik </v>
      </c>
      <c r="AA36" s="353" t="str">
        <f t="shared" si="5"/>
        <v>NADIA sangat baik  dalam meringkas teks penjelasan (eksplanasi) dari media cetak atau elektronik.</v>
      </c>
      <c r="AB36" s="256"/>
      <c r="AC36" s="257" t="str">
        <f t="shared" si="2"/>
        <v xml:space="preserve"> sangat baik  dalam meringkas teks penjelasan (eksplanasi) dari media cetak atau elektronik.</v>
      </c>
      <c r="AD36" s="257" t="str">
        <f t="shared" si="3"/>
        <v xml:space="preserve"> sangat baik  dalam meringkas teks penjelasan (eksplanasi) dari media cetak atau elektronik.</v>
      </c>
      <c r="AE36" s="257" t="str">
        <f t="shared" si="6"/>
        <v xml:space="preserve"> sangat baik  dalam meringkas teks penjelasan (eksplanasi) dari media cetak atau elektronik., dan  sangat baik  dalam meringkas teks penjelasan (eksplanasi) dari media cetak atau elektronik.</v>
      </c>
      <c r="AF36" s="257" t="str">
        <f t="shared" si="7"/>
        <v xml:space="preserve"> sangat baik  dalam meringkas teks penjelasan (eksplanasi) dari media cetak atau elektronik.</v>
      </c>
      <c r="AG36" s="258" t="str">
        <f t="shared" si="8"/>
        <v xml:space="preserve"> sangat baik  dalam meringkas teks penjelasan (eksplanasi) dari media cetak atau elektronik.</v>
      </c>
      <c r="AH36" s="252" t="str">
        <f t="shared" si="9"/>
        <v>NADIA sangat baik  dalam meringkas teks penjelasan (eksplanasi) dari media cetak atau elektronik.</v>
      </c>
      <c r="AI36" s="153"/>
      <c r="AQ36" s="469">
        <f t="shared" si="10"/>
        <v>94</v>
      </c>
    </row>
    <row r="37" spans="2:43" ht="51.75" customHeight="1">
      <c r="B37" s="142">
        <v>33</v>
      </c>
      <c r="C37" s="143" t="str">
        <f>SISWA!B38</f>
        <v>1718250040337</v>
      </c>
      <c r="D37" s="144" t="str">
        <f>SISWA!E38</f>
        <v>NAFILA</v>
      </c>
      <c r="E37" s="159">
        <v>81.5</v>
      </c>
      <c r="F37" s="159">
        <v>81.5</v>
      </c>
      <c r="G37" s="160">
        <v>81.5</v>
      </c>
      <c r="H37" s="160">
        <v>81.5</v>
      </c>
      <c r="I37" s="160">
        <v>81.5</v>
      </c>
      <c r="J37" s="159"/>
      <c r="K37" s="159"/>
      <c r="L37" s="159"/>
      <c r="M37" s="159"/>
      <c r="N37" s="159"/>
      <c r="O37" s="159"/>
      <c r="P37" s="159"/>
      <c r="Q37" s="159"/>
      <c r="R37" s="160"/>
      <c r="S37" s="160"/>
      <c r="T37" s="159"/>
      <c r="U37" s="354">
        <f t="shared" si="4"/>
        <v>82</v>
      </c>
      <c r="V37" s="355" t="str">
        <f>IF(U37&gt;KKM!$G$10,"A",IF(U37&gt;KKM!$H$10,"B",IF(U37&gt;=KKM!$I$10,"C","D")))</f>
        <v>B</v>
      </c>
      <c r="W37" s="356">
        <f t="shared" si="0"/>
        <v>81.5</v>
      </c>
      <c r="X37" s="361" t="str">
        <f>IF(W37&gt;KKM!$G$10," sangat baik ",IF(W37&gt;KKM!$H$10," baik ",IF(W37&gt;=KKM!$I$10," cukup baik "," perlu bimbingan ")))</f>
        <v xml:space="preserve"> baik </v>
      </c>
      <c r="Y37" s="357">
        <f t="shared" si="1"/>
        <v>81.5</v>
      </c>
      <c r="Z37" s="361" t="str">
        <f>IF(Y37&gt;KKM!$G$10," sangat baik ",IF(Y37&gt;KKM!$H$10," baik ",IF(Y37&gt;=KKM!$I$10," cukup baik "," perlu bimbingan ")))</f>
        <v xml:space="preserve"> baik </v>
      </c>
      <c r="AA37" s="353" t="str">
        <f t="shared" si="5"/>
        <v>NAFILA baik  dalam meringkas teks penjelasan (eksplanasi) dari media cetak atau elektronik.</v>
      </c>
      <c r="AB37" s="256"/>
      <c r="AC37" s="257" t="str">
        <f t="shared" si="2"/>
        <v xml:space="preserve"> baik  dalam meringkas teks penjelasan (eksplanasi) dari media cetak atau elektronik.</v>
      </c>
      <c r="AD37" s="257" t="str">
        <f t="shared" si="3"/>
        <v xml:space="preserve"> baik  dalam meringkas teks penjelasan (eksplanasi) dari media cetak atau elektronik.</v>
      </c>
      <c r="AE37" s="257" t="str">
        <f t="shared" si="6"/>
        <v xml:space="preserve"> baik  dalam meringkas teks penjelasan (eksplanasi) dari media cetak atau elektronik., dan  baik  dalam meringkas teks penjelasan (eksplanasi) dari media cetak atau elektronik.</v>
      </c>
      <c r="AF37" s="257" t="str">
        <f t="shared" si="7"/>
        <v xml:space="preserve"> baik  dalam meringkas teks penjelasan (eksplanasi) dari media cetak atau elektronik.</v>
      </c>
      <c r="AG37" s="258" t="str">
        <f t="shared" si="8"/>
        <v xml:space="preserve"> baik  dalam meringkas teks penjelasan (eksplanasi) dari media cetak atau elektronik.</v>
      </c>
      <c r="AH37" s="252" t="str">
        <f t="shared" si="9"/>
        <v>NAFILA baik  dalam meringkas teks penjelasan (eksplanasi) dari media cetak atau elektronik.</v>
      </c>
      <c r="AI37" s="153"/>
      <c r="AQ37" s="469">
        <f t="shared" si="10"/>
        <v>82</v>
      </c>
    </row>
    <row r="38" spans="2:43" ht="51.75" customHeight="1">
      <c r="B38" s="142">
        <v>34</v>
      </c>
      <c r="C38" s="143" t="str">
        <f>SISWA!B39</f>
        <v>1718250040338</v>
      </c>
      <c r="D38" s="144" t="str">
        <f>SISWA!E39</f>
        <v>NAZZALA</v>
      </c>
      <c r="E38" s="159">
        <v>89</v>
      </c>
      <c r="F38" s="159">
        <v>89</v>
      </c>
      <c r="G38" s="160">
        <v>89</v>
      </c>
      <c r="H38" s="160">
        <v>89</v>
      </c>
      <c r="I38" s="160">
        <v>89</v>
      </c>
      <c r="J38" s="159"/>
      <c r="K38" s="159"/>
      <c r="L38" s="159"/>
      <c r="M38" s="159"/>
      <c r="N38" s="159"/>
      <c r="O38" s="159"/>
      <c r="P38" s="159"/>
      <c r="Q38" s="159"/>
      <c r="R38" s="160"/>
      <c r="S38" s="160"/>
      <c r="T38" s="159"/>
      <c r="U38" s="354">
        <f t="shared" si="4"/>
        <v>89</v>
      </c>
      <c r="V38" s="355" t="str">
        <f>IF(U38&gt;KKM!$G$10,"A",IF(U38&gt;KKM!$H$10,"B",IF(U38&gt;=KKM!$I$10,"C","D")))</f>
        <v>A</v>
      </c>
      <c r="W38" s="356">
        <f t="shared" si="0"/>
        <v>89</v>
      </c>
      <c r="X38" s="361" t="str">
        <f>IF(W38&gt;KKM!$G$10," sangat baik ",IF(W38&gt;KKM!$H$10," baik ",IF(W38&gt;=KKM!$I$10," cukup baik "," perlu bimbingan ")))</f>
        <v xml:space="preserve"> sangat baik </v>
      </c>
      <c r="Y38" s="357">
        <f t="shared" si="1"/>
        <v>89</v>
      </c>
      <c r="Z38" s="361" t="str">
        <f>IF(Y38&gt;KKM!$G$10," sangat baik ",IF(Y38&gt;KKM!$H$10," baik ",IF(Y38&gt;=KKM!$I$10," cukup baik "," perlu bimbingan ")))</f>
        <v xml:space="preserve"> sangat baik </v>
      </c>
      <c r="AA38" s="353" t="str">
        <f t="shared" si="5"/>
        <v>NAZZALA sangat baik  dalam meringkas teks penjelasan (eksplanasi) dari media cetak atau elektronik.</v>
      </c>
      <c r="AB38" s="256"/>
      <c r="AC38" s="257" t="str">
        <f t="shared" si="2"/>
        <v xml:space="preserve"> sangat baik  dalam meringkas teks penjelasan (eksplanasi) dari media cetak atau elektronik.</v>
      </c>
      <c r="AD38" s="257" t="str">
        <f t="shared" si="3"/>
        <v xml:space="preserve"> sangat baik  dalam meringkas teks penjelasan (eksplanasi) dari media cetak atau elektronik.</v>
      </c>
      <c r="AE38" s="257" t="str">
        <f t="shared" si="6"/>
        <v xml:space="preserve"> sangat baik  dalam meringkas teks penjelasan (eksplanasi) dari media cetak atau elektronik., dan  sangat baik  dalam meringkas teks penjelasan (eksplanasi) dari media cetak atau elektronik.</v>
      </c>
      <c r="AF38" s="257" t="str">
        <f t="shared" si="7"/>
        <v xml:space="preserve"> sangat baik  dalam meringkas teks penjelasan (eksplanasi) dari media cetak atau elektronik.</v>
      </c>
      <c r="AG38" s="258" t="str">
        <f t="shared" si="8"/>
        <v xml:space="preserve"> sangat baik  dalam meringkas teks penjelasan (eksplanasi) dari media cetak atau elektronik.</v>
      </c>
      <c r="AH38" s="252" t="str">
        <f t="shared" si="9"/>
        <v>NAZZALA sangat baik  dalam meringkas teks penjelasan (eksplanasi) dari media cetak atau elektronik.</v>
      </c>
      <c r="AI38" s="153"/>
      <c r="AQ38" s="469">
        <f t="shared" si="10"/>
        <v>89</v>
      </c>
    </row>
    <row r="39" spans="2:43" ht="51.75" customHeight="1">
      <c r="B39" s="142">
        <v>35</v>
      </c>
      <c r="C39" s="143" t="str">
        <f>SISWA!B40</f>
        <v>1718250040339</v>
      </c>
      <c r="D39" s="144" t="str">
        <f>SISWA!E40</f>
        <v>RAFAREL</v>
      </c>
      <c r="E39" s="159">
        <v>81</v>
      </c>
      <c r="F39" s="159">
        <v>81</v>
      </c>
      <c r="G39" s="160">
        <v>81</v>
      </c>
      <c r="H39" s="160">
        <v>81</v>
      </c>
      <c r="I39" s="160">
        <v>81</v>
      </c>
      <c r="J39" s="159"/>
      <c r="K39" s="159"/>
      <c r="L39" s="159"/>
      <c r="M39" s="159"/>
      <c r="N39" s="159"/>
      <c r="O39" s="159"/>
      <c r="P39" s="159"/>
      <c r="Q39" s="159"/>
      <c r="R39" s="160"/>
      <c r="S39" s="160"/>
      <c r="T39" s="159"/>
      <c r="U39" s="354">
        <f t="shared" si="4"/>
        <v>81</v>
      </c>
      <c r="V39" s="355" t="str">
        <f>IF(U39&gt;KKM!$G$10,"A",IF(U39&gt;KKM!$H$10,"B",IF(U39&gt;=KKM!$I$10,"C","D")))</f>
        <v>B</v>
      </c>
      <c r="W39" s="356">
        <f t="shared" si="0"/>
        <v>81</v>
      </c>
      <c r="X39" s="361" t="str">
        <f>IF(W39&gt;KKM!$G$10," sangat baik ",IF(W39&gt;KKM!$H$10," baik ",IF(W39&gt;=KKM!$I$10," cukup baik "," perlu bimbingan ")))</f>
        <v xml:space="preserve"> baik </v>
      </c>
      <c r="Y39" s="357">
        <f t="shared" si="1"/>
        <v>81</v>
      </c>
      <c r="Z39" s="361" t="str">
        <f>IF(Y39&gt;KKM!$G$10," sangat baik ",IF(Y39&gt;KKM!$H$10," baik ",IF(Y39&gt;=KKM!$I$10," cukup baik "," perlu bimbingan ")))</f>
        <v xml:space="preserve"> baik </v>
      </c>
      <c r="AA39" s="353" t="str">
        <f t="shared" si="5"/>
        <v>RAFAREL baik  dalam meringkas teks penjelasan (eksplanasi) dari media cetak atau elektronik.</v>
      </c>
      <c r="AB39" s="256"/>
      <c r="AC39" s="257" t="str">
        <f t="shared" si="2"/>
        <v xml:space="preserve"> baik  dalam meringkas teks penjelasan (eksplanasi) dari media cetak atau elektronik.</v>
      </c>
      <c r="AD39" s="257" t="str">
        <f t="shared" si="3"/>
        <v xml:space="preserve"> baik  dalam meringkas teks penjelasan (eksplanasi) dari media cetak atau elektronik.</v>
      </c>
      <c r="AE39" s="257" t="str">
        <f t="shared" si="6"/>
        <v xml:space="preserve"> baik  dalam meringkas teks penjelasan (eksplanasi) dari media cetak atau elektronik., dan  baik  dalam meringkas teks penjelasan (eksplanasi) dari media cetak atau elektronik.</v>
      </c>
      <c r="AF39" s="257" t="str">
        <f t="shared" si="7"/>
        <v xml:space="preserve"> baik  dalam meringkas teks penjelasan (eksplanasi) dari media cetak atau elektronik.</v>
      </c>
      <c r="AG39" s="258" t="str">
        <f t="shared" si="8"/>
        <v xml:space="preserve"> baik  dalam meringkas teks penjelasan (eksplanasi) dari media cetak atau elektronik.</v>
      </c>
      <c r="AH39" s="252" t="str">
        <f t="shared" si="9"/>
        <v>RAFAREL baik  dalam meringkas teks penjelasan (eksplanasi) dari media cetak atau elektronik.</v>
      </c>
      <c r="AI39" s="153"/>
      <c r="AQ39" s="469">
        <f t="shared" si="10"/>
        <v>81</v>
      </c>
    </row>
    <row r="40" spans="2:43" ht="51.75" customHeight="1">
      <c r="B40" s="142">
        <v>36</v>
      </c>
      <c r="C40" s="143" t="str">
        <f>SISWA!B41</f>
        <v>1718250040340</v>
      </c>
      <c r="D40" s="144" t="str">
        <f>SISWA!E41</f>
        <v>RAKHA</v>
      </c>
      <c r="E40" s="159">
        <v>86</v>
      </c>
      <c r="F40" s="159">
        <v>86</v>
      </c>
      <c r="G40" s="160">
        <v>86</v>
      </c>
      <c r="H40" s="160">
        <v>86</v>
      </c>
      <c r="I40" s="160">
        <v>86</v>
      </c>
      <c r="J40" s="159"/>
      <c r="K40" s="159"/>
      <c r="L40" s="159"/>
      <c r="M40" s="159"/>
      <c r="N40" s="159"/>
      <c r="O40" s="159"/>
      <c r="P40" s="159"/>
      <c r="Q40" s="159"/>
      <c r="R40" s="160"/>
      <c r="S40" s="160"/>
      <c r="T40" s="159"/>
      <c r="U40" s="354">
        <f t="shared" si="4"/>
        <v>86</v>
      </c>
      <c r="V40" s="355" t="str">
        <f>IF(U40&gt;KKM!$G$10,"A",IF(U40&gt;KKM!$H$10,"B",IF(U40&gt;=KKM!$I$10,"C","D")))</f>
        <v>B</v>
      </c>
      <c r="W40" s="356">
        <f t="shared" si="0"/>
        <v>86</v>
      </c>
      <c r="X40" s="361" t="str">
        <f>IF(W40&gt;KKM!$G$10," sangat baik ",IF(W40&gt;KKM!$H$10," baik ",IF(W40&gt;=KKM!$I$10," cukup baik "," perlu bimbingan ")))</f>
        <v xml:space="preserve"> baik </v>
      </c>
      <c r="Y40" s="357">
        <f t="shared" si="1"/>
        <v>86</v>
      </c>
      <c r="Z40" s="361" t="str">
        <f>IF(Y40&gt;KKM!$G$10," sangat baik ",IF(Y40&gt;KKM!$H$10," baik ",IF(Y40&gt;=KKM!$I$10," cukup baik "," perlu bimbingan ")))</f>
        <v xml:space="preserve"> baik </v>
      </c>
      <c r="AA40" s="353" t="str">
        <f t="shared" si="5"/>
        <v>RAKHA baik  dalam meringkas teks penjelasan (eksplanasi) dari media cetak atau elektronik.</v>
      </c>
      <c r="AB40" s="256"/>
      <c r="AC40" s="257" t="str">
        <f t="shared" si="2"/>
        <v xml:space="preserve"> baik  dalam meringkas teks penjelasan (eksplanasi) dari media cetak atau elektronik.</v>
      </c>
      <c r="AD40" s="257" t="str">
        <f t="shared" si="3"/>
        <v xml:space="preserve"> baik  dalam meringkas teks penjelasan (eksplanasi) dari media cetak atau elektronik.</v>
      </c>
      <c r="AE40" s="257" t="str">
        <f t="shared" si="6"/>
        <v xml:space="preserve"> baik  dalam meringkas teks penjelasan (eksplanasi) dari media cetak atau elektronik., dan  baik  dalam meringkas teks penjelasan (eksplanasi) dari media cetak atau elektronik.</v>
      </c>
      <c r="AF40" s="257" t="str">
        <f t="shared" si="7"/>
        <v xml:space="preserve"> baik  dalam meringkas teks penjelasan (eksplanasi) dari media cetak atau elektronik.</v>
      </c>
      <c r="AG40" s="258" t="str">
        <f t="shared" si="8"/>
        <v xml:space="preserve"> baik  dalam meringkas teks penjelasan (eksplanasi) dari media cetak atau elektronik.</v>
      </c>
      <c r="AH40" s="252" t="str">
        <f t="shared" si="9"/>
        <v>RAKHA baik  dalam meringkas teks penjelasan (eksplanasi) dari media cetak atau elektronik.</v>
      </c>
      <c r="AI40" s="153"/>
      <c r="AQ40" s="469">
        <f t="shared" si="10"/>
        <v>86</v>
      </c>
    </row>
    <row r="41" spans="2:43" ht="51.75" customHeight="1">
      <c r="B41" s="142">
        <v>37</v>
      </c>
      <c r="C41" s="143" t="str">
        <f>SISWA!B42</f>
        <v>1718250040341</v>
      </c>
      <c r="D41" s="144" t="str">
        <f>SISWA!E42</f>
        <v>RYU</v>
      </c>
      <c r="E41" s="159">
        <v>83.25</v>
      </c>
      <c r="F41" s="159">
        <v>83.25</v>
      </c>
      <c r="G41" s="160">
        <v>83.25</v>
      </c>
      <c r="H41" s="160">
        <v>83.25</v>
      </c>
      <c r="I41" s="160">
        <v>83.25</v>
      </c>
      <c r="J41" s="159"/>
      <c r="K41" s="159"/>
      <c r="L41" s="159"/>
      <c r="M41" s="159"/>
      <c r="N41" s="159"/>
      <c r="O41" s="159"/>
      <c r="P41" s="159"/>
      <c r="Q41" s="159"/>
      <c r="R41" s="160"/>
      <c r="S41" s="160"/>
      <c r="T41" s="159"/>
      <c r="U41" s="354">
        <f t="shared" si="4"/>
        <v>83</v>
      </c>
      <c r="V41" s="355" t="str">
        <f>IF(U41&gt;KKM!$G$10,"A",IF(U41&gt;KKM!$H$10,"B",IF(U41&gt;=KKM!$I$10,"C","D")))</f>
        <v>B</v>
      </c>
      <c r="W41" s="356">
        <f t="shared" si="0"/>
        <v>83.25</v>
      </c>
      <c r="X41" s="361" t="str">
        <f>IF(W41&gt;KKM!$G$10," sangat baik ",IF(W41&gt;KKM!$H$10," baik ",IF(W41&gt;=KKM!$I$10," cukup baik "," perlu bimbingan ")))</f>
        <v xml:space="preserve"> baik </v>
      </c>
      <c r="Y41" s="357">
        <f t="shared" si="1"/>
        <v>83.25</v>
      </c>
      <c r="Z41" s="361" t="str">
        <f>IF(Y41&gt;KKM!$G$10," sangat baik ",IF(Y41&gt;KKM!$H$10," baik ",IF(Y41&gt;=KKM!$I$10," cukup baik "," perlu bimbingan ")))</f>
        <v xml:space="preserve"> baik </v>
      </c>
      <c r="AA41" s="353" t="str">
        <f t="shared" si="5"/>
        <v>RYU baik  dalam meringkas teks penjelasan (eksplanasi) dari media cetak atau elektronik.</v>
      </c>
      <c r="AB41" s="256"/>
      <c r="AC41" s="257" t="str">
        <f t="shared" si="2"/>
        <v xml:space="preserve"> baik  dalam meringkas teks penjelasan (eksplanasi) dari media cetak atau elektronik.</v>
      </c>
      <c r="AD41" s="257" t="str">
        <f t="shared" si="3"/>
        <v xml:space="preserve"> baik  dalam meringkas teks penjelasan (eksplanasi) dari media cetak atau elektronik.</v>
      </c>
      <c r="AE41" s="257" t="str">
        <f t="shared" si="6"/>
        <v xml:space="preserve"> baik  dalam meringkas teks penjelasan (eksplanasi) dari media cetak atau elektronik., dan  baik  dalam meringkas teks penjelasan (eksplanasi) dari media cetak atau elektronik.</v>
      </c>
      <c r="AF41" s="257" t="str">
        <f t="shared" si="7"/>
        <v xml:space="preserve"> baik  dalam meringkas teks penjelasan (eksplanasi) dari media cetak atau elektronik.</v>
      </c>
      <c r="AG41" s="258" t="str">
        <f t="shared" si="8"/>
        <v xml:space="preserve"> baik  dalam meringkas teks penjelasan (eksplanasi) dari media cetak atau elektronik.</v>
      </c>
      <c r="AH41" s="252" t="str">
        <f t="shared" si="9"/>
        <v>RYU baik  dalam meringkas teks penjelasan (eksplanasi) dari media cetak atau elektronik.</v>
      </c>
      <c r="AI41" s="153"/>
      <c r="AQ41" s="469">
        <f t="shared" si="10"/>
        <v>83</v>
      </c>
    </row>
    <row r="42" spans="2:43" ht="51.75" customHeight="1">
      <c r="B42" s="142">
        <v>38</v>
      </c>
      <c r="C42" s="143" t="str">
        <f>SISWA!B43</f>
        <v>1718250040342</v>
      </c>
      <c r="D42" s="144" t="str">
        <f>SISWA!E43</f>
        <v>SAEPUL</v>
      </c>
      <c r="E42" s="159">
        <v>82</v>
      </c>
      <c r="F42" s="159">
        <v>82</v>
      </c>
      <c r="G42" s="160">
        <v>82</v>
      </c>
      <c r="H42" s="160">
        <v>82</v>
      </c>
      <c r="I42" s="160">
        <v>82</v>
      </c>
      <c r="J42" s="159"/>
      <c r="K42" s="159"/>
      <c r="L42" s="159"/>
      <c r="M42" s="159"/>
      <c r="N42" s="159"/>
      <c r="O42" s="159"/>
      <c r="P42" s="159"/>
      <c r="Q42" s="159"/>
      <c r="R42" s="160"/>
      <c r="S42" s="160"/>
      <c r="T42" s="159"/>
      <c r="U42" s="354">
        <f t="shared" si="4"/>
        <v>82</v>
      </c>
      <c r="V42" s="355" t="str">
        <f>IF(U42&gt;KKM!$G$10,"A",IF(U42&gt;KKM!$H$10,"B",IF(U42&gt;=KKM!$I$10,"C","D")))</f>
        <v>B</v>
      </c>
      <c r="W42" s="356">
        <f t="shared" si="0"/>
        <v>82</v>
      </c>
      <c r="X42" s="361" t="str">
        <f>IF(W42&gt;KKM!$G$10," sangat baik ",IF(W42&gt;KKM!$H$10," baik ",IF(W42&gt;=KKM!$I$10," cukup baik "," perlu bimbingan ")))</f>
        <v xml:space="preserve"> baik </v>
      </c>
      <c r="Y42" s="357">
        <f t="shared" si="1"/>
        <v>82</v>
      </c>
      <c r="Z42" s="361" t="str">
        <f>IF(Y42&gt;KKM!$G$10," sangat baik ",IF(Y42&gt;KKM!$H$10," baik ",IF(Y42&gt;=KKM!$I$10," cukup baik "," perlu bimbingan ")))</f>
        <v xml:space="preserve"> baik </v>
      </c>
      <c r="AA42" s="353" t="str">
        <f t="shared" si="5"/>
        <v>SAEPUL baik  dalam meringkas teks penjelasan (eksplanasi) dari media cetak atau elektronik.</v>
      </c>
      <c r="AB42" s="256"/>
      <c r="AC42" s="257" t="str">
        <f t="shared" si="2"/>
        <v xml:space="preserve"> baik  dalam meringkas teks penjelasan (eksplanasi) dari media cetak atau elektronik.</v>
      </c>
      <c r="AD42" s="257" t="str">
        <f t="shared" si="3"/>
        <v xml:space="preserve"> baik  dalam meringkas teks penjelasan (eksplanasi) dari media cetak atau elektronik.</v>
      </c>
      <c r="AE42" s="257" t="str">
        <f t="shared" si="6"/>
        <v xml:space="preserve"> baik  dalam meringkas teks penjelasan (eksplanasi) dari media cetak atau elektronik., dan  baik  dalam meringkas teks penjelasan (eksplanasi) dari media cetak atau elektronik.</v>
      </c>
      <c r="AF42" s="257" t="str">
        <f t="shared" si="7"/>
        <v xml:space="preserve"> baik  dalam meringkas teks penjelasan (eksplanasi) dari media cetak atau elektronik.</v>
      </c>
      <c r="AG42" s="258" t="str">
        <f t="shared" si="8"/>
        <v xml:space="preserve"> baik  dalam meringkas teks penjelasan (eksplanasi) dari media cetak atau elektronik.</v>
      </c>
      <c r="AH42" s="252" t="str">
        <f t="shared" si="9"/>
        <v>SAEPUL baik  dalam meringkas teks penjelasan (eksplanasi) dari media cetak atau elektronik.</v>
      </c>
      <c r="AI42" s="153"/>
      <c r="AQ42" s="469">
        <f t="shared" si="10"/>
        <v>82</v>
      </c>
    </row>
    <row r="43" spans="2:43" ht="51.75" customHeight="1">
      <c r="B43" s="142">
        <v>39</v>
      </c>
      <c r="C43" s="143" t="str">
        <f>SISWA!B44</f>
        <v>1718250040343</v>
      </c>
      <c r="D43" s="144" t="str">
        <f>SISWA!E44</f>
        <v>SALMA</v>
      </c>
      <c r="E43" s="159">
        <v>84.75</v>
      </c>
      <c r="F43" s="159">
        <v>84.75</v>
      </c>
      <c r="G43" s="160">
        <v>84.75</v>
      </c>
      <c r="H43" s="160">
        <v>84.75</v>
      </c>
      <c r="I43" s="160">
        <v>84.75</v>
      </c>
      <c r="J43" s="159"/>
      <c r="K43" s="159"/>
      <c r="L43" s="159"/>
      <c r="M43" s="159"/>
      <c r="N43" s="159"/>
      <c r="O43" s="159"/>
      <c r="P43" s="159"/>
      <c r="Q43" s="159"/>
      <c r="R43" s="160"/>
      <c r="S43" s="160"/>
      <c r="T43" s="159"/>
      <c r="U43" s="354">
        <f t="shared" si="4"/>
        <v>85</v>
      </c>
      <c r="V43" s="355" t="str">
        <f>IF(U43&gt;KKM!$G$10,"A",IF(U43&gt;KKM!$H$10,"B",IF(U43&gt;=KKM!$I$10,"C","D")))</f>
        <v>B</v>
      </c>
      <c r="W43" s="356">
        <f t="shared" si="0"/>
        <v>84.75</v>
      </c>
      <c r="X43" s="361" t="str">
        <f>IF(W43&gt;KKM!$G$10," sangat baik ",IF(W43&gt;KKM!$H$10," baik ",IF(W43&gt;=KKM!$I$10," cukup baik "," perlu bimbingan ")))</f>
        <v xml:space="preserve"> baik </v>
      </c>
      <c r="Y43" s="357">
        <f t="shared" si="1"/>
        <v>84.75</v>
      </c>
      <c r="Z43" s="361" t="str">
        <f>IF(Y43&gt;KKM!$G$10," sangat baik ",IF(Y43&gt;KKM!$H$10," baik ",IF(Y43&gt;=KKM!$I$10," cukup baik "," perlu bimbingan ")))</f>
        <v xml:space="preserve"> baik </v>
      </c>
      <c r="AA43" s="353" t="str">
        <f t="shared" si="5"/>
        <v>SALMA baik  dalam meringkas teks penjelasan (eksplanasi) dari media cetak atau elektronik.</v>
      </c>
      <c r="AB43" s="256"/>
      <c r="AC43" s="257" t="str">
        <f t="shared" si="2"/>
        <v xml:space="preserve"> baik  dalam meringkas teks penjelasan (eksplanasi) dari media cetak atau elektronik.</v>
      </c>
      <c r="AD43" s="257" t="str">
        <f t="shared" si="3"/>
        <v xml:space="preserve"> baik  dalam meringkas teks penjelasan (eksplanasi) dari media cetak atau elektronik.</v>
      </c>
      <c r="AE43" s="257" t="str">
        <f t="shared" si="6"/>
        <v xml:space="preserve"> baik  dalam meringkas teks penjelasan (eksplanasi) dari media cetak atau elektronik., dan  baik  dalam meringkas teks penjelasan (eksplanasi) dari media cetak atau elektronik.</v>
      </c>
      <c r="AF43" s="257" t="str">
        <f t="shared" si="7"/>
        <v xml:space="preserve"> baik  dalam meringkas teks penjelasan (eksplanasi) dari media cetak atau elektronik.</v>
      </c>
      <c r="AG43" s="258" t="str">
        <f t="shared" si="8"/>
        <v xml:space="preserve"> baik  dalam meringkas teks penjelasan (eksplanasi) dari media cetak atau elektronik.</v>
      </c>
      <c r="AH43" s="252" t="str">
        <f t="shared" si="9"/>
        <v>SALMA baik  dalam meringkas teks penjelasan (eksplanasi) dari media cetak atau elektronik.</v>
      </c>
      <c r="AI43" s="153"/>
      <c r="AQ43" s="469">
        <f t="shared" si="10"/>
        <v>85</v>
      </c>
    </row>
    <row r="44" spans="2:43" ht="51.75" customHeight="1">
      <c r="B44" s="142">
        <v>40</v>
      </c>
      <c r="C44" s="143" t="str">
        <f>SISWA!B45</f>
        <v>1718250040344</v>
      </c>
      <c r="D44" s="144" t="str">
        <f>SISWA!E45</f>
        <v>SYAKILA</v>
      </c>
      <c r="E44" s="159">
        <v>91</v>
      </c>
      <c r="F44" s="159">
        <v>91</v>
      </c>
      <c r="G44" s="160">
        <v>91</v>
      </c>
      <c r="H44" s="160">
        <v>91</v>
      </c>
      <c r="I44" s="160">
        <v>91</v>
      </c>
      <c r="J44" s="159"/>
      <c r="K44" s="159"/>
      <c r="L44" s="159"/>
      <c r="M44" s="159"/>
      <c r="N44" s="159"/>
      <c r="O44" s="159"/>
      <c r="P44" s="159"/>
      <c r="Q44" s="159"/>
      <c r="R44" s="160"/>
      <c r="S44" s="160"/>
      <c r="T44" s="159"/>
      <c r="U44" s="354">
        <f t="shared" si="4"/>
        <v>91</v>
      </c>
      <c r="V44" s="355" t="str">
        <f>IF(U44&gt;KKM!$G$10,"A",IF(U44&gt;KKM!$H$10,"B",IF(U44&gt;=KKM!$I$10,"C","D")))</f>
        <v>A</v>
      </c>
      <c r="W44" s="356">
        <f t="shared" si="0"/>
        <v>91</v>
      </c>
      <c r="X44" s="361" t="str">
        <f>IF(W44&gt;KKM!$G$10," sangat baik ",IF(W44&gt;KKM!$H$10," baik ",IF(W44&gt;=KKM!$I$10," cukup baik "," perlu bimbingan ")))</f>
        <v xml:space="preserve"> sangat baik </v>
      </c>
      <c r="Y44" s="357">
        <f t="shared" si="1"/>
        <v>91</v>
      </c>
      <c r="Z44" s="361" t="str">
        <f>IF(Y44&gt;KKM!$G$10," sangat baik ",IF(Y44&gt;KKM!$H$10," baik ",IF(Y44&gt;=KKM!$I$10," cukup baik "," perlu bimbingan ")))</f>
        <v xml:space="preserve"> sangat baik </v>
      </c>
      <c r="AA44" s="353" t="str">
        <f t="shared" si="5"/>
        <v>SYAKILA sangat baik  dalam meringkas teks penjelasan (eksplanasi) dari media cetak atau elektronik.</v>
      </c>
      <c r="AB44" s="256"/>
      <c r="AC44" s="257" t="str">
        <f t="shared" si="2"/>
        <v xml:space="preserve"> sangat baik  dalam meringkas teks penjelasan (eksplanasi) dari media cetak atau elektronik.</v>
      </c>
      <c r="AD44" s="257" t="str">
        <f t="shared" si="3"/>
        <v xml:space="preserve"> sangat baik  dalam meringkas teks penjelasan (eksplanasi) dari media cetak atau elektronik.</v>
      </c>
      <c r="AE44" s="257" t="str">
        <f t="shared" si="6"/>
        <v xml:space="preserve"> sangat baik  dalam meringkas teks penjelasan (eksplanasi) dari media cetak atau elektronik., dan  sangat baik  dalam meringkas teks penjelasan (eksplanasi) dari media cetak atau elektronik.</v>
      </c>
      <c r="AF44" s="257" t="str">
        <f t="shared" si="7"/>
        <v xml:space="preserve"> sangat baik  dalam meringkas teks penjelasan (eksplanasi) dari media cetak atau elektronik.</v>
      </c>
      <c r="AG44" s="258" t="str">
        <f t="shared" si="8"/>
        <v xml:space="preserve"> sangat baik  dalam meringkas teks penjelasan (eksplanasi) dari media cetak atau elektronik.</v>
      </c>
      <c r="AH44" s="252" t="str">
        <f t="shared" si="9"/>
        <v>SYAKILA sangat baik  dalam meringkas teks penjelasan (eksplanasi) dari media cetak atau elektronik.</v>
      </c>
      <c r="AI44" s="153"/>
      <c r="AQ44" s="469">
        <f t="shared" si="10"/>
        <v>91</v>
      </c>
    </row>
    <row r="45" spans="2:43" ht="51.75" customHeight="1">
      <c r="B45" s="142">
        <v>41</v>
      </c>
      <c r="C45" s="143" t="str">
        <f>SISWA!B46</f>
        <v>1718250040345</v>
      </c>
      <c r="D45" s="144" t="str">
        <f>SISWA!E46</f>
        <v>SYIFA</v>
      </c>
      <c r="E45" s="159">
        <v>74.75</v>
      </c>
      <c r="F45" s="160">
        <v>74.75</v>
      </c>
      <c r="G45" s="160">
        <v>74.75</v>
      </c>
      <c r="H45" s="160">
        <v>74.75</v>
      </c>
      <c r="I45" s="160">
        <v>74.75</v>
      </c>
      <c r="J45" s="159"/>
      <c r="K45" s="159"/>
      <c r="L45" s="159"/>
      <c r="M45" s="159"/>
      <c r="N45" s="159"/>
      <c r="O45" s="159"/>
      <c r="P45" s="159"/>
      <c r="Q45" s="159"/>
      <c r="R45" s="160"/>
      <c r="S45" s="160"/>
      <c r="T45" s="159"/>
      <c r="U45" s="354">
        <f t="shared" si="4"/>
        <v>75</v>
      </c>
      <c r="V45" s="355" t="str">
        <f>IF(U45&gt;KKM!$G$10,"A",IF(U45&gt;KKM!$H$10,"B",IF(U45&gt;=KKM!$I$10,"C","D")))</f>
        <v>C</v>
      </c>
      <c r="W45" s="356">
        <f t="shared" si="0"/>
        <v>74.75</v>
      </c>
      <c r="X45" s="361" t="str">
        <f>IF(W45&gt;KKM!$G$10," sangat baik ",IF(W45&gt;KKM!$H$10," baik ",IF(W45&gt;=KKM!$I$10," cukup baik "," perlu bimbingan ")))</f>
        <v xml:space="preserve"> cukup baik </v>
      </c>
      <c r="Y45" s="357">
        <f t="shared" si="1"/>
        <v>74.75</v>
      </c>
      <c r="Z45" s="361" t="str">
        <f>IF(Y45&gt;KKM!$G$10," sangat baik ",IF(Y45&gt;KKM!$H$10," baik ",IF(Y45&gt;=KKM!$I$10," cukup baik "," perlu bimbingan ")))</f>
        <v xml:space="preserve"> cukup baik </v>
      </c>
      <c r="AA45" s="353" t="str">
        <f t="shared" si="5"/>
        <v>SYIFA cukup baik  dalam meringkas teks penjelasan (eksplanasi) dari media cetak atau elektronik.</v>
      </c>
      <c r="AB45" s="256"/>
      <c r="AC45" s="257" t="str">
        <f t="shared" si="2"/>
        <v xml:space="preserve"> cukup baik  dalam meringkas teks penjelasan (eksplanasi) dari media cetak atau elektronik.</v>
      </c>
      <c r="AD45" s="257" t="str">
        <f t="shared" si="3"/>
        <v xml:space="preserve"> cukup baik  dalam meringkas teks penjelasan (eksplanasi) dari media cetak atau elektronik.</v>
      </c>
      <c r="AE45" s="257" t="str">
        <f t="shared" si="6"/>
        <v xml:space="preserve"> cukup baik  dalam meringkas teks penjelasan (eksplanasi) dari media cetak atau elektronik., dan  cukup baik  dalam meringkas teks penjelasan (eksplanasi) dari media cetak atau elektronik.</v>
      </c>
      <c r="AF45" s="257" t="str">
        <f t="shared" si="7"/>
        <v xml:space="preserve"> cukup baik  dalam meringkas teks penjelasan (eksplanasi) dari media cetak atau elektronik.</v>
      </c>
      <c r="AG45" s="258" t="str">
        <f t="shared" si="8"/>
        <v xml:space="preserve"> cukup baik  dalam meringkas teks penjelasan (eksplanasi) dari media cetak atau elektronik.</v>
      </c>
      <c r="AH45" s="252" t="str">
        <f t="shared" si="9"/>
        <v>SYIFA cukup baik  dalam meringkas teks penjelasan (eksplanasi) dari media cetak atau elektronik.</v>
      </c>
      <c r="AI45" s="153"/>
      <c r="AQ45" s="469">
        <f t="shared" si="10"/>
        <v>75</v>
      </c>
    </row>
    <row r="46" spans="2:43" ht="51.75" customHeight="1">
      <c r="B46" s="142">
        <v>42</v>
      </c>
      <c r="C46" s="143" t="str">
        <f>SISWA!B47</f>
        <v>1718250040346</v>
      </c>
      <c r="D46" s="144" t="str">
        <f>SISWA!E47</f>
        <v>WAFDAN</v>
      </c>
      <c r="E46" s="159">
        <v>92.25</v>
      </c>
      <c r="F46" s="160">
        <v>92.25</v>
      </c>
      <c r="G46" s="160">
        <v>92.25</v>
      </c>
      <c r="H46" s="160">
        <v>92.25</v>
      </c>
      <c r="I46" s="160">
        <v>92.25</v>
      </c>
      <c r="J46" s="159"/>
      <c r="K46" s="159"/>
      <c r="L46" s="159"/>
      <c r="M46" s="159"/>
      <c r="N46" s="159"/>
      <c r="O46" s="159"/>
      <c r="P46" s="159"/>
      <c r="Q46" s="159"/>
      <c r="R46" s="160"/>
      <c r="S46" s="160"/>
      <c r="T46" s="159"/>
      <c r="U46" s="354">
        <f t="shared" si="4"/>
        <v>92</v>
      </c>
      <c r="V46" s="355" t="str">
        <f>IF(U46&gt;KKM!$G$10,"A",IF(U46&gt;KKM!$H$10,"B",IF(U46&gt;=KKM!$I$10,"C","D")))</f>
        <v>A</v>
      </c>
      <c r="W46" s="356">
        <f t="shared" si="0"/>
        <v>92.25</v>
      </c>
      <c r="X46" s="361" t="str">
        <f>IF(W46&gt;KKM!$G$10," sangat baik ",IF(W46&gt;KKM!$H$10," baik ",IF(W46&gt;=KKM!$I$10," cukup baik "," perlu bimbingan ")))</f>
        <v xml:space="preserve"> sangat baik </v>
      </c>
      <c r="Y46" s="357">
        <f t="shared" si="1"/>
        <v>92.25</v>
      </c>
      <c r="Z46" s="361" t="str">
        <f>IF(Y46&gt;KKM!$G$10," sangat baik ",IF(Y46&gt;KKM!$H$10," baik ",IF(Y46&gt;=KKM!$I$10," cukup baik "," perlu bimbingan ")))</f>
        <v xml:space="preserve"> sangat baik </v>
      </c>
      <c r="AA46" s="353" t="str">
        <f t="shared" si="5"/>
        <v>WAFDAN sangat baik  dalam meringkas teks penjelasan (eksplanasi) dari media cetak atau elektronik.</v>
      </c>
      <c r="AB46" s="256"/>
      <c r="AC46" s="257" t="str">
        <f t="shared" si="2"/>
        <v xml:space="preserve"> sangat baik  dalam meringkas teks penjelasan (eksplanasi) dari media cetak atau elektronik.</v>
      </c>
      <c r="AD46" s="257" t="str">
        <f t="shared" si="3"/>
        <v xml:space="preserve"> sangat baik  dalam meringkas teks penjelasan (eksplanasi) dari media cetak atau elektronik.</v>
      </c>
      <c r="AE46" s="257" t="str">
        <f t="shared" si="6"/>
        <v xml:space="preserve"> sangat baik  dalam meringkas teks penjelasan (eksplanasi) dari media cetak atau elektronik., dan  sangat baik  dalam meringkas teks penjelasan (eksplanasi) dari media cetak atau elektronik.</v>
      </c>
      <c r="AF46" s="257" t="str">
        <f t="shared" si="7"/>
        <v xml:space="preserve"> sangat baik  dalam meringkas teks penjelasan (eksplanasi) dari media cetak atau elektronik.</v>
      </c>
      <c r="AG46" s="258" t="str">
        <f t="shared" si="8"/>
        <v xml:space="preserve"> sangat baik  dalam meringkas teks penjelasan (eksplanasi) dari media cetak atau elektronik.</v>
      </c>
      <c r="AH46" s="252" t="str">
        <f t="shared" si="9"/>
        <v>WAFDAN sangat baik  dalam meringkas teks penjelasan (eksplanasi) dari media cetak atau elektronik.</v>
      </c>
      <c r="AI46" s="153"/>
      <c r="AQ46" s="469">
        <f t="shared" si="10"/>
        <v>92</v>
      </c>
    </row>
    <row r="47" spans="2:43" ht="51.75" customHeight="1">
      <c r="B47" s="142">
        <v>43</v>
      </c>
      <c r="C47" s="143" t="str">
        <f>SISWA!B48</f>
        <v>1718250040347</v>
      </c>
      <c r="D47" s="144" t="str">
        <f>SISWA!E48</f>
        <v>ZEVA</v>
      </c>
      <c r="E47" s="159">
        <v>80.5</v>
      </c>
      <c r="F47" s="160">
        <v>80.5</v>
      </c>
      <c r="G47" s="160">
        <v>80.5</v>
      </c>
      <c r="H47" s="160">
        <v>80.5</v>
      </c>
      <c r="I47" s="160">
        <v>80.5</v>
      </c>
      <c r="J47" s="159"/>
      <c r="K47" s="159"/>
      <c r="L47" s="159"/>
      <c r="M47" s="159"/>
      <c r="N47" s="159"/>
      <c r="O47" s="159"/>
      <c r="P47" s="159"/>
      <c r="Q47" s="159"/>
      <c r="R47" s="160"/>
      <c r="S47" s="160"/>
      <c r="T47" s="159"/>
      <c r="U47" s="354">
        <f t="shared" si="4"/>
        <v>81</v>
      </c>
      <c r="V47" s="355" t="str">
        <f>IF(U47&gt;KKM!$G$10,"A",IF(U47&gt;KKM!$H$10,"B",IF(U47&gt;=KKM!$I$10,"C","D")))</f>
        <v>B</v>
      </c>
      <c r="W47" s="356">
        <f t="shared" si="0"/>
        <v>80.5</v>
      </c>
      <c r="X47" s="361" t="str">
        <f>IF(W47&gt;KKM!$G$10," sangat baik ",IF(W47&gt;KKM!$H$10," baik ",IF(W47&gt;=KKM!$I$10," cukup baik "," perlu bimbingan ")))</f>
        <v xml:space="preserve"> baik </v>
      </c>
      <c r="Y47" s="357">
        <f t="shared" si="1"/>
        <v>80.5</v>
      </c>
      <c r="Z47" s="361" t="str">
        <f>IF(Y47&gt;KKM!$G$10," sangat baik ",IF(Y47&gt;KKM!$H$10," baik ",IF(Y47&gt;=KKM!$I$10," cukup baik "," perlu bimbingan ")))</f>
        <v xml:space="preserve"> baik </v>
      </c>
      <c r="AA47" s="353" t="str">
        <f t="shared" si="5"/>
        <v>ZEVA baik  dalam meringkas teks penjelasan (eksplanasi) dari media cetak atau elektronik.</v>
      </c>
      <c r="AB47" s="256"/>
      <c r="AC47" s="257" t="str">
        <f t="shared" si="2"/>
        <v xml:space="preserve"> baik  dalam meringkas teks penjelasan (eksplanasi) dari media cetak atau elektronik.</v>
      </c>
      <c r="AD47" s="257" t="str">
        <f t="shared" si="3"/>
        <v xml:space="preserve"> baik  dalam meringkas teks penjelasan (eksplanasi) dari media cetak atau elektronik.</v>
      </c>
      <c r="AE47" s="257" t="str">
        <f t="shared" si="6"/>
        <v xml:space="preserve"> baik  dalam meringkas teks penjelasan (eksplanasi) dari media cetak atau elektronik., dan  baik  dalam meringkas teks penjelasan (eksplanasi) dari media cetak atau elektronik.</v>
      </c>
      <c r="AF47" s="257" t="str">
        <f t="shared" si="7"/>
        <v xml:space="preserve"> baik  dalam meringkas teks penjelasan (eksplanasi) dari media cetak atau elektronik.</v>
      </c>
      <c r="AG47" s="258" t="str">
        <f t="shared" si="8"/>
        <v xml:space="preserve"> baik  dalam meringkas teks penjelasan (eksplanasi) dari media cetak atau elektronik.</v>
      </c>
      <c r="AH47" s="252" t="str">
        <f t="shared" si="9"/>
        <v>ZEVA baik  dalam meringkas teks penjelasan (eksplanasi) dari media cetak atau elektronik.</v>
      </c>
      <c r="AI47" s="153"/>
      <c r="AQ47" s="469">
        <f t="shared" si="10"/>
        <v>81</v>
      </c>
    </row>
    <row r="48" spans="2:43" ht="51.75" customHeight="1">
      <c r="B48" s="142">
        <v>44</v>
      </c>
      <c r="C48" s="143">
        <f>SISWA!B49</f>
        <v>0</v>
      </c>
      <c r="D48" s="144">
        <f>SISWA!E49</f>
        <v>0</v>
      </c>
      <c r="E48" s="159"/>
      <c r="F48" s="160"/>
      <c r="G48" s="160"/>
      <c r="H48" s="160"/>
      <c r="I48" s="160"/>
      <c r="J48" s="159"/>
      <c r="K48" s="159"/>
      <c r="L48" s="159"/>
      <c r="M48" s="159"/>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53"/>
      <c r="AQ48" s="469" t="str">
        <f t="shared" si="10"/>
        <v/>
      </c>
    </row>
    <row r="49" spans="2:43" ht="51.75" customHeight="1">
      <c r="B49" s="142">
        <v>45</v>
      </c>
      <c r="C49" s="143">
        <f>SISWA!B50</f>
        <v>0</v>
      </c>
      <c r="D49" s="144">
        <f>SISWA!E50</f>
        <v>0</v>
      </c>
      <c r="E49" s="159"/>
      <c r="F49" s="160"/>
      <c r="G49" s="160"/>
      <c r="H49" s="160"/>
      <c r="I49" s="160"/>
      <c r="J49" s="159"/>
      <c r="K49" s="159"/>
      <c r="L49" s="159"/>
      <c r="M49" s="159"/>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53"/>
      <c r="AQ49" s="469" t="str">
        <f t="shared" si="10"/>
        <v/>
      </c>
    </row>
    <row r="50" spans="2:43" ht="51.75" customHeight="1">
      <c r="B50" s="142">
        <v>46</v>
      </c>
      <c r="C50" s="143">
        <f>SISWA!B51</f>
        <v>0</v>
      </c>
      <c r="D50" s="144">
        <f>SISWA!E51</f>
        <v>0</v>
      </c>
      <c r="E50" s="159"/>
      <c r="F50" s="160"/>
      <c r="G50" s="160"/>
      <c r="H50" s="160"/>
      <c r="I50" s="160"/>
      <c r="J50" s="159"/>
      <c r="K50" s="159"/>
      <c r="L50" s="159"/>
      <c r="M50" s="159"/>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53"/>
      <c r="AQ50" s="469" t="str">
        <f t="shared" si="10"/>
        <v/>
      </c>
    </row>
    <row r="51" spans="2:43" ht="51.75" customHeight="1">
      <c r="B51" s="142">
        <v>47</v>
      </c>
      <c r="C51" s="143">
        <f>SISWA!B52</f>
        <v>0</v>
      </c>
      <c r="D51" s="144">
        <f>SISWA!E52</f>
        <v>0</v>
      </c>
      <c r="E51" s="159"/>
      <c r="F51" s="160"/>
      <c r="G51" s="160"/>
      <c r="H51" s="160"/>
      <c r="I51" s="160"/>
      <c r="J51" s="159"/>
      <c r="K51" s="159"/>
      <c r="L51" s="159"/>
      <c r="M51" s="159"/>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53"/>
      <c r="AQ51" s="469" t="str">
        <f t="shared" si="10"/>
        <v/>
      </c>
    </row>
    <row r="52" spans="2:43" ht="51.75" customHeight="1">
      <c r="B52" s="142">
        <v>48</v>
      </c>
      <c r="C52" s="143">
        <f>SISWA!B53</f>
        <v>0</v>
      </c>
      <c r="D52" s="144">
        <f>SISWA!E53</f>
        <v>0</v>
      </c>
      <c r="E52" s="159"/>
      <c r="F52" s="160"/>
      <c r="G52" s="160"/>
      <c r="H52" s="160"/>
      <c r="I52" s="160"/>
      <c r="J52" s="159"/>
      <c r="K52" s="159"/>
      <c r="L52" s="159"/>
      <c r="M52" s="159"/>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53"/>
      <c r="AQ52" s="469" t="str">
        <f t="shared" si="10"/>
        <v/>
      </c>
    </row>
    <row r="53" spans="2:43" ht="51.75" customHeight="1">
      <c r="B53" s="142">
        <v>49</v>
      </c>
      <c r="C53" s="143">
        <f>SISWA!B54</f>
        <v>0</v>
      </c>
      <c r="D53" s="144">
        <f>SISWA!E54</f>
        <v>0</v>
      </c>
      <c r="E53" s="159"/>
      <c r="F53" s="160"/>
      <c r="G53" s="160"/>
      <c r="H53" s="160"/>
      <c r="I53" s="160"/>
      <c r="J53" s="159"/>
      <c r="K53" s="159"/>
      <c r="L53" s="159"/>
      <c r="M53" s="159"/>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53"/>
      <c r="AQ53" s="469" t="str">
        <f t="shared" si="10"/>
        <v/>
      </c>
    </row>
    <row r="54" spans="2:43" ht="51.75" customHeight="1">
      <c r="B54" s="142">
        <v>50</v>
      </c>
      <c r="C54" s="143">
        <f>SISWA!B55</f>
        <v>0</v>
      </c>
      <c r="D54" s="144">
        <f>SISWA!E55</f>
        <v>0</v>
      </c>
      <c r="E54" s="159"/>
      <c r="F54" s="160"/>
      <c r="G54" s="160"/>
      <c r="H54" s="160"/>
      <c r="I54" s="160"/>
      <c r="J54" s="159"/>
      <c r="K54" s="159"/>
      <c r="L54" s="159"/>
      <c r="M54" s="159"/>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53"/>
      <c r="AQ54" s="469" t="str">
        <f t="shared" si="10"/>
        <v/>
      </c>
    </row>
    <row r="55" spans="2:43" ht="15.75">
      <c r="B55" s="154"/>
      <c r="C55" s="154"/>
      <c r="D55" s="154"/>
      <c r="E55" s="159"/>
      <c r="F55" s="160"/>
      <c r="G55" s="160"/>
      <c r="H55" s="160"/>
      <c r="I55" s="160"/>
      <c r="J55" s="159"/>
      <c r="K55" s="159"/>
      <c r="L55" s="159"/>
      <c r="M55" s="159"/>
      <c r="N55" s="159"/>
      <c r="O55" s="159"/>
      <c r="P55" s="159"/>
      <c r="Q55" s="159"/>
      <c r="R55" s="160"/>
      <c r="S55" s="160"/>
      <c r="T55" s="159"/>
      <c r="U55" s="147"/>
      <c r="V55" s="148"/>
      <c r="W55" s="149"/>
      <c r="X55" s="149"/>
      <c r="Y55" s="149"/>
      <c r="Z55" s="149"/>
      <c r="AA55" s="150"/>
      <c r="AB55" s="151"/>
      <c r="AC55" s="152"/>
      <c r="AD55" s="155"/>
      <c r="AE55" s="155"/>
      <c r="AF55" s="155"/>
      <c r="AG55" s="155"/>
      <c r="AH55" s="155"/>
      <c r="AI55" s="153"/>
    </row>
  </sheetData>
  <sheetProtection password="C70C" sheet="1" objects="1" scenarios="1"/>
  <mergeCells count="11">
    <mergeCell ref="AA2:AA4"/>
    <mergeCell ref="W3:X3"/>
    <mergeCell ref="Y3:Z3"/>
    <mergeCell ref="B1:Z1"/>
    <mergeCell ref="B2:B4"/>
    <mergeCell ref="C2:C4"/>
    <mergeCell ref="D2:D4"/>
    <mergeCell ref="E2:T2"/>
    <mergeCell ref="U2:U4"/>
    <mergeCell ref="V2:V4"/>
    <mergeCell ref="W2:Z2"/>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N55"/>
  <sheetViews>
    <sheetView zoomScale="85" zoomScaleNormal="85" workbookViewId="0">
      <pane xSplit="4" ySplit="4" topLeftCell="E10" activePane="bottomRight" state="frozen"/>
      <selection pane="topRight" activeCell="E1" sqref="E1"/>
      <selection pane="bottomLeft" activeCell="A5" sqref="A5"/>
      <selection pane="bottomRight"/>
    </sheetView>
  </sheetViews>
  <sheetFormatPr defaultColWidth="0" defaultRowHeight="15"/>
  <cols>
    <col min="1" max="1" width="23.42578125" style="507" customWidth="1"/>
    <col min="2" max="2" width="4.42578125" style="137" customWidth="1"/>
    <col min="3" max="3" width="6.42578125" style="137" customWidth="1"/>
    <col min="4" max="4" width="28.7109375" style="137" customWidth="1"/>
    <col min="5" max="13" width="6.7109375" style="137" customWidth="1"/>
    <col min="14" max="19" width="6.7109375" style="137" hidden="1" customWidth="1"/>
    <col min="20" max="20" width="6.7109375" style="137" customWidth="1"/>
    <col min="21" max="22" width="4.7109375" style="137" customWidth="1"/>
    <col min="23" max="23" width="5.140625" style="137" customWidth="1"/>
    <col min="24" max="24" width="10.28515625" style="137" customWidth="1"/>
    <col min="25" max="25" width="5.140625" style="137" customWidth="1"/>
    <col min="26" max="26" width="10.28515625" style="137" customWidth="1"/>
    <col min="27" max="27" width="84.42578125" style="137" customWidth="1"/>
    <col min="28" max="28" width="29.85546875" style="137" customWidth="1"/>
    <col min="29" max="34" width="10.7109375" style="137" hidden="1" customWidth="1"/>
    <col min="35" max="42" width="9.140625" style="137" hidden="1" customWidth="1"/>
    <col min="43" max="43" width="9.140625" style="137" customWidth="1"/>
    <col min="44" max="45" width="9.140625" style="137" hidden="1" customWidth="1"/>
    <col min="46" max="46" width="9.140625" style="137" customWidth="1"/>
    <col min="47" max="54" width="5" style="137" hidden="1" customWidth="1"/>
    <col min="55" max="56" width="0" style="137" hidden="1" customWidth="1"/>
    <col min="57" max="70" width="10.7109375" style="137" hidden="1" customWidth="1"/>
    <col min="71" max="92" width="0" style="137" hidden="1" customWidth="1"/>
    <col min="93" max="16384" width="9.140625" style="137" hidden="1"/>
  </cols>
  <sheetData>
    <row r="1" spans="1:45" s="510" customFormat="1" ht="45.75" customHeight="1">
      <c r="B1" s="685" t="s">
        <v>56</v>
      </c>
      <c r="C1" s="685"/>
      <c r="D1" s="685"/>
      <c r="E1" s="685"/>
      <c r="F1" s="685"/>
      <c r="G1" s="685"/>
      <c r="H1" s="685"/>
      <c r="I1" s="685"/>
      <c r="J1" s="685"/>
      <c r="K1" s="685"/>
      <c r="L1" s="685"/>
      <c r="M1" s="685"/>
      <c r="N1" s="685"/>
      <c r="O1" s="685"/>
      <c r="P1" s="685"/>
      <c r="Q1" s="685"/>
      <c r="R1" s="685"/>
      <c r="S1" s="685"/>
      <c r="T1" s="685"/>
      <c r="U1" s="685"/>
      <c r="V1" s="685"/>
      <c r="W1" s="685"/>
      <c r="X1" s="685"/>
      <c r="Y1" s="685"/>
      <c r="Z1" s="685"/>
    </row>
    <row r="2" spans="1:45"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S2" s="502">
        <f>DEPAN!$E$23</f>
        <v>43</v>
      </c>
    </row>
    <row r="3" spans="1:45" ht="94.5" customHeight="1">
      <c r="B3" s="716"/>
      <c r="C3" s="717"/>
      <c r="D3" s="718"/>
      <c r="E3" s="408" t="str">
        <f>'KI-KD'!$C55</f>
        <v xml:space="preserve">menjelaskan, dan menentukan volume bangun ruang dengan menggunakan satuan volume (seperti kubus satuan) serta hubungan pangkat tiga dengan akar pangkat tiga
</v>
      </c>
      <c r="F3" s="408" t="str">
        <f>'KI-KD'!$C56</f>
        <v>menjelaskan dan menemukan jaring-jaring bangun ruang sederhana (kubus dan balok)</v>
      </c>
      <c r="G3" s="408" t="str">
        <f>'KI-KD'!$C57</f>
        <v xml:space="preserve">menjelaskan data yang berkaitan dengan diri peserta didik atau lingkungan sekitar serta cara pengumpulannya
</v>
      </c>
      <c r="H3" s="408" t="str">
        <f>'KI-KD'!$C58</f>
        <v xml:space="preserve">menjelaskan penyajian data yang berkaitan dengan diri peserta didik dan membandingkan dengan data dari lingkungan sekitar dalam bentuk daftar, tabel, diagram gambar (piktogram), diagram batang, atau diagram garis
</v>
      </c>
      <c r="I3" s="408">
        <f>'KI-KD'!$C59</f>
        <v>0</v>
      </c>
      <c r="J3" s="408">
        <f>'KI-KD'!$C60</f>
        <v>0</v>
      </c>
      <c r="K3" s="408">
        <f>'KI-KD'!$C61</f>
        <v>0</v>
      </c>
      <c r="L3" s="408">
        <f>'KI-KD'!$C62</f>
        <v>0</v>
      </c>
      <c r="M3" s="408">
        <f>'KI-KD'!$C63</f>
        <v>0</v>
      </c>
      <c r="N3" s="408">
        <f>'KI-KD'!$C64</f>
        <v>0</v>
      </c>
      <c r="O3" s="408">
        <f>'KI-KD'!$C65</f>
        <v>0</v>
      </c>
      <c r="P3" s="408">
        <f>'KI-KD'!$C66</f>
        <v>0</v>
      </c>
      <c r="Q3" s="138"/>
      <c r="R3" s="138"/>
      <c r="S3" s="138"/>
      <c r="T3" s="138"/>
      <c r="U3" s="720"/>
      <c r="V3" s="721"/>
      <c r="W3" s="712" t="s">
        <v>267</v>
      </c>
      <c r="X3" s="713"/>
      <c r="Y3" s="714" t="s">
        <v>268</v>
      </c>
      <c r="Z3" s="715"/>
      <c r="AA3" s="679"/>
      <c r="AB3" s="2"/>
      <c r="AC3" s="2"/>
      <c r="AD3" s="2"/>
      <c r="AE3" s="2"/>
      <c r="AF3" s="2"/>
      <c r="AG3" s="2"/>
      <c r="AH3" s="253"/>
      <c r="AS3" s="469">
        <f>AS4-AS5</f>
        <v>43</v>
      </c>
    </row>
    <row r="4" spans="1:45" s="141" customFormat="1" ht="25.5" customHeight="1">
      <c r="A4" s="509"/>
      <c r="B4" s="716"/>
      <c r="C4" s="717"/>
      <c r="D4" s="718"/>
      <c r="E4" s="140" t="str">
        <f>'KI-KD'!$B55</f>
        <v>3.5</v>
      </c>
      <c r="F4" s="140" t="str">
        <f>'KI-KD'!$B56</f>
        <v>3.6</v>
      </c>
      <c r="G4" s="140" t="str">
        <f>'KI-KD'!$B57</f>
        <v>3.7</v>
      </c>
      <c r="H4" s="140" t="str">
        <f>'KI-KD'!$B58</f>
        <v>3.8</v>
      </c>
      <c r="I4" s="140">
        <f>'KI-KD'!$B59</f>
        <v>0</v>
      </c>
      <c r="J4" s="140">
        <f>'KI-KD'!$B60</f>
        <v>0</v>
      </c>
      <c r="K4" s="140">
        <f>'KI-KD'!$B61</f>
        <v>0</v>
      </c>
      <c r="L4" s="140">
        <f>'KI-KD'!$B62</f>
        <v>0</v>
      </c>
      <c r="M4" s="140">
        <f>'KI-KD'!$B63</f>
        <v>0</v>
      </c>
      <c r="N4" s="140">
        <f>'KI-KD'!$B64</f>
        <v>0</v>
      </c>
      <c r="O4" s="140">
        <f>'KI-KD'!$B65</f>
        <v>0</v>
      </c>
      <c r="P4" s="140">
        <f>'KI-KD'!$B66</f>
        <v>0</v>
      </c>
      <c r="Q4" s="140"/>
      <c r="R4" s="140"/>
      <c r="S4" s="140"/>
      <c r="T4" s="140"/>
      <c r="U4" s="720"/>
      <c r="V4" s="721"/>
      <c r="W4" s="248" t="s">
        <v>269</v>
      </c>
      <c r="X4" s="249" t="s">
        <v>3</v>
      </c>
      <c r="Y4" s="250" t="s">
        <v>269</v>
      </c>
      <c r="Z4" s="251" t="s">
        <v>3</v>
      </c>
      <c r="AA4" s="680"/>
      <c r="AB4" s="2"/>
      <c r="AC4" s="254" t="s">
        <v>270</v>
      </c>
      <c r="AD4" s="254" t="s">
        <v>271</v>
      </c>
      <c r="AE4" s="254" t="s">
        <v>272</v>
      </c>
      <c r="AF4" s="254" t="s">
        <v>273</v>
      </c>
      <c r="AG4" s="255" t="s">
        <v>266</v>
      </c>
      <c r="AH4" s="252"/>
      <c r="AS4" s="141">
        <v>50</v>
      </c>
    </row>
    <row r="5" spans="1:45" ht="33.75" customHeight="1">
      <c r="B5" s="142">
        <v>1</v>
      </c>
      <c r="C5" s="143" t="str">
        <f>SISWA!B6</f>
        <v>1718250040305</v>
      </c>
      <c r="D5" s="144" t="str">
        <f>SISWA!E6</f>
        <v>YAHYA</v>
      </c>
      <c r="E5" s="159">
        <v>85</v>
      </c>
      <c r="F5" s="160">
        <v>85</v>
      </c>
      <c r="G5" s="159">
        <v>85</v>
      </c>
      <c r="H5" s="160">
        <v>85</v>
      </c>
      <c r="I5" s="160"/>
      <c r="J5" s="160"/>
      <c r="K5" s="160"/>
      <c r="L5" s="159"/>
      <c r="M5" s="159"/>
      <c r="N5" s="159"/>
      <c r="O5" s="159"/>
      <c r="P5" s="159"/>
      <c r="Q5" s="160"/>
      <c r="R5" s="160"/>
      <c r="S5" s="160"/>
      <c r="T5" s="159"/>
      <c r="U5" s="354">
        <f>ROUND((AVERAGE(E5:T5)),0)</f>
        <v>85</v>
      </c>
      <c r="V5" s="355" t="str">
        <f>IF(U5&gt;KKM!$G$10,"A",IF(U5&gt;KKM!$H$10,"B",IF(U5&gt;=KKM!$I$10,"C","D")))</f>
        <v>B</v>
      </c>
      <c r="W5" s="356">
        <f t="shared" ref="W5:W54" si="0">MAX(E5:T5)</f>
        <v>85</v>
      </c>
      <c r="X5" s="361" t="str">
        <f>IF(W5&gt;KKM!$G$10," sangat baik ",IF(W5&gt;KKM!$H$10," baik ",IF(W5&gt;=KKM!$I$10," cukup baik "," perlu bimbingan ")))</f>
        <v xml:space="preserve"> baik </v>
      </c>
      <c r="Y5" s="357">
        <f t="shared" ref="Y5:Y54" si="1">MIN(E5:T5)</f>
        <v>85</v>
      </c>
      <c r="Z5" s="361" t="str">
        <f>IF(Y5&gt;KKM!$G$10," sangat baik ",IF(Y5&gt;KKM!$H$10," baik ",IF(Y5&gt;=KKM!$I$10," cukup baik "," perlu bimbingan ")))</f>
        <v xml:space="preserve"> baik </v>
      </c>
      <c r="AA5" s="353" t="str">
        <f>IFERROR(AH5," ")</f>
        <v xml:space="preserve">YAHYA baik  dalam menjelaskan, dan menentukan volume bangun ruang dengan menggunakan satuan volume (seperti kubus satuan) serta hubungan pangkat tiga dengan akar pangkat tiga
</v>
      </c>
      <c r="AB5" s="256"/>
      <c r="AC5" s="257" t="str">
        <f t="shared" ref="AC5:AC54" si="2">X5&amp;" dalam "&amp;INDEX($E$3:$T$3,MATCH(W5,$E5:$T5,0))</f>
        <v xml:space="preserve"> baik  dalam menjelaskan, dan menentukan volume bangun ruang dengan menggunakan satuan volume (seperti kubus satuan) serta hubungan pangkat tiga dengan akar pangkat tiga
</v>
      </c>
      <c r="AD5" s="257" t="str">
        <f t="shared" ref="AD5:AD54" si="3">Z5&amp;" dalam "&amp;INDEX($E$3:$T$3,MATCH(Y5,$E5:$T5,0))</f>
        <v xml:space="preserve"> baik  dalam menjelaskan, dan menentukan volume bangun ruang dengan menggunakan satuan volume (seperti kubus satuan) serta hubungan pangkat tiga dengan akar pangkat tiga
</v>
      </c>
      <c r="AE5" s="257" t="str">
        <f>AC5&amp;", dan "&amp;AD5</f>
        <v xml:space="preserve"> baik  dalam menjelaskan, dan menentukan volume bangun ruang dengan menggunakan satuan volume (seperti kubus satuan) serta hubungan pangkat tiga dengan akar pangkat tiga
, dan  baik  dalam menjelaskan, dan menentukan volume bangun ruang dengan menggunakan satuan volume (seperti kubus satuan) serta hubungan pangkat tiga dengan akar pangkat tiga
</v>
      </c>
      <c r="AF5" s="257" t="str">
        <f>IF(AC5=AD5,AC5," ")</f>
        <v xml:space="preserve"> baik  dalam menjelaskan, dan menentukan volume bangun ruang dengan menggunakan satuan volume (seperti kubus satuan) serta hubungan pangkat tiga dengan akar pangkat tiga
</v>
      </c>
      <c r="AG5" s="258" t="str">
        <f>IF(AF5=" ",AE5,AF5)</f>
        <v xml:space="preserve"> baik  dalam menjelaskan, dan menentukan volume bangun ruang dengan menggunakan satuan volume (seperti kubus satuan) serta hubungan pangkat tiga dengan akar pangkat tiga
</v>
      </c>
      <c r="AH5" s="252" t="str">
        <f>CONCATENATE(D5,AG5)</f>
        <v xml:space="preserve">YAHYA baik  dalam menjelaskan, dan menentukan volume bangun ruang dengan menggunakan satuan volume (seperti kubus satuan) serta hubungan pangkat tiga dengan akar pangkat tiga
</v>
      </c>
      <c r="AI5" s="153"/>
      <c r="AR5" s="469">
        <f>IFERROR(U5,"")</f>
        <v>85</v>
      </c>
      <c r="AS5" s="469">
        <f>COUNTBLANK(AR5:AR54)</f>
        <v>7</v>
      </c>
    </row>
    <row r="6" spans="1:45" ht="33.75" customHeight="1">
      <c r="B6" s="142">
        <v>2</v>
      </c>
      <c r="C6" s="143" t="str">
        <f>SISWA!B7</f>
        <v>1718250040306</v>
      </c>
      <c r="D6" s="144" t="str">
        <f>SISWA!E7</f>
        <v>ADHWA</v>
      </c>
      <c r="E6" s="159">
        <v>85</v>
      </c>
      <c r="F6" s="160">
        <v>85</v>
      </c>
      <c r="G6" s="159">
        <v>85</v>
      </c>
      <c r="H6" s="160">
        <v>85</v>
      </c>
      <c r="I6" s="160"/>
      <c r="J6" s="160" t="s">
        <v>766</v>
      </c>
      <c r="K6" s="160"/>
      <c r="L6" s="159"/>
      <c r="M6" s="159"/>
      <c r="N6" s="159"/>
      <c r="O6" s="159"/>
      <c r="P6" s="159"/>
      <c r="Q6" s="160"/>
      <c r="R6" s="160"/>
      <c r="S6" s="160"/>
      <c r="T6" s="159"/>
      <c r="U6" s="354">
        <f t="shared" ref="U6:U54" si="4">ROUND((AVERAGE(E6:T6)),0)</f>
        <v>85</v>
      </c>
      <c r="V6" s="355" t="str">
        <f>IF(U6&gt;KKM!$G$10,"A",IF(U6&gt;KKM!$H$10,"B",IF(U6&gt;=KKM!$I$10,"C","D")))</f>
        <v>B</v>
      </c>
      <c r="W6" s="356">
        <f t="shared" si="0"/>
        <v>85</v>
      </c>
      <c r="X6" s="361" t="str">
        <f>IF(W6&gt;KKM!$G$10," sangat baik ",IF(W6&gt;KKM!$H$10," baik ",IF(W6&gt;=KKM!$I$10," cukup baik "," perlu bimbingan ")))</f>
        <v xml:space="preserve"> baik </v>
      </c>
      <c r="Y6" s="357">
        <f t="shared" si="1"/>
        <v>85</v>
      </c>
      <c r="Z6" s="361" t="str">
        <f>IF(Y6&gt;KKM!$G$10," sangat baik ",IF(Y6&gt;KKM!$H$10," baik ",IF(Y6&gt;=KKM!$I$10," cukup baik "," perlu bimbingan ")))</f>
        <v xml:space="preserve"> baik </v>
      </c>
      <c r="AA6" s="353" t="str">
        <f t="shared" ref="AA6:AA54" si="5">IFERROR(AH6," ")</f>
        <v xml:space="preserve">ADHWA baik  dalam menjelaskan, dan menentukan volume bangun ruang dengan menggunakan satuan volume (seperti kubus satuan) serta hubungan pangkat tiga dengan akar pangkat tiga
</v>
      </c>
      <c r="AB6" s="256"/>
      <c r="AC6" s="257" t="str">
        <f t="shared" si="2"/>
        <v xml:space="preserve"> baik  dalam menjelaskan, dan menentukan volume bangun ruang dengan menggunakan satuan volume (seperti kubus satuan) serta hubungan pangkat tiga dengan akar pangkat tiga
</v>
      </c>
      <c r="AD6" s="257" t="str">
        <f t="shared" si="3"/>
        <v xml:space="preserve"> baik  dalam menjelaskan, dan menentukan volume bangun ruang dengan menggunakan satuan volume (seperti kubus satuan) serta hubungan pangkat tiga dengan akar pangkat tiga
</v>
      </c>
      <c r="AE6" s="257" t="str">
        <f t="shared" ref="AE6:AE54" si="6">AC6&amp;", dan "&amp;AD6</f>
        <v xml:space="preserve"> baik  dalam menjelaskan, dan menentukan volume bangun ruang dengan menggunakan satuan volume (seperti kubus satuan) serta hubungan pangkat tiga dengan akar pangkat tiga
, dan  baik  dalam menjelaskan, dan menentukan volume bangun ruang dengan menggunakan satuan volume (seperti kubus satuan) serta hubungan pangkat tiga dengan akar pangkat tiga
</v>
      </c>
      <c r="AF6" s="257" t="str">
        <f t="shared" ref="AF6:AF54" si="7">IF(AC6=AD6,AC6," ")</f>
        <v xml:space="preserve"> baik  dalam menjelaskan, dan menentukan volume bangun ruang dengan menggunakan satuan volume (seperti kubus satuan) serta hubungan pangkat tiga dengan akar pangkat tiga
</v>
      </c>
      <c r="AG6" s="258" t="str">
        <f t="shared" ref="AG6:AG54" si="8">IF(AF6=" ",AE6,AF6)</f>
        <v xml:space="preserve"> baik  dalam menjelaskan, dan menentukan volume bangun ruang dengan menggunakan satuan volume (seperti kubus satuan) serta hubungan pangkat tiga dengan akar pangkat tiga
</v>
      </c>
      <c r="AH6" s="252" t="str">
        <f t="shared" ref="AH6:AH54" si="9">CONCATENATE(D6,AG6)</f>
        <v xml:space="preserve">ADHWA baik  dalam menjelaskan, dan menentukan volume bangun ruang dengan menggunakan satuan volume (seperti kubus satuan) serta hubungan pangkat tiga dengan akar pangkat tiga
</v>
      </c>
      <c r="AI6" s="153"/>
      <c r="AR6" s="469">
        <f t="shared" ref="AR6:AR54" si="10">IFERROR(U6,"")</f>
        <v>85</v>
      </c>
      <c r="AS6" s="503">
        <f>IFERROR(AS3/AS2,"0%")</f>
        <v>1</v>
      </c>
    </row>
    <row r="7" spans="1:45" ht="33.75" customHeight="1">
      <c r="B7" s="142">
        <v>3</v>
      </c>
      <c r="C7" s="143" t="str">
        <f>SISWA!B8</f>
        <v xml:space="preserve"> 1718250040307</v>
      </c>
      <c r="D7" s="144" t="str">
        <f>SISWA!E8</f>
        <v>ANDHIKA</v>
      </c>
      <c r="E7" s="159">
        <v>75</v>
      </c>
      <c r="F7" s="160">
        <v>75</v>
      </c>
      <c r="G7" s="159">
        <v>75</v>
      </c>
      <c r="H7" s="160">
        <v>75</v>
      </c>
      <c r="I7" s="160"/>
      <c r="J7" s="159"/>
      <c r="K7" s="159"/>
      <c r="L7" s="159"/>
      <c r="M7" s="159"/>
      <c r="N7" s="159"/>
      <c r="O7" s="159"/>
      <c r="P7" s="159"/>
      <c r="Q7" s="159"/>
      <c r="R7" s="160"/>
      <c r="S7" s="160"/>
      <c r="T7" s="159"/>
      <c r="U7" s="354">
        <f t="shared" si="4"/>
        <v>75</v>
      </c>
      <c r="V7" s="355" t="str">
        <f>IF(U7&gt;KKM!$G$10,"A",IF(U7&gt;KKM!$H$10,"B",IF(U7&gt;=KKM!$I$10,"C","D")))</f>
        <v>C</v>
      </c>
      <c r="W7" s="356">
        <f t="shared" si="0"/>
        <v>75</v>
      </c>
      <c r="X7" s="361" t="str">
        <f>IF(W7&gt;KKM!$G$10," sangat baik ",IF(W7&gt;KKM!$H$10," baik ",IF(W7&gt;=KKM!$I$10," cukup baik "," perlu bimbingan ")))</f>
        <v xml:space="preserve"> cukup baik </v>
      </c>
      <c r="Y7" s="357">
        <f t="shared" si="1"/>
        <v>75</v>
      </c>
      <c r="Z7" s="361" t="str">
        <f>IF(Y7&gt;KKM!$G$10," sangat baik ",IF(Y7&gt;KKM!$H$10," baik ",IF(Y7&gt;=KKM!$I$10," cukup baik "," perlu bimbingan ")))</f>
        <v xml:space="preserve"> cukup baik </v>
      </c>
      <c r="AA7" s="353" t="str">
        <f t="shared" si="5"/>
        <v xml:space="preserve">ANDHIKA cukup baik  dalam menjelaskan, dan menentukan volume bangun ruang dengan menggunakan satuan volume (seperti kubus satuan) serta hubungan pangkat tiga dengan akar pangkat tiga
</v>
      </c>
      <c r="AB7" s="256"/>
      <c r="AC7" s="257" t="str">
        <f t="shared" si="2"/>
        <v xml:space="preserve"> cukup baik  dalam menjelaskan, dan menentukan volume bangun ruang dengan menggunakan satuan volume (seperti kubus satuan) serta hubungan pangkat tiga dengan akar pangkat tiga
</v>
      </c>
      <c r="AD7" s="257" t="str">
        <f t="shared" si="3"/>
        <v xml:space="preserve"> cukup baik  dalam menjelaskan, dan menentukan volume bangun ruang dengan menggunakan satuan volume (seperti kubus satuan) serta hubungan pangkat tiga dengan akar pangkat tiga
</v>
      </c>
      <c r="AE7"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7" s="257" t="str">
        <f t="shared" si="7"/>
        <v xml:space="preserve"> cukup baik  dalam menjelaskan, dan menentukan volume bangun ruang dengan menggunakan satuan volume (seperti kubus satuan) serta hubungan pangkat tiga dengan akar pangkat tiga
</v>
      </c>
      <c r="AG7" s="258" t="str">
        <f t="shared" si="8"/>
        <v xml:space="preserve"> cukup baik  dalam menjelaskan, dan menentukan volume bangun ruang dengan menggunakan satuan volume (seperti kubus satuan) serta hubungan pangkat tiga dengan akar pangkat tiga
</v>
      </c>
      <c r="AH7" s="252" t="str">
        <f t="shared" si="9"/>
        <v xml:space="preserve">ANDHIKA cukup baik  dalam menjelaskan, dan menentukan volume bangun ruang dengan menggunakan satuan volume (seperti kubus satuan) serta hubungan pangkat tiga dengan akar pangkat tiga
</v>
      </c>
      <c r="AI7" s="153"/>
      <c r="AR7" s="469">
        <f t="shared" si="10"/>
        <v>75</v>
      </c>
    </row>
    <row r="8" spans="1:45" ht="33.75" customHeight="1">
      <c r="B8" s="142">
        <v>4</v>
      </c>
      <c r="C8" s="143" t="str">
        <f>SISWA!B9</f>
        <v xml:space="preserve"> 1718250040308</v>
      </c>
      <c r="D8" s="144" t="str">
        <f>SISWA!E9</f>
        <v>ANGGARA</v>
      </c>
      <c r="E8" s="159">
        <v>70</v>
      </c>
      <c r="F8" s="160">
        <v>70</v>
      </c>
      <c r="G8" s="159">
        <v>70</v>
      </c>
      <c r="H8" s="160">
        <v>70</v>
      </c>
      <c r="I8" s="160"/>
      <c r="J8" s="159"/>
      <c r="K8" s="159"/>
      <c r="L8" s="159"/>
      <c r="M8" s="159"/>
      <c r="N8" s="159"/>
      <c r="O8" s="159"/>
      <c r="P8" s="159"/>
      <c r="Q8" s="159"/>
      <c r="R8" s="160"/>
      <c r="S8" s="160"/>
      <c r="T8" s="159"/>
      <c r="U8" s="354">
        <f t="shared" si="4"/>
        <v>70</v>
      </c>
      <c r="V8" s="355" t="str">
        <f>IF(U8&gt;KKM!$G$10,"A",IF(U8&gt;KKM!$H$10,"B",IF(U8&gt;=KKM!$I$10,"C","D")))</f>
        <v>C</v>
      </c>
      <c r="W8" s="356">
        <f t="shared" si="0"/>
        <v>70</v>
      </c>
      <c r="X8" s="361" t="str">
        <f>IF(W8&gt;KKM!$G$10," sangat baik ",IF(W8&gt;KKM!$H$10," baik ",IF(W8&gt;=KKM!$I$10," cukup baik "," perlu bimbingan ")))</f>
        <v xml:space="preserve"> cukup baik </v>
      </c>
      <c r="Y8" s="357">
        <f t="shared" si="1"/>
        <v>70</v>
      </c>
      <c r="Z8" s="361" t="str">
        <f>IF(Y8&gt;KKM!$G$10," sangat baik ",IF(Y8&gt;KKM!$H$10," baik ",IF(Y8&gt;=KKM!$I$10," cukup baik "," perlu bimbingan ")))</f>
        <v xml:space="preserve"> cukup baik </v>
      </c>
      <c r="AA8" s="353" t="str">
        <f t="shared" si="5"/>
        <v xml:space="preserve">ANGGARA cukup baik  dalam menjelaskan, dan menentukan volume bangun ruang dengan menggunakan satuan volume (seperti kubus satuan) serta hubungan pangkat tiga dengan akar pangkat tiga
</v>
      </c>
      <c r="AB8" s="256"/>
      <c r="AC8" s="257" t="str">
        <f t="shared" si="2"/>
        <v xml:space="preserve"> cukup baik  dalam menjelaskan, dan menentukan volume bangun ruang dengan menggunakan satuan volume (seperti kubus satuan) serta hubungan pangkat tiga dengan akar pangkat tiga
</v>
      </c>
      <c r="AD8" s="257" t="str">
        <f t="shared" si="3"/>
        <v xml:space="preserve"> cukup baik  dalam menjelaskan, dan menentukan volume bangun ruang dengan menggunakan satuan volume (seperti kubus satuan) serta hubungan pangkat tiga dengan akar pangkat tiga
</v>
      </c>
      <c r="AE8"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8" s="257" t="str">
        <f t="shared" si="7"/>
        <v xml:space="preserve"> cukup baik  dalam menjelaskan, dan menentukan volume bangun ruang dengan menggunakan satuan volume (seperti kubus satuan) serta hubungan pangkat tiga dengan akar pangkat tiga
</v>
      </c>
      <c r="AG8" s="258" t="str">
        <f t="shared" si="8"/>
        <v xml:space="preserve"> cukup baik  dalam menjelaskan, dan menentukan volume bangun ruang dengan menggunakan satuan volume (seperti kubus satuan) serta hubungan pangkat tiga dengan akar pangkat tiga
</v>
      </c>
      <c r="AH8" s="252" t="str">
        <f t="shared" si="9"/>
        <v xml:space="preserve">ANGGARA cukup baik  dalam menjelaskan, dan menentukan volume bangun ruang dengan menggunakan satuan volume (seperti kubus satuan) serta hubungan pangkat tiga dengan akar pangkat tiga
</v>
      </c>
      <c r="AI8" s="153"/>
      <c r="AR8" s="469">
        <f t="shared" si="10"/>
        <v>70</v>
      </c>
    </row>
    <row r="9" spans="1:45" ht="33.75" customHeight="1">
      <c r="B9" s="142">
        <v>5</v>
      </c>
      <c r="C9" s="143" t="str">
        <f>SISWA!B10</f>
        <v>1718250040309</v>
      </c>
      <c r="D9" s="144" t="str">
        <f>SISWA!E10</f>
        <v>ARIA</v>
      </c>
      <c r="E9" s="159">
        <v>70</v>
      </c>
      <c r="F9" s="160">
        <v>70</v>
      </c>
      <c r="G9" s="159">
        <v>70</v>
      </c>
      <c r="H9" s="160">
        <v>70</v>
      </c>
      <c r="I9" s="160"/>
      <c r="J9" s="159"/>
      <c r="K9" s="159"/>
      <c r="L9" s="159"/>
      <c r="M9" s="159"/>
      <c r="N9" s="159"/>
      <c r="O9" s="159"/>
      <c r="P9" s="159"/>
      <c r="Q9" s="159"/>
      <c r="R9" s="160"/>
      <c r="S9" s="160"/>
      <c r="T9" s="159"/>
      <c r="U9" s="354">
        <f t="shared" si="4"/>
        <v>70</v>
      </c>
      <c r="V9" s="355" t="str">
        <f>IF(U9&gt;KKM!$G$10,"A",IF(U9&gt;KKM!$H$10,"B",IF(U9&gt;=KKM!$I$10,"C","D")))</f>
        <v>C</v>
      </c>
      <c r="W9" s="356">
        <f t="shared" si="0"/>
        <v>70</v>
      </c>
      <c r="X9" s="361" t="str">
        <f>IF(W9&gt;KKM!$G$10," sangat baik ",IF(W9&gt;KKM!$H$10," baik ",IF(W9&gt;=KKM!$I$10," cukup baik "," perlu bimbingan ")))</f>
        <v xml:space="preserve"> cukup baik </v>
      </c>
      <c r="Y9" s="357">
        <f t="shared" si="1"/>
        <v>70</v>
      </c>
      <c r="Z9" s="361" t="str">
        <f>IF(Y9&gt;KKM!$G$10," sangat baik ",IF(Y9&gt;KKM!$H$10," baik ",IF(Y9&gt;=KKM!$I$10," cukup baik "," perlu bimbingan ")))</f>
        <v xml:space="preserve"> cukup baik </v>
      </c>
      <c r="AA9" s="353" t="str">
        <f t="shared" si="5"/>
        <v xml:space="preserve">ARIA cukup baik  dalam menjelaskan, dan menentukan volume bangun ruang dengan menggunakan satuan volume (seperti kubus satuan) serta hubungan pangkat tiga dengan akar pangkat tiga
</v>
      </c>
      <c r="AB9" s="256"/>
      <c r="AC9" s="257" t="str">
        <f t="shared" si="2"/>
        <v xml:space="preserve"> cukup baik  dalam menjelaskan, dan menentukan volume bangun ruang dengan menggunakan satuan volume (seperti kubus satuan) serta hubungan pangkat tiga dengan akar pangkat tiga
</v>
      </c>
      <c r="AD9" s="257" t="str">
        <f t="shared" si="3"/>
        <v xml:space="preserve"> cukup baik  dalam menjelaskan, dan menentukan volume bangun ruang dengan menggunakan satuan volume (seperti kubus satuan) serta hubungan pangkat tiga dengan akar pangkat tiga
</v>
      </c>
      <c r="AE9"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9" s="257" t="str">
        <f t="shared" si="7"/>
        <v xml:space="preserve"> cukup baik  dalam menjelaskan, dan menentukan volume bangun ruang dengan menggunakan satuan volume (seperti kubus satuan) serta hubungan pangkat tiga dengan akar pangkat tiga
</v>
      </c>
      <c r="AG9" s="258" t="str">
        <f t="shared" si="8"/>
        <v xml:space="preserve"> cukup baik  dalam menjelaskan, dan menentukan volume bangun ruang dengan menggunakan satuan volume (seperti kubus satuan) serta hubungan pangkat tiga dengan akar pangkat tiga
</v>
      </c>
      <c r="AH9" s="252" t="str">
        <f t="shared" si="9"/>
        <v xml:space="preserve">ARIA cukup baik  dalam menjelaskan, dan menentukan volume bangun ruang dengan menggunakan satuan volume (seperti kubus satuan) serta hubungan pangkat tiga dengan akar pangkat tiga
</v>
      </c>
      <c r="AI9" s="153"/>
      <c r="AR9" s="469">
        <f t="shared" si="10"/>
        <v>70</v>
      </c>
    </row>
    <row r="10" spans="1:45" ht="33.75" customHeight="1">
      <c r="B10" s="142">
        <v>6</v>
      </c>
      <c r="C10" s="143" t="str">
        <f>SISWA!B11</f>
        <v>1718250040310</v>
      </c>
      <c r="D10" s="144" t="str">
        <f>SISWA!E11</f>
        <v>CAHAYA</v>
      </c>
      <c r="E10" s="159">
        <v>75</v>
      </c>
      <c r="F10" s="160">
        <v>75</v>
      </c>
      <c r="G10" s="159">
        <v>75</v>
      </c>
      <c r="H10" s="160">
        <v>75</v>
      </c>
      <c r="I10" s="160"/>
      <c r="J10" s="159"/>
      <c r="K10" s="159"/>
      <c r="L10" s="159"/>
      <c r="M10" s="159"/>
      <c r="N10" s="159"/>
      <c r="O10" s="159"/>
      <c r="P10" s="159"/>
      <c r="Q10" s="159"/>
      <c r="R10" s="160"/>
      <c r="S10" s="160"/>
      <c r="T10" s="159"/>
      <c r="U10" s="354">
        <f t="shared" si="4"/>
        <v>75</v>
      </c>
      <c r="V10" s="355" t="str">
        <f>IF(U10&gt;KKM!$G$10,"A",IF(U10&gt;KKM!$H$10,"B",IF(U10&gt;=KKM!$I$10,"C","D")))</f>
        <v>C</v>
      </c>
      <c r="W10" s="356">
        <f t="shared" si="0"/>
        <v>75</v>
      </c>
      <c r="X10" s="361" t="str">
        <f>IF(W10&gt;KKM!$G$10," sangat baik ",IF(W10&gt;KKM!$H$10," baik ",IF(W10&gt;=KKM!$I$10," cukup baik "," perlu bimbingan ")))</f>
        <v xml:space="preserve"> cukup baik </v>
      </c>
      <c r="Y10" s="357">
        <f t="shared" si="1"/>
        <v>75</v>
      </c>
      <c r="Z10" s="361" t="str">
        <f>IF(Y10&gt;KKM!$G$10," sangat baik ",IF(Y10&gt;KKM!$H$10," baik ",IF(Y10&gt;=KKM!$I$10," cukup baik "," perlu bimbingan ")))</f>
        <v xml:space="preserve"> cukup baik </v>
      </c>
      <c r="AA10" s="353" t="str">
        <f t="shared" si="5"/>
        <v xml:space="preserve">CAHAYA cukup baik  dalam menjelaskan, dan menentukan volume bangun ruang dengan menggunakan satuan volume (seperti kubus satuan) serta hubungan pangkat tiga dengan akar pangkat tiga
</v>
      </c>
      <c r="AB10" s="256"/>
      <c r="AC10" s="257" t="str">
        <f t="shared" si="2"/>
        <v xml:space="preserve"> cukup baik  dalam menjelaskan, dan menentukan volume bangun ruang dengan menggunakan satuan volume (seperti kubus satuan) serta hubungan pangkat tiga dengan akar pangkat tiga
</v>
      </c>
      <c r="AD10" s="257" t="str">
        <f t="shared" si="3"/>
        <v xml:space="preserve"> cukup baik  dalam menjelaskan, dan menentukan volume bangun ruang dengan menggunakan satuan volume (seperti kubus satuan) serta hubungan pangkat tiga dengan akar pangkat tiga
</v>
      </c>
      <c r="AE10"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10" s="257" t="str">
        <f t="shared" si="7"/>
        <v xml:space="preserve"> cukup baik  dalam menjelaskan, dan menentukan volume bangun ruang dengan menggunakan satuan volume (seperti kubus satuan) serta hubungan pangkat tiga dengan akar pangkat tiga
</v>
      </c>
      <c r="AG10" s="258" t="str">
        <f t="shared" si="8"/>
        <v xml:space="preserve"> cukup baik  dalam menjelaskan, dan menentukan volume bangun ruang dengan menggunakan satuan volume (seperti kubus satuan) serta hubungan pangkat tiga dengan akar pangkat tiga
</v>
      </c>
      <c r="AH10" s="252" t="str">
        <f t="shared" si="9"/>
        <v xml:space="preserve">CAHAYA cukup baik  dalam menjelaskan, dan menentukan volume bangun ruang dengan menggunakan satuan volume (seperti kubus satuan) serta hubungan pangkat tiga dengan akar pangkat tiga
</v>
      </c>
      <c r="AI10" s="153"/>
      <c r="AR10" s="469">
        <f t="shared" si="10"/>
        <v>75</v>
      </c>
    </row>
    <row r="11" spans="1:45" ht="33.75" customHeight="1">
      <c r="B11" s="142">
        <v>7</v>
      </c>
      <c r="C11" s="143" t="str">
        <f>SISWA!B12</f>
        <v>1718250040311</v>
      </c>
      <c r="D11" s="144" t="str">
        <f>SISWA!E12</f>
        <v>CALISTA</v>
      </c>
      <c r="E11" s="159">
        <v>65</v>
      </c>
      <c r="F11" s="160">
        <v>65</v>
      </c>
      <c r="G11" s="159">
        <v>65</v>
      </c>
      <c r="H11" s="160">
        <v>65</v>
      </c>
      <c r="I11" s="160"/>
      <c r="J11" s="159"/>
      <c r="K11" s="159"/>
      <c r="L11" s="159"/>
      <c r="M11" s="159"/>
      <c r="N11" s="159"/>
      <c r="O11" s="159"/>
      <c r="P11" s="159"/>
      <c r="Q11" s="159"/>
      <c r="R11" s="160"/>
      <c r="S11" s="160"/>
      <c r="T11" s="159"/>
      <c r="U11" s="354">
        <f t="shared" si="4"/>
        <v>65</v>
      </c>
      <c r="V11" s="355" t="str">
        <f>IF(U11&gt;KKM!$G$10,"A",IF(U11&gt;KKM!$H$10,"B",IF(U11&gt;=KKM!$I$10,"C","D")))</f>
        <v>C</v>
      </c>
      <c r="W11" s="356">
        <f t="shared" si="0"/>
        <v>65</v>
      </c>
      <c r="X11" s="361" t="str">
        <f>IF(W11&gt;KKM!$G$10," sangat baik ",IF(W11&gt;KKM!$H$10," baik ",IF(W11&gt;=KKM!$I$10," cukup baik "," perlu bimbingan ")))</f>
        <v xml:space="preserve"> cukup baik </v>
      </c>
      <c r="Y11" s="357">
        <f t="shared" si="1"/>
        <v>65</v>
      </c>
      <c r="Z11" s="361" t="str">
        <f>IF(Y11&gt;KKM!$G$10," sangat baik ",IF(Y11&gt;KKM!$H$10," baik ",IF(Y11&gt;=KKM!$I$10," cukup baik "," perlu bimbingan ")))</f>
        <v xml:space="preserve"> cukup baik </v>
      </c>
      <c r="AA11" s="353" t="str">
        <f t="shared" si="5"/>
        <v xml:space="preserve">CALISTA cukup baik  dalam menjelaskan, dan menentukan volume bangun ruang dengan menggunakan satuan volume (seperti kubus satuan) serta hubungan pangkat tiga dengan akar pangkat tiga
</v>
      </c>
      <c r="AB11" s="256"/>
      <c r="AC11" s="257" t="str">
        <f t="shared" si="2"/>
        <v xml:space="preserve"> cukup baik  dalam menjelaskan, dan menentukan volume bangun ruang dengan menggunakan satuan volume (seperti kubus satuan) serta hubungan pangkat tiga dengan akar pangkat tiga
</v>
      </c>
      <c r="AD11" s="257" t="str">
        <f t="shared" si="3"/>
        <v xml:space="preserve"> cukup baik  dalam menjelaskan, dan menentukan volume bangun ruang dengan menggunakan satuan volume (seperti kubus satuan) serta hubungan pangkat tiga dengan akar pangkat tiga
</v>
      </c>
      <c r="AE11"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11" s="257" t="str">
        <f t="shared" si="7"/>
        <v xml:space="preserve"> cukup baik  dalam menjelaskan, dan menentukan volume bangun ruang dengan menggunakan satuan volume (seperti kubus satuan) serta hubungan pangkat tiga dengan akar pangkat tiga
</v>
      </c>
      <c r="AG11" s="258" t="str">
        <f t="shared" si="8"/>
        <v xml:space="preserve"> cukup baik  dalam menjelaskan, dan menentukan volume bangun ruang dengan menggunakan satuan volume (seperti kubus satuan) serta hubungan pangkat tiga dengan akar pangkat tiga
</v>
      </c>
      <c r="AH11" s="252" t="str">
        <f t="shared" si="9"/>
        <v xml:space="preserve">CALISTA cukup baik  dalam menjelaskan, dan menentukan volume bangun ruang dengan menggunakan satuan volume (seperti kubus satuan) serta hubungan pangkat tiga dengan akar pangkat tiga
</v>
      </c>
      <c r="AI11" s="153"/>
      <c r="AR11" s="469">
        <f t="shared" si="10"/>
        <v>65</v>
      </c>
    </row>
    <row r="12" spans="1:45" ht="33.75" customHeight="1">
      <c r="B12" s="142">
        <v>8</v>
      </c>
      <c r="C12" s="143" t="str">
        <f>SISWA!B13</f>
        <v>1718250040312</v>
      </c>
      <c r="D12" s="144" t="str">
        <f>SISWA!E13</f>
        <v>CARISSA</v>
      </c>
      <c r="E12" s="159">
        <v>80</v>
      </c>
      <c r="F12" s="160">
        <v>80</v>
      </c>
      <c r="G12" s="159">
        <v>80</v>
      </c>
      <c r="H12" s="160">
        <v>80</v>
      </c>
      <c r="I12" s="160"/>
      <c r="J12" s="159"/>
      <c r="K12" s="159"/>
      <c r="L12" s="159"/>
      <c r="M12" s="159"/>
      <c r="N12" s="159"/>
      <c r="O12" s="159"/>
      <c r="P12" s="159"/>
      <c r="Q12" s="159"/>
      <c r="R12" s="160"/>
      <c r="S12" s="160"/>
      <c r="T12" s="159"/>
      <c r="U12" s="354">
        <f t="shared" si="4"/>
        <v>80</v>
      </c>
      <c r="V12" s="355" t="str">
        <f>IF(U12&gt;KKM!$G$10,"A",IF(U12&gt;KKM!$H$10,"B",IF(U12&gt;=KKM!$I$10,"C","D")))</f>
        <v>B</v>
      </c>
      <c r="W12" s="356">
        <f t="shared" si="0"/>
        <v>80</v>
      </c>
      <c r="X12" s="361" t="str">
        <f>IF(W12&gt;KKM!$G$10," sangat baik ",IF(W12&gt;KKM!$H$10," baik ",IF(W12&gt;=KKM!$I$10," cukup baik "," perlu bimbingan ")))</f>
        <v xml:space="preserve"> baik </v>
      </c>
      <c r="Y12" s="357">
        <f t="shared" si="1"/>
        <v>80</v>
      </c>
      <c r="Z12" s="361" t="str">
        <f>IF(Y12&gt;KKM!$G$10," sangat baik ",IF(Y12&gt;KKM!$H$10," baik ",IF(Y12&gt;=KKM!$I$10," cukup baik "," perlu bimbingan ")))</f>
        <v xml:space="preserve"> baik </v>
      </c>
      <c r="AA12" s="353" t="str">
        <f t="shared" si="5"/>
        <v xml:space="preserve">CARISSA baik  dalam menjelaskan, dan menentukan volume bangun ruang dengan menggunakan satuan volume (seperti kubus satuan) serta hubungan pangkat tiga dengan akar pangkat tiga
</v>
      </c>
      <c r="AB12" s="256"/>
      <c r="AC12" s="257" t="str">
        <f t="shared" si="2"/>
        <v xml:space="preserve"> baik  dalam menjelaskan, dan menentukan volume bangun ruang dengan menggunakan satuan volume (seperti kubus satuan) serta hubungan pangkat tiga dengan akar pangkat tiga
</v>
      </c>
      <c r="AD12" s="257" t="str">
        <f t="shared" si="3"/>
        <v xml:space="preserve"> baik  dalam menjelaskan, dan menentukan volume bangun ruang dengan menggunakan satuan volume (seperti kubus satuan) serta hubungan pangkat tiga dengan akar pangkat tiga
</v>
      </c>
      <c r="AE12" s="257" t="str">
        <f t="shared" si="6"/>
        <v xml:space="preserve"> baik  dalam menjelaskan, dan menentukan volume bangun ruang dengan menggunakan satuan volume (seperti kubus satuan) serta hubungan pangkat tiga dengan akar pangkat tiga
, dan  baik  dalam menjelaskan, dan menentukan volume bangun ruang dengan menggunakan satuan volume (seperti kubus satuan) serta hubungan pangkat tiga dengan akar pangkat tiga
</v>
      </c>
      <c r="AF12" s="257" t="str">
        <f t="shared" si="7"/>
        <v xml:space="preserve"> baik  dalam menjelaskan, dan menentukan volume bangun ruang dengan menggunakan satuan volume (seperti kubus satuan) serta hubungan pangkat tiga dengan akar pangkat tiga
</v>
      </c>
      <c r="AG12" s="258" t="str">
        <f t="shared" si="8"/>
        <v xml:space="preserve"> baik  dalam menjelaskan, dan menentukan volume bangun ruang dengan menggunakan satuan volume (seperti kubus satuan) serta hubungan pangkat tiga dengan akar pangkat tiga
</v>
      </c>
      <c r="AH12" s="252" t="str">
        <f t="shared" si="9"/>
        <v xml:space="preserve">CARISSA baik  dalam menjelaskan, dan menentukan volume bangun ruang dengan menggunakan satuan volume (seperti kubus satuan) serta hubungan pangkat tiga dengan akar pangkat tiga
</v>
      </c>
      <c r="AI12" s="153"/>
      <c r="AR12" s="469">
        <f t="shared" si="10"/>
        <v>80</v>
      </c>
    </row>
    <row r="13" spans="1:45" ht="33.75" customHeight="1">
      <c r="B13" s="142">
        <v>9</v>
      </c>
      <c r="C13" s="143" t="str">
        <f>SISWA!B14</f>
        <v>1718250040313</v>
      </c>
      <c r="D13" s="144" t="str">
        <f>SISWA!E14</f>
        <v>CHAIDAR</v>
      </c>
      <c r="E13" s="159">
        <v>75</v>
      </c>
      <c r="F13" s="160">
        <v>75</v>
      </c>
      <c r="G13" s="159">
        <v>75</v>
      </c>
      <c r="H13" s="160">
        <v>75</v>
      </c>
      <c r="I13" s="160"/>
      <c r="J13" s="159"/>
      <c r="K13" s="159"/>
      <c r="L13" s="159"/>
      <c r="M13" s="159"/>
      <c r="N13" s="159"/>
      <c r="O13" s="159"/>
      <c r="P13" s="159"/>
      <c r="Q13" s="159"/>
      <c r="R13" s="160"/>
      <c r="S13" s="160"/>
      <c r="T13" s="159"/>
      <c r="U13" s="354">
        <f t="shared" si="4"/>
        <v>75</v>
      </c>
      <c r="V13" s="355" t="str">
        <f>IF(U13&gt;KKM!$G$10,"A",IF(U13&gt;KKM!$H$10,"B",IF(U13&gt;=KKM!$I$10,"C","D")))</f>
        <v>C</v>
      </c>
      <c r="W13" s="356">
        <f t="shared" si="0"/>
        <v>75</v>
      </c>
      <c r="X13" s="361" t="str">
        <f>IF(W13&gt;KKM!$G$10," sangat baik ",IF(W13&gt;KKM!$H$10," baik ",IF(W13&gt;=KKM!$I$10," cukup baik "," perlu bimbingan ")))</f>
        <v xml:space="preserve"> cukup baik </v>
      </c>
      <c r="Y13" s="357">
        <f t="shared" si="1"/>
        <v>75</v>
      </c>
      <c r="Z13" s="361" t="str">
        <f>IF(Y13&gt;KKM!$G$10," sangat baik ",IF(Y13&gt;KKM!$H$10," baik ",IF(Y13&gt;=KKM!$I$10," cukup baik "," perlu bimbingan ")))</f>
        <v xml:space="preserve"> cukup baik </v>
      </c>
      <c r="AA13" s="353" t="str">
        <f t="shared" si="5"/>
        <v xml:space="preserve">CHAIDAR cukup baik  dalam menjelaskan, dan menentukan volume bangun ruang dengan menggunakan satuan volume (seperti kubus satuan) serta hubungan pangkat tiga dengan akar pangkat tiga
</v>
      </c>
      <c r="AB13" s="256"/>
      <c r="AC13" s="257" t="str">
        <f t="shared" si="2"/>
        <v xml:space="preserve"> cukup baik  dalam menjelaskan, dan menentukan volume bangun ruang dengan menggunakan satuan volume (seperti kubus satuan) serta hubungan pangkat tiga dengan akar pangkat tiga
</v>
      </c>
      <c r="AD13" s="257" t="str">
        <f t="shared" si="3"/>
        <v xml:space="preserve"> cukup baik  dalam menjelaskan, dan menentukan volume bangun ruang dengan menggunakan satuan volume (seperti kubus satuan) serta hubungan pangkat tiga dengan akar pangkat tiga
</v>
      </c>
      <c r="AE13"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13" s="257" t="str">
        <f t="shared" si="7"/>
        <v xml:space="preserve"> cukup baik  dalam menjelaskan, dan menentukan volume bangun ruang dengan menggunakan satuan volume (seperti kubus satuan) serta hubungan pangkat tiga dengan akar pangkat tiga
</v>
      </c>
      <c r="AG13" s="258" t="str">
        <f t="shared" si="8"/>
        <v xml:space="preserve"> cukup baik  dalam menjelaskan, dan menentukan volume bangun ruang dengan menggunakan satuan volume (seperti kubus satuan) serta hubungan pangkat tiga dengan akar pangkat tiga
</v>
      </c>
      <c r="AH13" s="252" t="str">
        <f t="shared" si="9"/>
        <v xml:space="preserve">CHAIDAR cukup baik  dalam menjelaskan, dan menentukan volume bangun ruang dengan menggunakan satuan volume (seperti kubus satuan) serta hubungan pangkat tiga dengan akar pangkat tiga
</v>
      </c>
      <c r="AI13" s="153"/>
      <c r="AR13" s="469">
        <f t="shared" si="10"/>
        <v>75</v>
      </c>
    </row>
    <row r="14" spans="1:45" ht="33.75" customHeight="1">
      <c r="B14" s="142">
        <v>10</v>
      </c>
      <c r="C14" s="143" t="str">
        <f>SISWA!B15</f>
        <v>1718250040314</v>
      </c>
      <c r="D14" s="144" t="str">
        <f>SISWA!E15</f>
        <v>DAVKA</v>
      </c>
      <c r="E14" s="159">
        <v>75</v>
      </c>
      <c r="F14" s="160">
        <v>75</v>
      </c>
      <c r="G14" s="159">
        <v>75</v>
      </c>
      <c r="H14" s="160">
        <v>75</v>
      </c>
      <c r="I14" s="160"/>
      <c r="J14" s="159"/>
      <c r="K14" s="159"/>
      <c r="L14" s="159"/>
      <c r="M14" s="159"/>
      <c r="N14" s="159"/>
      <c r="O14" s="159"/>
      <c r="P14" s="159"/>
      <c r="Q14" s="159"/>
      <c r="R14" s="160"/>
      <c r="S14" s="160"/>
      <c r="T14" s="159"/>
      <c r="U14" s="354">
        <f t="shared" si="4"/>
        <v>75</v>
      </c>
      <c r="V14" s="355" t="str">
        <f>IF(U14&gt;KKM!$G$10,"A",IF(U14&gt;KKM!$H$10,"B",IF(U14&gt;=KKM!$I$10,"C","D")))</f>
        <v>C</v>
      </c>
      <c r="W14" s="356">
        <f t="shared" si="0"/>
        <v>75</v>
      </c>
      <c r="X14" s="361" t="str">
        <f>IF(W14&gt;KKM!$G$10," sangat baik ",IF(W14&gt;KKM!$H$10," baik ",IF(W14&gt;=KKM!$I$10," cukup baik "," perlu bimbingan ")))</f>
        <v xml:space="preserve"> cukup baik </v>
      </c>
      <c r="Y14" s="357">
        <f t="shared" si="1"/>
        <v>75</v>
      </c>
      <c r="Z14" s="361" t="str">
        <f>IF(Y14&gt;KKM!$G$10," sangat baik ",IF(Y14&gt;KKM!$H$10," baik ",IF(Y14&gt;=KKM!$I$10," cukup baik "," perlu bimbingan ")))</f>
        <v xml:space="preserve"> cukup baik </v>
      </c>
      <c r="AA14" s="353" t="str">
        <f t="shared" si="5"/>
        <v xml:space="preserve">DAVKA cukup baik  dalam menjelaskan, dan menentukan volume bangun ruang dengan menggunakan satuan volume (seperti kubus satuan) serta hubungan pangkat tiga dengan akar pangkat tiga
</v>
      </c>
      <c r="AB14" s="256"/>
      <c r="AC14" s="257" t="str">
        <f t="shared" si="2"/>
        <v xml:space="preserve"> cukup baik  dalam menjelaskan, dan menentukan volume bangun ruang dengan menggunakan satuan volume (seperti kubus satuan) serta hubungan pangkat tiga dengan akar pangkat tiga
</v>
      </c>
      <c r="AD14" s="257" t="str">
        <f t="shared" si="3"/>
        <v xml:space="preserve"> cukup baik  dalam menjelaskan, dan menentukan volume bangun ruang dengan menggunakan satuan volume (seperti kubus satuan) serta hubungan pangkat tiga dengan akar pangkat tiga
</v>
      </c>
      <c r="AE14"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14" s="257" t="str">
        <f t="shared" si="7"/>
        <v xml:space="preserve"> cukup baik  dalam menjelaskan, dan menentukan volume bangun ruang dengan menggunakan satuan volume (seperti kubus satuan) serta hubungan pangkat tiga dengan akar pangkat tiga
</v>
      </c>
      <c r="AG14" s="258" t="str">
        <f t="shared" si="8"/>
        <v xml:space="preserve"> cukup baik  dalam menjelaskan, dan menentukan volume bangun ruang dengan menggunakan satuan volume (seperti kubus satuan) serta hubungan pangkat tiga dengan akar pangkat tiga
</v>
      </c>
      <c r="AH14" s="252" t="str">
        <f t="shared" si="9"/>
        <v xml:space="preserve">DAVKA cukup baik  dalam menjelaskan, dan menentukan volume bangun ruang dengan menggunakan satuan volume (seperti kubus satuan) serta hubungan pangkat tiga dengan akar pangkat tiga
</v>
      </c>
      <c r="AI14" s="153"/>
      <c r="AR14" s="469">
        <f t="shared" si="10"/>
        <v>75</v>
      </c>
    </row>
    <row r="15" spans="1:45" ht="33.75" customHeight="1">
      <c r="B15" s="142">
        <v>11</v>
      </c>
      <c r="C15" s="143" t="str">
        <f>SISWA!B16</f>
        <v>1718250040315</v>
      </c>
      <c r="D15" s="144" t="str">
        <f>SISWA!E16</f>
        <v>DZIBRIL</v>
      </c>
      <c r="E15" s="159">
        <v>70</v>
      </c>
      <c r="F15" s="160">
        <v>70</v>
      </c>
      <c r="G15" s="159">
        <v>70</v>
      </c>
      <c r="H15" s="160">
        <v>70</v>
      </c>
      <c r="I15" s="160"/>
      <c r="J15" s="159"/>
      <c r="K15" s="159"/>
      <c r="L15" s="159"/>
      <c r="M15" s="159"/>
      <c r="N15" s="159"/>
      <c r="O15" s="159"/>
      <c r="P15" s="159"/>
      <c r="Q15" s="159"/>
      <c r="R15" s="160"/>
      <c r="S15" s="160"/>
      <c r="T15" s="159"/>
      <c r="U15" s="354">
        <f t="shared" si="4"/>
        <v>70</v>
      </c>
      <c r="V15" s="355" t="str">
        <f>IF(U15&gt;KKM!$G$10,"A",IF(U15&gt;KKM!$H$10,"B",IF(U15&gt;=KKM!$I$10,"C","D")))</f>
        <v>C</v>
      </c>
      <c r="W15" s="356">
        <f t="shared" si="0"/>
        <v>70</v>
      </c>
      <c r="X15" s="361" t="str">
        <f>IF(W15&gt;KKM!$G$10," sangat baik ",IF(W15&gt;KKM!$H$10," baik ",IF(W15&gt;=KKM!$I$10," cukup baik "," perlu bimbingan ")))</f>
        <v xml:space="preserve"> cukup baik </v>
      </c>
      <c r="Y15" s="357">
        <f t="shared" si="1"/>
        <v>70</v>
      </c>
      <c r="Z15" s="361" t="str">
        <f>IF(Y15&gt;KKM!$G$10," sangat baik ",IF(Y15&gt;KKM!$H$10," baik ",IF(Y15&gt;=KKM!$I$10," cukup baik "," perlu bimbingan ")))</f>
        <v xml:space="preserve"> cukup baik </v>
      </c>
      <c r="AA15" s="353" t="str">
        <f t="shared" si="5"/>
        <v xml:space="preserve">DZIBRIL cukup baik  dalam menjelaskan, dan menentukan volume bangun ruang dengan menggunakan satuan volume (seperti kubus satuan) serta hubungan pangkat tiga dengan akar pangkat tiga
</v>
      </c>
      <c r="AB15" s="256"/>
      <c r="AC15" s="257" t="str">
        <f t="shared" si="2"/>
        <v xml:space="preserve"> cukup baik  dalam menjelaskan, dan menentukan volume bangun ruang dengan menggunakan satuan volume (seperti kubus satuan) serta hubungan pangkat tiga dengan akar pangkat tiga
</v>
      </c>
      <c r="AD15" s="257" t="str">
        <f t="shared" si="3"/>
        <v xml:space="preserve"> cukup baik  dalam menjelaskan, dan menentukan volume bangun ruang dengan menggunakan satuan volume (seperti kubus satuan) serta hubungan pangkat tiga dengan akar pangkat tiga
</v>
      </c>
      <c r="AE15"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15" s="257" t="str">
        <f t="shared" si="7"/>
        <v xml:space="preserve"> cukup baik  dalam menjelaskan, dan menentukan volume bangun ruang dengan menggunakan satuan volume (seperti kubus satuan) serta hubungan pangkat tiga dengan akar pangkat tiga
</v>
      </c>
      <c r="AG15" s="258" t="str">
        <f t="shared" si="8"/>
        <v xml:space="preserve"> cukup baik  dalam menjelaskan, dan menentukan volume bangun ruang dengan menggunakan satuan volume (seperti kubus satuan) serta hubungan pangkat tiga dengan akar pangkat tiga
</v>
      </c>
      <c r="AH15" s="252" t="str">
        <f t="shared" si="9"/>
        <v xml:space="preserve">DZIBRIL cukup baik  dalam menjelaskan, dan menentukan volume bangun ruang dengan menggunakan satuan volume (seperti kubus satuan) serta hubungan pangkat tiga dengan akar pangkat tiga
</v>
      </c>
      <c r="AI15" s="153"/>
      <c r="AR15" s="469">
        <f t="shared" si="10"/>
        <v>70</v>
      </c>
    </row>
    <row r="16" spans="1:45" ht="33.75" customHeight="1">
      <c r="B16" s="142">
        <v>12</v>
      </c>
      <c r="C16" s="143" t="str">
        <f>SISWA!B17</f>
        <v>1718250040316</v>
      </c>
      <c r="D16" s="144" t="str">
        <f>SISWA!E17</f>
        <v>ERICHA</v>
      </c>
      <c r="E16" s="159">
        <v>80</v>
      </c>
      <c r="F16" s="160">
        <v>80</v>
      </c>
      <c r="G16" s="159">
        <v>80</v>
      </c>
      <c r="H16" s="160">
        <v>80</v>
      </c>
      <c r="I16" s="160"/>
      <c r="J16" s="159"/>
      <c r="K16" s="159"/>
      <c r="L16" s="159"/>
      <c r="M16" s="159"/>
      <c r="N16" s="159"/>
      <c r="O16" s="159"/>
      <c r="P16" s="159"/>
      <c r="Q16" s="159"/>
      <c r="R16" s="160"/>
      <c r="S16" s="160"/>
      <c r="T16" s="159"/>
      <c r="U16" s="354">
        <f t="shared" si="4"/>
        <v>80</v>
      </c>
      <c r="V16" s="355" t="str">
        <f>IF(U16&gt;KKM!$G$10,"A",IF(U16&gt;KKM!$H$10,"B",IF(U16&gt;=KKM!$I$10,"C","D")))</f>
        <v>B</v>
      </c>
      <c r="W16" s="356">
        <f t="shared" si="0"/>
        <v>80</v>
      </c>
      <c r="X16" s="361" t="str">
        <f>IF(W16&gt;KKM!$G$10," sangat baik ",IF(W16&gt;KKM!$H$10," baik ",IF(W16&gt;=KKM!$I$10," cukup baik "," perlu bimbingan ")))</f>
        <v xml:space="preserve"> baik </v>
      </c>
      <c r="Y16" s="357">
        <f t="shared" si="1"/>
        <v>80</v>
      </c>
      <c r="Z16" s="361" t="str">
        <f>IF(Y16&gt;KKM!$G$10," sangat baik ",IF(Y16&gt;KKM!$H$10," baik ",IF(Y16&gt;=KKM!$I$10," cukup baik "," perlu bimbingan ")))</f>
        <v xml:space="preserve"> baik </v>
      </c>
      <c r="AA16" s="353" t="str">
        <f t="shared" si="5"/>
        <v xml:space="preserve">ERICHA baik  dalam menjelaskan, dan menentukan volume bangun ruang dengan menggunakan satuan volume (seperti kubus satuan) serta hubungan pangkat tiga dengan akar pangkat tiga
</v>
      </c>
      <c r="AB16" s="256"/>
      <c r="AC16" s="257" t="str">
        <f t="shared" si="2"/>
        <v xml:space="preserve"> baik  dalam menjelaskan, dan menentukan volume bangun ruang dengan menggunakan satuan volume (seperti kubus satuan) serta hubungan pangkat tiga dengan akar pangkat tiga
</v>
      </c>
      <c r="AD16" s="257" t="str">
        <f t="shared" si="3"/>
        <v xml:space="preserve"> baik  dalam menjelaskan, dan menentukan volume bangun ruang dengan menggunakan satuan volume (seperti kubus satuan) serta hubungan pangkat tiga dengan akar pangkat tiga
</v>
      </c>
      <c r="AE16" s="257" t="str">
        <f t="shared" si="6"/>
        <v xml:space="preserve"> baik  dalam menjelaskan, dan menentukan volume bangun ruang dengan menggunakan satuan volume (seperti kubus satuan) serta hubungan pangkat tiga dengan akar pangkat tiga
, dan  baik  dalam menjelaskan, dan menentukan volume bangun ruang dengan menggunakan satuan volume (seperti kubus satuan) serta hubungan pangkat tiga dengan akar pangkat tiga
</v>
      </c>
      <c r="AF16" s="257" t="str">
        <f t="shared" si="7"/>
        <v xml:space="preserve"> baik  dalam menjelaskan, dan menentukan volume bangun ruang dengan menggunakan satuan volume (seperti kubus satuan) serta hubungan pangkat tiga dengan akar pangkat tiga
</v>
      </c>
      <c r="AG16" s="258" t="str">
        <f t="shared" si="8"/>
        <v xml:space="preserve"> baik  dalam menjelaskan, dan menentukan volume bangun ruang dengan menggunakan satuan volume (seperti kubus satuan) serta hubungan pangkat tiga dengan akar pangkat tiga
</v>
      </c>
      <c r="AH16" s="252" t="str">
        <f t="shared" si="9"/>
        <v xml:space="preserve">ERICHA baik  dalam menjelaskan, dan menentukan volume bangun ruang dengan menggunakan satuan volume (seperti kubus satuan) serta hubungan pangkat tiga dengan akar pangkat tiga
</v>
      </c>
      <c r="AI16" s="153"/>
      <c r="AR16" s="469">
        <f t="shared" si="10"/>
        <v>80</v>
      </c>
    </row>
    <row r="17" spans="2:44" ht="33.75" customHeight="1">
      <c r="B17" s="142">
        <v>13</v>
      </c>
      <c r="C17" s="143" t="str">
        <f>SISWA!B18</f>
        <v>1718250040317</v>
      </c>
      <c r="D17" s="144" t="str">
        <f>SISWA!E18</f>
        <v>HISYAM</v>
      </c>
      <c r="E17" s="159">
        <v>70</v>
      </c>
      <c r="F17" s="160">
        <v>70</v>
      </c>
      <c r="G17" s="159">
        <v>70</v>
      </c>
      <c r="H17" s="160">
        <v>70</v>
      </c>
      <c r="I17" s="160"/>
      <c r="J17" s="159"/>
      <c r="K17" s="159"/>
      <c r="L17" s="159"/>
      <c r="M17" s="159"/>
      <c r="N17" s="159"/>
      <c r="O17" s="159"/>
      <c r="P17" s="159"/>
      <c r="Q17" s="159"/>
      <c r="R17" s="160"/>
      <c r="S17" s="160"/>
      <c r="T17" s="159"/>
      <c r="U17" s="354">
        <f t="shared" si="4"/>
        <v>70</v>
      </c>
      <c r="V17" s="355" t="str">
        <f>IF(U17&gt;KKM!$G$10,"A",IF(U17&gt;KKM!$H$10,"B",IF(U17&gt;=KKM!$I$10,"C","D")))</f>
        <v>C</v>
      </c>
      <c r="W17" s="356">
        <f t="shared" si="0"/>
        <v>70</v>
      </c>
      <c r="X17" s="361" t="str">
        <f>IF(W17&gt;KKM!$G$10," sangat baik ",IF(W17&gt;KKM!$H$10," baik ",IF(W17&gt;=KKM!$I$10," cukup baik "," perlu bimbingan ")))</f>
        <v xml:space="preserve"> cukup baik </v>
      </c>
      <c r="Y17" s="357">
        <f t="shared" si="1"/>
        <v>70</v>
      </c>
      <c r="Z17" s="361" t="str">
        <f>IF(Y17&gt;KKM!$G$10," sangat baik ",IF(Y17&gt;KKM!$H$10," baik ",IF(Y17&gt;=KKM!$I$10," cukup baik "," perlu bimbingan ")))</f>
        <v xml:space="preserve"> cukup baik </v>
      </c>
      <c r="AA17" s="353" t="str">
        <f t="shared" si="5"/>
        <v xml:space="preserve">HISYAM cukup baik  dalam menjelaskan, dan menentukan volume bangun ruang dengan menggunakan satuan volume (seperti kubus satuan) serta hubungan pangkat tiga dengan akar pangkat tiga
</v>
      </c>
      <c r="AB17" s="256"/>
      <c r="AC17" s="257" t="str">
        <f t="shared" si="2"/>
        <v xml:space="preserve"> cukup baik  dalam menjelaskan, dan menentukan volume bangun ruang dengan menggunakan satuan volume (seperti kubus satuan) serta hubungan pangkat tiga dengan akar pangkat tiga
</v>
      </c>
      <c r="AD17" s="257" t="str">
        <f t="shared" si="3"/>
        <v xml:space="preserve"> cukup baik  dalam menjelaskan, dan menentukan volume bangun ruang dengan menggunakan satuan volume (seperti kubus satuan) serta hubungan pangkat tiga dengan akar pangkat tiga
</v>
      </c>
      <c r="AE17"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17" s="257" t="str">
        <f t="shared" si="7"/>
        <v xml:space="preserve"> cukup baik  dalam menjelaskan, dan menentukan volume bangun ruang dengan menggunakan satuan volume (seperti kubus satuan) serta hubungan pangkat tiga dengan akar pangkat tiga
</v>
      </c>
      <c r="AG17" s="258" t="str">
        <f t="shared" si="8"/>
        <v xml:space="preserve"> cukup baik  dalam menjelaskan, dan menentukan volume bangun ruang dengan menggunakan satuan volume (seperti kubus satuan) serta hubungan pangkat tiga dengan akar pangkat tiga
</v>
      </c>
      <c r="AH17" s="252" t="str">
        <f t="shared" si="9"/>
        <v xml:space="preserve">HISYAM cukup baik  dalam menjelaskan, dan menentukan volume bangun ruang dengan menggunakan satuan volume (seperti kubus satuan) serta hubungan pangkat tiga dengan akar pangkat tiga
</v>
      </c>
      <c r="AI17" s="153"/>
      <c r="AR17" s="469">
        <f t="shared" si="10"/>
        <v>70</v>
      </c>
    </row>
    <row r="18" spans="2:44" ht="33.75" customHeight="1">
      <c r="B18" s="142">
        <v>14</v>
      </c>
      <c r="C18" s="143" t="str">
        <f>SISWA!B19</f>
        <v>1718250040318</v>
      </c>
      <c r="D18" s="144" t="str">
        <f>SISWA!E19</f>
        <v>FAUZI</v>
      </c>
      <c r="E18" s="159">
        <v>75</v>
      </c>
      <c r="F18" s="160">
        <v>75</v>
      </c>
      <c r="G18" s="159">
        <v>75</v>
      </c>
      <c r="H18" s="160">
        <v>75</v>
      </c>
      <c r="I18" s="160"/>
      <c r="J18" s="159"/>
      <c r="K18" s="159"/>
      <c r="L18" s="159"/>
      <c r="M18" s="159"/>
      <c r="N18" s="159"/>
      <c r="O18" s="159"/>
      <c r="P18" s="159"/>
      <c r="Q18" s="159"/>
      <c r="R18" s="160"/>
      <c r="S18" s="160"/>
      <c r="T18" s="159"/>
      <c r="U18" s="354">
        <f t="shared" si="4"/>
        <v>75</v>
      </c>
      <c r="V18" s="355" t="str">
        <f>IF(U18&gt;KKM!$G$10,"A",IF(U18&gt;KKM!$H$10,"B",IF(U18&gt;=KKM!$I$10,"C","D")))</f>
        <v>C</v>
      </c>
      <c r="W18" s="356">
        <f t="shared" si="0"/>
        <v>75</v>
      </c>
      <c r="X18" s="361" t="str">
        <f>IF(W18&gt;KKM!$G$10," sangat baik ",IF(W18&gt;KKM!$H$10," baik ",IF(W18&gt;=KKM!$I$10," cukup baik "," perlu bimbingan ")))</f>
        <v xml:space="preserve"> cukup baik </v>
      </c>
      <c r="Y18" s="357">
        <f t="shared" si="1"/>
        <v>75</v>
      </c>
      <c r="Z18" s="361" t="str">
        <f>IF(Y18&gt;KKM!$G$10," sangat baik ",IF(Y18&gt;KKM!$H$10," baik ",IF(Y18&gt;=KKM!$I$10," cukup baik "," perlu bimbingan ")))</f>
        <v xml:space="preserve"> cukup baik </v>
      </c>
      <c r="AA18" s="353" t="str">
        <f t="shared" si="5"/>
        <v xml:space="preserve">FAUZI cukup baik  dalam menjelaskan, dan menentukan volume bangun ruang dengan menggunakan satuan volume (seperti kubus satuan) serta hubungan pangkat tiga dengan akar pangkat tiga
</v>
      </c>
      <c r="AB18" s="256"/>
      <c r="AC18" s="257" t="str">
        <f t="shared" si="2"/>
        <v xml:space="preserve"> cukup baik  dalam menjelaskan, dan menentukan volume bangun ruang dengan menggunakan satuan volume (seperti kubus satuan) serta hubungan pangkat tiga dengan akar pangkat tiga
</v>
      </c>
      <c r="AD18" s="257" t="str">
        <f t="shared" si="3"/>
        <v xml:space="preserve"> cukup baik  dalam menjelaskan, dan menentukan volume bangun ruang dengan menggunakan satuan volume (seperti kubus satuan) serta hubungan pangkat tiga dengan akar pangkat tiga
</v>
      </c>
      <c r="AE18"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18" s="257" t="str">
        <f t="shared" si="7"/>
        <v xml:space="preserve"> cukup baik  dalam menjelaskan, dan menentukan volume bangun ruang dengan menggunakan satuan volume (seperti kubus satuan) serta hubungan pangkat tiga dengan akar pangkat tiga
</v>
      </c>
      <c r="AG18" s="258" t="str">
        <f t="shared" si="8"/>
        <v xml:space="preserve"> cukup baik  dalam menjelaskan, dan menentukan volume bangun ruang dengan menggunakan satuan volume (seperti kubus satuan) serta hubungan pangkat tiga dengan akar pangkat tiga
</v>
      </c>
      <c r="AH18" s="252" t="str">
        <f t="shared" si="9"/>
        <v xml:space="preserve">FAUZI cukup baik  dalam menjelaskan, dan menentukan volume bangun ruang dengan menggunakan satuan volume (seperti kubus satuan) serta hubungan pangkat tiga dengan akar pangkat tiga
</v>
      </c>
      <c r="AI18" s="153"/>
      <c r="AR18" s="469">
        <f t="shared" si="10"/>
        <v>75</v>
      </c>
    </row>
    <row r="19" spans="2:44" ht="33.75" customHeight="1">
      <c r="B19" s="142">
        <v>15</v>
      </c>
      <c r="C19" s="143" t="str">
        <f>SISWA!B20</f>
        <v>1718250040319</v>
      </c>
      <c r="D19" s="144" t="str">
        <f>SISWA!E20</f>
        <v>FIRLY</v>
      </c>
      <c r="E19" s="159">
        <v>80</v>
      </c>
      <c r="F19" s="160">
        <v>80</v>
      </c>
      <c r="G19" s="159">
        <v>80</v>
      </c>
      <c r="H19" s="160">
        <v>80</v>
      </c>
      <c r="I19" s="160"/>
      <c r="J19" s="159"/>
      <c r="K19" s="159"/>
      <c r="L19" s="159"/>
      <c r="M19" s="159"/>
      <c r="N19" s="159"/>
      <c r="O19" s="159"/>
      <c r="P19" s="159"/>
      <c r="Q19" s="159"/>
      <c r="R19" s="160"/>
      <c r="S19" s="160"/>
      <c r="T19" s="159"/>
      <c r="U19" s="354">
        <f t="shared" si="4"/>
        <v>80</v>
      </c>
      <c r="V19" s="355" t="str">
        <f>IF(U19&gt;KKM!$G$10,"A",IF(U19&gt;KKM!$H$10,"B",IF(U19&gt;=KKM!$I$10,"C","D")))</f>
        <v>B</v>
      </c>
      <c r="W19" s="356">
        <f t="shared" si="0"/>
        <v>80</v>
      </c>
      <c r="X19" s="361" t="str">
        <f>IF(W19&gt;KKM!$G$10," sangat baik ",IF(W19&gt;KKM!$H$10," baik ",IF(W19&gt;=KKM!$I$10," cukup baik "," perlu bimbingan ")))</f>
        <v xml:space="preserve"> baik </v>
      </c>
      <c r="Y19" s="357">
        <f t="shared" si="1"/>
        <v>80</v>
      </c>
      <c r="Z19" s="361" t="str">
        <f>IF(Y19&gt;KKM!$G$10," sangat baik ",IF(Y19&gt;KKM!$H$10," baik ",IF(Y19&gt;=KKM!$I$10," cukup baik "," perlu bimbingan ")))</f>
        <v xml:space="preserve"> baik </v>
      </c>
      <c r="AA19" s="353" t="str">
        <f t="shared" si="5"/>
        <v xml:space="preserve">FIRLY baik  dalam menjelaskan, dan menentukan volume bangun ruang dengan menggunakan satuan volume (seperti kubus satuan) serta hubungan pangkat tiga dengan akar pangkat tiga
</v>
      </c>
      <c r="AB19" s="256"/>
      <c r="AC19" s="257" t="str">
        <f t="shared" si="2"/>
        <v xml:space="preserve"> baik  dalam menjelaskan, dan menentukan volume bangun ruang dengan menggunakan satuan volume (seperti kubus satuan) serta hubungan pangkat tiga dengan akar pangkat tiga
</v>
      </c>
      <c r="AD19" s="257" t="str">
        <f t="shared" si="3"/>
        <v xml:space="preserve"> baik  dalam menjelaskan, dan menentukan volume bangun ruang dengan menggunakan satuan volume (seperti kubus satuan) serta hubungan pangkat tiga dengan akar pangkat tiga
</v>
      </c>
      <c r="AE19" s="257" t="str">
        <f t="shared" si="6"/>
        <v xml:space="preserve"> baik  dalam menjelaskan, dan menentukan volume bangun ruang dengan menggunakan satuan volume (seperti kubus satuan) serta hubungan pangkat tiga dengan akar pangkat tiga
, dan  baik  dalam menjelaskan, dan menentukan volume bangun ruang dengan menggunakan satuan volume (seperti kubus satuan) serta hubungan pangkat tiga dengan akar pangkat tiga
</v>
      </c>
      <c r="AF19" s="257" t="str">
        <f t="shared" si="7"/>
        <v xml:space="preserve"> baik  dalam menjelaskan, dan menentukan volume bangun ruang dengan menggunakan satuan volume (seperti kubus satuan) serta hubungan pangkat tiga dengan akar pangkat tiga
</v>
      </c>
      <c r="AG19" s="258" t="str">
        <f t="shared" si="8"/>
        <v xml:space="preserve"> baik  dalam menjelaskan, dan menentukan volume bangun ruang dengan menggunakan satuan volume (seperti kubus satuan) serta hubungan pangkat tiga dengan akar pangkat tiga
</v>
      </c>
      <c r="AH19" s="252" t="str">
        <f t="shared" si="9"/>
        <v xml:space="preserve">FIRLY baik  dalam menjelaskan, dan menentukan volume bangun ruang dengan menggunakan satuan volume (seperti kubus satuan) serta hubungan pangkat tiga dengan akar pangkat tiga
</v>
      </c>
      <c r="AI19" s="153"/>
      <c r="AR19" s="469">
        <f t="shared" si="10"/>
        <v>80</v>
      </c>
    </row>
    <row r="20" spans="2:44" ht="33.75" customHeight="1">
      <c r="B20" s="142">
        <v>16</v>
      </c>
      <c r="C20" s="143" t="str">
        <f>SISWA!B21</f>
        <v>1718250040320</v>
      </c>
      <c r="D20" s="144" t="str">
        <f>SISWA!E21</f>
        <v>HANA</v>
      </c>
      <c r="E20" s="159">
        <v>70</v>
      </c>
      <c r="F20" s="160">
        <v>70</v>
      </c>
      <c r="G20" s="159">
        <v>70</v>
      </c>
      <c r="H20" s="160">
        <v>70</v>
      </c>
      <c r="I20" s="160"/>
      <c r="J20" s="159"/>
      <c r="K20" s="159"/>
      <c r="L20" s="159"/>
      <c r="M20" s="159"/>
      <c r="N20" s="159"/>
      <c r="O20" s="159"/>
      <c r="P20" s="159"/>
      <c r="Q20" s="159"/>
      <c r="R20" s="160"/>
      <c r="S20" s="160"/>
      <c r="T20" s="159"/>
      <c r="U20" s="354">
        <f t="shared" si="4"/>
        <v>70</v>
      </c>
      <c r="V20" s="355" t="str">
        <f>IF(U20&gt;KKM!$G$10,"A",IF(U20&gt;KKM!$H$10,"B",IF(U20&gt;=KKM!$I$10,"C","D")))</f>
        <v>C</v>
      </c>
      <c r="W20" s="356">
        <f t="shared" si="0"/>
        <v>70</v>
      </c>
      <c r="X20" s="361" t="str">
        <f>IF(W20&gt;KKM!$G$10," sangat baik ",IF(W20&gt;KKM!$H$10," baik ",IF(W20&gt;=KKM!$I$10," cukup baik "," perlu bimbingan ")))</f>
        <v xml:space="preserve"> cukup baik </v>
      </c>
      <c r="Y20" s="357">
        <f t="shared" si="1"/>
        <v>70</v>
      </c>
      <c r="Z20" s="361" t="str">
        <f>IF(Y20&gt;KKM!$G$10," sangat baik ",IF(Y20&gt;KKM!$H$10," baik ",IF(Y20&gt;=KKM!$I$10," cukup baik "," perlu bimbingan ")))</f>
        <v xml:space="preserve"> cukup baik </v>
      </c>
      <c r="AA20" s="353" t="str">
        <f t="shared" si="5"/>
        <v xml:space="preserve">HANA cukup baik  dalam menjelaskan, dan menentukan volume bangun ruang dengan menggunakan satuan volume (seperti kubus satuan) serta hubungan pangkat tiga dengan akar pangkat tiga
</v>
      </c>
      <c r="AB20" s="256"/>
      <c r="AC20" s="257" t="str">
        <f t="shared" si="2"/>
        <v xml:space="preserve"> cukup baik  dalam menjelaskan, dan menentukan volume bangun ruang dengan menggunakan satuan volume (seperti kubus satuan) serta hubungan pangkat tiga dengan akar pangkat tiga
</v>
      </c>
      <c r="AD20" s="257" t="str">
        <f t="shared" si="3"/>
        <v xml:space="preserve"> cukup baik  dalam menjelaskan, dan menentukan volume bangun ruang dengan menggunakan satuan volume (seperti kubus satuan) serta hubungan pangkat tiga dengan akar pangkat tiga
</v>
      </c>
      <c r="AE20"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20" s="257" t="str">
        <f t="shared" si="7"/>
        <v xml:space="preserve"> cukup baik  dalam menjelaskan, dan menentukan volume bangun ruang dengan menggunakan satuan volume (seperti kubus satuan) serta hubungan pangkat tiga dengan akar pangkat tiga
</v>
      </c>
      <c r="AG20" s="258" t="str">
        <f t="shared" si="8"/>
        <v xml:space="preserve"> cukup baik  dalam menjelaskan, dan menentukan volume bangun ruang dengan menggunakan satuan volume (seperti kubus satuan) serta hubungan pangkat tiga dengan akar pangkat tiga
</v>
      </c>
      <c r="AH20" s="252" t="str">
        <f t="shared" si="9"/>
        <v xml:space="preserve">HANA cukup baik  dalam menjelaskan, dan menentukan volume bangun ruang dengan menggunakan satuan volume (seperti kubus satuan) serta hubungan pangkat tiga dengan akar pangkat tiga
</v>
      </c>
      <c r="AI20" s="153"/>
      <c r="AR20" s="469">
        <f t="shared" si="10"/>
        <v>70</v>
      </c>
    </row>
    <row r="21" spans="2:44" ht="33.75" customHeight="1">
      <c r="B21" s="142">
        <v>17</v>
      </c>
      <c r="C21" s="143" t="str">
        <f>SISWA!B22</f>
        <v>1718250040321</v>
      </c>
      <c r="D21" s="144" t="str">
        <f>SISWA!E22</f>
        <v>MALLA</v>
      </c>
      <c r="E21" s="159">
        <v>70</v>
      </c>
      <c r="F21" s="160">
        <v>70</v>
      </c>
      <c r="G21" s="159">
        <v>70</v>
      </c>
      <c r="H21" s="160">
        <v>70</v>
      </c>
      <c r="I21" s="160"/>
      <c r="J21" s="159"/>
      <c r="K21" s="159"/>
      <c r="L21" s="159"/>
      <c r="M21" s="159"/>
      <c r="N21" s="159"/>
      <c r="O21" s="159"/>
      <c r="P21" s="159"/>
      <c r="Q21" s="159"/>
      <c r="R21" s="160"/>
      <c r="S21" s="160"/>
      <c r="T21" s="159"/>
      <c r="U21" s="354">
        <f t="shared" si="4"/>
        <v>70</v>
      </c>
      <c r="V21" s="355" t="str">
        <f>IF(U21&gt;KKM!$G$10,"A",IF(U21&gt;KKM!$H$10,"B",IF(U21&gt;=KKM!$I$10,"C","D")))</f>
        <v>C</v>
      </c>
      <c r="W21" s="356">
        <f t="shared" si="0"/>
        <v>70</v>
      </c>
      <c r="X21" s="361" t="str">
        <f>IF(W21&gt;KKM!$G$10," sangat baik ",IF(W21&gt;KKM!$H$10," baik ",IF(W21&gt;=KKM!$I$10," cukup baik "," perlu bimbingan ")))</f>
        <v xml:space="preserve"> cukup baik </v>
      </c>
      <c r="Y21" s="357">
        <f t="shared" si="1"/>
        <v>70</v>
      </c>
      <c r="Z21" s="361" t="str">
        <f>IF(Y21&gt;KKM!$G$10," sangat baik ",IF(Y21&gt;KKM!$H$10," baik ",IF(Y21&gt;=KKM!$I$10," cukup baik "," perlu bimbingan ")))</f>
        <v xml:space="preserve"> cukup baik </v>
      </c>
      <c r="AA21" s="353" t="str">
        <f t="shared" si="5"/>
        <v xml:space="preserve">MALLA cukup baik  dalam menjelaskan, dan menentukan volume bangun ruang dengan menggunakan satuan volume (seperti kubus satuan) serta hubungan pangkat tiga dengan akar pangkat tiga
</v>
      </c>
      <c r="AB21" s="256"/>
      <c r="AC21" s="257" t="str">
        <f t="shared" si="2"/>
        <v xml:space="preserve"> cukup baik  dalam menjelaskan, dan menentukan volume bangun ruang dengan menggunakan satuan volume (seperti kubus satuan) serta hubungan pangkat tiga dengan akar pangkat tiga
</v>
      </c>
      <c r="AD21" s="257" t="str">
        <f t="shared" si="3"/>
        <v xml:space="preserve"> cukup baik  dalam menjelaskan, dan menentukan volume bangun ruang dengan menggunakan satuan volume (seperti kubus satuan) serta hubungan pangkat tiga dengan akar pangkat tiga
</v>
      </c>
      <c r="AE21"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21" s="257" t="str">
        <f t="shared" si="7"/>
        <v xml:space="preserve"> cukup baik  dalam menjelaskan, dan menentukan volume bangun ruang dengan menggunakan satuan volume (seperti kubus satuan) serta hubungan pangkat tiga dengan akar pangkat tiga
</v>
      </c>
      <c r="AG21" s="258" t="str">
        <f t="shared" si="8"/>
        <v xml:space="preserve"> cukup baik  dalam menjelaskan, dan menentukan volume bangun ruang dengan menggunakan satuan volume (seperti kubus satuan) serta hubungan pangkat tiga dengan akar pangkat tiga
</v>
      </c>
      <c r="AH21" s="252" t="str">
        <f t="shared" si="9"/>
        <v xml:space="preserve">MALLA cukup baik  dalam menjelaskan, dan menentukan volume bangun ruang dengan menggunakan satuan volume (seperti kubus satuan) serta hubungan pangkat tiga dengan akar pangkat tiga
</v>
      </c>
      <c r="AI21" s="153"/>
      <c r="AR21" s="469">
        <f t="shared" si="10"/>
        <v>70</v>
      </c>
    </row>
    <row r="22" spans="2:44" ht="33.75" customHeight="1">
      <c r="B22" s="142">
        <v>18</v>
      </c>
      <c r="C22" s="143" t="str">
        <f>SISWA!B23</f>
        <v>1718250040322</v>
      </c>
      <c r="D22" s="144" t="str">
        <f>SISWA!E23</f>
        <v>INTAN</v>
      </c>
      <c r="E22" s="159">
        <v>70</v>
      </c>
      <c r="F22" s="160">
        <v>70</v>
      </c>
      <c r="G22" s="159">
        <v>70</v>
      </c>
      <c r="H22" s="160">
        <v>70</v>
      </c>
      <c r="I22" s="160"/>
      <c r="J22" s="159"/>
      <c r="K22" s="159"/>
      <c r="L22" s="159"/>
      <c r="M22" s="159"/>
      <c r="N22" s="159"/>
      <c r="O22" s="159"/>
      <c r="P22" s="159"/>
      <c r="Q22" s="159"/>
      <c r="R22" s="160"/>
      <c r="S22" s="160"/>
      <c r="T22" s="159"/>
      <c r="U22" s="354">
        <f t="shared" si="4"/>
        <v>70</v>
      </c>
      <c r="V22" s="355" t="str">
        <f>IF(U22&gt;KKM!$G$10,"A",IF(U22&gt;KKM!$H$10,"B",IF(U22&gt;=KKM!$I$10,"C","D")))</f>
        <v>C</v>
      </c>
      <c r="W22" s="356">
        <f t="shared" si="0"/>
        <v>70</v>
      </c>
      <c r="X22" s="361" t="str">
        <f>IF(W22&gt;KKM!$G$10," sangat baik ",IF(W22&gt;KKM!$H$10," baik ",IF(W22&gt;=KKM!$I$10," cukup baik "," perlu bimbingan ")))</f>
        <v xml:space="preserve"> cukup baik </v>
      </c>
      <c r="Y22" s="357">
        <f t="shared" si="1"/>
        <v>70</v>
      </c>
      <c r="Z22" s="361" t="str">
        <f>IF(Y22&gt;KKM!$G$10," sangat baik ",IF(Y22&gt;KKM!$H$10," baik ",IF(Y22&gt;=KKM!$I$10," cukup baik "," perlu bimbingan ")))</f>
        <v xml:space="preserve"> cukup baik </v>
      </c>
      <c r="AA22" s="353" t="str">
        <f t="shared" si="5"/>
        <v xml:space="preserve">INTAN cukup baik  dalam menjelaskan, dan menentukan volume bangun ruang dengan menggunakan satuan volume (seperti kubus satuan) serta hubungan pangkat tiga dengan akar pangkat tiga
</v>
      </c>
      <c r="AB22" s="256"/>
      <c r="AC22" s="257" t="str">
        <f t="shared" si="2"/>
        <v xml:space="preserve"> cukup baik  dalam menjelaskan, dan menentukan volume bangun ruang dengan menggunakan satuan volume (seperti kubus satuan) serta hubungan pangkat tiga dengan akar pangkat tiga
</v>
      </c>
      <c r="AD22" s="257" t="str">
        <f t="shared" si="3"/>
        <v xml:space="preserve"> cukup baik  dalam menjelaskan, dan menentukan volume bangun ruang dengan menggunakan satuan volume (seperti kubus satuan) serta hubungan pangkat tiga dengan akar pangkat tiga
</v>
      </c>
      <c r="AE22"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22" s="257" t="str">
        <f t="shared" si="7"/>
        <v xml:space="preserve"> cukup baik  dalam menjelaskan, dan menentukan volume bangun ruang dengan menggunakan satuan volume (seperti kubus satuan) serta hubungan pangkat tiga dengan akar pangkat tiga
</v>
      </c>
      <c r="AG22" s="258" t="str">
        <f t="shared" si="8"/>
        <v xml:space="preserve"> cukup baik  dalam menjelaskan, dan menentukan volume bangun ruang dengan menggunakan satuan volume (seperti kubus satuan) serta hubungan pangkat tiga dengan akar pangkat tiga
</v>
      </c>
      <c r="AH22" s="252" t="str">
        <f t="shared" si="9"/>
        <v xml:space="preserve">INTAN cukup baik  dalam menjelaskan, dan menentukan volume bangun ruang dengan menggunakan satuan volume (seperti kubus satuan) serta hubungan pangkat tiga dengan akar pangkat tiga
</v>
      </c>
      <c r="AI22" s="153"/>
      <c r="AR22" s="469">
        <f t="shared" si="10"/>
        <v>70</v>
      </c>
    </row>
    <row r="23" spans="2:44" ht="33.75" customHeight="1">
      <c r="B23" s="142">
        <v>19</v>
      </c>
      <c r="C23" s="143" t="str">
        <f>SISWA!B24</f>
        <v>1718250040323</v>
      </c>
      <c r="D23" s="144" t="str">
        <f>SISWA!E24</f>
        <v>JORDY</v>
      </c>
      <c r="E23" s="159">
        <v>75</v>
      </c>
      <c r="F23" s="160">
        <v>75</v>
      </c>
      <c r="G23" s="159">
        <v>75</v>
      </c>
      <c r="H23" s="160">
        <v>75</v>
      </c>
      <c r="I23" s="160"/>
      <c r="J23" s="159"/>
      <c r="K23" s="159"/>
      <c r="L23" s="159"/>
      <c r="M23" s="159"/>
      <c r="N23" s="159"/>
      <c r="O23" s="159"/>
      <c r="P23" s="159"/>
      <c r="Q23" s="159"/>
      <c r="R23" s="160"/>
      <c r="S23" s="160"/>
      <c r="T23" s="159"/>
      <c r="U23" s="354">
        <f t="shared" si="4"/>
        <v>75</v>
      </c>
      <c r="V23" s="355" t="str">
        <f>IF(U23&gt;KKM!$G$10,"A",IF(U23&gt;KKM!$H$10,"B",IF(U23&gt;=KKM!$I$10,"C","D")))</f>
        <v>C</v>
      </c>
      <c r="W23" s="356">
        <f t="shared" si="0"/>
        <v>75</v>
      </c>
      <c r="X23" s="361" t="str">
        <f>IF(W23&gt;KKM!$G$10," sangat baik ",IF(W23&gt;KKM!$H$10," baik ",IF(W23&gt;=KKM!$I$10," cukup baik "," perlu bimbingan ")))</f>
        <v xml:space="preserve"> cukup baik </v>
      </c>
      <c r="Y23" s="357">
        <f t="shared" si="1"/>
        <v>75</v>
      </c>
      <c r="Z23" s="361" t="str">
        <f>IF(Y23&gt;KKM!$G$10," sangat baik ",IF(Y23&gt;KKM!$H$10," baik ",IF(Y23&gt;=KKM!$I$10," cukup baik "," perlu bimbingan ")))</f>
        <v xml:space="preserve"> cukup baik </v>
      </c>
      <c r="AA23" s="353" t="str">
        <f t="shared" si="5"/>
        <v xml:space="preserve">JORDY cukup baik  dalam menjelaskan, dan menentukan volume bangun ruang dengan menggunakan satuan volume (seperti kubus satuan) serta hubungan pangkat tiga dengan akar pangkat tiga
</v>
      </c>
      <c r="AB23" s="256"/>
      <c r="AC23" s="257" t="str">
        <f t="shared" si="2"/>
        <v xml:space="preserve"> cukup baik  dalam menjelaskan, dan menentukan volume bangun ruang dengan menggunakan satuan volume (seperti kubus satuan) serta hubungan pangkat tiga dengan akar pangkat tiga
</v>
      </c>
      <c r="AD23" s="257" t="str">
        <f t="shared" si="3"/>
        <v xml:space="preserve"> cukup baik  dalam menjelaskan, dan menentukan volume bangun ruang dengan menggunakan satuan volume (seperti kubus satuan) serta hubungan pangkat tiga dengan akar pangkat tiga
</v>
      </c>
      <c r="AE23"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23" s="257" t="str">
        <f t="shared" si="7"/>
        <v xml:space="preserve"> cukup baik  dalam menjelaskan, dan menentukan volume bangun ruang dengan menggunakan satuan volume (seperti kubus satuan) serta hubungan pangkat tiga dengan akar pangkat tiga
</v>
      </c>
      <c r="AG23" s="258" t="str">
        <f t="shared" si="8"/>
        <v xml:space="preserve"> cukup baik  dalam menjelaskan, dan menentukan volume bangun ruang dengan menggunakan satuan volume (seperti kubus satuan) serta hubungan pangkat tiga dengan akar pangkat tiga
</v>
      </c>
      <c r="AH23" s="252" t="str">
        <f t="shared" si="9"/>
        <v xml:space="preserve">JORDY cukup baik  dalam menjelaskan, dan menentukan volume bangun ruang dengan menggunakan satuan volume (seperti kubus satuan) serta hubungan pangkat tiga dengan akar pangkat tiga
</v>
      </c>
      <c r="AI23" s="153"/>
      <c r="AR23" s="469">
        <f t="shared" si="10"/>
        <v>75</v>
      </c>
    </row>
    <row r="24" spans="2:44" ht="33.75" customHeight="1">
      <c r="B24" s="142">
        <v>20</v>
      </c>
      <c r="C24" s="143" t="str">
        <f>SISWA!B25</f>
        <v>1718250040324</v>
      </c>
      <c r="D24" s="144" t="str">
        <f>SISWA!E25</f>
        <v>KURNIA</v>
      </c>
      <c r="E24" s="159">
        <v>70</v>
      </c>
      <c r="F24" s="160">
        <v>70</v>
      </c>
      <c r="G24" s="159">
        <v>70</v>
      </c>
      <c r="H24" s="160">
        <v>70</v>
      </c>
      <c r="I24" s="160"/>
      <c r="J24" s="159"/>
      <c r="K24" s="159"/>
      <c r="L24" s="159"/>
      <c r="M24" s="159"/>
      <c r="N24" s="159"/>
      <c r="O24" s="159"/>
      <c r="P24" s="159"/>
      <c r="Q24" s="159"/>
      <c r="R24" s="160"/>
      <c r="S24" s="160"/>
      <c r="T24" s="159"/>
      <c r="U24" s="354">
        <f t="shared" si="4"/>
        <v>70</v>
      </c>
      <c r="V24" s="355" t="str">
        <f>IF(U24&gt;KKM!$G$10,"A",IF(U24&gt;KKM!$H$10,"B",IF(U24&gt;=KKM!$I$10,"C","D")))</f>
        <v>C</v>
      </c>
      <c r="W24" s="356">
        <f t="shared" si="0"/>
        <v>70</v>
      </c>
      <c r="X24" s="361" t="str">
        <f>IF(W24&gt;KKM!$G$10," sangat baik ",IF(W24&gt;KKM!$H$10," baik ",IF(W24&gt;=KKM!$I$10," cukup baik "," perlu bimbingan ")))</f>
        <v xml:space="preserve"> cukup baik </v>
      </c>
      <c r="Y24" s="357">
        <f t="shared" si="1"/>
        <v>70</v>
      </c>
      <c r="Z24" s="361" t="str">
        <f>IF(Y24&gt;KKM!$G$10," sangat baik ",IF(Y24&gt;KKM!$H$10," baik ",IF(Y24&gt;=KKM!$I$10," cukup baik "," perlu bimbingan ")))</f>
        <v xml:space="preserve"> cukup baik </v>
      </c>
      <c r="AA24" s="353" t="str">
        <f t="shared" si="5"/>
        <v xml:space="preserve">KURNIA cukup baik  dalam menjelaskan, dan menentukan volume bangun ruang dengan menggunakan satuan volume (seperti kubus satuan) serta hubungan pangkat tiga dengan akar pangkat tiga
</v>
      </c>
      <c r="AB24" s="256"/>
      <c r="AC24" s="257" t="str">
        <f t="shared" si="2"/>
        <v xml:space="preserve"> cukup baik  dalam menjelaskan, dan menentukan volume bangun ruang dengan menggunakan satuan volume (seperti kubus satuan) serta hubungan pangkat tiga dengan akar pangkat tiga
</v>
      </c>
      <c r="AD24" s="257" t="str">
        <f t="shared" si="3"/>
        <v xml:space="preserve"> cukup baik  dalam menjelaskan, dan menentukan volume bangun ruang dengan menggunakan satuan volume (seperti kubus satuan) serta hubungan pangkat tiga dengan akar pangkat tiga
</v>
      </c>
      <c r="AE24"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24" s="257" t="str">
        <f t="shared" si="7"/>
        <v xml:space="preserve"> cukup baik  dalam menjelaskan, dan menentukan volume bangun ruang dengan menggunakan satuan volume (seperti kubus satuan) serta hubungan pangkat tiga dengan akar pangkat tiga
</v>
      </c>
      <c r="AG24" s="258" t="str">
        <f t="shared" si="8"/>
        <v xml:space="preserve"> cukup baik  dalam menjelaskan, dan menentukan volume bangun ruang dengan menggunakan satuan volume (seperti kubus satuan) serta hubungan pangkat tiga dengan akar pangkat tiga
</v>
      </c>
      <c r="AH24" s="252" t="str">
        <f t="shared" si="9"/>
        <v xml:space="preserve">KURNIA cukup baik  dalam menjelaskan, dan menentukan volume bangun ruang dengan menggunakan satuan volume (seperti kubus satuan) serta hubungan pangkat tiga dengan akar pangkat tiga
</v>
      </c>
      <c r="AI24" s="153"/>
      <c r="AR24" s="469">
        <f t="shared" si="10"/>
        <v>70</v>
      </c>
    </row>
    <row r="25" spans="2:44" ht="33.75" customHeight="1">
      <c r="B25" s="142">
        <v>21</v>
      </c>
      <c r="C25" s="143" t="str">
        <f>SISWA!B26</f>
        <v>1718250040325</v>
      </c>
      <c r="D25" s="144" t="str">
        <f>SISWA!E26</f>
        <v>LATIZA</v>
      </c>
      <c r="E25" s="159">
        <v>95</v>
      </c>
      <c r="F25" s="160">
        <v>95</v>
      </c>
      <c r="G25" s="159">
        <v>95</v>
      </c>
      <c r="H25" s="160">
        <v>95</v>
      </c>
      <c r="I25" s="160"/>
      <c r="J25" s="159"/>
      <c r="K25" s="159"/>
      <c r="L25" s="159"/>
      <c r="M25" s="159"/>
      <c r="N25" s="159"/>
      <c r="O25" s="159"/>
      <c r="P25" s="159"/>
      <c r="Q25" s="159"/>
      <c r="R25" s="160"/>
      <c r="S25" s="160"/>
      <c r="T25" s="159"/>
      <c r="U25" s="354">
        <f t="shared" si="4"/>
        <v>95</v>
      </c>
      <c r="V25" s="355" t="str">
        <f>IF(U25&gt;KKM!$G$10,"A",IF(U25&gt;KKM!$H$10,"B",IF(U25&gt;=KKM!$I$10,"C","D")))</f>
        <v>A</v>
      </c>
      <c r="W25" s="356">
        <f t="shared" si="0"/>
        <v>95</v>
      </c>
      <c r="X25" s="361" t="str">
        <f>IF(W25&gt;KKM!$G$10," sangat baik ",IF(W25&gt;KKM!$H$10," baik ",IF(W25&gt;=KKM!$I$10," cukup baik "," perlu bimbingan ")))</f>
        <v xml:space="preserve"> sangat baik </v>
      </c>
      <c r="Y25" s="357">
        <f t="shared" si="1"/>
        <v>95</v>
      </c>
      <c r="Z25" s="361" t="str">
        <f>IF(Y25&gt;KKM!$G$10," sangat baik ",IF(Y25&gt;KKM!$H$10," baik ",IF(Y25&gt;=KKM!$I$10," cukup baik "," perlu bimbingan ")))</f>
        <v xml:space="preserve"> sangat baik </v>
      </c>
      <c r="AA25" s="353" t="str">
        <f t="shared" si="5"/>
        <v xml:space="preserve">LATIZA sangat baik  dalam menjelaskan, dan menentukan volume bangun ruang dengan menggunakan satuan volume (seperti kubus satuan) serta hubungan pangkat tiga dengan akar pangkat tiga
</v>
      </c>
      <c r="AB25" s="256"/>
      <c r="AC25" s="257" t="str">
        <f t="shared" si="2"/>
        <v xml:space="preserve"> sangat baik  dalam menjelaskan, dan menentukan volume bangun ruang dengan menggunakan satuan volume (seperti kubus satuan) serta hubungan pangkat tiga dengan akar pangkat tiga
</v>
      </c>
      <c r="AD25" s="257" t="str">
        <f t="shared" si="3"/>
        <v xml:space="preserve"> sangat baik  dalam menjelaskan, dan menentukan volume bangun ruang dengan menggunakan satuan volume (seperti kubus satuan) serta hubungan pangkat tiga dengan akar pangkat tiga
</v>
      </c>
      <c r="AE25" s="257" t="str">
        <f t="shared" si="6"/>
        <v xml:space="preserve"> sangat baik  dalam menjelaskan, dan menentukan volume bangun ruang dengan menggunakan satuan volume (seperti kubus satuan) serta hubungan pangkat tiga dengan akar pangkat tiga
, dan  sangat baik  dalam menjelaskan, dan menentukan volume bangun ruang dengan menggunakan satuan volume (seperti kubus satuan) serta hubungan pangkat tiga dengan akar pangkat tiga
</v>
      </c>
      <c r="AF25" s="257" t="str">
        <f t="shared" si="7"/>
        <v xml:space="preserve"> sangat baik  dalam menjelaskan, dan menentukan volume bangun ruang dengan menggunakan satuan volume (seperti kubus satuan) serta hubungan pangkat tiga dengan akar pangkat tiga
</v>
      </c>
      <c r="AG25" s="258" t="str">
        <f t="shared" si="8"/>
        <v xml:space="preserve"> sangat baik  dalam menjelaskan, dan menentukan volume bangun ruang dengan menggunakan satuan volume (seperti kubus satuan) serta hubungan pangkat tiga dengan akar pangkat tiga
</v>
      </c>
      <c r="AH25" s="252" t="str">
        <f t="shared" si="9"/>
        <v xml:space="preserve">LATIZA sangat baik  dalam menjelaskan, dan menentukan volume bangun ruang dengan menggunakan satuan volume (seperti kubus satuan) serta hubungan pangkat tiga dengan akar pangkat tiga
</v>
      </c>
      <c r="AI25" s="153"/>
      <c r="AR25" s="469">
        <f t="shared" si="10"/>
        <v>95</v>
      </c>
    </row>
    <row r="26" spans="2:44" ht="33.75" customHeight="1">
      <c r="B26" s="142">
        <v>22</v>
      </c>
      <c r="C26" s="143" t="str">
        <f>SISWA!B27</f>
        <v>1718250040326</v>
      </c>
      <c r="D26" s="144" t="str">
        <f>SISWA!E27</f>
        <v>RIZKY</v>
      </c>
      <c r="E26" s="159">
        <v>75</v>
      </c>
      <c r="F26" s="160">
        <v>75</v>
      </c>
      <c r="G26" s="159">
        <v>75</v>
      </c>
      <c r="H26" s="160">
        <v>75</v>
      </c>
      <c r="I26" s="160"/>
      <c r="J26" s="159"/>
      <c r="K26" s="159"/>
      <c r="L26" s="159"/>
      <c r="M26" s="159"/>
      <c r="N26" s="159"/>
      <c r="O26" s="159"/>
      <c r="P26" s="159"/>
      <c r="Q26" s="159"/>
      <c r="R26" s="160"/>
      <c r="S26" s="160"/>
      <c r="T26" s="159"/>
      <c r="U26" s="354">
        <f t="shared" si="4"/>
        <v>75</v>
      </c>
      <c r="V26" s="355" t="str">
        <f>IF(U26&gt;KKM!$G$10,"A",IF(U26&gt;KKM!$H$10,"B",IF(U26&gt;=KKM!$I$10,"C","D")))</f>
        <v>C</v>
      </c>
      <c r="W26" s="356">
        <f t="shared" si="0"/>
        <v>75</v>
      </c>
      <c r="X26" s="361" t="str">
        <f>IF(W26&gt;KKM!$G$10," sangat baik ",IF(W26&gt;KKM!$H$10," baik ",IF(W26&gt;=KKM!$I$10," cukup baik "," perlu bimbingan ")))</f>
        <v xml:space="preserve"> cukup baik </v>
      </c>
      <c r="Y26" s="357">
        <f t="shared" si="1"/>
        <v>75</v>
      </c>
      <c r="Z26" s="361" t="str">
        <f>IF(Y26&gt;KKM!$G$10," sangat baik ",IF(Y26&gt;KKM!$H$10," baik ",IF(Y26&gt;=KKM!$I$10," cukup baik "," perlu bimbingan ")))</f>
        <v xml:space="preserve"> cukup baik </v>
      </c>
      <c r="AA26" s="353" t="str">
        <f t="shared" si="5"/>
        <v xml:space="preserve">RIZKY cukup baik  dalam menjelaskan, dan menentukan volume bangun ruang dengan menggunakan satuan volume (seperti kubus satuan) serta hubungan pangkat tiga dengan akar pangkat tiga
</v>
      </c>
      <c r="AB26" s="256"/>
      <c r="AC26" s="257" t="str">
        <f t="shared" si="2"/>
        <v xml:space="preserve"> cukup baik  dalam menjelaskan, dan menentukan volume bangun ruang dengan menggunakan satuan volume (seperti kubus satuan) serta hubungan pangkat tiga dengan akar pangkat tiga
</v>
      </c>
      <c r="AD26" s="257" t="str">
        <f t="shared" si="3"/>
        <v xml:space="preserve"> cukup baik  dalam menjelaskan, dan menentukan volume bangun ruang dengan menggunakan satuan volume (seperti kubus satuan) serta hubungan pangkat tiga dengan akar pangkat tiga
</v>
      </c>
      <c r="AE26"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26" s="257" t="str">
        <f t="shared" si="7"/>
        <v xml:space="preserve"> cukup baik  dalam menjelaskan, dan menentukan volume bangun ruang dengan menggunakan satuan volume (seperti kubus satuan) serta hubungan pangkat tiga dengan akar pangkat tiga
</v>
      </c>
      <c r="AG26" s="258" t="str">
        <f t="shared" si="8"/>
        <v xml:space="preserve"> cukup baik  dalam menjelaskan, dan menentukan volume bangun ruang dengan menggunakan satuan volume (seperti kubus satuan) serta hubungan pangkat tiga dengan akar pangkat tiga
</v>
      </c>
      <c r="AH26" s="252" t="str">
        <f t="shared" si="9"/>
        <v xml:space="preserve">RIZKY cukup baik  dalam menjelaskan, dan menentukan volume bangun ruang dengan menggunakan satuan volume (seperti kubus satuan) serta hubungan pangkat tiga dengan akar pangkat tiga
</v>
      </c>
      <c r="AI26" s="153"/>
      <c r="AR26" s="469">
        <f t="shared" si="10"/>
        <v>75</v>
      </c>
    </row>
    <row r="27" spans="2:44" ht="33.75" customHeight="1">
      <c r="B27" s="142">
        <v>23</v>
      </c>
      <c r="C27" s="143" t="str">
        <f>SISWA!B28</f>
        <v>1718250040327</v>
      </c>
      <c r="D27" s="144" t="str">
        <f>SISWA!E28</f>
        <v>RAMADHANDANI</v>
      </c>
      <c r="E27" s="159">
        <v>70</v>
      </c>
      <c r="F27" s="160">
        <v>70</v>
      </c>
      <c r="G27" s="159">
        <v>70</v>
      </c>
      <c r="H27" s="160">
        <v>70</v>
      </c>
      <c r="I27" s="160"/>
      <c r="J27" s="159"/>
      <c r="K27" s="159"/>
      <c r="L27" s="159"/>
      <c r="M27" s="159"/>
      <c r="N27" s="159"/>
      <c r="O27" s="159"/>
      <c r="P27" s="159"/>
      <c r="Q27" s="159"/>
      <c r="R27" s="160"/>
      <c r="S27" s="160"/>
      <c r="T27" s="159"/>
      <c r="U27" s="354">
        <f t="shared" si="4"/>
        <v>70</v>
      </c>
      <c r="V27" s="355" t="str">
        <f>IF(U27&gt;KKM!$G$10,"A",IF(U27&gt;KKM!$H$10,"B",IF(U27&gt;=KKM!$I$10,"C","D")))</f>
        <v>C</v>
      </c>
      <c r="W27" s="356">
        <f t="shared" si="0"/>
        <v>70</v>
      </c>
      <c r="X27" s="361" t="str">
        <f>IF(W27&gt;KKM!$G$10," sangat baik ",IF(W27&gt;KKM!$H$10," baik ",IF(W27&gt;=KKM!$I$10," cukup baik "," perlu bimbingan ")))</f>
        <v xml:space="preserve"> cukup baik </v>
      </c>
      <c r="Y27" s="357">
        <f t="shared" si="1"/>
        <v>70</v>
      </c>
      <c r="Z27" s="361" t="str">
        <f>IF(Y27&gt;KKM!$G$10," sangat baik ",IF(Y27&gt;KKM!$H$10," baik ",IF(Y27&gt;=KKM!$I$10," cukup baik "," perlu bimbingan ")))</f>
        <v xml:space="preserve"> cukup baik </v>
      </c>
      <c r="AA27" s="353" t="str">
        <f t="shared" si="5"/>
        <v xml:space="preserve">RAMADHANDANI cukup baik  dalam menjelaskan, dan menentukan volume bangun ruang dengan menggunakan satuan volume (seperti kubus satuan) serta hubungan pangkat tiga dengan akar pangkat tiga
</v>
      </c>
      <c r="AB27" s="256"/>
      <c r="AC27" s="257" t="str">
        <f t="shared" si="2"/>
        <v xml:space="preserve"> cukup baik  dalam menjelaskan, dan menentukan volume bangun ruang dengan menggunakan satuan volume (seperti kubus satuan) serta hubungan pangkat tiga dengan akar pangkat tiga
</v>
      </c>
      <c r="AD27" s="257" t="str">
        <f t="shared" si="3"/>
        <v xml:space="preserve"> cukup baik  dalam menjelaskan, dan menentukan volume bangun ruang dengan menggunakan satuan volume (seperti kubus satuan) serta hubungan pangkat tiga dengan akar pangkat tiga
</v>
      </c>
      <c r="AE27"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27" s="257" t="str">
        <f t="shared" si="7"/>
        <v xml:space="preserve"> cukup baik  dalam menjelaskan, dan menentukan volume bangun ruang dengan menggunakan satuan volume (seperti kubus satuan) serta hubungan pangkat tiga dengan akar pangkat tiga
</v>
      </c>
      <c r="AG27" s="258" t="str">
        <f t="shared" si="8"/>
        <v xml:space="preserve"> cukup baik  dalam menjelaskan, dan menentukan volume bangun ruang dengan menggunakan satuan volume (seperti kubus satuan) serta hubungan pangkat tiga dengan akar pangkat tiga
</v>
      </c>
      <c r="AH27" s="252" t="str">
        <f t="shared" si="9"/>
        <v xml:space="preserve">RAMADHANDANI cukup baik  dalam menjelaskan, dan menentukan volume bangun ruang dengan menggunakan satuan volume (seperti kubus satuan) serta hubungan pangkat tiga dengan akar pangkat tiga
</v>
      </c>
      <c r="AI27" s="153"/>
      <c r="AR27" s="469">
        <f t="shared" si="10"/>
        <v>70</v>
      </c>
    </row>
    <row r="28" spans="2:44" ht="33.75" customHeight="1">
      <c r="B28" s="142">
        <v>24</v>
      </c>
      <c r="C28" s="143" t="str">
        <f>SISWA!B29</f>
        <v>1718250040328</v>
      </c>
      <c r="D28" s="144" t="str">
        <f>SISWA!E29</f>
        <v>SYAEPUL</v>
      </c>
      <c r="E28" s="159">
        <v>70</v>
      </c>
      <c r="F28" s="160">
        <v>70</v>
      </c>
      <c r="G28" s="159">
        <v>70</v>
      </c>
      <c r="H28" s="160">
        <v>70</v>
      </c>
      <c r="I28" s="160"/>
      <c r="J28" s="159"/>
      <c r="K28" s="159"/>
      <c r="L28" s="159"/>
      <c r="M28" s="159"/>
      <c r="N28" s="159"/>
      <c r="O28" s="159"/>
      <c r="P28" s="159"/>
      <c r="Q28" s="159"/>
      <c r="R28" s="160"/>
      <c r="S28" s="160"/>
      <c r="T28" s="159"/>
      <c r="U28" s="354">
        <f t="shared" si="4"/>
        <v>70</v>
      </c>
      <c r="V28" s="355" t="str">
        <f>IF(U28&gt;KKM!$G$10,"A",IF(U28&gt;KKM!$H$10,"B",IF(U28&gt;=KKM!$I$10,"C","D")))</f>
        <v>C</v>
      </c>
      <c r="W28" s="356">
        <f t="shared" si="0"/>
        <v>70</v>
      </c>
      <c r="X28" s="361" t="str">
        <f>IF(W28&gt;KKM!$G$10," sangat baik ",IF(W28&gt;KKM!$H$10," baik ",IF(W28&gt;=KKM!$I$10," cukup baik "," perlu bimbingan ")))</f>
        <v xml:space="preserve"> cukup baik </v>
      </c>
      <c r="Y28" s="357">
        <f t="shared" si="1"/>
        <v>70</v>
      </c>
      <c r="Z28" s="361" t="str">
        <f>IF(Y28&gt;KKM!$G$10," sangat baik ",IF(Y28&gt;KKM!$H$10," baik ",IF(Y28&gt;=KKM!$I$10," cukup baik "," perlu bimbingan ")))</f>
        <v xml:space="preserve"> cukup baik </v>
      </c>
      <c r="AA28" s="353" t="str">
        <f t="shared" si="5"/>
        <v xml:space="preserve">SYAEPUL cukup baik  dalam menjelaskan, dan menentukan volume bangun ruang dengan menggunakan satuan volume (seperti kubus satuan) serta hubungan pangkat tiga dengan akar pangkat tiga
</v>
      </c>
      <c r="AB28" s="256"/>
      <c r="AC28" s="257" t="str">
        <f t="shared" si="2"/>
        <v xml:space="preserve"> cukup baik  dalam menjelaskan, dan menentukan volume bangun ruang dengan menggunakan satuan volume (seperti kubus satuan) serta hubungan pangkat tiga dengan akar pangkat tiga
</v>
      </c>
      <c r="AD28" s="257" t="str">
        <f t="shared" si="3"/>
        <v xml:space="preserve"> cukup baik  dalam menjelaskan, dan menentukan volume bangun ruang dengan menggunakan satuan volume (seperti kubus satuan) serta hubungan pangkat tiga dengan akar pangkat tiga
</v>
      </c>
      <c r="AE28"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28" s="257" t="str">
        <f t="shared" si="7"/>
        <v xml:space="preserve"> cukup baik  dalam menjelaskan, dan menentukan volume bangun ruang dengan menggunakan satuan volume (seperti kubus satuan) serta hubungan pangkat tiga dengan akar pangkat tiga
</v>
      </c>
      <c r="AG28" s="258" t="str">
        <f t="shared" si="8"/>
        <v xml:space="preserve"> cukup baik  dalam menjelaskan, dan menentukan volume bangun ruang dengan menggunakan satuan volume (seperti kubus satuan) serta hubungan pangkat tiga dengan akar pangkat tiga
</v>
      </c>
      <c r="AH28" s="252" t="str">
        <f t="shared" si="9"/>
        <v xml:space="preserve">SYAEPUL cukup baik  dalam menjelaskan, dan menentukan volume bangun ruang dengan menggunakan satuan volume (seperti kubus satuan) serta hubungan pangkat tiga dengan akar pangkat tiga
</v>
      </c>
      <c r="AI28" s="153"/>
      <c r="AR28" s="469">
        <f t="shared" si="10"/>
        <v>70</v>
      </c>
    </row>
    <row r="29" spans="2:44" ht="33.75" customHeight="1">
      <c r="B29" s="142">
        <v>25</v>
      </c>
      <c r="C29" s="143" t="str">
        <f>SISWA!B30</f>
        <v>1718250040329</v>
      </c>
      <c r="D29" s="144" t="str">
        <f>SISWA!E30</f>
        <v>ALIF</v>
      </c>
      <c r="E29" s="159">
        <v>75</v>
      </c>
      <c r="F29" s="160">
        <v>75</v>
      </c>
      <c r="G29" s="159">
        <v>75</v>
      </c>
      <c r="H29" s="160">
        <v>75</v>
      </c>
      <c r="I29" s="160"/>
      <c r="J29" s="159"/>
      <c r="K29" s="159"/>
      <c r="L29" s="159"/>
      <c r="M29" s="159"/>
      <c r="N29" s="159"/>
      <c r="O29" s="159"/>
      <c r="P29" s="159"/>
      <c r="Q29" s="159"/>
      <c r="R29" s="160"/>
      <c r="S29" s="160"/>
      <c r="T29" s="159"/>
      <c r="U29" s="354">
        <f t="shared" si="4"/>
        <v>75</v>
      </c>
      <c r="V29" s="355" t="str">
        <f>IF(U29&gt;KKM!$G$10,"A",IF(U29&gt;KKM!$H$10,"B",IF(U29&gt;=KKM!$I$10,"C","D")))</f>
        <v>C</v>
      </c>
      <c r="W29" s="356">
        <f t="shared" si="0"/>
        <v>75</v>
      </c>
      <c r="X29" s="361" t="str">
        <f>IF(W29&gt;KKM!$G$10," sangat baik ",IF(W29&gt;KKM!$H$10," baik ",IF(W29&gt;=KKM!$I$10," cukup baik "," perlu bimbingan ")))</f>
        <v xml:space="preserve"> cukup baik </v>
      </c>
      <c r="Y29" s="357">
        <f t="shared" si="1"/>
        <v>75</v>
      </c>
      <c r="Z29" s="361" t="str">
        <f>IF(Y29&gt;KKM!$G$10," sangat baik ",IF(Y29&gt;KKM!$H$10," baik ",IF(Y29&gt;=KKM!$I$10," cukup baik "," perlu bimbingan ")))</f>
        <v xml:space="preserve"> cukup baik </v>
      </c>
      <c r="AA29" s="353" t="str">
        <f t="shared" si="5"/>
        <v xml:space="preserve">ALIF cukup baik  dalam menjelaskan, dan menentukan volume bangun ruang dengan menggunakan satuan volume (seperti kubus satuan) serta hubungan pangkat tiga dengan akar pangkat tiga
</v>
      </c>
      <c r="AB29" s="256"/>
      <c r="AC29" s="257" t="str">
        <f t="shared" si="2"/>
        <v xml:space="preserve"> cukup baik  dalam menjelaskan, dan menentukan volume bangun ruang dengan menggunakan satuan volume (seperti kubus satuan) serta hubungan pangkat tiga dengan akar pangkat tiga
</v>
      </c>
      <c r="AD29" s="257" t="str">
        <f t="shared" si="3"/>
        <v xml:space="preserve"> cukup baik  dalam menjelaskan, dan menentukan volume bangun ruang dengan menggunakan satuan volume (seperti kubus satuan) serta hubungan pangkat tiga dengan akar pangkat tiga
</v>
      </c>
      <c r="AE29"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29" s="257" t="str">
        <f t="shared" si="7"/>
        <v xml:space="preserve"> cukup baik  dalam menjelaskan, dan menentukan volume bangun ruang dengan menggunakan satuan volume (seperti kubus satuan) serta hubungan pangkat tiga dengan akar pangkat tiga
</v>
      </c>
      <c r="AG29" s="258" t="str">
        <f t="shared" si="8"/>
        <v xml:space="preserve"> cukup baik  dalam menjelaskan, dan menentukan volume bangun ruang dengan menggunakan satuan volume (seperti kubus satuan) serta hubungan pangkat tiga dengan akar pangkat tiga
</v>
      </c>
      <c r="AH29" s="252" t="str">
        <f t="shared" si="9"/>
        <v xml:space="preserve">ALIF cukup baik  dalam menjelaskan, dan menentukan volume bangun ruang dengan menggunakan satuan volume (seperti kubus satuan) serta hubungan pangkat tiga dengan akar pangkat tiga
</v>
      </c>
      <c r="AI29" s="153"/>
      <c r="AR29" s="469">
        <f t="shared" si="10"/>
        <v>75</v>
      </c>
    </row>
    <row r="30" spans="2:44" ht="33.75" customHeight="1">
      <c r="B30" s="142">
        <v>26</v>
      </c>
      <c r="C30" s="143" t="str">
        <f>SISWA!B31</f>
        <v>1718250040330</v>
      </c>
      <c r="D30" s="144" t="str">
        <f>SISWA!E31</f>
        <v>HIZKIEL</v>
      </c>
      <c r="E30" s="159">
        <v>70</v>
      </c>
      <c r="F30" s="160">
        <v>70</v>
      </c>
      <c r="G30" s="159">
        <v>70</v>
      </c>
      <c r="H30" s="160">
        <v>70</v>
      </c>
      <c r="I30" s="160"/>
      <c r="J30" s="159"/>
      <c r="K30" s="159"/>
      <c r="L30" s="159"/>
      <c r="M30" s="159"/>
      <c r="N30" s="159"/>
      <c r="O30" s="159"/>
      <c r="P30" s="159"/>
      <c r="Q30" s="159"/>
      <c r="R30" s="160"/>
      <c r="S30" s="160"/>
      <c r="T30" s="159"/>
      <c r="U30" s="354">
        <f t="shared" si="4"/>
        <v>70</v>
      </c>
      <c r="V30" s="355" t="str">
        <f>IF(U30&gt;KKM!$G$10,"A",IF(U30&gt;KKM!$H$10,"B",IF(U30&gt;=KKM!$I$10,"C","D")))</f>
        <v>C</v>
      </c>
      <c r="W30" s="356">
        <f t="shared" si="0"/>
        <v>70</v>
      </c>
      <c r="X30" s="361" t="str">
        <f>IF(W30&gt;KKM!$G$10," sangat baik ",IF(W30&gt;KKM!$H$10," baik ",IF(W30&gt;=KKM!$I$10," cukup baik "," perlu bimbingan ")))</f>
        <v xml:space="preserve"> cukup baik </v>
      </c>
      <c r="Y30" s="357">
        <f t="shared" si="1"/>
        <v>70</v>
      </c>
      <c r="Z30" s="361" t="str">
        <f>IF(Y30&gt;KKM!$G$10," sangat baik ",IF(Y30&gt;KKM!$H$10," baik ",IF(Y30&gt;=KKM!$I$10," cukup baik "," perlu bimbingan ")))</f>
        <v xml:space="preserve"> cukup baik </v>
      </c>
      <c r="AA30" s="353" t="str">
        <f t="shared" si="5"/>
        <v xml:space="preserve">HIZKIEL cukup baik  dalam menjelaskan, dan menentukan volume bangun ruang dengan menggunakan satuan volume (seperti kubus satuan) serta hubungan pangkat tiga dengan akar pangkat tiga
</v>
      </c>
      <c r="AB30" s="256"/>
      <c r="AC30" s="257" t="str">
        <f t="shared" si="2"/>
        <v xml:space="preserve"> cukup baik  dalam menjelaskan, dan menentukan volume bangun ruang dengan menggunakan satuan volume (seperti kubus satuan) serta hubungan pangkat tiga dengan akar pangkat tiga
</v>
      </c>
      <c r="AD30" s="257" t="str">
        <f t="shared" si="3"/>
        <v xml:space="preserve"> cukup baik  dalam menjelaskan, dan menentukan volume bangun ruang dengan menggunakan satuan volume (seperti kubus satuan) serta hubungan pangkat tiga dengan akar pangkat tiga
</v>
      </c>
      <c r="AE30"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30" s="257" t="str">
        <f t="shared" si="7"/>
        <v xml:space="preserve"> cukup baik  dalam menjelaskan, dan menentukan volume bangun ruang dengan menggunakan satuan volume (seperti kubus satuan) serta hubungan pangkat tiga dengan akar pangkat tiga
</v>
      </c>
      <c r="AG30" s="258" t="str">
        <f t="shared" si="8"/>
        <v xml:space="preserve"> cukup baik  dalam menjelaskan, dan menentukan volume bangun ruang dengan menggunakan satuan volume (seperti kubus satuan) serta hubungan pangkat tiga dengan akar pangkat tiga
</v>
      </c>
      <c r="AH30" s="252" t="str">
        <f t="shared" si="9"/>
        <v xml:space="preserve">HIZKIEL cukup baik  dalam menjelaskan, dan menentukan volume bangun ruang dengan menggunakan satuan volume (seperti kubus satuan) serta hubungan pangkat tiga dengan akar pangkat tiga
</v>
      </c>
      <c r="AI30" s="153"/>
      <c r="AR30" s="469">
        <f t="shared" si="10"/>
        <v>70</v>
      </c>
    </row>
    <row r="31" spans="2:44" ht="33.75" customHeight="1">
      <c r="B31" s="142">
        <v>27</v>
      </c>
      <c r="C31" s="143" t="str">
        <f>SISWA!B32</f>
        <v>1718250040331</v>
      </c>
      <c r="D31" s="144" t="str">
        <f>SISWA!E32</f>
        <v>LAEL</v>
      </c>
      <c r="E31" s="159">
        <v>80</v>
      </c>
      <c r="F31" s="160">
        <v>80</v>
      </c>
      <c r="G31" s="159">
        <v>80</v>
      </c>
      <c r="H31" s="160">
        <v>80</v>
      </c>
      <c r="I31" s="160"/>
      <c r="J31" s="159"/>
      <c r="K31" s="159"/>
      <c r="L31" s="159"/>
      <c r="M31" s="159"/>
      <c r="N31" s="159"/>
      <c r="O31" s="159"/>
      <c r="P31" s="159"/>
      <c r="Q31" s="159"/>
      <c r="R31" s="160"/>
      <c r="S31" s="160"/>
      <c r="T31" s="159"/>
      <c r="U31" s="354">
        <f t="shared" si="4"/>
        <v>80</v>
      </c>
      <c r="V31" s="355" t="str">
        <f>IF(U31&gt;KKM!$G$10,"A",IF(U31&gt;KKM!$H$10,"B",IF(U31&gt;=KKM!$I$10,"C","D")))</f>
        <v>B</v>
      </c>
      <c r="W31" s="356">
        <f t="shared" si="0"/>
        <v>80</v>
      </c>
      <c r="X31" s="361" t="str">
        <f>IF(W31&gt;KKM!$G$10," sangat baik ",IF(W31&gt;KKM!$H$10," baik ",IF(W31&gt;=KKM!$I$10," cukup baik "," perlu bimbingan ")))</f>
        <v xml:space="preserve"> baik </v>
      </c>
      <c r="Y31" s="357">
        <f t="shared" si="1"/>
        <v>80</v>
      </c>
      <c r="Z31" s="361" t="str">
        <f>IF(Y31&gt;KKM!$G$10," sangat baik ",IF(Y31&gt;KKM!$H$10," baik ",IF(Y31&gt;=KKM!$I$10," cukup baik "," perlu bimbingan ")))</f>
        <v xml:space="preserve"> baik </v>
      </c>
      <c r="AA31" s="353" t="str">
        <f t="shared" si="5"/>
        <v xml:space="preserve">LAEL baik  dalam menjelaskan, dan menentukan volume bangun ruang dengan menggunakan satuan volume (seperti kubus satuan) serta hubungan pangkat tiga dengan akar pangkat tiga
</v>
      </c>
      <c r="AB31" s="256"/>
      <c r="AC31" s="257" t="str">
        <f t="shared" si="2"/>
        <v xml:space="preserve"> baik  dalam menjelaskan, dan menentukan volume bangun ruang dengan menggunakan satuan volume (seperti kubus satuan) serta hubungan pangkat tiga dengan akar pangkat tiga
</v>
      </c>
      <c r="AD31" s="257" t="str">
        <f t="shared" si="3"/>
        <v xml:space="preserve"> baik  dalam menjelaskan, dan menentukan volume bangun ruang dengan menggunakan satuan volume (seperti kubus satuan) serta hubungan pangkat tiga dengan akar pangkat tiga
</v>
      </c>
      <c r="AE31" s="257" t="str">
        <f t="shared" si="6"/>
        <v xml:space="preserve"> baik  dalam menjelaskan, dan menentukan volume bangun ruang dengan menggunakan satuan volume (seperti kubus satuan) serta hubungan pangkat tiga dengan akar pangkat tiga
, dan  baik  dalam menjelaskan, dan menentukan volume bangun ruang dengan menggunakan satuan volume (seperti kubus satuan) serta hubungan pangkat tiga dengan akar pangkat tiga
</v>
      </c>
      <c r="AF31" s="257" t="str">
        <f t="shared" si="7"/>
        <v xml:space="preserve"> baik  dalam menjelaskan, dan menentukan volume bangun ruang dengan menggunakan satuan volume (seperti kubus satuan) serta hubungan pangkat tiga dengan akar pangkat tiga
</v>
      </c>
      <c r="AG31" s="258" t="str">
        <f t="shared" si="8"/>
        <v xml:space="preserve"> baik  dalam menjelaskan, dan menentukan volume bangun ruang dengan menggunakan satuan volume (seperti kubus satuan) serta hubungan pangkat tiga dengan akar pangkat tiga
</v>
      </c>
      <c r="AH31" s="252" t="str">
        <f t="shared" si="9"/>
        <v xml:space="preserve">LAEL baik  dalam menjelaskan, dan menentukan volume bangun ruang dengan menggunakan satuan volume (seperti kubus satuan) serta hubungan pangkat tiga dengan akar pangkat tiga
</v>
      </c>
      <c r="AI31" s="153"/>
      <c r="AR31" s="469">
        <f t="shared" si="10"/>
        <v>80</v>
      </c>
    </row>
    <row r="32" spans="2:44" ht="33.75" customHeight="1">
      <c r="B32" s="142">
        <v>28</v>
      </c>
      <c r="C32" s="143" t="str">
        <f>SISWA!B33</f>
        <v>1718250040332</v>
      </c>
      <c r="D32" s="144" t="str">
        <f>SISWA!E33</f>
        <v>NABIL</v>
      </c>
      <c r="E32" s="159">
        <v>70</v>
      </c>
      <c r="F32" s="160">
        <v>70</v>
      </c>
      <c r="G32" s="159">
        <v>70</v>
      </c>
      <c r="H32" s="160">
        <v>70</v>
      </c>
      <c r="I32" s="160"/>
      <c r="J32" s="159"/>
      <c r="K32" s="159"/>
      <c r="L32" s="159"/>
      <c r="M32" s="159"/>
      <c r="N32" s="159"/>
      <c r="O32" s="159"/>
      <c r="P32" s="159"/>
      <c r="Q32" s="159"/>
      <c r="R32" s="160"/>
      <c r="S32" s="160"/>
      <c r="T32" s="159"/>
      <c r="U32" s="354">
        <f t="shared" si="4"/>
        <v>70</v>
      </c>
      <c r="V32" s="355" t="str">
        <f>IF(U32&gt;KKM!$G$10,"A",IF(U32&gt;KKM!$H$10,"B",IF(U32&gt;=KKM!$I$10,"C","D")))</f>
        <v>C</v>
      </c>
      <c r="W32" s="356">
        <f t="shared" si="0"/>
        <v>70</v>
      </c>
      <c r="X32" s="361" t="str">
        <f>IF(W32&gt;KKM!$G$10," sangat baik ",IF(W32&gt;KKM!$H$10," baik ",IF(W32&gt;=KKM!$I$10," cukup baik "," perlu bimbingan ")))</f>
        <v xml:space="preserve"> cukup baik </v>
      </c>
      <c r="Y32" s="357">
        <f t="shared" si="1"/>
        <v>70</v>
      </c>
      <c r="Z32" s="361" t="str">
        <f>IF(Y32&gt;KKM!$G$10," sangat baik ",IF(Y32&gt;KKM!$H$10," baik ",IF(Y32&gt;=KKM!$I$10," cukup baik "," perlu bimbingan ")))</f>
        <v xml:space="preserve"> cukup baik </v>
      </c>
      <c r="AA32" s="353" t="str">
        <f t="shared" si="5"/>
        <v xml:space="preserve">NABIL cukup baik  dalam menjelaskan, dan menentukan volume bangun ruang dengan menggunakan satuan volume (seperti kubus satuan) serta hubungan pangkat tiga dengan akar pangkat tiga
</v>
      </c>
      <c r="AB32" s="256"/>
      <c r="AC32" s="257" t="str">
        <f t="shared" si="2"/>
        <v xml:space="preserve"> cukup baik  dalam menjelaskan, dan menentukan volume bangun ruang dengan menggunakan satuan volume (seperti kubus satuan) serta hubungan pangkat tiga dengan akar pangkat tiga
</v>
      </c>
      <c r="AD32" s="257" t="str">
        <f t="shared" si="3"/>
        <v xml:space="preserve"> cukup baik  dalam menjelaskan, dan menentukan volume bangun ruang dengan menggunakan satuan volume (seperti kubus satuan) serta hubungan pangkat tiga dengan akar pangkat tiga
</v>
      </c>
      <c r="AE32"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32" s="257" t="str">
        <f t="shared" si="7"/>
        <v xml:space="preserve"> cukup baik  dalam menjelaskan, dan menentukan volume bangun ruang dengan menggunakan satuan volume (seperti kubus satuan) serta hubungan pangkat tiga dengan akar pangkat tiga
</v>
      </c>
      <c r="AG32" s="258" t="str">
        <f t="shared" si="8"/>
        <v xml:space="preserve"> cukup baik  dalam menjelaskan, dan menentukan volume bangun ruang dengan menggunakan satuan volume (seperti kubus satuan) serta hubungan pangkat tiga dengan akar pangkat tiga
</v>
      </c>
      <c r="AH32" s="252" t="str">
        <f t="shared" si="9"/>
        <v xml:space="preserve">NABIL cukup baik  dalam menjelaskan, dan menentukan volume bangun ruang dengan menggunakan satuan volume (seperti kubus satuan) serta hubungan pangkat tiga dengan akar pangkat tiga
</v>
      </c>
      <c r="AI32" s="153"/>
      <c r="AR32" s="469">
        <f t="shared" si="10"/>
        <v>70</v>
      </c>
    </row>
    <row r="33" spans="2:44" ht="33.75" customHeight="1">
      <c r="B33" s="142">
        <v>29</v>
      </c>
      <c r="C33" s="143" t="str">
        <f>SISWA!B34</f>
        <v>1718250040333</v>
      </c>
      <c r="D33" s="144" t="str">
        <f>SISWA!E34</f>
        <v>RASYA</v>
      </c>
      <c r="E33" s="159">
        <v>70</v>
      </c>
      <c r="F33" s="160">
        <v>70</v>
      </c>
      <c r="G33" s="159">
        <v>70</v>
      </c>
      <c r="H33" s="160">
        <v>70</v>
      </c>
      <c r="I33" s="160"/>
      <c r="J33" s="159"/>
      <c r="K33" s="159"/>
      <c r="L33" s="159"/>
      <c r="M33" s="159"/>
      <c r="N33" s="159"/>
      <c r="O33" s="159"/>
      <c r="P33" s="159"/>
      <c r="Q33" s="159"/>
      <c r="R33" s="160"/>
      <c r="S33" s="160"/>
      <c r="T33" s="159"/>
      <c r="U33" s="354">
        <f t="shared" si="4"/>
        <v>70</v>
      </c>
      <c r="V33" s="355" t="str">
        <f>IF(U33&gt;KKM!$G$10,"A",IF(U33&gt;KKM!$H$10,"B",IF(U33&gt;=KKM!$I$10,"C","D")))</f>
        <v>C</v>
      </c>
      <c r="W33" s="356">
        <f t="shared" si="0"/>
        <v>70</v>
      </c>
      <c r="X33" s="361" t="str">
        <f>IF(W33&gt;KKM!$G$10," sangat baik ",IF(W33&gt;KKM!$H$10," baik ",IF(W33&gt;=KKM!$I$10," cukup baik "," perlu bimbingan ")))</f>
        <v xml:space="preserve"> cukup baik </v>
      </c>
      <c r="Y33" s="357">
        <f t="shared" si="1"/>
        <v>70</v>
      </c>
      <c r="Z33" s="361" t="str">
        <f>IF(Y33&gt;KKM!$G$10," sangat baik ",IF(Y33&gt;KKM!$H$10," baik ",IF(Y33&gt;=KKM!$I$10," cukup baik "," perlu bimbingan ")))</f>
        <v xml:space="preserve"> cukup baik </v>
      </c>
      <c r="AA33" s="353" t="str">
        <f t="shared" si="5"/>
        <v xml:space="preserve">RASYA cukup baik  dalam menjelaskan, dan menentukan volume bangun ruang dengan menggunakan satuan volume (seperti kubus satuan) serta hubungan pangkat tiga dengan akar pangkat tiga
</v>
      </c>
      <c r="AB33" s="256"/>
      <c r="AC33" s="257" t="str">
        <f t="shared" si="2"/>
        <v xml:space="preserve"> cukup baik  dalam menjelaskan, dan menentukan volume bangun ruang dengan menggunakan satuan volume (seperti kubus satuan) serta hubungan pangkat tiga dengan akar pangkat tiga
</v>
      </c>
      <c r="AD33" s="257" t="str">
        <f t="shared" si="3"/>
        <v xml:space="preserve"> cukup baik  dalam menjelaskan, dan menentukan volume bangun ruang dengan menggunakan satuan volume (seperti kubus satuan) serta hubungan pangkat tiga dengan akar pangkat tiga
</v>
      </c>
      <c r="AE33"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33" s="257" t="str">
        <f t="shared" si="7"/>
        <v xml:space="preserve"> cukup baik  dalam menjelaskan, dan menentukan volume bangun ruang dengan menggunakan satuan volume (seperti kubus satuan) serta hubungan pangkat tiga dengan akar pangkat tiga
</v>
      </c>
      <c r="AG33" s="258" t="str">
        <f t="shared" si="8"/>
        <v xml:space="preserve"> cukup baik  dalam menjelaskan, dan menentukan volume bangun ruang dengan menggunakan satuan volume (seperti kubus satuan) serta hubungan pangkat tiga dengan akar pangkat tiga
</v>
      </c>
      <c r="AH33" s="252" t="str">
        <f t="shared" si="9"/>
        <v xml:space="preserve">RASYA cukup baik  dalam menjelaskan, dan menentukan volume bangun ruang dengan menggunakan satuan volume (seperti kubus satuan) serta hubungan pangkat tiga dengan akar pangkat tiga
</v>
      </c>
      <c r="AI33" s="153"/>
      <c r="AR33" s="469">
        <f t="shared" si="10"/>
        <v>70</v>
      </c>
    </row>
    <row r="34" spans="2:44" ht="33.75" customHeight="1">
      <c r="B34" s="142">
        <v>30</v>
      </c>
      <c r="C34" s="143" t="str">
        <f>SISWA!B35</f>
        <v>1718250040334</v>
      </c>
      <c r="D34" s="144" t="str">
        <f>SISWA!E35</f>
        <v>RIZKI</v>
      </c>
      <c r="E34" s="159">
        <v>85</v>
      </c>
      <c r="F34" s="160">
        <v>85</v>
      </c>
      <c r="G34" s="159">
        <v>85</v>
      </c>
      <c r="H34" s="160">
        <v>85</v>
      </c>
      <c r="I34" s="160"/>
      <c r="J34" s="159"/>
      <c r="K34" s="159"/>
      <c r="L34" s="159"/>
      <c r="M34" s="159"/>
      <c r="N34" s="159"/>
      <c r="O34" s="159"/>
      <c r="P34" s="159"/>
      <c r="Q34" s="159"/>
      <c r="R34" s="160"/>
      <c r="S34" s="160"/>
      <c r="T34" s="159"/>
      <c r="U34" s="354">
        <f t="shared" si="4"/>
        <v>85</v>
      </c>
      <c r="V34" s="355" t="str">
        <f>IF(U34&gt;KKM!$G$10,"A",IF(U34&gt;KKM!$H$10,"B",IF(U34&gt;=KKM!$I$10,"C","D")))</f>
        <v>B</v>
      </c>
      <c r="W34" s="356">
        <f t="shared" si="0"/>
        <v>85</v>
      </c>
      <c r="X34" s="361" t="str">
        <f>IF(W34&gt;KKM!$G$10," sangat baik ",IF(W34&gt;KKM!$H$10," baik ",IF(W34&gt;=KKM!$I$10," cukup baik "," perlu bimbingan ")))</f>
        <v xml:space="preserve"> baik </v>
      </c>
      <c r="Y34" s="357">
        <f t="shared" si="1"/>
        <v>85</v>
      </c>
      <c r="Z34" s="361" t="str">
        <f>IF(Y34&gt;KKM!$G$10," sangat baik ",IF(Y34&gt;KKM!$H$10," baik ",IF(Y34&gt;=KKM!$I$10," cukup baik "," perlu bimbingan ")))</f>
        <v xml:space="preserve"> baik </v>
      </c>
      <c r="AA34" s="353" t="str">
        <f t="shared" si="5"/>
        <v xml:space="preserve">RIZKI baik  dalam menjelaskan, dan menentukan volume bangun ruang dengan menggunakan satuan volume (seperti kubus satuan) serta hubungan pangkat tiga dengan akar pangkat tiga
</v>
      </c>
      <c r="AB34" s="256"/>
      <c r="AC34" s="257" t="str">
        <f t="shared" si="2"/>
        <v xml:space="preserve"> baik  dalam menjelaskan, dan menentukan volume bangun ruang dengan menggunakan satuan volume (seperti kubus satuan) serta hubungan pangkat tiga dengan akar pangkat tiga
</v>
      </c>
      <c r="AD34" s="257" t="str">
        <f t="shared" si="3"/>
        <v xml:space="preserve"> baik  dalam menjelaskan, dan menentukan volume bangun ruang dengan menggunakan satuan volume (seperti kubus satuan) serta hubungan pangkat tiga dengan akar pangkat tiga
</v>
      </c>
      <c r="AE34" s="257" t="str">
        <f t="shared" si="6"/>
        <v xml:space="preserve"> baik  dalam menjelaskan, dan menentukan volume bangun ruang dengan menggunakan satuan volume (seperti kubus satuan) serta hubungan pangkat tiga dengan akar pangkat tiga
, dan  baik  dalam menjelaskan, dan menentukan volume bangun ruang dengan menggunakan satuan volume (seperti kubus satuan) serta hubungan pangkat tiga dengan akar pangkat tiga
</v>
      </c>
      <c r="AF34" s="257" t="str">
        <f t="shared" si="7"/>
        <v xml:space="preserve"> baik  dalam menjelaskan, dan menentukan volume bangun ruang dengan menggunakan satuan volume (seperti kubus satuan) serta hubungan pangkat tiga dengan akar pangkat tiga
</v>
      </c>
      <c r="AG34" s="258" t="str">
        <f t="shared" si="8"/>
        <v xml:space="preserve"> baik  dalam menjelaskan, dan menentukan volume bangun ruang dengan menggunakan satuan volume (seperti kubus satuan) serta hubungan pangkat tiga dengan akar pangkat tiga
</v>
      </c>
      <c r="AH34" s="252" t="str">
        <f t="shared" si="9"/>
        <v xml:space="preserve">RIZKI baik  dalam menjelaskan, dan menentukan volume bangun ruang dengan menggunakan satuan volume (seperti kubus satuan) serta hubungan pangkat tiga dengan akar pangkat tiga
</v>
      </c>
      <c r="AI34" s="153"/>
      <c r="AR34" s="469">
        <f t="shared" si="10"/>
        <v>85</v>
      </c>
    </row>
    <row r="35" spans="2:44" ht="33.75" customHeight="1">
      <c r="B35" s="142">
        <v>31</v>
      </c>
      <c r="C35" s="143" t="str">
        <f>SISWA!B36</f>
        <v>1718250040335</v>
      </c>
      <c r="D35" s="144" t="str">
        <f>SISWA!E36</f>
        <v>SATRIA</v>
      </c>
      <c r="E35" s="159">
        <v>75</v>
      </c>
      <c r="F35" s="160">
        <v>75</v>
      </c>
      <c r="G35" s="159">
        <v>75</v>
      </c>
      <c r="H35" s="160">
        <v>75</v>
      </c>
      <c r="I35" s="160"/>
      <c r="J35" s="159"/>
      <c r="K35" s="159"/>
      <c r="L35" s="159"/>
      <c r="M35" s="159"/>
      <c r="N35" s="159"/>
      <c r="O35" s="159"/>
      <c r="P35" s="159"/>
      <c r="Q35" s="159"/>
      <c r="R35" s="160"/>
      <c r="S35" s="160"/>
      <c r="T35" s="159"/>
      <c r="U35" s="354">
        <f t="shared" si="4"/>
        <v>75</v>
      </c>
      <c r="V35" s="355" t="str">
        <f>IF(U35&gt;KKM!$G$10,"A",IF(U35&gt;KKM!$H$10,"B",IF(U35&gt;=KKM!$I$10,"C","D")))</f>
        <v>C</v>
      </c>
      <c r="W35" s="356">
        <f t="shared" si="0"/>
        <v>75</v>
      </c>
      <c r="X35" s="361" t="str">
        <f>IF(W35&gt;KKM!$G$10," sangat baik ",IF(W35&gt;KKM!$H$10," baik ",IF(W35&gt;=KKM!$I$10," cukup baik "," perlu bimbingan ")))</f>
        <v xml:space="preserve"> cukup baik </v>
      </c>
      <c r="Y35" s="357">
        <f t="shared" si="1"/>
        <v>75</v>
      </c>
      <c r="Z35" s="361" t="str">
        <f>IF(Y35&gt;KKM!$G$10," sangat baik ",IF(Y35&gt;KKM!$H$10," baik ",IF(Y35&gt;=KKM!$I$10," cukup baik "," perlu bimbingan ")))</f>
        <v xml:space="preserve"> cukup baik </v>
      </c>
      <c r="AA35" s="353" t="str">
        <f t="shared" si="5"/>
        <v xml:space="preserve">SATRIA cukup baik  dalam menjelaskan, dan menentukan volume bangun ruang dengan menggunakan satuan volume (seperti kubus satuan) serta hubungan pangkat tiga dengan akar pangkat tiga
</v>
      </c>
      <c r="AB35" s="256"/>
      <c r="AC35" s="257" t="str">
        <f t="shared" si="2"/>
        <v xml:space="preserve"> cukup baik  dalam menjelaskan, dan menentukan volume bangun ruang dengan menggunakan satuan volume (seperti kubus satuan) serta hubungan pangkat tiga dengan akar pangkat tiga
</v>
      </c>
      <c r="AD35" s="257" t="str">
        <f t="shared" si="3"/>
        <v xml:space="preserve"> cukup baik  dalam menjelaskan, dan menentukan volume bangun ruang dengan menggunakan satuan volume (seperti kubus satuan) serta hubungan pangkat tiga dengan akar pangkat tiga
</v>
      </c>
      <c r="AE35"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35" s="257" t="str">
        <f t="shared" si="7"/>
        <v xml:space="preserve"> cukup baik  dalam menjelaskan, dan menentukan volume bangun ruang dengan menggunakan satuan volume (seperti kubus satuan) serta hubungan pangkat tiga dengan akar pangkat tiga
</v>
      </c>
      <c r="AG35" s="258" t="str">
        <f t="shared" si="8"/>
        <v xml:space="preserve"> cukup baik  dalam menjelaskan, dan menentukan volume bangun ruang dengan menggunakan satuan volume (seperti kubus satuan) serta hubungan pangkat tiga dengan akar pangkat tiga
</v>
      </c>
      <c r="AH35" s="252" t="str">
        <f t="shared" si="9"/>
        <v xml:space="preserve">SATRIA cukup baik  dalam menjelaskan, dan menentukan volume bangun ruang dengan menggunakan satuan volume (seperti kubus satuan) serta hubungan pangkat tiga dengan akar pangkat tiga
</v>
      </c>
      <c r="AI35" s="153"/>
      <c r="AR35" s="469">
        <f t="shared" si="10"/>
        <v>75</v>
      </c>
    </row>
    <row r="36" spans="2:44" ht="33.75" customHeight="1">
      <c r="B36" s="142">
        <v>32</v>
      </c>
      <c r="C36" s="143" t="str">
        <f>SISWA!B37</f>
        <v>1718250040336</v>
      </c>
      <c r="D36" s="144" t="str">
        <f>SISWA!E37</f>
        <v>NADIA</v>
      </c>
      <c r="E36" s="159">
        <v>85</v>
      </c>
      <c r="F36" s="160">
        <v>85</v>
      </c>
      <c r="G36" s="159">
        <v>85</v>
      </c>
      <c r="H36" s="160">
        <v>85</v>
      </c>
      <c r="I36" s="160"/>
      <c r="J36" s="159"/>
      <c r="K36" s="159"/>
      <c r="L36" s="159"/>
      <c r="M36" s="159"/>
      <c r="N36" s="159"/>
      <c r="O36" s="159"/>
      <c r="P36" s="159"/>
      <c r="Q36" s="159"/>
      <c r="R36" s="160"/>
      <c r="S36" s="160"/>
      <c r="T36" s="159"/>
      <c r="U36" s="354">
        <f t="shared" si="4"/>
        <v>85</v>
      </c>
      <c r="V36" s="355" t="str">
        <f>IF(U36&gt;KKM!$G$10,"A",IF(U36&gt;KKM!$H$10,"B",IF(U36&gt;=KKM!$I$10,"C","D")))</f>
        <v>B</v>
      </c>
      <c r="W36" s="356">
        <f t="shared" si="0"/>
        <v>85</v>
      </c>
      <c r="X36" s="361" t="str">
        <f>IF(W36&gt;KKM!$G$10," sangat baik ",IF(W36&gt;KKM!$H$10," baik ",IF(W36&gt;=KKM!$I$10," cukup baik "," perlu bimbingan ")))</f>
        <v xml:space="preserve"> baik </v>
      </c>
      <c r="Y36" s="357">
        <f t="shared" si="1"/>
        <v>85</v>
      </c>
      <c r="Z36" s="361" t="str">
        <f>IF(Y36&gt;KKM!$G$10," sangat baik ",IF(Y36&gt;KKM!$H$10," baik ",IF(Y36&gt;=KKM!$I$10," cukup baik "," perlu bimbingan ")))</f>
        <v xml:space="preserve"> baik </v>
      </c>
      <c r="AA36" s="353" t="str">
        <f t="shared" si="5"/>
        <v xml:space="preserve">NADIA baik  dalam menjelaskan, dan menentukan volume bangun ruang dengan menggunakan satuan volume (seperti kubus satuan) serta hubungan pangkat tiga dengan akar pangkat tiga
</v>
      </c>
      <c r="AB36" s="256"/>
      <c r="AC36" s="257" t="str">
        <f t="shared" si="2"/>
        <v xml:space="preserve"> baik  dalam menjelaskan, dan menentukan volume bangun ruang dengan menggunakan satuan volume (seperti kubus satuan) serta hubungan pangkat tiga dengan akar pangkat tiga
</v>
      </c>
      <c r="AD36" s="257" t="str">
        <f t="shared" si="3"/>
        <v xml:space="preserve"> baik  dalam menjelaskan, dan menentukan volume bangun ruang dengan menggunakan satuan volume (seperti kubus satuan) serta hubungan pangkat tiga dengan akar pangkat tiga
</v>
      </c>
      <c r="AE36" s="257" t="str">
        <f t="shared" si="6"/>
        <v xml:space="preserve"> baik  dalam menjelaskan, dan menentukan volume bangun ruang dengan menggunakan satuan volume (seperti kubus satuan) serta hubungan pangkat tiga dengan akar pangkat tiga
, dan  baik  dalam menjelaskan, dan menentukan volume bangun ruang dengan menggunakan satuan volume (seperti kubus satuan) serta hubungan pangkat tiga dengan akar pangkat tiga
</v>
      </c>
      <c r="AF36" s="257" t="str">
        <f t="shared" si="7"/>
        <v xml:space="preserve"> baik  dalam menjelaskan, dan menentukan volume bangun ruang dengan menggunakan satuan volume (seperti kubus satuan) serta hubungan pangkat tiga dengan akar pangkat tiga
</v>
      </c>
      <c r="AG36" s="258" t="str">
        <f t="shared" si="8"/>
        <v xml:space="preserve"> baik  dalam menjelaskan, dan menentukan volume bangun ruang dengan menggunakan satuan volume (seperti kubus satuan) serta hubungan pangkat tiga dengan akar pangkat tiga
</v>
      </c>
      <c r="AH36" s="252" t="str">
        <f t="shared" si="9"/>
        <v xml:space="preserve">NADIA baik  dalam menjelaskan, dan menentukan volume bangun ruang dengan menggunakan satuan volume (seperti kubus satuan) serta hubungan pangkat tiga dengan akar pangkat tiga
</v>
      </c>
      <c r="AI36" s="153"/>
      <c r="AR36" s="469">
        <f t="shared" si="10"/>
        <v>85</v>
      </c>
    </row>
    <row r="37" spans="2:44" ht="33.75" customHeight="1">
      <c r="B37" s="142">
        <v>33</v>
      </c>
      <c r="C37" s="143" t="str">
        <f>SISWA!B38</f>
        <v>1718250040337</v>
      </c>
      <c r="D37" s="144" t="str">
        <f>SISWA!E38</f>
        <v>NAFILA</v>
      </c>
      <c r="E37" s="159">
        <v>65</v>
      </c>
      <c r="F37" s="160">
        <v>65</v>
      </c>
      <c r="G37" s="159">
        <v>65</v>
      </c>
      <c r="H37" s="160">
        <v>65</v>
      </c>
      <c r="I37" s="160"/>
      <c r="J37" s="159"/>
      <c r="K37" s="159"/>
      <c r="L37" s="159"/>
      <c r="M37" s="159"/>
      <c r="N37" s="159"/>
      <c r="O37" s="159"/>
      <c r="P37" s="159"/>
      <c r="Q37" s="159"/>
      <c r="R37" s="160"/>
      <c r="S37" s="160"/>
      <c r="T37" s="159"/>
      <c r="U37" s="354">
        <f t="shared" si="4"/>
        <v>65</v>
      </c>
      <c r="V37" s="355" t="str">
        <f>IF(U37&gt;KKM!$G$10,"A",IF(U37&gt;KKM!$H$10,"B",IF(U37&gt;=KKM!$I$10,"C","D")))</f>
        <v>C</v>
      </c>
      <c r="W37" s="356">
        <f t="shared" si="0"/>
        <v>65</v>
      </c>
      <c r="X37" s="361" t="str">
        <f>IF(W37&gt;KKM!$G$10," sangat baik ",IF(W37&gt;KKM!$H$10," baik ",IF(W37&gt;=KKM!$I$10," cukup baik "," perlu bimbingan ")))</f>
        <v xml:space="preserve"> cukup baik </v>
      </c>
      <c r="Y37" s="357">
        <f t="shared" si="1"/>
        <v>65</v>
      </c>
      <c r="Z37" s="361" t="str">
        <f>IF(Y37&gt;KKM!$G$10," sangat baik ",IF(Y37&gt;KKM!$H$10," baik ",IF(Y37&gt;=KKM!$I$10," cukup baik "," perlu bimbingan ")))</f>
        <v xml:space="preserve"> cukup baik </v>
      </c>
      <c r="AA37" s="353" t="str">
        <f t="shared" si="5"/>
        <v xml:space="preserve">NAFILA cukup baik  dalam menjelaskan, dan menentukan volume bangun ruang dengan menggunakan satuan volume (seperti kubus satuan) serta hubungan pangkat tiga dengan akar pangkat tiga
</v>
      </c>
      <c r="AB37" s="256"/>
      <c r="AC37" s="257" t="str">
        <f t="shared" si="2"/>
        <v xml:space="preserve"> cukup baik  dalam menjelaskan, dan menentukan volume bangun ruang dengan menggunakan satuan volume (seperti kubus satuan) serta hubungan pangkat tiga dengan akar pangkat tiga
</v>
      </c>
      <c r="AD37" s="257" t="str">
        <f t="shared" si="3"/>
        <v xml:space="preserve"> cukup baik  dalam menjelaskan, dan menentukan volume bangun ruang dengan menggunakan satuan volume (seperti kubus satuan) serta hubungan pangkat tiga dengan akar pangkat tiga
</v>
      </c>
      <c r="AE37"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37" s="257" t="str">
        <f t="shared" si="7"/>
        <v xml:space="preserve"> cukup baik  dalam menjelaskan, dan menentukan volume bangun ruang dengan menggunakan satuan volume (seperti kubus satuan) serta hubungan pangkat tiga dengan akar pangkat tiga
</v>
      </c>
      <c r="AG37" s="258" t="str">
        <f t="shared" si="8"/>
        <v xml:space="preserve"> cukup baik  dalam menjelaskan, dan menentukan volume bangun ruang dengan menggunakan satuan volume (seperti kubus satuan) serta hubungan pangkat tiga dengan akar pangkat tiga
</v>
      </c>
      <c r="AH37" s="252" t="str">
        <f t="shared" si="9"/>
        <v xml:space="preserve">NAFILA cukup baik  dalam menjelaskan, dan menentukan volume bangun ruang dengan menggunakan satuan volume (seperti kubus satuan) serta hubungan pangkat tiga dengan akar pangkat tiga
</v>
      </c>
      <c r="AI37" s="153"/>
      <c r="AR37" s="469">
        <f t="shared" si="10"/>
        <v>65</v>
      </c>
    </row>
    <row r="38" spans="2:44" ht="33.75" customHeight="1">
      <c r="B38" s="142">
        <v>34</v>
      </c>
      <c r="C38" s="143" t="str">
        <f>SISWA!B39</f>
        <v>1718250040338</v>
      </c>
      <c r="D38" s="144" t="str">
        <f>SISWA!E39</f>
        <v>NAZZALA</v>
      </c>
      <c r="E38" s="159">
        <v>75</v>
      </c>
      <c r="F38" s="160">
        <v>75</v>
      </c>
      <c r="G38" s="159">
        <v>75</v>
      </c>
      <c r="H38" s="160">
        <v>75</v>
      </c>
      <c r="I38" s="160"/>
      <c r="J38" s="159"/>
      <c r="K38" s="159"/>
      <c r="L38" s="159"/>
      <c r="M38" s="159"/>
      <c r="N38" s="159"/>
      <c r="O38" s="159"/>
      <c r="P38" s="159"/>
      <c r="Q38" s="159"/>
      <c r="R38" s="160"/>
      <c r="S38" s="160"/>
      <c r="T38" s="159"/>
      <c r="U38" s="354">
        <f t="shared" si="4"/>
        <v>75</v>
      </c>
      <c r="V38" s="355" t="str">
        <f>IF(U38&gt;KKM!$G$10,"A",IF(U38&gt;KKM!$H$10,"B",IF(U38&gt;=KKM!$I$10,"C","D")))</f>
        <v>C</v>
      </c>
      <c r="W38" s="356">
        <f t="shared" si="0"/>
        <v>75</v>
      </c>
      <c r="X38" s="361" t="str">
        <f>IF(W38&gt;KKM!$G$10," sangat baik ",IF(W38&gt;KKM!$H$10," baik ",IF(W38&gt;=KKM!$I$10," cukup baik "," perlu bimbingan ")))</f>
        <v xml:space="preserve"> cukup baik </v>
      </c>
      <c r="Y38" s="357">
        <f t="shared" si="1"/>
        <v>75</v>
      </c>
      <c r="Z38" s="361" t="str">
        <f>IF(Y38&gt;KKM!$G$10," sangat baik ",IF(Y38&gt;KKM!$H$10," baik ",IF(Y38&gt;=KKM!$I$10," cukup baik "," perlu bimbingan ")))</f>
        <v xml:space="preserve"> cukup baik </v>
      </c>
      <c r="AA38" s="353" t="str">
        <f t="shared" si="5"/>
        <v xml:space="preserve">NAZZALA cukup baik  dalam menjelaskan, dan menentukan volume bangun ruang dengan menggunakan satuan volume (seperti kubus satuan) serta hubungan pangkat tiga dengan akar pangkat tiga
</v>
      </c>
      <c r="AB38" s="256"/>
      <c r="AC38" s="257" t="str">
        <f t="shared" si="2"/>
        <v xml:space="preserve"> cukup baik  dalam menjelaskan, dan menentukan volume bangun ruang dengan menggunakan satuan volume (seperti kubus satuan) serta hubungan pangkat tiga dengan akar pangkat tiga
</v>
      </c>
      <c r="AD38" s="257" t="str">
        <f t="shared" si="3"/>
        <v xml:space="preserve"> cukup baik  dalam menjelaskan, dan menentukan volume bangun ruang dengan menggunakan satuan volume (seperti kubus satuan) serta hubungan pangkat tiga dengan akar pangkat tiga
</v>
      </c>
      <c r="AE38"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38" s="257" t="str">
        <f t="shared" si="7"/>
        <v xml:space="preserve"> cukup baik  dalam menjelaskan, dan menentukan volume bangun ruang dengan menggunakan satuan volume (seperti kubus satuan) serta hubungan pangkat tiga dengan akar pangkat tiga
</v>
      </c>
      <c r="AG38" s="258" t="str">
        <f t="shared" si="8"/>
        <v xml:space="preserve"> cukup baik  dalam menjelaskan, dan menentukan volume bangun ruang dengan menggunakan satuan volume (seperti kubus satuan) serta hubungan pangkat tiga dengan akar pangkat tiga
</v>
      </c>
      <c r="AH38" s="252" t="str">
        <f t="shared" si="9"/>
        <v xml:space="preserve">NAZZALA cukup baik  dalam menjelaskan, dan menentukan volume bangun ruang dengan menggunakan satuan volume (seperti kubus satuan) serta hubungan pangkat tiga dengan akar pangkat tiga
</v>
      </c>
      <c r="AI38" s="153"/>
      <c r="AR38" s="469">
        <f t="shared" si="10"/>
        <v>75</v>
      </c>
    </row>
    <row r="39" spans="2:44" ht="33.75" customHeight="1">
      <c r="B39" s="142">
        <v>35</v>
      </c>
      <c r="C39" s="143" t="str">
        <f>SISWA!B40</f>
        <v>1718250040339</v>
      </c>
      <c r="D39" s="144" t="str">
        <f>SISWA!E40</f>
        <v>RAFAREL</v>
      </c>
      <c r="E39" s="159">
        <v>75</v>
      </c>
      <c r="F39" s="160">
        <v>75</v>
      </c>
      <c r="G39" s="159">
        <v>75</v>
      </c>
      <c r="H39" s="160">
        <v>75</v>
      </c>
      <c r="I39" s="160"/>
      <c r="J39" s="159"/>
      <c r="K39" s="159"/>
      <c r="L39" s="159"/>
      <c r="M39" s="159"/>
      <c r="N39" s="159"/>
      <c r="O39" s="159"/>
      <c r="P39" s="159"/>
      <c r="Q39" s="159"/>
      <c r="R39" s="160"/>
      <c r="S39" s="160"/>
      <c r="T39" s="159"/>
      <c r="U39" s="354">
        <f t="shared" si="4"/>
        <v>75</v>
      </c>
      <c r="V39" s="355" t="str">
        <f>IF(U39&gt;KKM!$G$10,"A",IF(U39&gt;KKM!$H$10,"B",IF(U39&gt;=KKM!$I$10,"C","D")))</f>
        <v>C</v>
      </c>
      <c r="W39" s="356">
        <f t="shared" si="0"/>
        <v>75</v>
      </c>
      <c r="X39" s="361" t="str">
        <f>IF(W39&gt;KKM!$G$10," sangat baik ",IF(W39&gt;KKM!$H$10," baik ",IF(W39&gt;=KKM!$I$10," cukup baik "," perlu bimbingan ")))</f>
        <v xml:space="preserve"> cukup baik </v>
      </c>
      <c r="Y39" s="357">
        <f t="shared" si="1"/>
        <v>75</v>
      </c>
      <c r="Z39" s="361" t="str">
        <f>IF(Y39&gt;KKM!$G$10," sangat baik ",IF(Y39&gt;KKM!$H$10," baik ",IF(Y39&gt;=KKM!$I$10," cukup baik "," perlu bimbingan ")))</f>
        <v xml:space="preserve"> cukup baik </v>
      </c>
      <c r="AA39" s="353" t="str">
        <f t="shared" si="5"/>
        <v xml:space="preserve">RAFAREL cukup baik  dalam menjelaskan, dan menentukan volume bangun ruang dengan menggunakan satuan volume (seperti kubus satuan) serta hubungan pangkat tiga dengan akar pangkat tiga
</v>
      </c>
      <c r="AB39" s="256"/>
      <c r="AC39" s="257" t="str">
        <f t="shared" si="2"/>
        <v xml:space="preserve"> cukup baik  dalam menjelaskan, dan menentukan volume bangun ruang dengan menggunakan satuan volume (seperti kubus satuan) serta hubungan pangkat tiga dengan akar pangkat tiga
</v>
      </c>
      <c r="AD39" s="257" t="str">
        <f t="shared" si="3"/>
        <v xml:space="preserve"> cukup baik  dalam menjelaskan, dan menentukan volume bangun ruang dengan menggunakan satuan volume (seperti kubus satuan) serta hubungan pangkat tiga dengan akar pangkat tiga
</v>
      </c>
      <c r="AE39"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39" s="257" t="str">
        <f t="shared" si="7"/>
        <v xml:space="preserve"> cukup baik  dalam menjelaskan, dan menentukan volume bangun ruang dengan menggunakan satuan volume (seperti kubus satuan) serta hubungan pangkat tiga dengan akar pangkat tiga
</v>
      </c>
      <c r="AG39" s="258" t="str">
        <f t="shared" si="8"/>
        <v xml:space="preserve"> cukup baik  dalam menjelaskan, dan menentukan volume bangun ruang dengan menggunakan satuan volume (seperti kubus satuan) serta hubungan pangkat tiga dengan akar pangkat tiga
</v>
      </c>
      <c r="AH39" s="252" t="str">
        <f t="shared" si="9"/>
        <v xml:space="preserve">RAFAREL cukup baik  dalam menjelaskan, dan menentukan volume bangun ruang dengan menggunakan satuan volume (seperti kubus satuan) serta hubungan pangkat tiga dengan akar pangkat tiga
</v>
      </c>
      <c r="AI39" s="153"/>
      <c r="AR39" s="469">
        <f t="shared" si="10"/>
        <v>75</v>
      </c>
    </row>
    <row r="40" spans="2:44" ht="33.75" customHeight="1">
      <c r="B40" s="142">
        <v>36</v>
      </c>
      <c r="C40" s="143" t="str">
        <f>SISWA!B41</f>
        <v>1718250040340</v>
      </c>
      <c r="D40" s="144" t="str">
        <f>SISWA!E41</f>
        <v>RAKHA</v>
      </c>
      <c r="E40" s="159">
        <v>70</v>
      </c>
      <c r="F40" s="160">
        <v>70</v>
      </c>
      <c r="G40" s="159">
        <v>70</v>
      </c>
      <c r="H40" s="160">
        <v>70</v>
      </c>
      <c r="I40" s="160"/>
      <c r="J40" s="159"/>
      <c r="K40" s="159"/>
      <c r="L40" s="159"/>
      <c r="M40" s="159"/>
      <c r="N40" s="159"/>
      <c r="O40" s="159"/>
      <c r="P40" s="159"/>
      <c r="Q40" s="159"/>
      <c r="R40" s="160"/>
      <c r="S40" s="160"/>
      <c r="T40" s="159"/>
      <c r="U40" s="354">
        <f t="shared" si="4"/>
        <v>70</v>
      </c>
      <c r="V40" s="355" t="str">
        <f>IF(U40&gt;KKM!$G$10,"A",IF(U40&gt;KKM!$H$10,"B",IF(U40&gt;=KKM!$I$10,"C","D")))</f>
        <v>C</v>
      </c>
      <c r="W40" s="356">
        <f t="shared" si="0"/>
        <v>70</v>
      </c>
      <c r="X40" s="361" t="str">
        <f>IF(W40&gt;KKM!$G$10," sangat baik ",IF(W40&gt;KKM!$H$10," baik ",IF(W40&gt;=KKM!$I$10," cukup baik "," perlu bimbingan ")))</f>
        <v xml:space="preserve"> cukup baik </v>
      </c>
      <c r="Y40" s="357">
        <f t="shared" si="1"/>
        <v>70</v>
      </c>
      <c r="Z40" s="361" t="str">
        <f>IF(Y40&gt;KKM!$G$10," sangat baik ",IF(Y40&gt;KKM!$H$10," baik ",IF(Y40&gt;=KKM!$I$10," cukup baik "," perlu bimbingan ")))</f>
        <v xml:space="preserve"> cukup baik </v>
      </c>
      <c r="AA40" s="353" t="str">
        <f t="shared" si="5"/>
        <v xml:space="preserve">RAKHA cukup baik  dalam menjelaskan, dan menentukan volume bangun ruang dengan menggunakan satuan volume (seperti kubus satuan) serta hubungan pangkat tiga dengan akar pangkat tiga
</v>
      </c>
      <c r="AB40" s="256"/>
      <c r="AC40" s="257" t="str">
        <f t="shared" si="2"/>
        <v xml:space="preserve"> cukup baik  dalam menjelaskan, dan menentukan volume bangun ruang dengan menggunakan satuan volume (seperti kubus satuan) serta hubungan pangkat tiga dengan akar pangkat tiga
</v>
      </c>
      <c r="AD40" s="257" t="str">
        <f t="shared" si="3"/>
        <v xml:space="preserve"> cukup baik  dalam menjelaskan, dan menentukan volume bangun ruang dengan menggunakan satuan volume (seperti kubus satuan) serta hubungan pangkat tiga dengan akar pangkat tiga
</v>
      </c>
      <c r="AE40"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40" s="257" t="str">
        <f t="shared" si="7"/>
        <v xml:space="preserve"> cukup baik  dalam menjelaskan, dan menentukan volume bangun ruang dengan menggunakan satuan volume (seperti kubus satuan) serta hubungan pangkat tiga dengan akar pangkat tiga
</v>
      </c>
      <c r="AG40" s="258" t="str">
        <f t="shared" si="8"/>
        <v xml:space="preserve"> cukup baik  dalam menjelaskan, dan menentukan volume bangun ruang dengan menggunakan satuan volume (seperti kubus satuan) serta hubungan pangkat tiga dengan akar pangkat tiga
</v>
      </c>
      <c r="AH40" s="252" t="str">
        <f t="shared" si="9"/>
        <v xml:space="preserve">RAKHA cukup baik  dalam menjelaskan, dan menentukan volume bangun ruang dengan menggunakan satuan volume (seperti kubus satuan) serta hubungan pangkat tiga dengan akar pangkat tiga
</v>
      </c>
      <c r="AI40" s="153"/>
      <c r="AR40" s="469">
        <f t="shared" si="10"/>
        <v>70</v>
      </c>
    </row>
    <row r="41" spans="2:44" ht="33.75" customHeight="1">
      <c r="B41" s="142">
        <v>37</v>
      </c>
      <c r="C41" s="143" t="str">
        <f>SISWA!B42</f>
        <v>1718250040341</v>
      </c>
      <c r="D41" s="144" t="str">
        <f>SISWA!E42</f>
        <v>RYU</v>
      </c>
      <c r="E41" s="159">
        <v>65</v>
      </c>
      <c r="F41" s="160">
        <v>65</v>
      </c>
      <c r="G41" s="159">
        <v>65</v>
      </c>
      <c r="H41" s="160">
        <v>65</v>
      </c>
      <c r="I41" s="160"/>
      <c r="J41" s="159"/>
      <c r="K41" s="159"/>
      <c r="L41" s="159"/>
      <c r="M41" s="159"/>
      <c r="N41" s="159"/>
      <c r="O41" s="159"/>
      <c r="P41" s="159"/>
      <c r="Q41" s="159"/>
      <c r="R41" s="160"/>
      <c r="S41" s="160"/>
      <c r="T41" s="159"/>
      <c r="U41" s="354">
        <f t="shared" si="4"/>
        <v>65</v>
      </c>
      <c r="V41" s="355" t="str">
        <f>IF(U41&gt;KKM!$G$10,"A",IF(U41&gt;KKM!$H$10,"B",IF(U41&gt;=KKM!$I$10,"C","D")))</f>
        <v>C</v>
      </c>
      <c r="W41" s="356">
        <f t="shared" si="0"/>
        <v>65</v>
      </c>
      <c r="X41" s="361" t="str">
        <f>IF(W41&gt;KKM!$G$10," sangat baik ",IF(W41&gt;KKM!$H$10," baik ",IF(W41&gt;=KKM!$I$10," cukup baik "," perlu bimbingan ")))</f>
        <v xml:space="preserve"> cukup baik </v>
      </c>
      <c r="Y41" s="357">
        <f t="shared" si="1"/>
        <v>65</v>
      </c>
      <c r="Z41" s="361" t="str">
        <f>IF(Y41&gt;KKM!$G$10," sangat baik ",IF(Y41&gt;KKM!$H$10," baik ",IF(Y41&gt;=KKM!$I$10," cukup baik "," perlu bimbingan ")))</f>
        <v xml:space="preserve"> cukup baik </v>
      </c>
      <c r="AA41" s="353" t="str">
        <f t="shared" si="5"/>
        <v xml:space="preserve">RYU cukup baik  dalam menjelaskan, dan menentukan volume bangun ruang dengan menggunakan satuan volume (seperti kubus satuan) serta hubungan pangkat tiga dengan akar pangkat tiga
</v>
      </c>
      <c r="AB41" s="256"/>
      <c r="AC41" s="257" t="str">
        <f t="shared" si="2"/>
        <v xml:space="preserve"> cukup baik  dalam menjelaskan, dan menentukan volume bangun ruang dengan menggunakan satuan volume (seperti kubus satuan) serta hubungan pangkat tiga dengan akar pangkat tiga
</v>
      </c>
      <c r="AD41" s="257" t="str">
        <f t="shared" si="3"/>
        <v xml:space="preserve"> cukup baik  dalam menjelaskan, dan menentukan volume bangun ruang dengan menggunakan satuan volume (seperti kubus satuan) serta hubungan pangkat tiga dengan akar pangkat tiga
</v>
      </c>
      <c r="AE41"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41" s="257" t="str">
        <f t="shared" si="7"/>
        <v xml:space="preserve"> cukup baik  dalam menjelaskan, dan menentukan volume bangun ruang dengan menggunakan satuan volume (seperti kubus satuan) serta hubungan pangkat tiga dengan akar pangkat tiga
</v>
      </c>
      <c r="AG41" s="258" t="str">
        <f t="shared" si="8"/>
        <v xml:space="preserve"> cukup baik  dalam menjelaskan, dan menentukan volume bangun ruang dengan menggunakan satuan volume (seperti kubus satuan) serta hubungan pangkat tiga dengan akar pangkat tiga
</v>
      </c>
      <c r="AH41" s="252" t="str">
        <f t="shared" si="9"/>
        <v xml:space="preserve">RYU cukup baik  dalam menjelaskan, dan menentukan volume bangun ruang dengan menggunakan satuan volume (seperti kubus satuan) serta hubungan pangkat tiga dengan akar pangkat tiga
</v>
      </c>
      <c r="AI41" s="153"/>
      <c r="AR41" s="469">
        <f t="shared" si="10"/>
        <v>65</v>
      </c>
    </row>
    <row r="42" spans="2:44" ht="33.75" customHeight="1">
      <c r="B42" s="142">
        <v>38</v>
      </c>
      <c r="C42" s="143" t="str">
        <f>SISWA!B43</f>
        <v>1718250040342</v>
      </c>
      <c r="D42" s="144" t="str">
        <f>SISWA!E43</f>
        <v>SAEPUL</v>
      </c>
      <c r="E42" s="159">
        <v>70</v>
      </c>
      <c r="F42" s="160">
        <v>70</v>
      </c>
      <c r="G42" s="159">
        <v>70</v>
      </c>
      <c r="H42" s="160">
        <v>70</v>
      </c>
      <c r="I42" s="160"/>
      <c r="J42" s="159"/>
      <c r="K42" s="159"/>
      <c r="L42" s="159"/>
      <c r="M42" s="159"/>
      <c r="N42" s="159"/>
      <c r="O42" s="159"/>
      <c r="P42" s="159"/>
      <c r="Q42" s="159"/>
      <c r="R42" s="160"/>
      <c r="S42" s="160"/>
      <c r="T42" s="159"/>
      <c r="U42" s="354">
        <f t="shared" si="4"/>
        <v>70</v>
      </c>
      <c r="V42" s="355" t="str">
        <f>IF(U42&gt;KKM!$G$10,"A",IF(U42&gt;KKM!$H$10,"B",IF(U42&gt;=KKM!$I$10,"C","D")))</f>
        <v>C</v>
      </c>
      <c r="W42" s="356">
        <f t="shared" si="0"/>
        <v>70</v>
      </c>
      <c r="X42" s="361" t="str">
        <f>IF(W42&gt;KKM!$G$10," sangat baik ",IF(W42&gt;KKM!$H$10," baik ",IF(W42&gt;=KKM!$I$10," cukup baik "," perlu bimbingan ")))</f>
        <v xml:space="preserve"> cukup baik </v>
      </c>
      <c r="Y42" s="357">
        <f t="shared" si="1"/>
        <v>70</v>
      </c>
      <c r="Z42" s="361" t="str">
        <f>IF(Y42&gt;KKM!$G$10," sangat baik ",IF(Y42&gt;KKM!$H$10," baik ",IF(Y42&gt;=KKM!$I$10," cukup baik "," perlu bimbingan ")))</f>
        <v xml:space="preserve"> cukup baik </v>
      </c>
      <c r="AA42" s="353" t="str">
        <f t="shared" si="5"/>
        <v xml:space="preserve">SAEPUL cukup baik  dalam menjelaskan, dan menentukan volume bangun ruang dengan menggunakan satuan volume (seperti kubus satuan) serta hubungan pangkat tiga dengan akar pangkat tiga
</v>
      </c>
      <c r="AB42" s="256"/>
      <c r="AC42" s="257" t="str">
        <f t="shared" si="2"/>
        <v xml:space="preserve"> cukup baik  dalam menjelaskan, dan menentukan volume bangun ruang dengan menggunakan satuan volume (seperti kubus satuan) serta hubungan pangkat tiga dengan akar pangkat tiga
</v>
      </c>
      <c r="AD42" s="257" t="str">
        <f t="shared" si="3"/>
        <v xml:space="preserve"> cukup baik  dalam menjelaskan, dan menentukan volume bangun ruang dengan menggunakan satuan volume (seperti kubus satuan) serta hubungan pangkat tiga dengan akar pangkat tiga
</v>
      </c>
      <c r="AE42"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42" s="257" t="str">
        <f t="shared" si="7"/>
        <v xml:space="preserve"> cukup baik  dalam menjelaskan, dan menentukan volume bangun ruang dengan menggunakan satuan volume (seperti kubus satuan) serta hubungan pangkat tiga dengan akar pangkat tiga
</v>
      </c>
      <c r="AG42" s="258" t="str">
        <f t="shared" si="8"/>
        <v xml:space="preserve"> cukup baik  dalam menjelaskan, dan menentukan volume bangun ruang dengan menggunakan satuan volume (seperti kubus satuan) serta hubungan pangkat tiga dengan akar pangkat tiga
</v>
      </c>
      <c r="AH42" s="252" t="str">
        <f t="shared" si="9"/>
        <v xml:space="preserve">SAEPUL cukup baik  dalam menjelaskan, dan menentukan volume bangun ruang dengan menggunakan satuan volume (seperti kubus satuan) serta hubungan pangkat tiga dengan akar pangkat tiga
</v>
      </c>
      <c r="AI42" s="153"/>
      <c r="AR42" s="469">
        <f t="shared" si="10"/>
        <v>70</v>
      </c>
    </row>
    <row r="43" spans="2:44" ht="33.75" customHeight="1">
      <c r="B43" s="142">
        <v>39</v>
      </c>
      <c r="C43" s="143" t="str">
        <f>SISWA!B44</f>
        <v>1718250040343</v>
      </c>
      <c r="D43" s="144" t="str">
        <f>SISWA!E44</f>
        <v>SALMA</v>
      </c>
      <c r="E43" s="159">
        <v>70</v>
      </c>
      <c r="F43" s="160">
        <v>70</v>
      </c>
      <c r="G43" s="159">
        <v>70</v>
      </c>
      <c r="H43" s="160">
        <v>70</v>
      </c>
      <c r="I43" s="160"/>
      <c r="J43" s="159"/>
      <c r="K43" s="159"/>
      <c r="L43" s="159"/>
      <c r="M43" s="159"/>
      <c r="N43" s="159"/>
      <c r="O43" s="159"/>
      <c r="P43" s="159"/>
      <c r="Q43" s="159"/>
      <c r="R43" s="160"/>
      <c r="S43" s="160"/>
      <c r="T43" s="159"/>
      <c r="U43" s="354">
        <f t="shared" si="4"/>
        <v>70</v>
      </c>
      <c r="V43" s="355" t="str">
        <f>IF(U43&gt;KKM!$G$10,"A",IF(U43&gt;KKM!$H$10,"B",IF(U43&gt;=KKM!$I$10,"C","D")))</f>
        <v>C</v>
      </c>
      <c r="W43" s="356">
        <f t="shared" si="0"/>
        <v>70</v>
      </c>
      <c r="X43" s="361" t="str">
        <f>IF(W43&gt;KKM!$G$10," sangat baik ",IF(W43&gt;KKM!$H$10," baik ",IF(W43&gt;=KKM!$I$10," cukup baik "," perlu bimbingan ")))</f>
        <v xml:space="preserve"> cukup baik </v>
      </c>
      <c r="Y43" s="357">
        <f t="shared" si="1"/>
        <v>70</v>
      </c>
      <c r="Z43" s="361" t="str">
        <f>IF(Y43&gt;KKM!$G$10," sangat baik ",IF(Y43&gt;KKM!$H$10," baik ",IF(Y43&gt;=KKM!$I$10," cukup baik "," perlu bimbingan ")))</f>
        <v xml:space="preserve"> cukup baik </v>
      </c>
      <c r="AA43" s="353" t="str">
        <f t="shared" si="5"/>
        <v xml:space="preserve">SALMA cukup baik  dalam menjelaskan, dan menentukan volume bangun ruang dengan menggunakan satuan volume (seperti kubus satuan) serta hubungan pangkat tiga dengan akar pangkat tiga
</v>
      </c>
      <c r="AB43" s="256"/>
      <c r="AC43" s="257" t="str">
        <f t="shared" si="2"/>
        <v xml:space="preserve"> cukup baik  dalam menjelaskan, dan menentukan volume bangun ruang dengan menggunakan satuan volume (seperti kubus satuan) serta hubungan pangkat tiga dengan akar pangkat tiga
</v>
      </c>
      <c r="AD43" s="257" t="str">
        <f t="shared" si="3"/>
        <v xml:space="preserve"> cukup baik  dalam menjelaskan, dan menentukan volume bangun ruang dengan menggunakan satuan volume (seperti kubus satuan) serta hubungan pangkat tiga dengan akar pangkat tiga
</v>
      </c>
      <c r="AE43"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43" s="257" t="str">
        <f t="shared" si="7"/>
        <v xml:space="preserve"> cukup baik  dalam menjelaskan, dan menentukan volume bangun ruang dengan menggunakan satuan volume (seperti kubus satuan) serta hubungan pangkat tiga dengan akar pangkat tiga
</v>
      </c>
      <c r="AG43" s="258" t="str">
        <f t="shared" si="8"/>
        <v xml:space="preserve"> cukup baik  dalam menjelaskan, dan menentukan volume bangun ruang dengan menggunakan satuan volume (seperti kubus satuan) serta hubungan pangkat tiga dengan akar pangkat tiga
</v>
      </c>
      <c r="AH43" s="252" t="str">
        <f t="shared" si="9"/>
        <v xml:space="preserve">SALMA cukup baik  dalam menjelaskan, dan menentukan volume bangun ruang dengan menggunakan satuan volume (seperti kubus satuan) serta hubungan pangkat tiga dengan akar pangkat tiga
</v>
      </c>
      <c r="AI43" s="153"/>
      <c r="AR43" s="469">
        <f t="shared" si="10"/>
        <v>70</v>
      </c>
    </row>
    <row r="44" spans="2:44" ht="33.75" customHeight="1">
      <c r="B44" s="142">
        <v>40</v>
      </c>
      <c r="C44" s="143" t="str">
        <f>SISWA!B45</f>
        <v>1718250040344</v>
      </c>
      <c r="D44" s="144" t="str">
        <f>SISWA!E45</f>
        <v>SYAKILA</v>
      </c>
      <c r="E44" s="159">
        <v>75</v>
      </c>
      <c r="F44" s="160">
        <v>75</v>
      </c>
      <c r="G44" s="159">
        <v>75</v>
      </c>
      <c r="H44" s="160">
        <v>75</v>
      </c>
      <c r="I44" s="160"/>
      <c r="J44" s="159"/>
      <c r="K44" s="159"/>
      <c r="L44" s="159"/>
      <c r="M44" s="159"/>
      <c r="N44" s="159"/>
      <c r="O44" s="159"/>
      <c r="P44" s="159"/>
      <c r="Q44" s="159"/>
      <c r="R44" s="160"/>
      <c r="S44" s="160"/>
      <c r="T44" s="159"/>
      <c r="U44" s="354">
        <f t="shared" si="4"/>
        <v>75</v>
      </c>
      <c r="V44" s="355" t="str">
        <f>IF(U44&gt;KKM!$G$10,"A",IF(U44&gt;KKM!$H$10,"B",IF(U44&gt;=KKM!$I$10,"C","D")))</f>
        <v>C</v>
      </c>
      <c r="W44" s="356">
        <f t="shared" si="0"/>
        <v>75</v>
      </c>
      <c r="X44" s="361" t="str">
        <f>IF(W44&gt;KKM!$G$10," sangat baik ",IF(W44&gt;KKM!$H$10," baik ",IF(W44&gt;=KKM!$I$10," cukup baik "," perlu bimbingan ")))</f>
        <v xml:space="preserve"> cukup baik </v>
      </c>
      <c r="Y44" s="357">
        <f t="shared" si="1"/>
        <v>75</v>
      </c>
      <c r="Z44" s="361" t="str">
        <f>IF(Y44&gt;KKM!$G$10," sangat baik ",IF(Y44&gt;KKM!$H$10," baik ",IF(Y44&gt;=KKM!$I$10," cukup baik "," perlu bimbingan ")))</f>
        <v xml:space="preserve"> cukup baik </v>
      </c>
      <c r="AA44" s="353" t="str">
        <f t="shared" si="5"/>
        <v xml:space="preserve">SYAKILA cukup baik  dalam menjelaskan, dan menentukan volume bangun ruang dengan menggunakan satuan volume (seperti kubus satuan) serta hubungan pangkat tiga dengan akar pangkat tiga
</v>
      </c>
      <c r="AB44" s="256"/>
      <c r="AC44" s="257" t="str">
        <f t="shared" si="2"/>
        <v xml:space="preserve"> cukup baik  dalam menjelaskan, dan menentukan volume bangun ruang dengan menggunakan satuan volume (seperti kubus satuan) serta hubungan pangkat tiga dengan akar pangkat tiga
</v>
      </c>
      <c r="AD44" s="257" t="str">
        <f t="shared" si="3"/>
        <v xml:space="preserve"> cukup baik  dalam menjelaskan, dan menentukan volume bangun ruang dengan menggunakan satuan volume (seperti kubus satuan) serta hubungan pangkat tiga dengan akar pangkat tiga
</v>
      </c>
      <c r="AE44"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44" s="257" t="str">
        <f t="shared" si="7"/>
        <v xml:space="preserve"> cukup baik  dalam menjelaskan, dan menentukan volume bangun ruang dengan menggunakan satuan volume (seperti kubus satuan) serta hubungan pangkat tiga dengan akar pangkat tiga
</v>
      </c>
      <c r="AG44" s="258" t="str">
        <f t="shared" si="8"/>
        <v xml:space="preserve"> cukup baik  dalam menjelaskan, dan menentukan volume bangun ruang dengan menggunakan satuan volume (seperti kubus satuan) serta hubungan pangkat tiga dengan akar pangkat tiga
</v>
      </c>
      <c r="AH44" s="252" t="str">
        <f t="shared" si="9"/>
        <v xml:space="preserve">SYAKILA cukup baik  dalam menjelaskan, dan menentukan volume bangun ruang dengan menggunakan satuan volume (seperti kubus satuan) serta hubungan pangkat tiga dengan akar pangkat tiga
</v>
      </c>
      <c r="AI44" s="153"/>
      <c r="AR44" s="469">
        <f t="shared" si="10"/>
        <v>75</v>
      </c>
    </row>
    <row r="45" spans="2:44" ht="33.75" customHeight="1">
      <c r="B45" s="142">
        <v>41</v>
      </c>
      <c r="C45" s="143" t="str">
        <f>SISWA!B46</f>
        <v>1718250040345</v>
      </c>
      <c r="D45" s="144" t="str">
        <f>SISWA!E46</f>
        <v>SYIFA</v>
      </c>
      <c r="E45" s="159">
        <v>70</v>
      </c>
      <c r="F45" s="160">
        <v>70</v>
      </c>
      <c r="G45" s="160">
        <v>70</v>
      </c>
      <c r="H45" s="160">
        <v>70</v>
      </c>
      <c r="I45" s="160"/>
      <c r="J45" s="159"/>
      <c r="K45" s="159"/>
      <c r="L45" s="159"/>
      <c r="M45" s="159"/>
      <c r="N45" s="159"/>
      <c r="O45" s="159"/>
      <c r="P45" s="159"/>
      <c r="Q45" s="159"/>
      <c r="R45" s="160"/>
      <c r="S45" s="160"/>
      <c r="T45" s="159"/>
      <c r="U45" s="354">
        <f t="shared" si="4"/>
        <v>70</v>
      </c>
      <c r="V45" s="355" t="str">
        <f>IF(U45&gt;KKM!$G$10,"A",IF(U45&gt;KKM!$H$10,"B",IF(U45&gt;=KKM!$I$10,"C","D")))</f>
        <v>C</v>
      </c>
      <c r="W45" s="356">
        <f t="shared" si="0"/>
        <v>70</v>
      </c>
      <c r="X45" s="361" t="str">
        <f>IF(W45&gt;KKM!$G$10," sangat baik ",IF(W45&gt;KKM!$H$10," baik ",IF(W45&gt;=KKM!$I$10," cukup baik "," perlu bimbingan ")))</f>
        <v xml:space="preserve"> cukup baik </v>
      </c>
      <c r="Y45" s="357">
        <f t="shared" si="1"/>
        <v>70</v>
      </c>
      <c r="Z45" s="361" t="str">
        <f>IF(Y45&gt;KKM!$G$10," sangat baik ",IF(Y45&gt;KKM!$H$10," baik ",IF(Y45&gt;=KKM!$I$10," cukup baik "," perlu bimbingan ")))</f>
        <v xml:space="preserve"> cukup baik </v>
      </c>
      <c r="AA45" s="353" t="str">
        <f t="shared" si="5"/>
        <v xml:space="preserve">SYIFA cukup baik  dalam menjelaskan, dan menentukan volume bangun ruang dengan menggunakan satuan volume (seperti kubus satuan) serta hubungan pangkat tiga dengan akar pangkat tiga
</v>
      </c>
      <c r="AB45" s="256"/>
      <c r="AC45" s="257" t="str">
        <f t="shared" si="2"/>
        <v xml:space="preserve"> cukup baik  dalam menjelaskan, dan menentukan volume bangun ruang dengan menggunakan satuan volume (seperti kubus satuan) serta hubungan pangkat tiga dengan akar pangkat tiga
</v>
      </c>
      <c r="AD45" s="257" t="str">
        <f t="shared" si="3"/>
        <v xml:space="preserve"> cukup baik  dalam menjelaskan, dan menentukan volume bangun ruang dengan menggunakan satuan volume (seperti kubus satuan) serta hubungan pangkat tiga dengan akar pangkat tiga
</v>
      </c>
      <c r="AE45"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45" s="257" t="str">
        <f t="shared" si="7"/>
        <v xml:space="preserve"> cukup baik  dalam menjelaskan, dan menentukan volume bangun ruang dengan menggunakan satuan volume (seperti kubus satuan) serta hubungan pangkat tiga dengan akar pangkat tiga
</v>
      </c>
      <c r="AG45" s="258" t="str">
        <f t="shared" si="8"/>
        <v xml:space="preserve"> cukup baik  dalam menjelaskan, dan menentukan volume bangun ruang dengan menggunakan satuan volume (seperti kubus satuan) serta hubungan pangkat tiga dengan akar pangkat tiga
</v>
      </c>
      <c r="AH45" s="252" t="str">
        <f t="shared" si="9"/>
        <v xml:space="preserve">SYIFA cukup baik  dalam menjelaskan, dan menentukan volume bangun ruang dengan menggunakan satuan volume (seperti kubus satuan) serta hubungan pangkat tiga dengan akar pangkat tiga
</v>
      </c>
      <c r="AI45" s="153"/>
      <c r="AR45" s="469">
        <f t="shared" si="10"/>
        <v>70</v>
      </c>
    </row>
    <row r="46" spans="2:44" ht="33.75" customHeight="1">
      <c r="B46" s="142">
        <v>42</v>
      </c>
      <c r="C46" s="143" t="str">
        <f>SISWA!B47</f>
        <v>1718250040346</v>
      </c>
      <c r="D46" s="144" t="str">
        <f>SISWA!E47</f>
        <v>WAFDAN</v>
      </c>
      <c r="E46" s="159">
        <v>75</v>
      </c>
      <c r="F46" s="160">
        <v>75</v>
      </c>
      <c r="G46" s="160">
        <v>75</v>
      </c>
      <c r="H46" s="160">
        <v>75</v>
      </c>
      <c r="I46" s="160"/>
      <c r="J46" s="159"/>
      <c r="K46" s="159"/>
      <c r="L46" s="159"/>
      <c r="M46" s="159"/>
      <c r="N46" s="159"/>
      <c r="O46" s="159"/>
      <c r="P46" s="159"/>
      <c r="Q46" s="159"/>
      <c r="R46" s="160"/>
      <c r="S46" s="160"/>
      <c r="T46" s="159"/>
      <c r="U46" s="354">
        <f t="shared" si="4"/>
        <v>75</v>
      </c>
      <c r="V46" s="355" t="str">
        <f>IF(U46&gt;KKM!$G$10,"A",IF(U46&gt;KKM!$H$10,"B",IF(U46&gt;=KKM!$I$10,"C","D")))</f>
        <v>C</v>
      </c>
      <c r="W46" s="356">
        <f t="shared" si="0"/>
        <v>75</v>
      </c>
      <c r="X46" s="361" t="str">
        <f>IF(W46&gt;KKM!$G$10," sangat baik ",IF(W46&gt;KKM!$H$10," baik ",IF(W46&gt;=KKM!$I$10," cukup baik "," perlu bimbingan ")))</f>
        <v xml:space="preserve"> cukup baik </v>
      </c>
      <c r="Y46" s="357">
        <f t="shared" si="1"/>
        <v>75</v>
      </c>
      <c r="Z46" s="361" t="str">
        <f>IF(Y46&gt;KKM!$G$10," sangat baik ",IF(Y46&gt;KKM!$H$10," baik ",IF(Y46&gt;=KKM!$I$10," cukup baik "," perlu bimbingan ")))</f>
        <v xml:space="preserve"> cukup baik </v>
      </c>
      <c r="AA46" s="353" t="str">
        <f t="shared" si="5"/>
        <v xml:space="preserve">WAFDAN cukup baik  dalam menjelaskan, dan menentukan volume bangun ruang dengan menggunakan satuan volume (seperti kubus satuan) serta hubungan pangkat tiga dengan akar pangkat tiga
</v>
      </c>
      <c r="AB46" s="256"/>
      <c r="AC46" s="257" t="str">
        <f t="shared" si="2"/>
        <v xml:space="preserve"> cukup baik  dalam menjelaskan, dan menentukan volume bangun ruang dengan menggunakan satuan volume (seperti kubus satuan) serta hubungan pangkat tiga dengan akar pangkat tiga
</v>
      </c>
      <c r="AD46" s="257" t="str">
        <f t="shared" si="3"/>
        <v xml:space="preserve"> cukup baik  dalam menjelaskan, dan menentukan volume bangun ruang dengan menggunakan satuan volume (seperti kubus satuan) serta hubungan pangkat tiga dengan akar pangkat tiga
</v>
      </c>
      <c r="AE46"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46" s="257" t="str">
        <f t="shared" si="7"/>
        <v xml:space="preserve"> cukup baik  dalam menjelaskan, dan menentukan volume bangun ruang dengan menggunakan satuan volume (seperti kubus satuan) serta hubungan pangkat tiga dengan akar pangkat tiga
</v>
      </c>
      <c r="AG46" s="258" t="str">
        <f t="shared" si="8"/>
        <v xml:space="preserve"> cukup baik  dalam menjelaskan, dan menentukan volume bangun ruang dengan menggunakan satuan volume (seperti kubus satuan) serta hubungan pangkat tiga dengan akar pangkat tiga
</v>
      </c>
      <c r="AH46" s="252" t="str">
        <f t="shared" si="9"/>
        <v xml:space="preserve">WAFDAN cukup baik  dalam menjelaskan, dan menentukan volume bangun ruang dengan menggunakan satuan volume (seperti kubus satuan) serta hubungan pangkat tiga dengan akar pangkat tiga
</v>
      </c>
      <c r="AI46" s="153"/>
      <c r="AR46" s="469">
        <f t="shared" si="10"/>
        <v>75</v>
      </c>
    </row>
    <row r="47" spans="2:44" ht="33.75" customHeight="1">
      <c r="B47" s="142">
        <v>43</v>
      </c>
      <c r="C47" s="143" t="str">
        <f>SISWA!B48</f>
        <v>1718250040347</v>
      </c>
      <c r="D47" s="144" t="str">
        <f>SISWA!E48</f>
        <v>ZEVA</v>
      </c>
      <c r="E47" s="159">
        <v>75</v>
      </c>
      <c r="F47" s="160">
        <v>75</v>
      </c>
      <c r="G47" s="160">
        <v>75</v>
      </c>
      <c r="H47" s="160">
        <v>75</v>
      </c>
      <c r="I47" s="160"/>
      <c r="J47" s="159"/>
      <c r="K47" s="159"/>
      <c r="L47" s="159"/>
      <c r="M47" s="159"/>
      <c r="N47" s="159"/>
      <c r="O47" s="159"/>
      <c r="P47" s="159"/>
      <c r="Q47" s="159"/>
      <c r="R47" s="160"/>
      <c r="S47" s="160"/>
      <c r="T47" s="159"/>
      <c r="U47" s="354">
        <f t="shared" si="4"/>
        <v>75</v>
      </c>
      <c r="V47" s="355" t="str">
        <f>IF(U47&gt;KKM!$G$10,"A",IF(U47&gt;KKM!$H$10,"B",IF(U47&gt;=KKM!$I$10,"C","D")))</f>
        <v>C</v>
      </c>
      <c r="W47" s="356">
        <f t="shared" si="0"/>
        <v>75</v>
      </c>
      <c r="X47" s="361" t="str">
        <f>IF(W47&gt;KKM!$G$10," sangat baik ",IF(W47&gt;KKM!$H$10," baik ",IF(W47&gt;=KKM!$I$10," cukup baik "," perlu bimbingan ")))</f>
        <v xml:space="preserve"> cukup baik </v>
      </c>
      <c r="Y47" s="357">
        <f t="shared" si="1"/>
        <v>75</v>
      </c>
      <c r="Z47" s="361" t="str">
        <f>IF(Y47&gt;KKM!$G$10," sangat baik ",IF(Y47&gt;KKM!$H$10," baik ",IF(Y47&gt;=KKM!$I$10," cukup baik "," perlu bimbingan ")))</f>
        <v xml:space="preserve"> cukup baik </v>
      </c>
      <c r="AA47" s="353" t="str">
        <f t="shared" si="5"/>
        <v xml:space="preserve">ZEVA cukup baik  dalam menjelaskan, dan menentukan volume bangun ruang dengan menggunakan satuan volume (seperti kubus satuan) serta hubungan pangkat tiga dengan akar pangkat tiga
</v>
      </c>
      <c r="AB47" s="256"/>
      <c r="AC47" s="257" t="str">
        <f t="shared" si="2"/>
        <v xml:space="preserve"> cukup baik  dalam menjelaskan, dan menentukan volume bangun ruang dengan menggunakan satuan volume (seperti kubus satuan) serta hubungan pangkat tiga dengan akar pangkat tiga
</v>
      </c>
      <c r="AD47" s="257" t="str">
        <f t="shared" si="3"/>
        <v xml:space="preserve"> cukup baik  dalam menjelaskan, dan menentukan volume bangun ruang dengan menggunakan satuan volume (seperti kubus satuan) serta hubungan pangkat tiga dengan akar pangkat tiga
</v>
      </c>
      <c r="AE47" s="257" t="str">
        <f t="shared" si="6"/>
        <v xml:space="preserve"> cukup baik  dalam menjelaskan, dan menentukan volume bangun ruang dengan menggunakan satuan volume (seperti kubus satuan) serta hubungan pangkat tiga dengan akar pangkat tiga
, dan  cukup baik  dalam menjelaskan, dan menentukan volume bangun ruang dengan menggunakan satuan volume (seperti kubus satuan) serta hubungan pangkat tiga dengan akar pangkat tiga
</v>
      </c>
      <c r="AF47" s="257" t="str">
        <f t="shared" si="7"/>
        <v xml:space="preserve"> cukup baik  dalam menjelaskan, dan menentukan volume bangun ruang dengan menggunakan satuan volume (seperti kubus satuan) serta hubungan pangkat tiga dengan akar pangkat tiga
</v>
      </c>
      <c r="AG47" s="258" t="str">
        <f t="shared" si="8"/>
        <v xml:space="preserve"> cukup baik  dalam menjelaskan, dan menentukan volume bangun ruang dengan menggunakan satuan volume (seperti kubus satuan) serta hubungan pangkat tiga dengan akar pangkat tiga
</v>
      </c>
      <c r="AH47" s="252" t="str">
        <f t="shared" si="9"/>
        <v xml:space="preserve">ZEVA cukup baik  dalam menjelaskan, dan menentukan volume bangun ruang dengan menggunakan satuan volume (seperti kubus satuan) serta hubungan pangkat tiga dengan akar pangkat tiga
</v>
      </c>
      <c r="AI47" s="153"/>
      <c r="AR47" s="469">
        <f t="shared" si="10"/>
        <v>75</v>
      </c>
    </row>
    <row r="48" spans="2:44" ht="33.75" customHeight="1">
      <c r="B48" s="142">
        <v>44</v>
      </c>
      <c r="C48" s="143">
        <f>SISWA!B49</f>
        <v>0</v>
      </c>
      <c r="D48" s="144">
        <f>SISWA!E49</f>
        <v>0</v>
      </c>
      <c r="E48" s="159"/>
      <c r="F48" s="160"/>
      <c r="G48" s="160"/>
      <c r="H48" s="160"/>
      <c r="I48" s="160"/>
      <c r="J48" s="159"/>
      <c r="K48" s="159"/>
      <c r="L48" s="159"/>
      <c r="M48" s="159"/>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53"/>
      <c r="AR48" s="469" t="str">
        <f t="shared" si="10"/>
        <v/>
      </c>
    </row>
    <row r="49" spans="2:44" ht="33.75" customHeight="1">
      <c r="B49" s="142">
        <v>45</v>
      </c>
      <c r="C49" s="143">
        <f>SISWA!B50</f>
        <v>0</v>
      </c>
      <c r="D49" s="144">
        <f>SISWA!E50</f>
        <v>0</v>
      </c>
      <c r="E49" s="159"/>
      <c r="F49" s="160"/>
      <c r="G49" s="160"/>
      <c r="H49" s="160"/>
      <c r="I49" s="160"/>
      <c r="J49" s="159"/>
      <c r="K49" s="159"/>
      <c r="L49" s="159"/>
      <c r="M49" s="159"/>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53"/>
      <c r="AR49" s="469" t="str">
        <f t="shared" si="10"/>
        <v/>
      </c>
    </row>
    <row r="50" spans="2:44" ht="33.75" customHeight="1">
      <c r="B50" s="142">
        <v>46</v>
      </c>
      <c r="C50" s="143">
        <f>SISWA!B51</f>
        <v>0</v>
      </c>
      <c r="D50" s="144">
        <f>SISWA!E51</f>
        <v>0</v>
      </c>
      <c r="E50" s="159"/>
      <c r="F50" s="160"/>
      <c r="G50" s="160"/>
      <c r="H50" s="160"/>
      <c r="I50" s="160"/>
      <c r="J50" s="159"/>
      <c r="K50" s="159"/>
      <c r="L50" s="159"/>
      <c r="M50" s="159"/>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53"/>
      <c r="AR50" s="469" t="str">
        <f t="shared" si="10"/>
        <v/>
      </c>
    </row>
    <row r="51" spans="2:44" ht="33.75" customHeight="1">
      <c r="B51" s="142">
        <v>47</v>
      </c>
      <c r="C51" s="143">
        <f>SISWA!B52</f>
        <v>0</v>
      </c>
      <c r="D51" s="144">
        <f>SISWA!E52</f>
        <v>0</v>
      </c>
      <c r="E51" s="159"/>
      <c r="F51" s="160"/>
      <c r="G51" s="160"/>
      <c r="H51" s="160"/>
      <c r="I51" s="160"/>
      <c r="J51" s="159"/>
      <c r="K51" s="159"/>
      <c r="L51" s="159"/>
      <c r="M51" s="159"/>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53"/>
      <c r="AR51" s="469" t="str">
        <f t="shared" si="10"/>
        <v/>
      </c>
    </row>
    <row r="52" spans="2:44" ht="33.75" customHeight="1">
      <c r="B52" s="142">
        <v>48</v>
      </c>
      <c r="C52" s="143">
        <f>SISWA!B53</f>
        <v>0</v>
      </c>
      <c r="D52" s="144">
        <f>SISWA!E53</f>
        <v>0</v>
      </c>
      <c r="E52" s="159"/>
      <c r="F52" s="160"/>
      <c r="G52" s="160"/>
      <c r="H52" s="160"/>
      <c r="I52" s="160"/>
      <c r="J52" s="159"/>
      <c r="K52" s="159"/>
      <c r="L52" s="159"/>
      <c r="M52" s="159"/>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53"/>
      <c r="AR52" s="469" t="str">
        <f t="shared" si="10"/>
        <v/>
      </c>
    </row>
    <row r="53" spans="2:44" ht="33.75" customHeight="1">
      <c r="B53" s="142">
        <v>49</v>
      </c>
      <c r="C53" s="143">
        <f>SISWA!B54</f>
        <v>0</v>
      </c>
      <c r="D53" s="144">
        <f>SISWA!E54</f>
        <v>0</v>
      </c>
      <c r="E53" s="159"/>
      <c r="F53" s="160"/>
      <c r="G53" s="160"/>
      <c r="H53" s="160"/>
      <c r="I53" s="160"/>
      <c r="J53" s="159"/>
      <c r="K53" s="159"/>
      <c r="L53" s="159"/>
      <c r="M53" s="159"/>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53"/>
      <c r="AR53" s="469" t="str">
        <f t="shared" si="10"/>
        <v/>
      </c>
    </row>
    <row r="54" spans="2:44" ht="33.75" customHeight="1">
      <c r="B54" s="142">
        <v>50</v>
      </c>
      <c r="C54" s="143">
        <f>SISWA!B55</f>
        <v>0</v>
      </c>
      <c r="D54" s="144">
        <f>SISWA!E55</f>
        <v>0</v>
      </c>
      <c r="E54" s="159"/>
      <c r="F54" s="160"/>
      <c r="G54" s="160"/>
      <c r="H54" s="160"/>
      <c r="I54" s="160"/>
      <c r="J54" s="159"/>
      <c r="K54" s="159"/>
      <c r="L54" s="159"/>
      <c r="M54" s="159"/>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53"/>
      <c r="AR54" s="469" t="str">
        <f t="shared" si="10"/>
        <v/>
      </c>
    </row>
    <row r="55" spans="2:44" ht="15.75">
      <c r="B55" s="154"/>
      <c r="C55" s="154"/>
      <c r="D55" s="154"/>
      <c r="E55" s="159"/>
      <c r="F55" s="160"/>
      <c r="G55" s="160"/>
      <c r="H55" s="160"/>
      <c r="I55" s="160"/>
      <c r="J55" s="159"/>
      <c r="K55" s="159"/>
      <c r="L55" s="159"/>
      <c r="M55" s="159"/>
      <c r="N55" s="159"/>
      <c r="O55" s="159"/>
      <c r="P55" s="159"/>
      <c r="Q55" s="159"/>
      <c r="R55" s="160"/>
      <c r="S55" s="160"/>
      <c r="T55" s="159"/>
      <c r="U55" s="147"/>
      <c r="V55" s="148"/>
      <c r="W55" s="149"/>
      <c r="X55" s="149"/>
      <c r="Y55" s="149"/>
      <c r="Z55" s="149"/>
      <c r="AA55" s="150"/>
      <c r="AB55" s="151"/>
      <c r="AC55" s="152"/>
      <c r="AD55" s="155"/>
      <c r="AE55" s="155"/>
      <c r="AF55" s="155"/>
      <c r="AG55" s="155"/>
      <c r="AH55" s="155"/>
      <c r="AI55" s="153"/>
    </row>
  </sheetData>
  <sheetProtection password="C70C" sheet="1" objects="1" scenarios="1"/>
  <mergeCells count="11">
    <mergeCell ref="AA2:AA4"/>
    <mergeCell ref="W3:X3"/>
    <mergeCell ref="Y3:Z3"/>
    <mergeCell ref="B1:Z1"/>
    <mergeCell ref="B2:B4"/>
    <mergeCell ref="C2:C4"/>
    <mergeCell ref="D2:D4"/>
    <mergeCell ref="E2:T2"/>
    <mergeCell ref="U2:U4"/>
    <mergeCell ref="V2:V4"/>
    <mergeCell ref="W2:Z2"/>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N55"/>
  <sheetViews>
    <sheetView zoomScale="85" zoomScaleNormal="85"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507" customWidth="1"/>
    <col min="2" max="2" width="4.42578125" style="137" customWidth="1"/>
    <col min="3" max="3" width="6.42578125" style="137" customWidth="1"/>
    <col min="4" max="4" width="28.7109375" style="137" customWidth="1"/>
    <col min="5" max="12" width="6.7109375" style="137" customWidth="1"/>
    <col min="13" max="19" width="6.7109375" style="137" hidden="1" customWidth="1"/>
    <col min="20" max="20" width="6.7109375" style="137" customWidth="1"/>
    <col min="21" max="22" width="4.7109375" style="137" customWidth="1"/>
    <col min="23" max="23" width="5.140625" style="137" customWidth="1"/>
    <col min="24" max="24" width="9.85546875" style="137" customWidth="1"/>
    <col min="25" max="25" width="5.140625" style="137" customWidth="1"/>
    <col min="26" max="26" width="10.7109375" style="137" customWidth="1"/>
    <col min="27" max="27" width="84.42578125" style="137" customWidth="1"/>
    <col min="28" max="28" width="29.85546875" style="137" customWidth="1"/>
    <col min="29" max="34" width="10.7109375" style="137" hidden="1" customWidth="1"/>
    <col min="35" max="41" width="9.140625" style="137" hidden="1" customWidth="1"/>
    <col min="42" max="43" width="9.140625" style="137" customWidth="1"/>
    <col min="44" max="45" width="9.140625" style="137" hidden="1" customWidth="1"/>
    <col min="46" max="46" width="9.140625" style="137" customWidth="1"/>
    <col min="47" max="52" width="5" style="137" hidden="1" customWidth="1"/>
    <col min="53" max="54" width="0" style="137" hidden="1" customWidth="1"/>
    <col min="55" max="68" width="10.7109375" style="137" hidden="1" customWidth="1"/>
    <col min="69" max="92" width="0" style="137" hidden="1" customWidth="1"/>
    <col min="93" max="16384" width="9.140625" style="137" hidden="1"/>
  </cols>
  <sheetData>
    <row r="1" spans="1:45" s="510" customFormat="1" ht="45.75" customHeight="1">
      <c r="B1" s="685" t="s">
        <v>204</v>
      </c>
      <c r="C1" s="685"/>
      <c r="D1" s="685"/>
      <c r="E1" s="685"/>
      <c r="F1" s="685"/>
      <c r="G1" s="685"/>
      <c r="H1" s="685"/>
      <c r="I1" s="685"/>
      <c r="J1" s="685"/>
      <c r="K1" s="685"/>
      <c r="L1" s="685"/>
      <c r="M1" s="685"/>
      <c r="N1" s="685"/>
      <c r="O1" s="685"/>
      <c r="P1" s="685"/>
      <c r="Q1" s="685"/>
      <c r="R1" s="685"/>
      <c r="S1" s="685"/>
      <c r="T1" s="685"/>
      <c r="U1" s="685"/>
      <c r="V1" s="685"/>
      <c r="W1" s="685"/>
      <c r="X1" s="685"/>
      <c r="Y1" s="685"/>
      <c r="Z1" s="685"/>
    </row>
    <row r="2" spans="1:45"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S2" s="502">
        <f>DEPAN!$E$23</f>
        <v>43</v>
      </c>
    </row>
    <row r="3" spans="1:45" ht="94.5" customHeight="1">
      <c r="B3" s="716"/>
      <c r="C3" s="717"/>
      <c r="D3" s="718"/>
      <c r="E3" s="408" t="str">
        <f>'KI-KD'!$C70</f>
        <v xml:space="preserve">menerapkan konsep perpindahan kalor dalam kehidupan sehari-hari.
</v>
      </c>
      <c r="F3" s="408" t="str">
        <f>'KI-KD'!$C71</f>
        <v xml:space="preserve">menganalisis pengaruh kalor terhadap perubahan suhu dan wujud benda dalam kehidupan seharihari
</v>
      </c>
      <c r="G3" s="408" t="str">
        <f>'KI-KD'!$C72</f>
        <v>menganalisis siklus air dan dampaknya pada peristiwa di bumi serta kelangsungan mahluk hidup</v>
      </c>
      <c r="H3" s="408" t="str">
        <f>'KI-KD'!$C73</f>
        <v>Mengelompokkan materi dalam kehidupan sehari-hari berdasarkan komponen penyusunnya (zat tunggal dan campuran).</v>
      </c>
      <c r="I3" s="408">
        <f>'KI-KD'!$C74</f>
        <v>0</v>
      </c>
      <c r="J3" s="408">
        <f>'KI-KD'!$C75</f>
        <v>0</v>
      </c>
      <c r="K3" s="408">
        <f>'KI-KD'!$C76</f>
        <v>0</v>
      </c>
      <c r="L3" s="408">
        <f>'KI-KD'!$C77</f>
        <v>0</v>
      </c>
      <c r="M3" s="408">
        <f>'KI-KD'!$C78</f>
        <v>0</v>
      </c>
      <c r="N3" s="408">
        <f>'KI-KD'!$C79</f>
        <v>0</v>
      </c>
      <c r="O3" s="408">
        <f>'KI-KD'!$C80</f>
        <v>0</v>
      </c>
      <c r="P3" s="138"/>
      <c r="Q3" s="138"/>
      <c r="R3" s="138"/>
      <c r="S3" s="138"/>
      <c r="T3" s="138"/>
      <c r="U3" s="720"/>
      <c r="V3" s="721"/>
      <c r="W3" s="712" t="s">
        <v>267</v>
      </c>
      <c r="X3" s="713"/>
      <c r="Y3" s="714" t="s">
        <v>268</v>
      </c>
      <c r="Z3" s="715"/>
      <c r="AA3" s="679"/>
      <c r="AB3" s="2"/>
      <c r="AC3" s="2"/>
      <c r="AD3" s="2"/>
      <c r="AE3" s="2"/>
      <c r="AF3" s="2"/>
      <c r="AG3" s="2"/>
      <c r="AH3" s="253"/>
      <c r="AS3" s="469">
        <f>AS4-AS5</f>
        <v>43</v>
      </c>
    </row>
    <row r="4" spans="1:45" s="141" customFormat="1" ht="25.5" customHeight="1">
      <c r="A4" s="509"/>
      <c r="B4" s="716"/>
      <c r="C4" s="717"/>
      <c r="D4" s="718"/>
      <c r="E4" s="140" t="str">
        <f>'KI-KD'!$B70</f>
        <v>3.6</v>
      </c>
      <c r="F4" s="140" t="str">
        <f>'KI-KD'!$B71</f>
        <v>3.7</v>
      </c>
      <c r="G4" s="140" t="str">
        <f>'KI-KD'!$B72</f>
        <v>3.8</v>
      </c>
      <c r="H4" s="140" t="str">
        <f>'KI-KD'!$B73</f>
        <v>3.9</v>
      </c>
      <c r="I4" s="140">
        <f>'KI-KD'!$B74</f>
        <v>0</v>
      </c>
      <c r="J4" s="140">
        <f>'KI-KD'!$B75</f>
        <v>0</v>
      </c>
      <c r="K4" s="140">
        <f>'KI-KD'!$B76</f>
        <v>0</v>
      </c>
      <c r="L4" s="140">
        <f>'KI-KD'!$B77</f>
        <v>0</v>
      </c>
      <c r="M4" s="140">
        <f>'KI-KD'!$B78</f>
        <v>0</v>
      </c>
      <c r="N4" s="140">
        <f>'KI-KD'!$B79</f>
        <v>0</v>
      </c>
      <c r="O4" s="140">
        <f>'KI-KD'!$B80</f>
        <v>0</v>
      </c>
      <c r="P4" s="140"/>
      <c r="Q4" s="140"/>
      <c r="R4" s="140"/>
      <c r="S4" s="140"/>
      <c r="T4" s="140"/>
      <c r="U4" s="720"/>
      <c r="V4" s="721"/>
      <c r="W4" s="248" t="s">
        <v>269</v>
      </c>
      <c r="X4" s="249" t="s">
        <v>3</v>
      </c>
      <c r="Y4" s="250" t="s">
        <v>269</v>
      </c>
      <c r="Z4" s="251" t="s">
        <v>3</v>
      </c>
      <c r="AA4" s="680"/>
      <c r="AB4" s="2"/>
      <c r="AC4" s="254" t="s">
        <v>270</v>
      </c>
      <c r="AD4" s="254" t="s">
        <v>271</v>
      </c>
      <c r="AE4" s="254" t="s">
        <v>272</v>
      </c>
      <c r="AF4" s="254" t="s">
        <v>273</v>
      </c>
      <c r="AG4" s="255" t="s">
        <v>266</v>
      </c>
      <c r="AH4" s="252"/>
      <c r="AS4" s="141">
        <v>50</v>
      </c>
    </row>
    <row r="5" spans="1:45" ht="41.25" customHeight="1">
      <c r="B5" s="142">
        <v>1</v>
      </c>
      <c r="C5" s="143" t="str">
        <f>SISWA!B6</f>
        <v>1718250040305</v>
      </c>
      <c r="D5" s="144" t="str">
        <f>SISWA!E6</f>
        <v>YAHYA</v>
      </c>
      <c r="E5" s="159">
        <v>92.5</v>
      </c>
      <c r="F5" s="160">
        <v>92.5</v>
      </c>
      <c r="G5" s="159">
        <v>92.5</v>
      </c>
      <c r="H5" s="160">
        <v>92.5</v>
      </c>
      <c r="I5" s="160"/>
      <c r="J5" s="160"/>
      <c r="K5" s="160"/>
      <c r="L5" s="160"/>
      <c r="M5" s="160"/>
      <c r="N5" s="160"/>
      <c r="O5" s="160"/>
      <c r="P5" s="159"/>
      <c r="Q5" s="160"/>
      <c r="R5" s="160"/>
      <c r="S5" s="160"/>
      <c r="T5" s="159"/>
      <c r="U5" s="354">
        <f>ROUND((AVERAGE(E5:T5)),0)</f>
        <v>93</v>
      </c>
      <c r="V5" s="355" t="str">
        <f>IF(U5&gt;KKM!$G$10,"A",IF(U5&gt;KKM!$H$10,"B",IF(U5&gt;=KKM!$I$10,"C","D")))</f>
        <v>A</v>
      </c>
      <c r="W5" s="356">
        <f t="shared" ref="W5:W54" si="0">MAX(E5:T5)</f>
        <v>92.5</v>
      </c>
      <c r="X5" s="361" t="str">
        <f>IF(W5&gt;KKM!$G$10," sangat baik ",IF(W5&gt;KKM!$H$10," baik ",IF(W5&gt;=KKM!$I$10," cukup baik "," perlu bimbingan ")))</f>
        <v xml:space="preserve"> sangat baik </v>
      </c>
      <c r="Y5" s="357">
        <f t="shared" ref="Y5:Y54" si="1">MIN(E5:T5)</f>
        <v>92.5</v>
      </c>
      <c r="Z5" s="361" t="str">
        <f>IF(Y5&gt;KKM!$G$10," sangat baik ",IF(Y5&gt;KKM!$H$10," baik ",IF(Y5&gt;=KKM!$I$10," cukup baik "," perlu bimbingan ")))</f>
        <v xml:space="preserve"> sangat baik </v>
      </c>
      <c r="AA5" s="353" t="str">
        <f>IFERROR(AH5," ")</f>
        <v xml:space="preserve">YAHYA sangat baik  dalam menerapkan konsep perpindahan kalor dalam kehidupan sehari-hari.
</v>
      </c>
      <c r="AB5" s="256"/>
      <c r="AC5" s="257" t="str">
        <f t="shared" ref="AC5:AC54" si="2">X5&amp;" dalam "&amp;INDEX($E$3:$T$3,MATCH(W5,$E5:$T5,0))</f>
        <v xml:space="preserve"> sangat baik  dalam menerapkan konsep perpindahan kalor dalam kehidupan sehari-hari.
</v>
      </c>
      <c r="AD5" s="257" t="str">
        <f t="shared" ref="AD5:AD54" si="3">Z5&amp;" dalam "&amp;INDEX($E$3:$T$3,MATCH(Y5,$E5:$T5,0))</f>
        <v xml:space="preserve"> sangat baik  dalam menerapkan konsep perpindahan kalor dalam kehidupan sehari-hari.
</v>
      </c>
      <c r="AE5" s="257" t="str">
        <f>AC5&amp;", dan "&amp;AD5</f>
        <v xml:space="preserve"> sangat baik  dalam menerapkan konsep perpindahan kalor dalam kehidupan sehari-hari.
, dan  sangat baik  dalam menerapkan konsep perpindahan kalor dalam kehidupan sehari-hari.
</v>
      </c>
      <c r="AF5" s="257" t="str">
        <f>IF(AC5=AD5,AC5," ")</f>
        <v xml:space="preserve"> sangat baik  dalam menerapkan konsep perpindahan kalor dalam kehidupan sehari-hari.
</v>
      </c>
      <c r="AG5" s="258" t="str">
        <f>IF(AF5=" ",AE5,AF5)</f>
        <v xml:space="preserve"> sangat baik  dalam menerapkan konsep perpindahan kalor dalam kehidupan sehari-hari.
</v>
      </c>
      <c r="AH5" s="252" t="str">
        <f>CONCATENATE(D5,AG5)</f>
        <v xml:space="preserve">YAHYA sangat baik  dalam menerapkan konsep perpindahan kalor dalam kehidupan sehari-hari.
</v>
      </c>
      <c r="AI5" s="153"/>
      <c r="AR5" s="469">
        <f>IFERROR(U5,"")</f>
        <v>93</v>
      </c>
      <c r="AS5" s="469">
        <f>COUNTBLANK(AR5:AR54)</f>
        <v>7</v>
      </c>
    </row>
    <row r="6" spans="1:45" ht="41.25" customHeight="1">
      <c r="B6" s="142">
        <v>2</v>
      </c>
      <c r="C6" s="143" t="str">
        <f>SISWA!B7</f>
        <v>1718250040306</v>
      </c>
      <c r="D6" s="144" t="str">
        <f>SISWA!E7</f>
        <v>ADHWA</v>
      </c>
      <c r="E6" s="159">
        <v>95</v>
      </c>
      <c r="F6" s="160">
        <v>95</v>
      </c>
      <c r="G6" s="159">
        <v>95</v>
      </c>
      <c r="H6" s="160">
        <v>95</v>
      </c>
      <c r="I6" s="160"/>
      <c r="J6" s="160"/>
      <c r="K6" s="160"/>
      <c r="L6" s="160"/>
      <c r="M6" s="160"/>
      <c r="N6" s="160"/>
      <c r="O6" s="160"/>
      <c r="P6" s="159"/>
      <c r="Q6" s="160"/>
      <c r="R6" s="160"/>
      <c r="S6" s="160"/>
      <c r="T6" s="159"/>
      <c r="U6" s="354">
        <f t="shared" ref="U6:U54" si="4">ROUND((AVERAGE(E6:T6)),0)</f>
        <v>95</v>
      </c>
      <c r="V6" s="355" t="str">
        <f>IF(U6&gt;KKM!$G$10,"A",IF(U6&gt;KKM!$H$10,"B",IF(U6&gt;=KKM!$I$10,"C","D")))</f>
        <v>A</v>
      </c>
      <c r="W6" s="356">
        <f t="shared" si="0"/>
        <v>95</v>
      </c>
      <c r="X6" s="361" t="str">
        <f>IF(W6&gt;KKM!$G$10," sangat baik ",IF(W6&gt;KKM!$H$10," baik ",IF(W6&gt;=KKM!$I$10," cukup baik "," perlu bimbingan ")))</f>
        <v xml:space="preserve"> sangat baik </v>
      </c>
      <c r="Y6" s="357">
        <f t="shared" si="1"/>
        <v>95</v>
      </c>
      <c r="Z6" s="361" t="str">
        <f>IF(Y6&gt;KKM!$G$10," sangat baik ",IF(Y6&gt;KKM!$H$10," baik ",IF(Y6&gt;=KKM!$I$10," cukup baik "," perlu bimbingan ")))</f>
        <v xml:space="preserve"> sangat baik </v>
      </c>
      <c r="AA6" s="353" t="str">
        <f t="shared" ref="AA6:AA54" si="5">IFERROR(AH6," ")</f>
        <v xml:space="preserve">ADHWA sangat baik  dalam menerapkan konsep perpindahan kalor dalam kehidupan sehari-hari.
</v>
      </c>
      <c r="AB6" s="256"/>
      <c r="AC6" s="257" t="str">
        <f t="shared" si="2"/>
        <v xml:space="preserve"> sangat baik  dalam menerapkan konsep perpindahan kalor dalam kehidupan sehari-hari.
</v>
      </c>
      <c r="AD6" s="257" t="str">
        <f t="shared" si="3"/>
        <v xml:space="preserve"> sangat baik  dalam menerapkan konsep perpindahan kalor dalam kehidupan sehari-hari.
</v>
      </c>
      <c r="AE6" s="257" t="str">
        <f t="shared" ref="AE6:AE54" si="6">AC6&amp;", dan "&amp;AD6</f>
        <v xml:space="preserve"> sangat baik  dalam menerapkan konsep perpindahan kalor dalam kehidupan sehari-hari.
, dan  sangat baik  dalam menerapkan konsep perpindahan kalor dalam kehidupan sehari-hari.
</v>
      </c>
      <c r="AF6" s="257" t="str">
        <f t="shared" ref="AF6:AF54" si="7">IF(AC6=AD6,AC6," ")</f>
        <v xml:space="preserve"> sangat baik  dalam menerapkan konsep perpindahan kalor dalam kehidupan sehari-hari.
</v>
      </c>
      <c r="AG6" s="258" t="str">
        <f t="shared" ref="AG6:AG54" si="8">IF(AF6=" ",AE6,AF6)</f>
        <v xml:space="preserve"> sangat baik  dalam menerapkan konsep perpindahan kalor dalam kehidupan sehari-hari.
</v>
      </c>
      <c r="AH6" s="252" t="str">
        <f t="shared" ref="AH6:AH54" si="9">CONCATENATE(D6,AG6)</f>
        <v xml:space="preserve">ADHWA sangat baik  dalam menerapkan konsep perpindahan kalor dalam kehidupan sehari-hari.
</v>
      </c>
      <c r="AI6" s="153"/>
      <c r="AR6" s="469">
        <f t="shared" ref="AR6:AR54" si="10">IFERROR(U6,"")</f>
        <v>95</v>
      </c>
      <c r="AS6" s="503">
        <f>IFERROR(AS3/AS2,"0%")</f>
        <v>1</v>
      </c>
    </row>
    <row r="7" spans="1:45" ht="41.25" customHeight="1">
      <c r="B7" s="142">
        <v>3</v>
      </c>
      <c r="C7" s="143" t="str">
        <f>SISWA!B8</f>
        <v xml:space="preserve"> 1718250040307</v>
      </c>
      <c r="D7" s="144" t="str">
        <f>SISWA!E8</f>
        <v>ANDHIKA</v>
      </c>
      <c r="E7" s="159">
        <v>87.5</v>
      </c>
      <c r="F7" s="160">
        <v>87.5</v>
      </c>
      <c r="G7" s="160">
        <v>87.5</v>
      </c>
      <c r="H7" s="160">
        <v>87.5</v>
      </c>
      <c r="I7" s="160"/>
      <c r="J7" s="159"/>
      <c r="K7" s="159"/>
      <c r="L7" s="159"/>
      <c r="M7" s="159"/>
      <c r="N7" s="159"/>
      <c r="O7" s="159"/>
      <c r="P7" s="159"/>
      <c r="Q7" s="159"/>
      <c r="R7" s="160"/>
      <c r="S7" s="160"/>
      <c r="T7" s="159"/>
      <c r="U7" s="354">
        <f t="shared" si="4"/>
        <v>88</v>
      </c>
      <c r="V7" s="355" t="str">
        <f>IF(U7&gt;KKM!$G$10,"A",IF(U7&gt;KKM!$H$10,"B",IF(U7&gt;=KKM!$I$10,"C","D")))</f>
        <v>A</v>
      </c>
      <c r="W7" s="356">
        <f t="shared" si="0"/>
        <v>87.5</v>
      </c>
      <c r="X7" s="361" t="str">
        <f>IF(W7&gt;KKM!$G$10," sangat baik ",IF(W7&gt;KKM!$H$10," baik ",IF(W7&gt;=KKM!$I$10," cukup baik "," perlu bimbingan ")))</f>
        <v xml:space="preserve"> sangat baik </v>
      </c>
      <c r="Y7" s="357">
        <f t="shared" si="1"/>
        <v>87.5</v>
      </c>
      <c r="Z7" s="361" t="str">
        <f>IF(Y7&gt;KKM!$G$10," sangat baik ",IF(Y7&gt;KKM!$H$10," baik ",IF(Y7&gt;=KKM!$I$10," cukup baik "," perlu bimbingan ")))</f>
        <v xml:space="preserve"> sangat baik </v>
      </c>
      <c r="AA7" s="353" t="str">
        <f t="shared" si="5"/>
        <v xml:space="preserve">ANDHIKA sangat baik  dalam menerapkan konsep perpindahan kalor dalam kehidupan sehari-hari.
</v>
      </c>
      <c r="AB7" s="256"/>
      <c r="AC7" s="257" t="str">
        <f t="shared" si="2"/>
        <v xml:space="preserve"> sangat baik  dalam menerapkan konsep perpindahan kalor dalam kehidupan sehari-hari.
</v>
      </c>
      <c r="AD7" s="257" t="str">
        <f t="shared" si="3"/>
        <v xml:space="preserve"> sangat baik  dalam menerapkan konsep perpindahan kalor dalam kehidupan sehari-hari.
</v>
      </c>
      <c r="AE7" s="257" t="str">
        <f t="shared" si="6"/>
        <v xml:space="preserve"> sangat baik  dalam menerapkan konsep perpindahan kalor dalam kehidupan sehari-hari.
, dan  sangat baik  dalam menerapkan konsep perpindahan kalor dalam kehidupan sehari-hari.
</v>
      </c>
      <c r="AF7" s="257" t="str">
        <f t="shared" si="7"/>
        <v xml:space="preserve"> sangat baik  dalam menerapkan konsep perpindahan kalor dalam kehidupan sehari-hari.
</v>
      </c>
      <c r="AG7" s="258" t="str">
        <f t="shared" si="8"/>
        <v xml:space="preserve"> sangat baik  dalam menerapkan konsep perpindahan kalor dalam kehidupan sehari-hari.
</v>
      </c>
      <c r="AH7" s="252" t="str">
        <f t="shared" si="9"/>
        <v xml:space="preserve">ANDHIKA sangat baik  dalam menerapkan konsep perpindahan kalor dalam kehidupan sehari-hari.
</v>
      </c>
      <c r="AI7" s="153"/>
      <c r="AR7" s="469">
        <f t="shared" si="10"/>
        <v>88</v>
      </c>
    </row>
    <row r="8" spans="1:45" ht="41.25" customHeight="1">
      <c r="B8" s="142">
        <v>4</v>
      </c>
      <c r="C8" s="143" t="str">
        <f>SISWA!B9</f>
        <v xml:space="preserve"> 1718250040308</v>
      </c>
      <c r="D8" s="144" t="str">
        <f>SISWA!E9</f>
        <v>ANGGARA</v>
      </c>
      <c r="E8" s="159">
        <v>85</v>
      </c>
      <c r="F8" s="160">
        <v>85</v>
      </c>
      <c r="G8" s="160">
        <v>85</v>
      </c>
      <c r="H8" s="160">
        <v>85</v>
      </c>
      <c r="I8" s="160"/>
      <c r="J8" s="159"/>
      <c r="K8" s="159"/>
      <c r="L8" s="159"/>
      <c r="M8" s="159"/>
      <c r="N8" s="159"/>
      <c r="O8" s="159"/>
      <c r="P8" s="159"/>
      <c r="Q8" s="159"/>
      <c r="R8" s="160"/>
      <c r="S8" s="160"/>
      <c r="T8" s="159"/>
      <c r="U8" s="354">
        <f t="shared" si="4"/>
        <v>85</v>
      </c>
      <c r="V8" s="355" t="str">
        <f>IF(U8&gt;KKM!$G$10,"A",IF(U8&gt;KKM!$H$10,"B",IF(U8&gt;=KKM!$I$10,"C","D")))</f>
        <v>B</v>
      </c>
      <c r="W8" s="356">
        <f t="shared" si="0"/>
        <v>85</v>
      </c>
      <c r="X8" s="361" t="str">
        <f>IF(W8&gt;KKM!$G$10," sangat baik ",IF(W8&gt;KKM!$H$10," baik ",IF(W8&gt;=KKM!$I$10," cukup baik "," perlu bimbingan ")))</f>
        <v xml:space="preserve"> baik </v>
      </c>
      <c r="Y8" s="357">
        <f t="shared" si="1"/>
        <v>85</v>
      </c>
      <c r="Z8" s="361" t="str">
        <f>IF(Y8&gt;KKM!$G$10," sangat baik ",IF(Y8&gt;KKM!$H$10," baik ",IF(Y8&gt;=KKM!$I$10," cukup baik "," perlu bimbingan ")))</f>
        <v xml:space="preserve"> baik </v>
      </c>
      <c r="AA8" s="353" t="str">
        <f t="shared" si="5"/>
        <v xml:space="preserve">ANGGARA baik  dalam menerapkan konsep perpindahan kalor dalam kehidupan sehari-hari.
</v>
      </c>
      <c r="AB8" s="256"/>
      <c r="AC8" s="257" t="str">
        <f t="shared" si="2"/>
        <v xml:space="preserve"> baik  dalam menerapkan konsep perpindahan kalor dalam kehidupan sehari-hari.
</v>
      </c>
      <c r="AD8" s="257" t="str">
        <f t="shared" si="3"/>
        <v xml:space="preserve"> baik  dalam menerapkan konsep perpindahan kalor dalam kehidupan sehari-hari.
</v>
      </c>
      <c r="AE8" s="257" t="str">
        <f t="shared" si="6"/>
        <v xml:space="preserve"> baik  dalam menerapkan konsep perpindahan kalor dalam kehidupan sehari-hari.
, dan  baik  dalam menerapkan konsep perpindahan kalor dalam kehidupan sehari-hari.
</v>
      </c>
      <c r="AF8" s="257" t="str">
        <f t="shared" si="7"/>
        <v xml:space="preserve"> baik  dalam menerapkan konsep perpindahan kalor dalam kehidupan sehari-hari.
</v>
      </c>
      <c r="AG8" s="258" t="str">
        <f t="shared" si="8"/>
        <v xml:space="preserve"> baik  dalam menerapkan konsep perpindahan kalor dalam kehidupan sehari-hari.
</v>
      </c>
      <c r="AH8" s="252" t="str">
        <f t="shared" si="9"/>
        <v xml:space="preserve">ANGGARA baik  dalam menerapkan konsep perpindahan kalor dalam kehidupan sehari-hari.
</v>
      </c>
      <c r="AI8" s="153"/>
      <c r="AR8" s="469">
        <f t="shared" si="10"/>
        <v>85</v>
      </c>
    </row>
    <row r="9" spans="1:45" ht="41.25" customHeight="1">
      <c r="B9" s="142">
        <v>5</v>
      </c>
      <c r="C9" s="143" t="str">
        <f>SISWA!B10</f>
        <v>1718250040309</v>
      </c>
      <c r="D9" s="144" t="str">
        <f>SISWA!E10</f>
        <v>ARIA</v>
      </c>
      <c r="E9" s="159">
        <v>82.5</v>
      </c>
      <c r="F9" s="160">
        <v>82.5</v>
      </c>
      <c r="G9" s="160">
        <v>82.5</v>
      </c>
      <c r="H9" s="160">
        <v>82.5</v>
      </c>
      <c r="I9" s="160"/>
      <c r="J9" s="159" t="s">
        <v>766</v>
      </c>
      <c r="K9" s="159"/>
      <c r="L9" s="159"/>
      <c r="M9" s="159"/>
      <c r="N9" s="159"/>
      <c r="O9" s="159"/>
      <c r="P9" s="159"/>
      <c r="Q9" s="159"/>
      <c r="R9" s="160"/>
      <c r="S9" s="160"/>
      <c r="T9" s="159"/>
      <c r="U9" s="354">
        <f t="shared" si="4"/>
        <v>83</v>
      </c>
      <c r="V9" s="355" t="str">
        <f>IF(U9&gt;KKM!$G$10,"A",IF(U9&gt;KKM!$H$10,"B",IF(U9&gt;=KKM!$I$10,"C","D")))</f>
        <v>B</v>
      </c>
      <c r="W9" s="356">
        <f t="shared" si="0"/>
        <v>82.5</v>
      </c>
      <c r="X9" s="361" t="str">
        <f>IF(W9&gt;KKM!$G$10," sangat baik ",IF(W9&gt;KKM!$H$10," baik ",IF(W9&gt;=KKM!$I$10," cukup baik "," perlu bimbingan ")))</f>
        <v xml:space="preserve"> baik </v>
      </c>
      <c r="Y9" s="357">
        <f t="shared" si="1"/>
        <v>82.5</v>
      </c>
      <c r="Z9" s="361" t="str">
        <f>IF(Y9&gt;KKM!$G$10," sangat baik ",IF(Y9&gt;KKM!$H$10," baik ",IF(Y9&gt;=KKM!$I$10," cukup baik "," perlu bimbingan ")))</f>
        <v xml:space="preserve"> baik </v>
      </c>
      <c r="AA9" s="353" t="str">
        <f t="shared" si="5"/>
        <v xml:space="preserve">ARIA baik  dalam menerapkan konsep perpindahan kalor dalam kehidupan sehari-hari.
</v>
      </c>
      <c r="AB9" s="256"/>
      <c r="AC9" s="257" t="str">
        <f t="shared" si="2"/>
        <v xml:space="preserve"> baik  dalam menerapkan konsep perpindahan kalor dalam kehidupan sehari-hari.
</v>
      </c>
      <c r="AD9" s="257" t="str">
        <f t="shared" si="3"/>
        <v xml:space="preserve"> baik  dalam menerapkan konsep perpindahan kalor dalam kehidupan sehari-hari.
</v>
      </c>
      <c r="AE9" s="257" t="str">
        <f t="shared" si="6"/>
        <v xml:space="preserve"> baik  dalam menerapkan konsep perpindahan kalor dalam kehidupan sehari-hari.
, dan  baik  dalam menerapkan konsep perpindahan kalor dalam kehidupan sehari-hari.
</v>
      </c>
      <c r="AF9" s="257" t="str">
        <f t="shared" si="7"/>
        <v xml:space="preserve"> baik  dalam menerapkan konsep perpindahan kalor dalam kehidupan sehari-hari.
</v>
      </c>
      <c r="AG9" s="258" t="str">
        <f t="shared" si="8"/>
        <v xml:space="preserve"> baik  dalam menerapkan konsep perpindahan kalor dalam kehidupan sehari-hari.
</v>
      </c>
      <c r="AH9" s="252" t="str">
        <f t="shared" si="9"/>
        <v xml:space="preserve">ARIA baik  dalam menerapkan konsep perpindahan kalor dalam kehidupan sehari-hari.
</v>
      </c>
      <c r="AI9" s="153"/>
      <c r="AR9" s="469">
        <f t="shared" si="10"/>
        <v>83</v>
      </c>
    </row>
    <row r="10" spans="1:45" ht="41.25" customHeight="1">
      <c r="B10" s="142">
        <v>6</v>
      </c>
      <c r="C10" s="143" t="str">
        <f>SISWA!B11</f>
        <v>1718250040310</v>
      </c>
      <c r="D10" s="144" t="str">
        <f>SISWA!E11</f>
        <v>CAHAYA</v>
      </c>
      <c r="E10" s="159">
        <v>87.5</v>
      </c>
      <c r="F10" s="160">
        <v>87.5</v>
      </c>
      <c r="G10" s="160">
        <v>87.5</v>
      </c>
      <c r="H10" s="160">
        <v>87.5</v>
      </c>
      <c r="I10" s="160"/>
      <c r="J10" s="159"/>
      <c r="K10" s="159"/>
      <c r="L10" s="159"/>
      <c r="M10" s="159"/>
      <c r="N10" s="159"/>
      <c r="O10" s="159"/>
      <c r="P10" s="159"/>
      <c r="Q10" s="159"/>
      <c r="R10" s="160"/>
      <c r="S10" s="160"/>
      <c r="T10" s="159"/>
      <c r="U10" s="354">
        <f t="shared" si="4"/>
        <v>88</v>
      </c>
      <c r="V10" s="355" t="str">
        <f>IF(U10&gt;KKM!$G$10,"A",IF(U10&gt;KKM!$H$10,"B",IF(U10&gt;=KKM!$I$10,"C","D")))</f>
        <v>A</v>
      </c>
      <c r="W10" s="356">
        <f t="shared" si="0"/>
        <v>87.5</v>
      </c>
      <c r="X10" s="361" t="str">
        <f>IF(W10&gt;KKM!$G$10," sangat baik ",IF(W10&gt;KKM!$H$10," baik ",IF(W10&gt;=KKM!$I$10," cukup baik "," perlu bimbingan ")))</f>
        <v xml:space="preserve"> sangat baik </v>
      </c>
      <c r="Y10" s="357">
        <f t="shared" si="1"/>
        <v>87.5</v>
      </c>
      <c r="Z10" s="361" t="str">
        <f>IF(Y10&gt;KKM!$G$10," sangat baik ",IF(Y10&gt;KKM!$H$10," baik ",IF(Y10&gt;=KKM!$I$10," cukup baik "," perlu bimbingan ")))</f>
        <v xml:space="preserve"> sangat baik </v>
      </c>
      <c r="AA10" s="353" t="str">
        <f t="shared" si="5"/>
        <v xml:space="preserve">CAHAYA sangat baik  dalam menerapkan konsep perpindahan kalor dalam kehidupan sehari-hari.
</v>
      </c>
      <c r="AB10" s="256"/>
      <c r="AC10" s="257" t="str">
        <f t="shared" si="2"/>
        <v xml:space="preserve"> sangat baik  dalam menerapkan konsep perpindahan kalor dalam kehidupan sehari-hari.
</v>
      </c>
      <c r="AD10" s="257" t="str">
        <f t="shared" si="3"/>
        <v xml:space="preserve"> sangat baik  dalam menerapkan konsep perpindahan kalor dalam kehidupan sehari-hari.
</v>
      </c>
      <c r="AE10" s="257" t="str">
        <f t="shared" si="6"/>
        <v xml:space="preserve"> sangat baik  dalam menerapkan konsep perpindahan kalor dalam kehidupan sehari-hari.
, dan  sangat baik  dalam menerapkan konsep perpindahan kalor dalam kehidupan sehari-hari.
</v>
      </c>
      <c r="AF10" s="257" t="str">
        <f t="shared" si="7"/>
        <v xml:space="preserve"> sangat baik  dalam menerapkan konsep perpindahan kalor dalam kehidupan sehari-hari.
</v>
      </c>
      <c r="AG10" s="258" t="str">
        <f t="shared" si="8"/>
        <v xml:space="preserve"> sangat baik  dalam menerapkan konsep perpindahan kalor dalam kehidupan sehari-hari.
</v>
      </c>
      <c r="AH10" s="252" t="str">
        <f t="shared" si="9"/>
        <v xml:space="preserve">CAHAYA sangat baik  dalam menerapkan konsep perpindahan kalor dalam kehidupan sehari-hari.
</v>
      </c>
      <c r="AI10" s="153"/>
      <c r="AR10" s="469">
        <f t="shared" si="10"/>
        <v>88</v>
      </c>
    </row>
    <row r="11" spans="1:45" ht="41.25" customHeight="1">
      <c r="B11" s="142">
        <v>7</v>
      </c>
      <c r="C11" s="143" t="str">
        <f>SISWA!B12</f>
        <v>1718250040311</v>
      </c>
      <c r="D11" s="144" t="str">
        <f>SISWA!E12</f>
        <v>CALISTA</v>
      </c>
      <c r="E11" s="159">
        <v>70</v>
      </c>
      <c r="F11" s="160">
        <v>70</v>
      </c>
      <c r="G11" s="160">
        <v>70</v>
      </c>
      <c r="H11" s="160">
        <v>70</v>
      </c>
      <c r="I11" s="160"/>
      <c r="J11" s="159"/>
      <c r="K11" s="159"/>
      <c r="L11" s="159"/>
      <c r="M11" s="159"/>
      <c r="N11" s="159"/>
      <c r="O11" s="159"/>
      <c r="P11" s="159"/>
      <c r="Q11" s="159"/>
      <c r="R11" s="160"/>
      <c r="S11" s="160"/>
      <c r="T11" s="159"/>
      <c r="U11" s="354">
        <f t="shared" si="4"/>
        <v>70</v>
      </c>
      <c r="V11" s="355" t="str">
        <f>IF(U11&gt;KKM!$G$10,"A",IF(U11&gt;KKM!$H$10,"B",IF(U11&gt;=KKM!$I$10,"C","D")))</f>
        <v>C</v>
      </c>
      <c r="W11" s="356">
        <f t="shared" si="0"/>
        <v>70</v>
      </c>
      <c r="X11" s="361" t="str">
        <f>IF(W11&gt;KKM!$G$10," sangat baik ",IF(W11&gt;KKM!$H$10," baik ",IF(W11&gt;=KKM!$I$10," cukup baik "," perlu bimbingan ")))</f>
        <v xml:space="preserve"> cukup baik </v>
      </c>
      <c r="Y11" s="357">
        <f t="shared" si="1"/>
        <v>70</v>
      </c>
      <c r="Z11" s="361" t="str">
        <f>IF(Y11&gt;KKM!$G$10," sangat baik ",IF(Y11&gt;KKM!$H$10," baik ",IF(Y11&gt;=KKM!$I$10," cukup baik "," perlu bimbingan ")))</f>
        <v xml:space="preserve"> cukup baik </v>
      </c>
      <c r="AA11" s="353" t="str">
        <f t="shared" si="5"/>
        <v xml:space="preserve">CALISTA cukup baik  dalam menerapkan konsep perpindahan kalor dalam kehidupan sehari-hari.
</v>
      </c>
      <c r="AB11" s="256"/>
      <c r="AC11" s="257" t="str">
        <f t="shared" si="2"/>
        <v xml:space="preserve"> cukup baik  dalam menerapkan konsep perpindahan kalor dalam kehidupan sehari-hari.
</v>
      </c>
      <c r="AD11" s="257" t="str">
        <f t="shared" si="3"/>
        <v xml:space="preserve"> cukup baik  dalam menerapkan konsep perpindahan kalor dalam kehidupan sehari-hari.
</v>
      </c>
      <c r="AE11" s="257" t="str">
        <f t="shared" si="6"/>
        <v xml:space="preserve"> cukup baik  dalam menerapkan konsep perpindahan kalor dalam kehidupan sehari-hari.
, dan  cukup baik  dalam menerapkan konsep perpindahan kalor dalam kehidupan sehari-hari.
</v>
      </c>
      <c r="AF11" s="257" t="str">
        <f t="shared" si="7"/>
        <v xml:space="preserve"> cukup baik  dalam menerapkan konsep perpindahan kalor dalam kehidupan sehari-hari.
</v>
      </c>
      <c r="AG11" s="258" t="str">
        <f t="shared" si="8"/>
        <v xml:space="preserve"> cukup baik  dalam menerapkan konsep perpindahan kalor dalam kehidupan sehari-hari.
</v>
      </c>
      <c r="AH11" s="252" t="str">
        <f t="shared" si="9"/>
        <v xml:space="preserve">CALISTA cukup baik  dalam menerapkan konsep perpindahan kalor dalam kehidupan sehari-hari.
</v>
      </c>
      <c r="AI11" s="153"/>
      <c r="AR11" s="469">
        <f t="shared" si="10"/>
        <v>70</v>
      </c>
    </row>
    <row r="12" spans="1:45" ht="41.25" customHeight="1">
      <c r="B12" s="142">
        <v>8</v>
      </c>
      <c r="C12" s="143" t="str">
        <f>SISWA!B13</f>
        <v>1718250040312</v>
      </c>
      <c r="D12" s="144" t="str">
        <f>SISWA!E13</f>
        <v>CARISSA</v>
      </c>
      <c r="E12" s="159">
        <v>80</v>
      </c>
      <c r="F12" s="160">
        <v>80</v>
      </c>
      <c r="G12" s="160">
        <v>80</v>
      </c>
      <c r="H12" s="160">
        <v>80</v>
      </c>
      <c r="I12" s="160"/>
      <c r="J12" s="159"/>
      <c r="K12" s="159"/>
      <c r="L12" s="159"/>
      <c r="M12" s="159"/>
      <c r="N12" s="159"/>
      <c r="O12" s="159"/>
      <c r="P12" s="159"/>
      <c r="Q12" s="159"/>
      <c r="R12" s="160"/>
      <c r="S12" s="160"/>
      <c r="T12" s="159"/>
      <c r="U12" s="354">
        <f t="shared" si="4"/>
        <v>80</v>
      </c>
      <c r="V12" s="355" t="str">
        <f>IF(U12&gt;KKM!$G$10,"A",IF(U12&gt;KKM!$H$10,"B",IF(U12&gt;=KKM!$I$10,"C","D")))</f>
        <v>B</v>
      </c>
      <c r="W12" s="356">
        <f t="shared" si="0"/>
        <v>80</v>
      </c>
      <c r="X12" s="361" t="str">
        <f>IF(W12&gt;KKM!$G$10," sangat baik ",IF(W12&gt;KKM!$H$10," baik ",IF(W12&gt;=KKM!$I$10," cukup baik "," perlu bimbingan ")))</f>
        <v xml:space="preserve"> baik </v>
      </c>
      <c r="Y12" s="357">
        <f t="shared" si="1"/>
        <v>80</v>
      </c>
      <c r="Z12" s="361" t="str">
        <f>IF(Y12&gt;KKM!$G$10," sangat baik ",IF(Y12&gt;KKM!$H$10," baik ",IF(Y12&gt;=KKM!$I$10," cukup baik "," perlu bimbingan ")))</f>
        <v xml:space="preserve"> baik </v>
      </c>
      <c r="AA12" s="353" t="str">
        <f t="shared" si="5"/>
        <v xml:space="preserve">CARISSA baik  dalam menerapkan konsep perpindahan kalor dalam kehidupan sehari-hari.
</v>
      </c>
      <c r="AB12" s="256"/>
      <c r="AC12" s="257" t="str">
        <f t="shared" si="2"/>
        <v xml:space="preserve"> baik  dalam menerapkan konsep perpindahan kalor dalam kehidupan sehari-hari.
</v>
      </c>
      <c r="AD12" s="257" t="str">
        <f t="shared" si="3"/>
        <v xml:space="preserve"> baik  dalam menerapkan konsep perpindahan kalor dalam kehidupan sehari-hari.
</v>
      </c>
      <c r="AE12" s="257" t="str">
        <f t="shared" si="6"/>
        <v xml:space="preserve"> baik  dalam menerapkan konsep perpindahan kalor dalam kehidupan sehari-hari.
, dan  baik  dalam menerapkan konsep perpindahan kalor dalam kehidupan sehari-hari.
</v>
      </c>
      <c r="AF12" s="257" t="str">
        <f t="shared" si="7"/>
        <v xml:space="preserve"> baik  dalam menerapkan konsep perpindahan kalor dalam kehidupan sehari-hari.
</v>
      </c>
      <c r="AG12" s="258" t="str">
        <f t="shared" si="8"/>
        <v xml:space="preserve"> baik  dalam menerapkan konsep perpindahan kalor dalam kehidupan sehari-hari.
</v>
      </c>
      <c r="AH12" s="252" t="str">
        <f t="shared" si="9"/>
        <v xml:space="preserve">CARISSA baik  dalam menerapkan konsep perpindahan kalor dalam kehidupan sehari-hari.
</v>
      </c>
      <c r="AI12" s="153"/>
      <c r="AR12" s="469">
        <f t="shared" si="10"/>
        <v>80</v>
      </c>
    </row>
    <row r="13" spans="1:45" ht="41.25" customHeight="1">
      <c r="B13" s="142">
        <v>9</v>
      </c>
      <c r="C13" s="143" t="str">
        <f>SISWA!B14</f>
        <v>1718250040313</v>
      </c>
      <c r="D13" s="144" t="str">
        <f>SISWA!E14</f>
        <v>CHAIDAR</v>
      </c>
      <c r="E13" s="159">
        <v>82.5</v>
      </c>
      <c r="F13" s="160">
        <v>82.5</v>
      </c>
      <c r="G13" s="160">
        <v>82.5</v>
      </c>
      <c r="H13" s="160">
        <v>82.5</v>
      </c>
      <c r="I13" s="160"/>
      <c r="J13" s="159"/>
      <c r="K13" s="159"/>
      <c r="L13" s="159"/>
      <c r="M13" s="159"/>
      <c r="N13" s="159"/>
      <c r="O13" s="159"/>
      <c r="P13" s="159"/>
      <c r="Q13" s="159"/>
      <c r="R13" s="160"/>
      <c r="S13" s="160"/>
      <c r="T13" s="159"/>
      <c r="U13" s="354">
        <f t="shared" si="4"/>
        <v>83</v>
      </c>
      <c r="V13" s="355" t="str">
        <f>IF(U13&gt;KKM!$G$10,"A",IF(U13&gt;KKM!$H$10,"B",IF(U13&gt;=KKM!$I$10,"C","D")))</f>
        <v>B</v>
      </c>
      <c r="W13" s="356">
        <f t="shared" si="0"/>
        <v>82.5</v>
      </c>
      <c r="X13" s="361" t="str">
        <f>IF(W13&gt;KKM!$G$10," sangat baik ",IF(W13&gt;KKM!$H$10," baik ",IF(W13&gt;=KKM!$I$10," cukup baik "," perlu bimbingan ")))</f>
        <v xml:space="preserve"> baik </v>
      </c>
      <c r="Y13" s="357">
        <f t="shared" si="1"/>
        <v>82.5</v>
      </c>
      <c r="Z13" s="361" t="str">
        <f>IF(Y13&gt;KKM!$G$10," sangat baik ",IF(Y13&gt;KKM!$H$10," baik ",IF(Y13&gt;=KKM!$I$10," cukup baik "," perlu bimbingan ")))</f>
        <v xml:space="preserve"> baik </v>
      </c>
      <c r="AA13" s="353" t="str">
        <f t="shared" si="5"/>
        <v xml:space="preserve">CHAIDAR baik  dalam menerapkan konsep perpindahan kalor dalam kehidupan sehari-hari.
</v>
      </c>
      <c r="AB13" s="256"/>
      <c r="AC13" s="257" t="str">
        <f t="shared" si="2"/>
        <v xml:space="preserve"> baik  dalam menerapkan konsep perpindahan kalor dalam kehidupan sehari-hari.
</v>
      </c>
      <c r="AD13" s="257" t="str">
        <f t="shared" si="3"/>
        <v xml:space="preserve"> baik  dalam menerapkan konsep perpindahan kalor dalam kehidupan sehari-hari.
</v>
      </c>
      <c r="AE13" s="257" t="str">
        <f t="shared" si="6"/>
        <v xml:space="preserve"> baik  dalam menerapkan konsep perpindahan kalor dalam kehidupan sehari-hari.
, dan  baik  dalam menerapkan konsep perpindahan kalor dalam kehidupan sehari-hari.
</v>
      </c>
      <c r="AF13" s="257" t="str">
        <f t="shared" si="7"/>
        <v xml:space="preserve"> baik  dalam menerapkan konsep perpindahan kalor dalam kehidupan sehari-hari.
</v>
      </c>
      <c r="AG13" s="258" t="str">
        <f t="shared" si="8"/>
        <v xml:space="preserve"> baik  dalam menerapkan konsep perpindahan kalor dalam kehidupan sehari-hari.
</v>
      </c>
      <c r="AH13" s="252" t="str">
        <f t="shared" si="9"/>
        <v xml:space="preserve">CHAIDAR baik  dalam menerapkan konsep perpindahan kalor dalam kehidupan sehari-hari.
</v>
      </c>
      <c r="AI13" s="153"/>
      <c r="AR13" s="469">
        <f t="shared" si="10"/>
        <v>83</v>
      </c>
    </row>
    <row r="14" spans="1:45" ht="41.25" customHeight="1">
      <c r="B14" s="142">
        <v>10</v>
      </c>
      <c r="C14" s="143" t="str">
        <f>SISWA!B15</f>
        <v>1718250040314</v>
      </c>
      <c r="D14" s="144" t="str">
        <f>SISWA!E15</f>
        <v>DAVKA</v>
      </c>
      <c r="E14" s="159">
        <v>82.5</v>
      </c>
      <c r="F14" s="160">
        <v>82.5</v>
      </c>
      <c r="G14" s="160">
        <v>82.5</v>
      </c>
      <c r="H14" s="160">
        <v>82.5</v>
      </c>
      <c r="I14" s="160"/>
      <c r="J14" s="159"/>
      <c r="K14" s="159"/>
      <c r="L14" s="159"/>
      <c r="M14" s="159"/>
      <c r="N14" s="159"/>
      <c r="O14" s="159"/>
      <c r="P14" s="159"/>
      <c r="Q14" s="159"/>
      <c r="R14" s="160"/>
      <c r="S14" s="160"/>
      <c r="T14" s="159"/>
      <c r="U14" s="354">
        <f t="shared" si="4"/>
        <v>83</v>
      </c>
      <c r="V14" s="355" t="str">
        <f>IF(U14&gt;KKM!$G$10,"A",IF(U14&gt;KKM!$H$10,"B",IF(U14&gt;=KKM!$I$10,"C","D")))</f>
        <v>B</v>
      </c>
      <c r="W14" s="356">
        <f t="shared" si="0"/>
        <v>82.5</v>
      </c>
      <c r="X14" s="361" t="str">
        <f>IF(W14&gt;KKM!$G$10," sangat baik ",IF(W14&gt;KKM!$H$10," baik ",IF(W14&gt;=KKM!$I$10," cukup baik "," perlu bimbingan ")))</f>
        <v xml:space="preserve"> baik </v>
      </c>
      <c r="Y14" s="357">
        <f t="shared" si="1"/>
        <v>82.5</v>
      </c>
      <c r="Z14" s="361" t="str">
        <f>IF(Y14&gt;KKM!$G$10," sangat baik ",IF(Y14&gt;KKM!$H$10," baik ",IF(Y14&gt;=KKM!$I$10," cukup baik "," perlu bimbingan ")))</f>
        <v xml:space="preserve"> baik </v>
      </c>
      <c r="AA14" s="353" t="str">
        <f t="shared" si="5"/>
        <v xml:space="preserve">DAVKA baik  dalam menerapkan konsep perpindahan kalor dalam kehidupan sehari-hari.
</v>
      </c>
      <c r="AB14" s="256"/>
      <c r="AC14" s="257" t="str">
        <f t="shared" si="2"/>
        <v xml:space="preserve"> baik  dalam menerapkan konsep perpindahan kalor dalam kehidupan sehari-hari.
</v>
      </c>
      <c r="AD14" s="257" t="str">
        <f t="shared" si="3"/>
        <v xml:space="preserve"> baik  dalam menerapkan konsep perpindahan kalor dalam kehidupan sehari-hari.
</v>
      </c>
      <c r="AE14" s="257" t="str">
        <f t="shared" si="6"/>
        <v xml:space="preserve"> baik  dalam menerapkan konsep perpindahan kalor dalam kehidupan sehari-hari.
, dan  baik  dalam menerapkan konsep perpindahan kalor dalam kehidupan sehari-hari.
</v>
      </c>
      <c r="AF14" s="257" t="str">
        <f t="shared" si="7"/>
        <v xml:space="preserve"> baik  dalam menerapkan konsep perpindahan kalor dalam kehidupan sehari-hari.
</v>
      </c>
      <c r="AG14" s="258" t="str">
        <f t="shared" si="8"/>
        <v xml:space="preserve"> baik  dalam menerapkan konsep perpindahan kalor dalam kehidupan sehari-hari.
</v>
      </c>
      <c r="AH14" s="252" t="str">
        <f t="shared" si="9"/>
        <v xml:space="preserve">DAVKA baik  dalam menerapkan konsep perpindahan kalor dalam kehidupan sehari-hari.
</v>
      </c>
      <c r="AI14" s="153"/>
      <c r="AR14" s="469">
        <f t="shared" si="10"/>
        <v>83</v>
      </c>
    </row>
    <row r="15" spans="1:45" ht="41.25" customHeight="1">
      <c r="B15" s="142">
        <v>11</v>
      </c>
      <c r="C15" s="143" t="str">
        <f>SISWA!B16</f>
        <v>1718250040315</v>
      </c>
      <c r="D15" s="144" t="str">
        <f>SISWA!E16</f>
        <v>DZIBRIL</v>
      </c>
      <c r="E15" s="159">
        <v>72.5</v>
      </c>
      <c r="F15" s="160">
        <v>72.5</v>
      </c>
      <c r="G15" s="160">
        <v>72.5</v>
      </c>
      <c r="H15" s="160">
        <v>72.5</v>
      </c>
      <c r="I15" s="160"/>
      <c r="J15" s="159"/>
      <c r="K15" s="159"/>
      <c r="L15" s="159"/>
      <c r="M15" s="159"/>
      <c r="N15" s="159"/>
      <c r="O15" s="159"/>
      <c r="P15" s="159"/>
      <c r="Q15" s="159"/>
      <c r="R15" s="160"/>
      <c r="S15" s="160"/>
      <c r="T15" s="159"/>
      <c r="U15" s="354">
        <f t="shared" si="4"/>
        <v>73</v>
      </c>
      <c r="V15" s="355" t="str">
        <f>IF(U15&gt;KKM!$G$10,"A",IF(U15&gt;KKM!$H$10,"B",IF(U15&gt;=KKM!$I$10,"C","D")))</f>
        <v>C</v>
      </c>
      <c r="W15" s="356">
        <f t="shared" si="0"/>
        <v>72.5</v>
      </c>
      <c r="X15" s="361" t="str">
        <f>IF(W15&gt;KKM!$G$10," sangat baik ",IF(W15&gt;KKM!$H$10," baik ",IF(W15&gt;=KKM!$I$10," cukup baik "," perlu bimbingan ")))</f>
        <v xml:space="preserve"> cukup baik </v>
      </c>
      <c r="Y15" s="357">
        <f t="shared" si="1"/>
        <v>72.5</v>
      </c>
      <c r="Z15" s="361" t="str">
        <f>IF(Y15&gt;KKM!$G$10," sangat baik ",IF(Y15&gt;KKM!$H$10," baik ",IF(Y15&gt;=KKM!$I$10," cukup baik "," perlu bimbingan ")))</f>
        <v xml:space="preserve"> cukup baik </v>
      </c>
      <c r="AA15" s="353" t="str">
        <f t="shared" si="5"/>
        <v xml:space="preserve">DZIBRIL cukup baik  dalam menerapkan konsep perpindahan kalor dalam kehidupan sehari-hari.
</v>
      </c>
      <c r="AB15" s="256"/>
      <c r="AC15" s="257" t="str">
        <f t="shared" si="2"/>
        <v xml:space="preserve"> cukup baik  dalam menerapkan konsep perpindahan kalor dalam kehidupan sehari-hari.
</v>
      </c>
      <c r="AD15" s="257" t="str">
        <f t="shared" si="3"/>
        <v xml:space="preserve"> cukup baik  dalam menerapkan konsep perpindahan kalor dalam kehidupan sehari-hari.
</v>
      </c>
      <c r="AE15" s="257" t="str">
        <f t="shared" si="6"/>
        <v xml:space="preserve"> cukup baik  dalam menerapkan konsep perpindahan kalor dalam kehidupan sehari-hari.
, dan  cukup baik  dalam menerapkan konsep perpindahan kalor dalam kehidupan sehari-hari.
</v>
      </c>
      <c r="AF15" s="257" t="str">
        <f t="shared" si="7"/>
        <v xml:space="preserve"> cukup baik  dalam menerapkan konsep perpindahan kalor dalam kehidupan sehari-hari.
</v>
      </c>
      <c r="AG15" s="258" t="str">
        <f t="shared" si="8"/>
        <v xml:space="preserve"> cukup baik  dalam menerapkan konsep perpindahan kalor dalam kehidupan sehari-hari.
</v>
      </c>
      <c r="AH15" s="252" t="str">
        <f t="shared" si="9"/>
        <v xml:space="preserve">DZIBRIL cukup baik  dalam menerapkan konsep perpindahan kalor dalam kehidupan sehari-hari.
</v>
      </c>
      <c r="AI15" s="153"/>
      <c r="AR15" s="469">
        <f t="shared" si="10"/>
        <v>73</v>
      </c>
    </row>
    <row r="16" spans="1:45" ht="41.25" customHeight="1">
      <c r="B16" s="142">
        <v>12</v>
      </c>
      <c r="C16" s="143" t="str">
        <f>SISWA!B17</f>
        <v>1718250040316</v>
      </c>
      <c r="D16" s="144" t="str">
        <f>SISWA!E17</f>
        <v>ERICHA</v>
      </c>
      <c r="E16" s="159">
        <v>90</v>
      </c>
      <c r="F16" s="160">
        <v>90</v>
      </c>
      <c r="G16" s="160">
        <v>90</v>
      </c>
      <c r="H16" s="160">
        <v>90</v>
      </c>
      <c r="I16" s="160"/>
      <c r="J16" s="159"/>
      <c r="K16" s="159"/>
      <c r="L16" s="159"/>
      <c r="M16" s="159"/>
      <c r="N16" s="159"/>
      <c r="O16" s="159"/>
      <c r="P16" s="159"/>
      <c r="Q16" s="159"/>
      <c r="R16" s="160"/>
      <c r="S16" s="160"/>
      <c r="T16" s="159"/>
      <c r="U16" s="354">
        <f t="shared" si="4"/>
        <v>90</v>
      </c>
      <c r="V16" s="355" t="str">
        <f>IF(U16&gt;KKM!$G$10,"A",IF(U16&gt;KKM!$H$10,"B",IF(U16&gt;=KKM!$I$10,"C","D")))</f>
        <v>A</v>
      </c>
      <c r="W16" s="356">
        <f t="shared" si="0"/>
        <v>90</v>
      </c>
      <c r="X16" s="361" t="str">
        <f>IF(W16&gt;KKM!$G$10," sangat baik ",IF(W16&gt;KKM!$H$10," baik ",IF(W16&gt;=KKM!$I$10," cukup baik "," perlu bimbingan ")))</f>
        <v xml:space="preserve"> sangat baik </v>
      </c>
      <c r="Y16" s="357">
        <f t="shared" si="1"/>
        <v>90</v>
      </c>
      <c r="Z16" s="361" t="str">
        <f>IF(Y16&gt;KKM!$G$10," sangat baik ",IF(Y16&gt;KKM!$H$10," baik ",IF(Y16&gt;=KKM!$I$10," cukup baik "," perlu bimbingan ")))</f>
        <v xml:space="preserve"> sangat baik </v>
      </c>
      <c r="AA16" s="353" t="str">
        <f t="shared" si="5"/>
        <v xml:space="preserve">ERICHA sangat baik  dalam menerapkan konsep perpindahan kalor dalam kehidupan sehari-hari.
</v>
      </c>
      <c r="AB16" s="256"/>
      <c r="AC16" s="257" t="str">
        <f t="shared" si="2"/>
        <v xml:space="preserve"> sangat baik  dalam menerapkan konsep perpindahan kalor dalam kehidupan sehari-hari.
</v>
      </c>
      <c r="AD16" s="257" t="str">
        <f t="shared" si="3"/>
        <v xml:space="preserve"> sangat baik  dalam menerapkan konsep perpindahan kalor dalam kehidupan sehari-hari.
</v>
      </c>
      <c r="AE16" s="257" t="str">
        <f t="shared" si="6"/>
        <v xml:space="preserve"> sangat baik  dalam menerapkan konsep perpindahan kalor dalam kehidupan sehari-hari.
, dan  sangat baik  dalam menerapkan konsep perpindahan kalor dalam kehidupan sehari-hari.
</v>
      </c>
      <c r="AF16" s="257" t="str">
        <f t="shared" si="7"/>
        <v xml:space="preserve"> sangat baik  dalam menerapkan konsep perpindahan kalor dalam kehidupan sehari-hari.
</v>
      </c>
      <c r="AG16" s="258" t="str">
        <f t="shared" si="8"/>
        <v xml:space="preserve"> sangat baik  dalam menerapkan konsep perpindahan kalor dalam kehidupan sehari-hari.
</v>
      </c>
      <c r="AH16" s="252" t="str">
        <f t="shared" si="9"/>
        <v xml:space="preserve">ERICHA sangat baik  dalam menerapkan konsep perpindahan kalor dalam kehidupan sehari-hari.
</v>
      </c>
      <c r="AI16" s="153"/>
      <c r="AR16" s="469">
        <f t="shared" si="10"/>
        <v>90</v>
      </c>
    </row>
    <row r="17" spans="2:44" ht="41.25" customHeight="1">
      <c r="B17" s="142">
        <v>13</v>
      </c>
      <c r="C17" s="143" t="str">
        <f>SISWA!B18</f>
        <v>1718250040317</v>
      </c>
      <c r="D17" s="144" t="str">
        <f>SISWA!E18</f>
        <v>HISYAM</v>
      </c>
      <c r="E17" s="159">
        <v>87.5</v>
      </c>
      <c r="F17" s="160">
        <v>87.5</v>
      </c>
      <c r="G17" s="160">
        <v>87.5</v>
      </c>
      <c r="H17" s="160">
        <v>87.5</v>
      </c>
      <c r="I17" s="160"/>
      <c r="J17" s="159"/>
      <c r="K17" s="159"/>
      <c r="L17" s="159"/>
      <c r="M17" s="159"/>
      <c r="N17" s="159"/>
      <c r="O17" s="159"/>
      <c r="P17" s="159"/>
      <c r="Q17" s="159"/>
      <c r="R17" s="160"/>
      <c r="S17" s="160"/>
      <c r="T17" s="159"/>
      <c r="U17" s="354">
        <f t="shared" si="4"/>
        <v>88</v>
      </c>
      <c r="V17" s="355" t="str">
        <f>IF(U17&gt;KKM!$G$10,"A",IF(U17&gt;KKM!$H$10,"B",IF(U17&gt;=KKM!$I$10,"C","D")))</f>
        <v>A</v>
      </c>
      <c r="W17" s="356">
        <f t="shared" si="0"/>
        <v>87.5</v>
      </c>
      <c r="X17" s="361" t="str">
        <f>IF(W17&gt;KKM!$G$10," sangat baik ",IF(W17&gt;KKM!$H$10," baik ",IF(W17&gt;=KKM!$I$10," cukup baik "," perlu bimbingan ")))</f>
        <v xml:space="preserve"> sangat baik </v>
      </c>
      <c r="Y17" s="357">
        <f t="shared" si="1"/>
        <v>87.5</v>
      </c>
      <c r="Z17" s="361" t="str">
        <f>IF(Y17&gt;KKM!$G$10," sangat baik ",IF(Y17&gt;KKM!$H$10," baik ",IF(Y17&gt;=KKM!$I$10," cukup baik "," perlu bimbingan ")))</f>
        <v xml:space="preserve"> sangat baik </v>
      </c>
      <c r="AA17" s="353" t="str">
        <f t="shared" si="5"/>
        <v xml:space="preserve">HISYAM sangat baik  dalam menerapkan konsep perpindahan kalor dalam kehidupan sehari-hari.
</v>
      </c>
      <c r="AB17" s="256"/>
      <c r="AC17" s="257" t="str">
        <f t="shared" si="2"/>
        <v xml:space="preserve"> sangat baik  dalam menerapkan konsep perpindahan kalor dalam kehidupan sehari-hari.
</v>
      </c>
      <c r="AD17" s="257" t="str">
        <f t="shared" si="3"/>
        <v xml:space="preserve"> sangat baik  dalam menerapkan konsep perpindahan kalor dalam kehidupan sehari-hari.
</v>
      </c>
      <c r="AE17" s="257" t="str">
        <f t="shared" si="6"/>
        <v xml:space="preserve"> sangat baik  dalam menerapkan konsep perpindahan kalor dalam kehidupan sehari-hari.
, dan  sangat baik  dalam menerapkan konsep perpindahan kalor dalam kehidupan sehari-hari.
</v>
      </c>
      <c r="AF17" s="257" t="str">
        <f t="shared" si="7"/>
        <v xml:space="preserve"> sangat baik  dalam menerapkan konsep perpindahan kalor dalam kehidupan sehari-hari.
</v>
      </c>
      <c r="AG17" s="258" t="str">
        <f t="shared" si="8"/>
        <v xml:space="preserve"> sangat baik  dalam menerapkan konsep perpindahan kalor dalam kehidupan sehari-hari.
</v>
      </c>
      <c r="AH17" s="252" t="str">
        <f t="shared" si="9"/>
        <v xml:space="preserve">HISYAM sangat baik  dalam menerapkan konsep perpindahan kalor dalam kehidupan sehari-hari.
</v>
      </c>
      <c r="AI17" s="153"/>
      <c r="AR17" s="469">
        <f t="shared" si="10"/>
        <v>88</v>
      </c>
    </row>
    <row r="18" spans="2:44" ht="41.25" customHeight="1">
      <c r="B18" s="142">
        <v>14</v>
      </c>
      <c r="C18" s="143" t="str">
        <f>SISWA!B19</f>
        <v>1718250040318</v>
      </c>
      <c r="D18" s="144" t="str">
        <f>SISWA!E19</f>
        <v>FAUZI</v>
      </c>
      <c r="E18" s="159">
        <v>80</v>
      </c>
      <c r="F18" s="160">
        <v>80</v>
      </c>
      <c r="G18" s="160">
        <v>80</v>
      </c>
      <c r="H18" s="160">
        <v>80</v>
      </c>
      <c r="I18" s="160"/>
      <c r="J18" s="159"/>
      <c r="K18" s="159"/>
      <c r="L18" s="159"/>
      <c r="M18" s="159"/>
      <c r="N18" s="159"/>
      <c r="O18" s="159"/>
      <c r="P18" s="159"/>
      <c r="Q18" s="159"/>
      <c r="R18" s="160"/>
      <c r="S18" s="160"/>
      <c r="T18" s="159"/>
      <c r="U18" s="354">
        <f t="shared" si="4"/>
        <v>80</v>
      </c>
      <c r="V18" s="355" t="str">
        <f>IF(U18&gt;KKM!$G$10,"A",IF(U18&gt;KKM!$H$10,"B",IF(U18&gt;=KKM!$I$10,"C","D")))</f>
        <v>B</v>
      </c>
      <c r="W18" s="356">
        <f t="shared" si="0"/>
        <v>80</v>
      </c>
      <c r="X18" s="361" t="str">
        <f>IF(W18&gt;KKM!$G$10," sangat baik ",IF(W18&gt;KKM!$H$10," baik ",IF(W18&gt;=KKM!$I$10," cukup baik "," perlu bimbingan ")))</f>
        <v xml:space="preserve"> baik </v>
      </c>
      <c r="Y18" s="357">
        <f t="shared" si="1"/>
        <v>80</v>
      </c>
      <c r="Z18" s="361" t="str">
        <f>IF(Y18&gt;KKM!$G$10," sangat baik ",IF(Y18&gt;KKM!$H$10," baik ",IF(Y18&gt;=KKM!$I$10," cukup baik "," perlu bimbingan ")))</f>
        <v xml:space="preserve"> baik </v>
      </c>
      <c r="AA18" s="353" t="str">
        <f t="shared" si="5"/>
        <v xml:space="preserve">FAUZI baik  dalam menerapkan konsep perpindahan kalor dalam kehidupan sehari-hari.
</v>
      </c>
      <c r="AB18" s="256"/>
      <c r="AC18" s="257" t="str">
        <f t="shared" si="2"/>
        <v xml:space="preserve"> baik  dalam menerapkan konsep perpindahan kalor dalam kehidupan sehari-hari.
</v>
      </c>
      <c r="AD18" s="257" t="str">
        <f t="shared" si="3"/>
        <v xml:space="preserve"> baik  dalam menerapkan konsep perpindahan kalor dalam kehidupan sehari-hari.
</v>
      </c>
      <c r="AE18" s="257" t="str">
        <f t="shared" si="6"/>
        <v xml:space="preserve"> baik  dalam menerapkan konsep perpindahan kalor dalam kehidupan sehari-hari.
, dan  baik  dalam menerapkan konsep perpindahan kalor dalam kehidupan sehari-hari.
</v>
      </c>
      <c r="AF18" s="257" t="str">
        <f t="shared" si="7"/>
        <v xml:space="preserve"> baik  dalam menerapkan konsep perpindahan kalor dalam kehidupan sehari-hari.
</v>
      </c>
      <c r="AG18" s="258" t="str">
        <f t="shared" si="8"/>
        <v xml:space="preserve"> baik  dalam menerapkan konsep perpindahan kalor dalam kehidupan sehari-hari.
</v>
      </c>
      <c r="AH18" s="252" t="str">
        <f t="shared" si="9"/>
        <v xml:space="preserve">FAUZI baik  dalam menerapkan konsep perpindahan kalor dalam kehidupan sehari-hari.
</v>
      </c>
      <c r="AI18" s="153"/>
      <c r="AR18" s="469">
        <f t="shared" si="10"/>
        <v>80</v>
      </c>
    </row>
    <row r="19" spans="2:44" ht="41.25" customHeight="1">
      <c r="B19" s="142">
        <v>15</v>
      </c>
      <c r="C19" s="143" t="str">
        <f>SISWA!B20</f>
        <v>1718250040319</v>
      </c>
      <c r="D19" s="144" t="str">
        <f>SISWA!E20</f>
        <v>FIRLY</v>
      </c>
      <c r="E19" s="159">
        <v>90</v>
      </c>
      <c r="F19" s="160">
        <v>90</v>
      </c>
      <c r="G19" s="160">
        <v>90</v>
      </c>
      <c r="H19" s="160">
        <v>90</v>
      </c>
      <c r="I19" s="160"/>
      <c r="J19" s="159"/>
      <c r="K19" s="159"/>
      <c r="L19" s="159"/>
      <c r="M19" s="159"/>
      <c r="N19" s="159"/>
      <c r="O19" s="159"/>
      <c r="P19" s="159"/>
      <c r="Q19" s="159"/>
      <c r="R19" s="160"/>
      <c r="S19" s="160"/>
      <c r="T19" s="159"/>
      <c r="U19" s="354">
        <f t="shared" si="4"/>
        <v>90</v>
      </c>
      <c r="V19" s="355" t="str">
        <f>IF(U19&gt;KKM!$G$10,"A",IF(U19&gt;KKM!$H$10,"B",IF(U19&gt;=KKM!$I$10,"C","D")))</f>
        <v>A</v>
      </c>
      <c r="W19" s="356">
        <f t="shared" si="0"/>
        <v>90</v>
      </c>
      <c r="X19" s="361" t="str">
        <f>IF(W19&gt;KKM!$G$10," sangat baik ",IF(W19&gt;KKM!$H$10," baik ",IF(W19&gt;=KKM!$I$10," cukup baik "," perlu bimbingan ")))</f>
        <v xml:space="preserve"> sangat baik </v>
      </c>
      <c r="Y19" s="357">
        <f t="shared" si="1"/>
        <v>90</v>
      </c>
      <c r="Z19" s="361" t="str">
        <f>IF(Y19&gt;KKM!$G$10," sangat baik ",IF(Y19&gt;KKM!$H$10," baik ",IF(Y19&gt;=KKM!$I$10," cukup baik "," perlu bimbingan ")))</f>
        <v xml:space="preserve"> sangat baik </v>
      </c>
      <c r="AA19" s="353" t="str">
        <f t="shared" si="5"/>
        <v xml:space="preserve">FIRLY sangat baik  dalam menerapkan konsep perpindahan kalor dalam kehidupan sehari-hari.
</v>
      </c>
      <c r="AB19" s="256"/>
      <c r="AC19" s="257" t="str">
        <f t="shared" si="2"/>
        <v xml:space="preserve"> sangat baik  dalam menerapkan konsep perpindahan kalor dalam kehidupan sehari-hari.
</v>
      </c>
      <c r="AD19" s="257" t="str">
        <f t="shared" si="3"/>
        <v xml:space="preserve"> sangat baik  dalam menerapkan konsep perpindahan kalor dalam kehidupan sehari-hari.
</v>
      </c>
      <c r="AE19" s="257" t="str">
        <f t="shared" si="6"/>
        <v xml:space="preserve"> sangat baik  dalam menerapkan konsep perpindahan kalor dalam kehidupan sehari-hari.
, dan  sangat baik  dalam menerapkan konsep perpindahan kalor dalam kehidupan sehari-hari.
</v>
      </c>
      <c r="AF19" s="257" t="str">
        <f t="shared" si="7"/>
        <v xml:space="preserve"> sangat baik  dalam menerapkan konsep perpindahan kalor dalam kehidupan sehari-hari.
</v>
      </c>
      <c r="AG19" s="258" t="str">
        <f t="shared" si="8"/>
        <v xml:space="preserve"> sangat baik  dalam menerapkan konsep perpindahan kalor dalam kehidupan sehari-hari.
</v>
      </c>
      <c r="AH19" s="252" t="str">
        <f t="shared" si="9"/>
        <v xml:space="preserve">FIRLY sangat baik  dalam menerapkan konsep perpindahan kalor dalam kehidupan sehari-hari.
</v>
      </c>
      <c r="AI19" s="153"/>
      <c r="AR19" s="469">
        <f t="shared" si="10"/>
        <v>90</v>
      </c>
    </row>
    <row r="20" spans="2:44" ht="41.25" customHeight="1">
      <c r="B20" s="142">
        <v>16</v>
      </c>
      <c r="C20" s="143" t="str">
        <f>SISWA!B21</f>
        <v>1718250040320</v>
      </c>
      <c r="D20" s="144" t="str">
        <f>SISWA!E21</f>
        <v>HANA</v>
      </c>
      <c r="E20" s="159">
        <v>72.5</v>
      </c>
      <c r="F20" s="160">
        <v>72.5</v>
      </c>
      <c r="G20" s="160">
        <v>72.5</v>
      </c>
      <c r="H20" s="160">
        <v>72.5</v>
      </c>
      <c r="I20" s="160"/>
      <c r="J20" s="159"/>
      <c r="K20" s="159"/>
      <c r="L20" s="159"/>
      <c r="M20" s="159"/>
      <c r="N20" s="159"/>
      <c r="O20" s="159"/>
      <c r="P20" s="159"/>
      <c r="Q20" s="159"/>
      <c r="R20" s="160"/>
      <c r="S20" s="160"/>
      <c r="T20" s="159"/>
      <c r="U20" s="354">
        <f t="shared" si="4"/>
        <v>73</v>
      </c>
      <c r="V20" s="355" t="str">
        <f>IF(U20&gt;KKM!$G$10,"A",IF(U20&gt;KKM!$H$10,"B",IF(U20&gt;=KKM!$I$10,"C","D")))</f>
        <v>C</v>
      </c>
      <c r="W20" s="356">
        <f t="shared" si="0"/>
        <v>72.5</v>
      </c>
      <c r="X20" s="361" t="str">
        <f>IF(W20&gt;KKM!$G$10," sangat baik ",IF(W20&gt;KKM!$H$10," baik ",IF(W20&gt;=KKM!$I$10," cukup baik "," perlu bimbingan ")))</f>
        <v xml:space="preserve"> cukup baik </v>
      </c>
      <c r="Y20" s="357">
        <f t="shared" si="1"/>
        <v>72.5</v>
      </c>
      <c r="Z20" s="361" t="str">
        <f>IF(Y20&gt;KKM!$G$10," sangat baik ",IF(Y20&gt;KKM!$H$10," baik ",IF(Y20&gt;=KKM!$I$10," cukup baik "," perlu bimbingan ")))</f>
        <v xml:space="preserve"> cukup baik </v>
      </c>
      <c r="AA20" s="353" t="str">
        <f t="shared" si="5"/>
        <v xml:space="preserve">HANA cukup baik  dalam menerapkan konsep perpindahan kalor dalam kehidupan sehari-hari.
</v>
      </c>
      <c r="AB20" s="256"/>
      <c r="AC20" s="257" t="str">
        <f t="shared" si="2"/>
        <v xml:space="preserve"> cukup baik  dalam menerapkan konsep perpindahan kalor dalam kehidupan sehari-hari.
</v>
      </c>
      <c r="AD20" s="257" t="str">
        <f t="shared" si="3"/>
        <v xml:space="preserve"> cukup baik  dalam menerapkan konsep perpindahan kalor dalam kehidupan sehari-hari.
</v>
      </c>
      <c r="AE20" s="257" t="str">
        <f t="shared" si="6"/>
        <v xml:space="preserve"> cukup baik  dalam menerapkan konsep perpindahan kalor dalam kehidupan sehari-hari.
, dan  cukup baik  dalam menerapkan konsep perpindahan kalor dalam kehidupan sehari-hari.
</v>
      </c>
      <c r="AF20" s="257" t="str">
        <f t="shared" si="7"/>
        <v xml:space="preserve"> cukup baik  dalam menerapkan konsep perpindahan kalor dalam kehidupan sehari-hari.
</v>
      </c>
      <c r="AG20" s="258" t="str">
        <f t="shared" si="8"/>
        <v xml:space="preserve"> cukup baik  dalam menerapkan konsep perpindahan kalor dalam kehidupan sehari-hari.
</v>
      </c>
      <c r="AH20" s="252" t="str">
        <f t="shared" si="9"/>
        <v xml:space="preserve">HANA cukup baik  dalam menerapkan konsep perpindahan kalor dalam kehidupan sehari-hari.
</v>
      </c>
      <c r="AI20" s="153"/>
      <c r="AR20" s="469">
        <f t="shared" si="10"/>
        <v>73</v>
      </c>
    </row>
    <row r="21" spans="2:44" ht="41.25" customHeight="1">
      <c r="B21" s="142">
        <v>17</v>
      </c>
      <c r="C21" s="143" t="str">
        <f>SISWA!B22</f>
        <v>1718250040321</v>
      </c>
      <c r="D21" s="144" t="str">
        <f>SISWA!E22</f>
        <v>MALLA</v>
      </c>
      <c r="E21" s="159">
        <v>85</v>
      </c>
      <c r="F21" s="160">
        <v>85</v>
      </c>
      <c r="G21" s="160">
        <v>85</v>
      </c>
      <c r="H21" s="160">
        <v>85</v>
      </c>
      <c r="I21" s="160"/>
      <c r="J21" s="159"/>
      <c r="K21" s="159"/>
      <c r="L21" s="159"/>
      <c r="M21" s="159"/>
      <c r="N21" s="159"/>
      <c r="O21" s="159"/>
      <c r="P21" s="159"/>
      <c r="Q21" s="159"/>
      <c r="R21" s="160"/>
      <c r="S21" s="160"/>
      <c r="T21" s="159"/>
      <c r="U21" s="354">
        <f t="shared" si="4"/>
        <v>85</v>
      </c>
      <c r="V21" s="355" t="str">
        <f>IF(U21&gt;KKM!$G$10,"A",IF(U21&gt;KKM!$H$10,"B",IF(U21&gt;=KKM!$I$10,"C","D")))</f>
        <v>B</v>
      </c>
      <c r="W21" s="356">
        <f t="shared" si="0"/>
        <v>85</v>
      </c>
      <c r="X21" s="361" t="str">
        <f>IF(W21&gt;KKM!$G$10," sangat baik ",IF(W21&gt;KKM!$H$10," baik ",IF(W21&gt;=KKM!$I$10," cukup baik "," perlu bimbingan ")))</f>
        <v xml:space="preserve"> baik </v>
      </c>
      <c r="Y21" s="357">
        <f t="shared" si="1"/>
        <v>85</v>
      </c>
      <c r="Z21" s="361" t="str">
        <f>IF(Y21&gt;KKM!$G$10," sangat baik ",IF(Y21&gt;KKM!$H$10," baik ",IF(Y21&gt;=KKM!$I$10," cukup baik "," perlu bimbingan ")))</f>
        <v xml:space="preserve"> baik </v>
      </c>
      <c r="AA21" s="353" t="str">
        <f t="shared" si="5"/>
        <v xml:space="preserve">MALLA baik  dalam menerapkan konsep perpindahan kalor dalam kehidupan sehari-hari.
</v>
      </c>
      <c r="AB21" s="256"/>
      <c r="AC21" s="257" t="str">
        <f t="shared" si="2"/>
        <v xml:space="preserve"> baik  dalam menerapkan konsep perpindahan kalor dalam kehidupan sehari-hari.
</v>
      </c>
      <c r="AD21" s="257" t="str">
        <f t="shared" si="3"/>
        <v xml:space="preserve"> baik  dalam menerapkan konsep perpindahan kalor dalam kehidupan sehari-hari.
</v>
      </c>
      <c r="AE21" s="257" t="str">
        <f t="shared" si="6"/>
        <v xml:space="preserve"> baik  dalam menerapkan konsep perpindahan kalor dalam kehidupan sehari-hari.
, dan  baik  dalam menerapkan konsep perpindahan kalor dalam kehidupan sehari-hari.
</v>
      </c>
      <c r="AF21" s="257" t="str">
        <f t="shared" si="7"/>
        <v xml:space="preserve"> baik  dalam menerapkan konsep perpindahan kalor dalam kehidupan sehari-hari.
</v>
      </c>
      <c r="AG21" s="258" t="str">
        <f t="shared" si="8"/>
        <v xml:space="preserve"> baik  dalam menerapkan konsep perpindahan kalor dalam kehidupan sehari-hari.
</v>
      </c>
      <c r="AH21" s="252" t="str">
        <f t="shared" si="9"/>
        <v xml:space="preserve">MALLA baik  dalam menerapkan konsep perpindahan kalor dalam kehidupan sehari-hari.
</v>
      </c>
      <c r="AI21" s="153"/>
      <c r="AR21" s="469">
        <f t="shared" si="10"/>
        <v>85</v>
      </c>
    </row>
    <row r="22" spans="2:44" ht="41.25" customHeight="1">
      <c r="B22" s="142">
        <v>18</v>
      </c>
      <c r="C22" s="143" t="str">
        <f>SISWA!B23</f>
        <v>1718250040322</v>
      </c>
      <c r="D22" s="144" t="str">
        <f>SISWA!E23</f>
        <v>INTAN</v>
      </c>
      <c r="E22" s="159">
        <v>82.5</v>
      </c>
      <c r="F22" s="160">
        <v>82.5</v>
      </c>
      <c r="G22" s="160">
        <v>82.5</v>
      </c>
      <c r="H22" s="160">
        <v>82.5</v>
      </c>
      <c r="I22" s="160"/>
      <c r="J22" s="159"/>
      <c r="K22" s="159"/>
      <c r="L22" s="159"/>
      <c r="M22" s="159"/>
      <c r="N22" s="159"/>
      <c r="O22" s="159"/>
      <c r="P22" s="159"/>
      <c r="Q22" s="159"/>
      <c r="R22" s="160"/>
      <c r="S22" s="160"/>
      <c r="T22" s="159"/>
      <c r="U22" s="354">
        <f t="shared" si="4"/>
        <v>83</v>
      </c>
      <c r="V22" s="355" t="str">
        <f>IF(U22&gt;KKM!$G$10,"A",IF(U22&gt;KKM!$H$10,"B",IF(U22&gt;=KKM!$I$10,"C","D")))</f>
        <v>B</v>
      </c>
      <c r="W22" s="356">
        <f t="shared" si="0"/>
        <v>82.5</v>
      </c>
      <c r="X22" s="361" t="str">
        <f>IF(W22&gt;KKM!$G$10," sangat baik ",IF(W22&gt;KKM!$H$10," baik ",IF(W22&gt;=KKM!$I$10," cukup baik "," perlu bimbingan ")))</f>
        <v xml:space="preserve"> baik </v>
      </c>
      <c r="Y22" s="357">
        <f t="shared" si="1"/>
        <v>82.5</v>
      </c>
      <c r="Z22" s="361" t="str">
        <f>IF(Y22&gt;KKM!$G$10," sangat baik ",IF(Y22&gt;KKM!$H$10," baik ",IF(Y22&gt;=KKM!$I$10," cukup baik "," perlu bimbingan ")))</f>
        <v xml:space="preserve"> baik </v>
      </c>
      <c r="AA22" s="353" t="str">
        <f t="shared" si="5"/>
        <v xml:space="preserve">INTAN baik  dalam menerapkan konsep perpindahan kalor dalam kehidupan sehari-hari.
</v>
      </c>
      <c r="AB22" s="256"/>
      <c r="AC22" s="257" t="str">
        <f t="shared" si="2"/>
        <v xml:space="preserve"> baik  dalam menerapkan konsep perpindahan kalor dalam kehidupan sehari-hari.
</v>
      </c>
      <c r="AD22" s="257" t="str">
        <f t="shared" si="3"/>
        <v xml:space="preserve"> baik  dalam menerapkan konsep perpindahan kalor dalam kehidupan sehari-hari.
</v>
      </c>
      <c r="AE22" s="257" t="str">
        <f t="shared" si="6"/>
        <v xml:space="preserve"> baik  dalam menerapkan konsep perpindahan kalor dalam kehidupan sehari-hari.
, dan  baik  dalam menerapkan konsep perpindahan kalor dalam kehidupan sehari-hari.
</v>
      </c>
      <c r="AF22" s="257" t="str">
        <f t="shared" si="7"/>
        <v xml:space="preserve"> baik  dalam menerapkan konsep perpindahan kalor dalam kehidupan sehari-hari.
</v>
      </c>
      <c r="AG22" s="258" t="str">
        <f t="shared" si="8"/>
        <v xml:space="preserve"> baik  dalam menerapkan konsep perpindahan kalor dalam kehidupan sehari-hari.
</v>
      </c>
      <c r="AH22" s="252" t="str">
        <f t="shared" si="9"/>
        <v xml:space="preserve">INTAN baik  dalam menerapkan konsep perpindahan kalor dalam kehidupan sehari-hari.
</v>
      </c>
      <c r="AI22" s="153"/>
      <c r="AR22" s="469">
        <f t="shared" si="10"/>
        <v>83</v>
      </c>
    </row>
    <row r="23" spans="2:44" ht="41.25" customHeight="1">
      <c r="B23" s="142">
        <v>19</v>
      </c>
      <c r="C23" s="143" t="str">
        <f>SISWA!B24</f>
        <v>1718250040323</v>
      </c>
      <c r="D23" s="144" t="str">
        <f>SISWA!E24</f>
        <v>JORDY</v>
      </c>
      <c r="E23" s="159">
        <v>77.5</v>
      </c>
      <c r="F23" s="160">
        <v>77.5</v>
      </c>
      <c r="G23" s="160">
        <v>77.5</v>
      </c>
      <c r="H23" s="160">
        <v>77.5</v>
      </c>
      <c r="I23" s="160"/>
      <c r="J23" s="159"/>
      <c r="K23" s="159"/>
      <c r="L23" s="159"/>
      <c r="M23" s="159"/>
      <c r="N23" s="159"/>
      <c r="O23" s="159"/>
      <c r="P23" s="159"/>
      <c r="Q23" s="159"/>
      <c r="R23" s="160"/>
      <c r="S23" s="160"/>
      <c r="T23" s="159"/>
      <c r="U23" s="354">
        <f t="shared" si="4"/>
        <v>78</v>
      </c>
      <c r="V23" s="355" t="str">
        <f>IF(U23&gt;KKM!$G$10,"A",IF(U23&gt;KKM!$H$10,"B",IF(U23&gt;=KKM!$I$10,"C","D")))</f>
        <v>B</v>
      </c>
      <c r="W23" s="356">
        <f t="shared" si="0"/>
        <v>77.5</v>
      </c>
      <c r="X23" s="361" t="str">
        <f>IF(W23&gt;KKM!$G$10," sangat baik ",IF(W23&gt;KKM!$H$10," baik ",IF(W23&gt;=KKM!$I$10," cukup baik "," perlu bimbingan ")))</f>
        <v xml:space="preserve"> baik </v>
      </c>
      <c r="Y23" s="357">
        <f t="shared" si="1"/>
        <v>77.5</v>
      </c>
      <c r="Z23" s="361" t="str">
        <f>IF(Y23&gt;KKM!$G$10," sangat baik ",IF(Y23&gt;KKM!$H$10," baik ",IF(Y23&gt;=KKM!$I$10," cukup baik "," perlu bimbingan ")))</f>
        <v xml:space="preserve"> baik </v>
      </c>
      <c r="AA23" s="353" t="str">
        <f t="shared" si="5"/>
        <v xml:space="preserve">JORDY baik  dalam menerapkan konsep perpindahan kalor dalam kehidupan sehari-hari.
</v>
      </c>
      <c r="AB23" s="256"/>
      <c r="AC23" s="257" t="str">
        <f t="shared" si="2"/>
        <v xml:space="preserve"> baik  dalam menerapkan konsep perpindahan kalor dalam kehidupan sehari-hari.
</v>
      </c>
      <c r="AD23" s="257" t="str">
        <f t="shared" si="3"/>
        <v xml:space="preserve"> baik  dalam menerapkan konsep perpindahan kalor dalam kehidupan sehari-hari.
</v>
      </c>
      <c r="AE23" s="257" t="str">
        <f t="shared" si="6"/>
        <v xml:space="preserve"> baik  dalam menerapkan konsep perpindahan kalor dalam kehidupan sehari-hari.
, dan  baik  dalam menerapkan konsep perpindahan kalor dalam kehidupan sehari-hari.
</v>
      </c>
      <c r="AF23" s="257" t="str">
        <f t="shared" si="7"/>
        <v xml:space="preserve"> baik  dalam menerapkan konsep perpindahan kalor dalam kehidupan sehari-hari.
</v>
      </c>
      <c r="AG23" s="258" t="str">
        <f t="shared" si="8"/>
        <v xml:space="preserve"> baik  dalam menerapkan konsep perpindahan kalor dalam kehidupan sehari-hari.
</v>
      </c>
      <c r="AH23" s="252" t="str">
        <f t="shared" si="9"/>
        <v xml:space="preserve">JORDY baik  dalam menerapkan konsep perpindahan kalor dalam kehidupan sehari-hari.
</v>
      </c>
      <c r="AI23" s="153"/>
      <c r="AR23" s="469">
        <f t="shared" si="10"/>
        <v>78</v>
      </c>
    </row>
    <row r="24" spans="2:44" ht="41.25" customHeight="1">
      <c r="B24" s="142">
        <v>20</v>
      </c>
      <c r="C24" s="143" t="str">
        <f>SISWA!B25</f>
        <v>1718250040324</v>
      </c>
      <c r="D24" s="144" t="str">
        <f>SISWA!E25</f>
        <v>KURNIA</v>
      </c>
      <c r="E24" s="159">
        <v>92.5</v>
      </c>
      <c r="F24" s="160">
        <v>92.5</v>
      </c>
      <c r="G24" s="160">
        <v>92.5</v>
      </c>
      <c r="H24" s="160">
        <v>92.5</v>
      </c>
      <c r="I24" s="160"/>
      <c r="J24" s="159"/>
      <c r="K24" s="159"/>
      <c r="L24" s="159"/>
      <c r="M24" s="159"/>
      <c r="N24" s="159"/>
      <c r="O24" s="159"/>
      <c r="P24" s="159"/>
      <c r="Q24" s="159"/>
      <c r="R24" s="160"/>
      <c r="S24" s="160"/>
      <c r="T24" s="159"/>
      <c r="U24" s="354">
        <f t="shared" si="4"/>
        <v>93</v>
      </c>
      <c r="V24" s="355" t="str">
        <f>IF(U24&gt;KKM!$G$10,"A",IF(U24&gt;KKM!$H$10,"B",IF(U24&gt;=KKM!$I$10,"C","D")))</f>
        <v>A</v>
      </c>
      <c r="W24" s="356">
        <f t="shared" si="0"/>
        <v>92.5</v>
      </c>
      <c r="X24" s="361" t="str">
        <f>IF(W24&gt;KKM!$G$10," sangat baik ",IF(W24&gt;KKM!$H$10," baik ",IF(W24&gt;=KKM!$I$10," cukup baik "," perlu bimbingan ")))</f>
        <v xml:space="preserve"> sangat baik </v>
      </c>
      <c r="Y24" s="357">
        <f t="shared" si="1"/>
        <v>92.5</v>
      </c>
      <c r="Z24" s="361" t="str">
        <f>IF(Y24&gt;KKM!$G$10," sangat baik ",IF(Y24&gt;KKM!$H$10," baik ",IF(Y24&gt;=KKM!$I$10," cukup baik "," perlu bimbingan ")))</f>
        <v xml:space="preserve"> sangat baik </v>
      </c>
      <c r="AA24" s="353" t="str">
        <f t="shared" si="5"/>
        <v xml:space="preserve">KURNIA sangat baik  dalam menerapkan konsep perpindahan kalor dalam kehidupan sehari-hari.
</v>
      </c>
      <c r="AB24" s="256"/>
      <c r="AC24" s="257" t="str">
        <f t="shared" si="2"/>
        <v xml:space="preserve"> sangat baik  dalam menerapkan konsep perpindahan kalor dalam kehidupan sehari-hari.
</v>
      </c>
      <c r="AD24" s="257" t="str">
        <f t="shared" si="3"/>
        <v xml:space="preserve"> sangat baik  dalam menerapkan konsep perpindahan kalor dalam kehidupan sehari-hari.
</v>
      </c>
      <c r="AE24" s="257" t="str">
        <f t="shared" si="6"/>
        <v xml:space="preserve"> sangat baik  dalam menerapkan konsep perpindahan kalor dalam kehidupan sehari-hari.
, dan  sangat baik  dalam menerapkan konsep perpindahan kalor dalam kehidupan sehari-hari.
</v>
      </c>
      <c r="AF24" s="257" t="str">
        <f t="shared" si="7"/>
        <v xml:space="preserve"> sangat baik  dalam menerapkan konsep perpindahan kalor dalam kehidupan sehari-hari.
</v>
      </c>
      <c r="AG24" s="258" t="str">
        <f t="shared" si="8"/>
        <v xml:space="preserve"> sangat baik  dalam menerapkan konsep perpindahan kalor dalam kehidupan sehari-hari.
</v>
      </c>
      <c r="AH24" s="252" t="str">
        <f t="shared" si="9"/>
        <v xml:space="preserve">KURNIA sangat baik  dalam menerapkan konsep perpindahan kalor dalam kehidupan sehari-hari.
</v>
      </c>
      <c r="AI24" s="153"/>
      <c r="AR24" s="469">
        <f t="shared" si="10"/>
        <v>93</v>
      </c>
    </row>
    <row r="25" spans="2:44" ht="41.25" customHeight="1">
      <c r="B25" s="142">
        <v>21</v>
      </c>
      <c r="C25" s="143" t="str">
        <f>SISWA!B26</f>
        <v>1718250040325</v>
      </c>
      <c r="D25" s="144" t="str">
        <f>SISWA!E26</f>
        <v>LATIZA</v>
      </c>
      <c r="E25" s="159">
        <v>95</v>
      </c>
      <c r="F25" s="160">
        <v>95</v>
      </c>
      <c r="G25" s="160">
        <v>95</v>
      </c>
      <c r="H25" s="160">
        <v>95</v>
      </c>
      <c r="I25" s="160"/>
      <c r="J25" s="159"/>
      <c r="K25" s="159"/>
      <c r="L25" s="159"/>
      <c r="M25" s="159"/>
      <c r="N25" s="159"/>
      <c r="O25" s="159"/>
      <c r="P25" s="159"/>
      <c r="Q25" s="159"/>
      <c r="R25" s="160"/>
      <c r="S25" s="160"/>
      <c r="T25" s="159"/>
      <c r="U25" s="354">
        <f t="shared" si="4"/>
        <v>95</v>
      </c>
      <c r="V25" s="355" t="str">
        <f>IF(U25&gt;KKM!$G$10,"A",IF(U25&gt;KKM!$H$10,"B",IF(U25&gt;=KKM!$I$10,"C","D")))</f>
        <v>A</v>
      </c>
      <c r="W25" s="356">
        <f t="shared" si="0"/>
        <v>95</v>
      </c>
      <c r="X25" s="361" t="str">
        <f>IF(W25&gt;KKM!$G$10," sangat baik ",IF(W25&gt;KKM!$H$10," baik ",IF(W25&gt;=KKM!$I$10," cukup baik "," perlu bimbingan ")))</f>
        <v xml:space="preserve"> sangat baik </v>
      </c>
      <c r="Y25" s="357">
        <f t="shared" si="1"/>
        <v>95</v>
      </c>
      <c r="Z25" s="361" t="str">
        <f>IF(Y25&gt;KKM!$G$10," sangat baik ",IF(Y25&gt;KKM!$H$10," baik ",IF(Y25&gt;=KKM!$I$10," cukup baik "," perlu bimbingan ")))</f>
        <v xml:space="preserve"> sangat baik </v>
      </c>
      <c r="AA25" s="353" t="str">
        <f t="shared" si="5"/>
        <v xml:space="preserve">LATIZA sangat baik  dalam menerapkan konsep perpindahan kalor dalam kehidupan sehari-hari.
</v>
      </c>
      <c r="AB25" s="256"/>
      <c r="AC25" s="257" t="str">
        <f t="shared" si="2"/>
        <v xml:space="preserve"> sangat baik  dalam menerapkan konsep perpindahan kalor dalam kehidupan sehari-hari.
</v>
      </c>
      <c r="AD25" s="257" t="str">
        <f t="shared" si="3"/>
        <v xml:space="preserve"> sangat baik  dalam menerapkan konsep perpindahan kalor dalam kehidupan sehari-hari.
</v>
      </c>
      <c r="AE25" s="257" t="str">
        <f t="shared" si="6"/>
        <v xml:space="preserve"> sangat baik  dalam menerapkan konsep perpindahan kalor dalam kehidupan sehari-hari.
, dan  sangat baik  dalam menerapkan konsep perpindahan kalor dalam kehidupan sehari-hari.
</v>
      </c>
      <c r="AF25" s="257" t="str">
        <f t="shared" si="7"/>
        <v xml:space="preserve"> sangat baik  dalam menerapkan konsep perpindahan kalor dalam kehidupan sehari-hari.
</v>
      </c>
      <c r="AG25" s="258" t="str">
        <f t="shared" si="8"/>
        <v xml:space="preserve"> sangat baik  dalam menerapkan konsep perpindahan kalor dalam kehidupan sehari-hari.
</v>
      </c>
      <c r="AH25" s="252" t="str">
        <f t="shared" si="9"/>
        <v xml:space="preserve">LATIZA sangat baik  dalam menerapkan konsep perpindahan kalor dalam kehidupan sehari-hari.
</v>
      </c>
      <c r="AI25" s="153"/>
      <c r="AR25" s="469">
        <f t="shared" si="10"/>
        <v>95</v>
      </c>
    </row>
    <row r="26" spans="2:44" ht="41.25" customHeight="1">
      <c r="B26" s="142">
        <v>22</v>
      </c>
      <c r="C26" s="143" t="str">
        <f>SISWA!B27</f>
        <v>1718250040326</v>
      </c>
      <c r="D26" s="144" t="str">
        <f>SISWA!E27</f>
        <v>RIZKY</v>
      </c>
      <c r="E26" s="159">
        <v>90</v>
      </c>
      <c r="F26" s="160">
        <v>90</v>
      </c>
      <c r="G26" s="160">
        <v>90</v>
      </c>
      <c r="H26" s="160">
        <v>90</v>
      </c>
      <c r="I26" s="160"/>
      <c r="J26" s="159"/>
      <c r="K26" s="159"/>
      <c r="L26" s="159"/>
      <c r="M26" s="159"/>
      <c r="N26" s="159"/>
      <c r="O26" s="159"/>
      <c r="P26" s="159"/>
      <c r="Q26" s="159"/>
      <c r="R26" s="160"/>
      <c r="S26" s="160"/>
      <c r="T26" s="159"/>
      <c r="U26" s="354">
        <f t="shared" si="4"/>
        <v>90</v>
      </c>
      <c r="V26" s="355" t="str">
        <f>IF(U26&gt;KKM!$G$10,"A",IF(U26&gt;KKM!$H$10,"B",IF(U26&gt;=KKM!$I$10,"C","D")))</f>
        <v>A</v>
      </c>
      <c r="W26" s="356">
        <f t="shared" si="0"/>
        <v>90</v>
      </c>
      <c r="X26" s="361" t="str">
        <f>IF(W26&gt;KKM!$G$10," sangat baik ",IF(W26&gt;KKM!$H$10," baik ",IF(W26&gt;=KKM!$I$10," cukup baik "," perlu bimbingan ")))</f>
        <v xml:space="preserve"> sangat baik </v>
      </c>
      <c r="Y26" s="357">
        <f t="shared" si="1"/>
        <v>90</v>
      </c>
      <c r="Z26" s="361" t="str">
        <f>IF(Y26&gt;KKM!$G$10," sangat baik ",IF(Y26&gt;KKM!$H$10," baik ",IF(Y26&gt;=KKM!$I$10," cukup baik "," perlu bimbingan ")))</f>
        <v xml:space="preserve"> sangat baik </v>
      </c>
      <c r="AA26" s="353" t="str">
        <f t="shared" si="5"/>
        <v xml:space="preserve">RIZKY sangat baik  dalam menerapkan konsep perpindahan kalor dalam kehidupan sehari-hari.
</v>
      </c>
      <c r="AB26" s="256"/>
      <c r="AC26" s="257" t="str">
        <f t="shared" si="2"/>
        <v xml:space="preserve"> sangat baik  dalam menerapkan konsep perpindahan kalor dalam kehidupan sehari-hari.
</v>
      </c>
      <c r="AD26" s="257" t="str">
        <f t="shared" si="3"/>
        <v xml:space="preserve"> sangat baik  dalam menerapkan konsep perpindahan kalor dalam kehidupan sehari-hari.
</v>
      </c>
      <c r="AE26" s="257" t="str">
        <f t="shared" si="6"/>
        <v xml:space="preserve"> sangat baik  dalam menerapkan konsep perpindahan kalor dalam kehidupan sehari-hari.
, dan  sangat baik  dalam menerapkan konsep perpindahan kalor dalam kehidupan sehari-hari.
</v>
      </c>
      <c r="AF26" s="257" t="str">
        <f t="shared" si="7"/>
        <v xml:space="preserve"> sangat baik  dalam menerapkan konsep perpindahan kalor dalam kehidupan sehari-hari.
</v>
      </c>
      <c r="AG26" s="258" t="str">
        <f t="shared" si="8"/>
        <v xml:space="preserve"> sangat baik  dalam menerapkan konsep perpindahan kalor dalam kehidupan sehari-hari.
</v>
      </c>
      <c r="AH26" s="252" t="str">
        <f t="shared" si="9"/>
        <v xml:space="preserve">RIZKY sangat baik  dalam menerapkan konsep perpindahan kalor dalam kehidupan sehari-hari.
</v>
      </c>
      <c r="AI26" s="153"/>
      <c r="AR26" s="469">
        <f t="shared" si="10"/>
        <v>90</v>
      </c>
    </row>
    <row r="27" spans="2:44" ht="41.25" customHeight="1">
      <c r="B27" s="142">
        <v>23</v>
      </c>
      <c r="C27" s="143" t="str">
        <f>SISWA!B28</f>
        <v>1718250040327</v>
      </c>
      <c r="D27" s="144" t="str">
        <f>SISWA!E28</f>
        <v>RAMADHANDANI</v>
      </c>
      <c r="E27" s="159">
        <v>80</v>
      </c>
      <c r="F27" s="160">
        <v>80</v>
      </c>
      <c r="G27" s="160">
        <v>80</v>
      </c>
      <c r="H27" s="160">
        <v>80</v>
      </c>
      <c r="I27" s="160"/>
      <c r="J27" s="159"/>
      <c r="K27" s="159"/>
      <c r="L27" s="159"/>
      <c r="M27" s="159"/>
      <c r="N27" s="159"/>
      <c r="O27" s="159"/>
      <c r="P27" s="159"/>
      <c r="Q27" s="159"/>
      <c r="R27" s="160"/>
      <c r="S27" s="160"/>
      <c r="T27" s="159"/>
      <c r="U27" s="354">
        <f t="shared" si="4"/>
        <v>80</v>
      </c>
      <c r="V27" s="355" t="str">
        <f>IF(U27&gt;KKM!$G$10,"A",IF(U27&gt;KKM!$H$10,"B",IF(U27&gt;=KKM!$I$10,"C","D")))</f>
        <v>B</v>
      </c>
      <c r="W27" s="356">
        <f t="shared" si="0"/>
        <v>80</v>
      </c>
      <c r="X27" s="361" t="str">
        <f>IF(W27&gt;KKM!$G$10," sangat baik ",IF(W27&gt;KKM!$H$10," baik ",IF(W27&gt;=KKM!$I$10," cukup baik "," perlu bimbingan ")))</f>
        <v xml:space="preserve"> baik </v>
      </c>
      <c r="Y27" s="357">
        <f t="shared" si="1"/>
        <v>80</v>
      </c>
      <c r="Z27" s="361" t="str">
        <f>IF(Y27&gt;KKM!$G$10," sangat baik ",IF(Y27&gt;KKM!$H$10," baik ",IF(Y27&gt;=KKM!$I$10," cukup baik "," perlu bimbingan ")))</f>
        <v xml:space="preserve"> baik </v>
      </c>
      <c r="AA27" s="353" t="str">
        <f t="shared" si="5"/>
        <v xml:space="preserve">RAMADHANDANI baik  dalam menerapkan konsep perpindahan kalor dalam kehidupan sehari-hari.
</v>
      </c>
      <c r="AB27" s="256"/>
      <c r="AC27" s="257" t="str">
        <f t="shared" si="2"/>
        <v xml:space="preserve"> baik  dalam menerapkan konsep perpindahan kalor dalam kehidupan sehari-hari.
</v>
      </c>
      <c r="AD27" s="257" t="str">
        <f t="shared" si="3"/>
        <v xml:space="preserve"> baik  dalam menerapkan konsep perpindahan kalor dalam kehidupan sehari-hari.
</v>
      </c>
      <c r="AE27" s="257" t="str">
        <f t="shared" si="6"/>
        <v xml:space="preserve"> baik  dalam menerapkan konsep perpindahan kalor dalam kehidupan sehari-hari.
, dan  baik  dalam menerapkan konsep perpindahan kalor dalam kehidupan sehari-hari.
</v>
      </c>
      <c r="AF27" s="257" t="str">
        <f t="shared" si="7"/>
        <v xml:space="preserve"> baik  dalam menerapkan konsep perpindahan kalor dalam kehidupan sehari-hari.
</v>
      </c>
      <c r="AG27" s="258" t="str">
        <f t="shared" si="8"/>
        <v xml:space="preserve"> baik  dalam menerapkan konsep perpindahan kalor dalam kehidupan sehari-hari.
</v>
      </c>
      <c r="AH27" s="252" t="str">
        <f t="shared" si="9"/>
        <v xml:space="preserve">RAMADHANDANI baik  dalam menerapkan konsep perpindahan kalor dalam kehidupan sehari-hari.
</v>
      </c>
      <c r="AI27" s="153"/>
      <c r="AR27" s="469">
        <f t="shared" si="10"/>
        <v>80</v>
      </c>
    </row>
    <row r="28" spans="2:44" ht="41.25" customHeight="1">
      <c r="B28" s="142">
        <v>24</v>
      </c>
      <c r="C28" s="143" t="str">
        <f>SISWA!B29</f>
        <v>1718250040328</v>
      </c>
      <c r="D28" s="144" t="str">
        <f>SISWA!E29</f>
        <v>SYAEPUL</v>
      </c>
      <c r="E28" s="159">
        <v>80</v>
      </c>
      <c r="F28" s="160">
        <v>80</v>
      </c>
      <c r="G28" s="160">
        <v>80</v>
      </c>
      <c r="H28" s="160">
        <v>80</v>
      </c>
      <c r="I28" s="160"/>
      <c r="J28" s="159"/>
      <c r="K28" s="159"/>
      <c r="L28" s="159"/>
      <c r="M28" s="159"/>
      <c r="N28" s="159"/>
      <c r="O28" s="159"/>
      <c r="P28" s="159"/>
      <c r="Q28" s="159"/>
      <c r="R28" s="160"/>
      <c r="S28" s="160"/>
      <c r="T28" s="159"/>
      <c r="U28" s="354">
        <f t="shared" si="4"/>
        <v>80</v>
      </c>
      <c r="V28" s="355" t="str">
        <f>IF(U28&gt;KKM!$G$10,"A",IF(U28&gt;KKM!$H$10,"B",IF(U28&gt;=KKM!$I$10,"C","D")))</f>
        <v>B</v>
      </c>
      <c r="W28" s="356">
        <f t="shared" si="0"/>
        <v>80</v>
      </c>
      <c r="X28" s="361" t="str">
        <f>IF(W28&gt;KKM!$G$10," sangat baik ",IF(W28&gt;KKM!$H$10," baik ",IF(W28&gt;=KKM!$I$10," cukup baik "," perlu bimbingan ")))</f>
        <v xml:space="preserve"> baik </v>
      </c>
      <c r="Y28" s="357">
        <f t="shared" si="1"/>
        <v>80</v>
      </c>
      <c r="Z28" s="361" t="str">
        <f>IF(Y28&gt;KKM!$G$10," sangat baik ",IF(Y28&gt;KKM!$H$10," baik ",IF(Y28&gt;=KKM!$I$10," cukup baik "," perlu bimbingan ")))</f>
        <v xml:space="preserve"> baik </v>
      </c>
      <c r="AA28" s="353" t="str">
        <f t="shared" si="5"/>
        <v xml:space="preserve">SYAEPUL baik  dalam menerapkan konsep perpindahan kalor dalam kehidupan sehari-hari.
</v>
      </c>
      <c r="AB28" s="256"/>
      <c r="AC28" s="257" t="str">
        <f t="shared" si="2"/>
        <v xml:space="preserve"> baik  dalam menerapkan konsep perpindahan kalor dalam kehidupan sehari-hari.
</v>
      </c>
      <c r="AD28" s="257" t="str">
        <f t="shared" si="3"/>
        <v xml:space="preserve"> baik  dalam menerapkan konsep perpindahan kalor dalam kehidupan sehari-hari.
</v>
      </c>
      <c r="AE28" s="257" t="str">
        <f t="shared" si="6"/>
        <v xml:space="preserve"> baik  dalam menerapkan konsep perpindahan kalor dalam kehidupan sehari-hari.
, dan  baik  dalam menerapkan konsep perpindahan kalor dalam kehidupan sehari-hari.
</v>
      </c>
      <c r="AF28" s="257" t="str">
        <f t="shared" si="7"/>
        <v xml:space="preserve"> baik  dalam menerapkan konsep perpindahan kalor dalam kehidupan sehari-hari.
</v>
      </c>
      <c r="AG28" s="258" t="str">
        <f t="shared" si="8"/>
        <v xml:space="preserve"> baik  dalam menerapkan konsep perpindahan kalor dalam kehidupan sehari-hari.
</v>
      </c>
      <c r="AH28" s="252" t="str">
        <f t="shared" si="9"/>
        <v xml:space="preserve">SYAEPUL baik  dalam menerapkan konsep perpindahan kalor dalam kehidupan sehari-hari.
</v>
      </c>
      <c r="AI28" s="153"/>
      <c r="AR28" s="469">
        <f t="shared" si="10"/>
        <v>80</v>
      </c>
    </row>
    <row r="29" spans="2:44" ht="41.25" customHeight="1">
      <c r="B29" s="142">
        <v>25</v>
      </c>
      <c r="C29" s="143" t="str">
        <f>SISWA!B30</f>
        <v>1718250040329</v>
      </c>
      <c r="D29" s="144" t="str">
        <f>SISWA!E30</f>
        <v>ALIF</v>
      </c>
      <c r="E29" s="159">
        <v>100</v>
      </c>
      <c r="F29" s="160">
        <v>100</v>
      </c>
      <c r="G29" s="160">
        <v>100</v>
      </c>
      <c r="H29" s="160">
        <v>100</v>
      </c>
      <c r="I29" s="160"/>
      <c r="J29" s="159"/>
      <c r="K29" s="159"/>
      <c r="L29" s="159"/>
      <c r="M29" s="159"/>
      <c r="N29" s="159"/>
      <c r="O29" s="159"/>
      <c r="P29" s="159"/>
      <c r="Q29" s="159"/>
      <c r="R29" s="160"/>
      <c r="S29" s="160"/>
      <c r="T29" s="159"/>
      <c r="U29" s="354">
        <f t="shared" si="4"/>
        <v>100</v>
      </c>
      <c r="V29" s="355" t="str">
        <f>IF(U29&gt;KKM!$G$10,"A",IF(U29&gt;KKM!$H$10,"B",IF(U29&gt;=KKM!$I$10,"C","D")))</f>
        <v>A</v>
      </c>
      <c r="W29" s="356">
        <f t="shared" si="0"/>
        <v>100</v>
      </c>
      <c r="X29" s="361" t="str">
        <f>IF(W29&gt;KKM!$G$10," sangat baik ",IF(W29&gt;KKM!$H$10," baik ",IF(W29&gt;=KKM!$I$10," cukup baik "," perlu bimbingan ")))</f>
        <v xml:space="preserve"> sangat baik </v>
      </c>
      <c r="Y29" s="357">
        <f t="shared" si="1"/>
        <v>100</v>
      </c>
      <c r="Z29" s="361" t="str">
        <f>IF(Y29&gt;KKM!$G$10," sangat baik ",IF(Y29&gt;KKM!$H$10," baik ",IF(Y29&gt;=KKM!$I$10," cukup baik "," perlu bimbingan ")))</f>
        <v xml:space="preserve"> sangat baik </v>
      </c>
      <c r="AA29" s="353" t="str">
        <f t="shared" si="5"/>
        <v xml:space="preserve">ALIF sangat baik  dalam menerapkan konsep perpindahan kalor dalam kehidupan sehari-hari.
</v>
      </c>
      <c r="AB29" s="256"/>
      <c r="AC29" s="257" t="str">
        <f t="shared" si="2"/>
        <v xml:space="preserve"> sangat baik  dalam menerapkan konsep perpindahan kalor dalam kehidupan sehari-hari.
</v>
      </c>
      <c r="AD29" s="257" t="str">
        <f t="shared" si="3"/>
        <v xml:space="preserve"> sangat baik  dalam menerapkan konsep perpindahan kalor dalam kehidupan sehari-hari.
</v>
      </c>
      <c r="AE29" s="257" t="str">
        <f t="shared" si="6"/>
        <v xml:space="preserve"> sangat baik  dalam menerapkan konsep perpindahan kalor dalam kehidupan sehari-hari.
, dan  sangat baik  dalam menerapkan konsep perpindahan kalor dalam kehidupan sehari-hari.
</v>
      </c>
      <c r="AF29" s="257" t="str">
        <f t="shared" si="7"/>
        <v xml:space="preserve"> sangat baik  dalam menerapkan konsep perpindahan kalor dalam kehidupan sehari-hari.
</v>
      </c>
      <c r="AG29" s="258" t="str">
        <f t="shared" si="8"/>
        <v xml:space="preserve"> sangat baik  dalam menerapkan konsep perpindahan kalor dalam kehidupan sehari-hari.
</v>
      </c>
      <c r="AH29" s="252" t="str">
        <f t="shared" si="9"/>
        <v xml:space="preserve">ALIF sangat baik  dalam menerapkan konsep perpindahan kalor dalam kehidupan sehari-hari.
</v>
      </c>
      <c r="AI29" s="153"/>
      <c r="AR29" s="469">
        <f t="shared" si="10"/>
        <v>100</v>
      </c>
    </row>
    <row r="30" spans="2:44" ht="41.25" customHeight="1">
      <c r="B30" s="142">
        <v>26</v>
      </c>
      <c r="C30" s="143" t="str">
        <f>SISWA!B31</f>
        <v>1718250040330</v>
      </c>
      <c r="D30" s="144" t="str">
        <f>SISWA!E31</f>
        <v>HIZKIEL</v>
      </c>
      <c r="E30" s="159">
        <v>92.5</v>
      </c>
      <c r="F30" s="160">
        <v>92.5</v>
      </c>
      <c r="G30" s="160">
        <v>92.5</v>
      </c>
      <c r="H30" s="160">
        <v>92.5</v>
      </c>
      <c r="I30" s="160"/>
      <c r="J30" s="159"/>
      <c r="K30" s="159"/>
      <c r="L30" s="159"/>
      <c r="M30" s="159"/>
      <c r="N30" s="159"/>
      <c r="O30" s="159"/>
      <c r="P30" s="159"/>
      <c r="Q30" s="159"/>
      <c r="R30" s="160"/>
      <c r="S30" s="160"/>
      <c r="T30" s="159"/>
      <c r="U30" s="354">
        <f t="shared" si="4"/>
        <v>93</v>
      </c>
      <c r="V30" s="355" t="str">
        <f>IF(U30&gt;KKM!$G$10,"A",IF(U30&gt;KKM!$H$10,"B",IF(U30&gt;=KKM!$I$10,"C","D")))</f>
        <v>A</v>
      </c>
      <c r="W30" s="356">
        <f t="shared" si="0"/>
        <v>92.5</v>
      </c>
      <c r="X30" s="361" t="str">
        <f>IF(W30&gt;KKM!$G$10," sangat baik ",IF(W30&gt;KKM!$H$10," baik ",IF(W30&gt;=KKM!$I$10," cukup baik "," perlu bimbingan ")))</f>
        <v xml:space="preserve"> sangat baik </v>
      </c>
      <c r="Y30" s="357">
        <f t="shared" si="1"/>
        <v>92.5</v>
      </c>
      <c r="Z30" s="361" t="str">
        <f>IF(Y30&gt;KKM!$G$10," sangat baik ",IF(Y30&gt;KKM!$H$10," baik ",IF(Y30&gt;=KKM!$I$10," cukup baik "," perlu bimbingan ")))</f>
        <v xml:space="preserve"> sangat baik </v>
      </c>
      <c r="AA30" s="353" t="str">
        <f t="shared" si="5"/>
        <v xml:space="preserve">HIZKIEL sangat baik  dalam menerapkan konsep perpindahan kalor dalam kehidupan sehari-hari.
</v>
      </c>
      <c r="AB30" s="256"/>
      <c r="AC30" s="257" t="str">
        <f t="shared" si="2"/>
        <v xml:space="preserve"> sangat baik  dalam menerapkan konsep perpindahan kalor dalam kehidupan sehari-hari.
</v>
      </c>
      <c r="AD30" s="257" t="str">
        <f t="shared" si="3"/>
        <v xml:space="preserve"> sangat baik  dalam menerapkan konsep perpindahan kalor dalam kehidupan sehari-hari.
</v>
      </c>
      <c r="AE30" s="257" t="str">
        <f t="shared" si="6"/>
        <v xml:space="preserve"> sangat baik  dalam menerapkan konsep perpindahan kalor dalam kehidupan sehari-hari.
, dan  sangat baik  dalam menerapkan konsep perpindahan kalor dalam kehidupan sehari-hari.
</v>
      </c>
      <c r="AF30" s="257" t="str">
        <f t="shared" si="7"/>
        <v xml:space="preserve"> sangat baik  dalam menerapkan konsep perpindahan kalor dalam kehidupan sehari-hari.
</v>
      </c>
      <c r="AG30" s="258" t="str">
        <f t="shared" si="8"/>
        <v xml:space="preserve"> sangat baik  dalam menerapkan konsep perpindahan kalor dalam kehidupan sehari-hari.
</v>
      </c>
      <c r="AH30" s="252" t="str">
        <f t="shared" si="9"/>
        <v xml:space="preserve">HIZKIEL sangat baik  dalam menerapkan konsep perpindahan kalor dalam kehidupan sehari-hari.
</v>
      </c>
      <c r="AI30" s="153"/>
      <c r="AR30" s="469">
        <f t="shared" si="10"/>
        <v>93</v>
      </c>
    </row>
    <row r="31" spans="2:44" ht="41.25" customHeight="1">
      <c r="B31" s="142">
        <v>27</v>
      </c>
      <c r="C31" s="143" t="str">
        <f>SISWA!B32</f>
        <v>1718250040331</v>
      </c>
      <c r="D31" s="144" t="str">
        <f>SISWA!E32</f>
        <v>LAEL</v>
      </c>
      <c r="E31" s="159">
        <v>92.5</v>
      </c>
      <c r="F31" s="160">
        <v>92.5</v>
      </c>
      <c r="G31" s="160">
        <v>92.5</v>
      </c>
      <c r="H31" s="160">
        <v>92.5</v>
      </c>
      <c r="I31" s="160"/>
      <c r="J31" s="159"/>
      <c r="K31" s="159"/>
      <c r="L31" s="159"/>
      <c r="M31" s="159"/>
      <c r="N31" s="159"/>
      <c r="O31" s="159"/>
      <c r="P31" s="159"/>
      <c r="Q31" s="159"/>
      <c r="R31" s="160"/>
      <c r="S31" s="160"/>
      <c r="T31" s="159"/>
      <c r="U31" s="354">
        <f t="shared" si="4"/>
        <v>93</v>
      </c>
      <c r="V31" s="355" t="str">
        <f>IF(U31&gt;KKM!$G$10,"A",IF(U31&gt;KKM!$H$10,"B",IF(U31&gt;=KKM!$I$10,"C","D")))</f>
        <v>A</v>
      </c>
      <c r="W31" s="356">
        <f t="shared" si="0"/>
        <v>92.5</v>
      </c>
      <c r="X31" s="361" t="str">
        <f>IF(W31&gt;KKM!$G$10," sangat baik ",IF(W31&gt;KKM!$H$10," baik ",IF(W31&gt;=KKM!$I$10," cukup baik "," perlu bimbingan ")))</f>
        <v xml:space="preserve"> sangat baik </v>
      </c>
      <c r="Y31" s="357">
        <f t="shared" si="1"/>
        <v>92.5</v>
      </c>
      <c r="Z31" s="361" t="str">
        <f>IF(Y31&gt;KKM!$G$10," sangat baik ",IF(Y31&gt;KKM!$H$10," baik ",IF(Y31&gt;=KKM!$I$10," cukup baik "," perlu bimbingan ")))</f>
        <v xml:space="preserve"> sangat baik </v>
      </c>
      <c r="AA31" s="353" t="str">
        <f t="shared" si="5"/>
        <v xml:space="preserve">LAEL sangat baik  dalam menerapkan konsep perpindahan kalor dalam kehidupan sehari-hari.
</v>
      </c>
      <c r="AB31" s="256"/>
      <c r="AC31" s="257" t="str">
        <f t="shared" si="2"/>
        <v xml:space="preserve"> sangat baik  dalam menerapkan konsep perpindahan kalor dalam kehidupan sehari-hari.
</v>
      </c>
      <c r="AD31" s="257" t="str">
        <f t="shared" si="3"/>
        <v xml:space="preserve"> sangat baik  dalam menerapkan konsep perpindahan kalor dalam kehidupan sehari-hari.
</v>
      </c>
      <c r="AE31" s="257" t="str">
        <f t="shared" si="6"/>
        <v xml:space="preserve"> sangat baik  dalam menerapkan konsep perpindahan kalor dalam kehidupan sehari-hari.
, dan  sangat baik  dalam menerapkan konsep perpindahan kalor dalam kehidupan sehari-hari.
</v>
      </c>
      <c r="AF31" s="257" t="str">
        <f t="shared" si="7"/>
        <v xml:space="preserve"> sangat baik  dalam menerapkan konsep perpindahan kalor dalam kehidupan sehari-hari.
</v>
      </c>
      <c r="AG31" s="258" t="str">
        <f t="shared" si="8"/>
        <v xml:space="preserve"> sangat baik  dalam menerapkan konsep perpindahan kalor dalam kehidupan sehari-hari.
</v>
      </c>
      <c r="AH31" s="252" t="str">
        <f t="shared" si="9"/>
        <v xml:space="preserve">LAEL sangat baik  dalam menerapkan konsep perpindahan kalor dalam kehidupan sehari-hari.
</v>
      </c>
      <c r="AI31" s="153"/>
      <c r="AR31" s="469">
        <f t="shared" si="10"/>
        <v>93</v>
      </c>
    </row>
    <row r="32" spans="2:44" ht="41.25" customHeight="1">
      <c r="B32" s="142">
        <v>28</v>
      </c>
      <c r="C32" s="143" t="str">
        <f>SISWA!B33</f>
        <v>1718250040332</v>
      </c>
      <c r="D32" s="144" t="str">
        <f>SISWA!E33</f>
        <v>NABIL</v>
      </c>
      <c r="E32" s="159">
        <v>85</v>
      </c>
      <c r="F32" s="160">
        <v>85</v>
      </c>
      <c r="G32" s="160">
        <v>85</v>
      </c>
      <c r="H32" s="160">
        <v>85</v>
      </c>
      <c r="I32" s="160"/>
      <c r="J32" s="159"/>
      <c r="K32" s="159"/>
      <c r="L32" s="159"/>
      <c r="M32" s="159"/>
      <c r="N32" s="159"/>
      <c r="O32" s="159"/>
      <c r="P32" s="159"/>
      <c r="Q32" s="159"/>
      <c r="R32" s="160"/>
      <c r="S32" s="160"/>
      <c r="T32" s="159"/>
      <c r="U32" s="354">
        <f t="shared" si="4"/>
        <v>85</v>
      </c>
      <c r="V32" s="355" t="str">
        <f>IF(U32&gt;KKM!$G$10,"A",IF(U32&gt;KKM!$H$10,"B",IF(U32&gt;=KKM!$I$10,"C","D")))</f>
        <v>B</v>
      </c>
      <c r="W32" s="356">
        <f t="shared" si="0"/>
        <v>85</v>
      </c>
      <c r="X32" s="361" t="str">
        <f>IF(W32&gt;KKM!$G$10," sangat baik ",IF(W32&gt;KKM!$H$10," baik ",IF(W32&gt;=KKM!$I$10," cukup baik "," perlu bimbingan ")))</f>
        <v xml:space="preserve"> baik </v>
      </c>
      <c r="Y32" s="357">
        <f t="shared" si="1"/>
        <v>85</v>
      </c>
      <c r="Z32" s="361" t="str">
        <f>IF(Y32&gt;KKM!$G$10," sangat baik ",IF(Y32&gt;KKM!$H$10," baik ",IF(Y32&gt;=KKM!$I$10," cukup baik "," perlu bimbingan ")))</f>
        <v xml:space="preserve"> baik </v>
      </c>
      <c r="AA32" s="353" t="str">
        <f t="shared" si="5"/>
        <v xml:space="preserve">NABIL baik  dalam menerapkan konsep perpindahan kalor dalam kehidupan sehari-hari.
</v>
      </c>
      <c r="AB32" s="256"/>
      <c r="AC32" s="257" t="str">
        <f t="shared" si="2"/>
        <v xml:space="preserve"> baik  dalam menerapkan konsep perpindahan kalor dalam kehidupan sehari-hari.
</v>
      </c>
      <c r="AD32" s="257" t="str">
        <f t="shared" si="3"/>
        <v xml:space="preserve"> baik  dalam menerapkan konsep perpindahan kalor dalam kehidupan sehari-hari.
</v>
      </c>
      <c r="AE32" s="257" t="str">
        <f t="shared" si="6"/>
        <v xml:space="preserve"> baik  dalam menerapkan konsep perpindahan kalor dalam kehidupan sehari-hari.
, dan  baik  dalam menerapkan konsep perpindahan kalor dalam kehidupan sehari-hari.
</v>
      </c>
      <c r="AF32" s="257" t="str">
        <f t="shared" si="7"/>
        <v xml:space="preserve"> baik  dalam menerapkan konsep perpindahan kalor dalam kehidupan sehari-hari.
</v>
      </c>
      <c r="AG32" s="258" t="str">
        <f t="shared" si="8"/>
        <v xml:space="preserve"> baik  dalam menerapkan konsep perpindahan kalor dalam kehidupan sehari-hari.
</v>
      </c>
      <c r="AH32" s="252" t="str">
        <f t="shared" si="9"/>
        <v xml:space="preserve">NABIL baik  dalam menerapkan konsep perpindahan kalor dalam kehidupan sehari-hari.
</v>
      </c>
      <c r="AI32" s="153"/>
      <c r="AR32" s="469">
        <f t="shared" si="10"/>
        <v>85</v>
      </c>
    </row>
    <row r="33" spans="2:44" ht="41.25" customHeight="1">
      <c r="B33" s="142">
        <v>29</v>
      </c>
      <c r="C33" s="143" t="str">
        <f>SISWA!B34</f>
        <v>1718250040333</v>
      </c>
      <c r="D33" s="144" t="str">
        <f>SISWA!E34</f>
        <v>RASYA</v>
      </c>
      <c r="E33" s="159">
        <v>75</v>
      </c>
      <c r="F33" s="160">
        <v>75</v>
      </c>
      <c r="G33" s="160">
        <v>75</v>
      </c>
      <c r="H33" s="160">
        <v>75</v>
      </c>
      <c r="I33" s="160"/>
      <c r="J33" s="159"/>
      <c r="K33" s="159"/>
      <c r="L33" s="159"/>
      <c r="M33" s="159"/>
      <c r="N33" s="159"/>
      <c r="O33" s="159"/>
      <c r="P33" s="159"/>
      <c r="Q33" s="159"/>
      <c r="R33" s="160"/>
      <c r="S33" s="160"/>
      <c r="T33" s="159"/>
      <c r="U33" s="354">
        <f t="shared" si="4"/>
        <v>75</v>
      </c>
      <c r="V33" s="355" t="str">
        <f>IF(U33&gt;KKM!$G$10,"A",IF(U33&gt;KKM!$H$10,"B",IF(U33&gt;=KKM!$I$10,"C","D")))</f>
        <v>C</v>
      </c>
      <c r="W33" s="356">
        <f t="shared" si="0"/>
        <v>75</v>
      </c>
      <c r="X33" s="361" t="str">
        <f>IF(W33&gt;KKM!$G$10," sangat baik ",IF(W33&gt;KKM!$H$10," baik ",IF(W33&gt;=KKM!$I$10," cukup baik "," perlu bimbingan ")))</f>
        <v xml:space="preserve"> cukup baik </v>
      </c>
      <c r="Y33" s="357">
        <f t="shared" si="1"/>
        <v>75</v>
      </c>
      <c r="Z33" s="361" t="str">
        <f>IF(Y33&gt;KKM!$G$10," sangat baik ",IF(Y33&gt;KKM!$H$10," baik ",IF(Y33&gt;=KKM!$I$10," cukup baik "," perlu bimbingan ")))</f>
        <v xml:space="preserve"> cukup baik </v>
      </c>
      <c r="AA33" s="353" t="str">
        <f t="shared" si="5"/>
        <v xml:space="preserve">RASYA cukup baik  dalam menerapkan konsep perpindahan kalor dalam kehidupan sehari-hari.
</v>
      </c>
      <c r="AB33" s="256"/>
      <c r="AC33" s="257" t="str">
        <f t="shared" si="2"/>
        <v xml:space="preserve"> cukup baik  dalam menerapkan konsep perpindahan kalor dalam kehidupan sehari-hari.
</v>
      </c>
      <c r="AD33" s="257" t="str">
        <f t="shared" si="3"/>
        <v xml:space="preserve"> cukup baik  dalam menerapkan konsep perpindahan kalor dalam kehidupan sehari-hari.
</v>
      </c>
      <c r="AE33" s="257" t="str">
        <f t="shared" si="6"/>
        <v xml:space="preserve"> cukup baik  dalam menerapkan konsep perpindahan kalor dalam kehidupan sehari-hari.
, dan  cukup baik  dalam menerapkan konsep perpindahan kalor dalam kehidupan sehari-hari.
</v>
      </c>
      <c r="AF33" s="257" t="str">
        <f t="shared" si="7"/>
        <v xml:space="preserve"> cukup baik  dalam menerapkan konsep perpindahan kalor dalam kehidupan sehari-hari.
</v>
      </c>
      <c r="AG33" s="258" t="str">
        <f t="shared" si="8"/>
        <v xml:space="preserve"> cukup baik  dalam menerapkan konsep perpindahan kalor dalam kehidupan sehari-hari.
</v>
      </c>
      <c r="AH33" s="252" t="str">
        <f t="shared" si="9"/>
        <v xml:space="preserve">RASYA cukup baik  dalam menerapkan konsep perpindahan kalor dalam kehidupan sehari-hari.
</v>
      </c>
      <c r="AI33" s="153"/>
      <c r="AR33" s="469">
        <f t="shared" si="10"/>
        <v>75</v>
      </c>
    </row>
    <row r="34" spans="2:44" ht="41.25" customHeight="1">
      <c r="B34" s="142">
        <v>30</v>
      </c>
      <c r="C34" s="143" t="str">
        <f>SISWA!B35</f>
        <v>1718250040334</v>
      </c>
      <c r="D34" s="144" t="str">
        <f>SISWA!E35</f>
        <v>RIZKI</v>
      </c>
      <c r="E34" s="159">
        <v>92.5</v>
      </c>
      <c r="F34" s="160">
        <v>92.5</v>
      </c>
      <c r="G34" s="160">
        <v>92.5</v>
      </c>
      <c r="H34" s="160">
        <v>92.5</v>
      </c>
      <c r="I34" s="160"/>
      <c r="J34" s="159"/>
      <c r="K34" s="159"/>
      <c r="L34" s="159"/>
      <c r="M34" s="159"/>
      <c r="N34" s="159"/>
      <c r="O34" s="159"/>
      <c r="P34" s="159"/>
      <c r="Q34" s="159"/>
      <c r="R34" s="160"/>
      <c r="S34" s="160"/>
      <c r="T34" s="159"/>
      <c r="U34" s="354">
        <f t="shared" si="4"/>
        <v>93</v>
      </c>
      <c r="V34" s="355" t="str">
        <f>IF(U34&gt;KKM!$G$10,"A",IF(U34&gt;KKM!$H$10,"B",IF(U34&gt;=KKM!$I$10,"C","D")))</f>
        <v>A</v>
      </c>
      <c r="W34" s="356">
        <f t="shared" si="0"/>
        <v>92.5</v>
      </c>
      <c r="X34" s="361" t="str">
        <f>IF(W34&gt;KKM!$G$10," sangat baik ",IF(W34&gt;KKM!$H$10," baik ",IF(W34&gt;=KKM!$I$10," cukup baik "," perlu bimbingan ")))</f>
        <v xml:space="preserve"> sangat baik </v>
      </c>
      <c r="Y34" s="357">
        <f t="shared" si="1"/>
        <v>92.5</v>
      </c>
      <c r="Z34" s="361" t="str">
        <f>IF(Y34&gt;KKM!$G$10," sangat baik ",IF(Y34&gt;KKM!$H$10," baik ",IF(Y34&gt;=KKM!$I$10," cukup baik "," perlu bimbingan ")))</f>
        <v xml:space="preserve"> sangat baik </v>
      </c>
      <c r="AA34" s="353" t="str">
        <f t="shared" si="5"/>
        <v xml:space="preserve">RIZKI sangat baik  dalam menerapkan konsep perpindahan kalor dalam kehidupan sehari-hari.
</v>
      </c>
      <c r="AB34" s="256"/>
      <c r="AC34" s="257" t="str">
        <f t="shared" si="2"/>
        <v xml:space="preserve"> sangat baik  dalam menerapkan konsep perpindahan kalor dalam kehidupan sehari-hari.
</v>
      </c>
      <c r="AD34" s="257" t="str">
        <f t="shared" si="3"/>
        <v xml:space="preserve"> sangat baik  dalam menerapkan konsep perpindahan kalor dalam kehidupan sehari-hari.
</v>
      </c>
      <c r="AE34" s="257" t="str">
        <f t="shared" si="6"/>
        <v xml:space="preserve"> sangat baik  dalam menerapkan konsep perpindahan kalor dalam kehidupan sehari-hari.
, dan  sangat baik  dalam menerapkan konsep perpindahan kalor dalam kehidupan sehari-hari.
</v>
      </c>
      <c r="AF34" s="257" t="str">
        <f t="shared" si="7"/>
        <v xml:space="preserve"> sangat baik  dalam menerapkan konsep perpindahan kalor dalam kehidupan sehari-hari.
</v>
      </c>
      <c r="AG34" s="258" t="str">
        <f t="shared" si="8"/>
        <v xml:space="preserve"> sangat baik  dalam menerapkan konsep perpindahan kalor dalam kehidupan sehari-hari.
</v>
      </c>
      <c r="AH34" s="252" t="str">
        <f t="shared" si="9"/>
        <v xml:space="preserve">RIZKI sangat baik  dalam menerapkan konsep perpindahan kalor dalam kehidupan sehari-hari.
</v>
      </c>
      <c r="AI34" s="153"/>
      <c r="AR34" s="469">
        <f t="shared" si="10"/>
        <v>93</v>
      </c>
    </row>
    <row r="35" spans="2:44" ht="41.25" customHeight="1">
      <c r="B35" s="142">
        <v>31</v>
      </c>
      <c r="C35" s="143" t="str">
        <f>SISWA!B36</f>
        <v>1718250040335</v>
      </c>
      <c r="D35" s="144" t="str">
        <f>SISWA!E36</f>
        <v>SATRIA</v>
      </c>
      <c r="E35" s="159">
        <v>80</v>
      </c>
      <c r="F35" s="160">
        <v>80</v>
      </c>
      <c r="G35" s="160">
        <v>80</v>
      </c>
      <c r="H35" s="160">
        <v>80</v>
      </c>
      <c r="I35" s="160"/>
      <c r="J35" s="159"/>
      <c r="K35" s="159"/>
      <c r="L35" s="159"/>
      <c r="M35" s="159"/>
      <c r="N35" s="159"/>
      <c r="O35" s="159"/>
      <c r="P35" s="159"/>
      <c r="Q35" s="159"/>
      <c r="R35" s="160"/>
      <c r="S35" s="160"/>
      <c r="T35" s="159"/>
      <c r="U35" s="354">
        <f t="shared" si="4"/>
        <v>80</v>
      </c>
      <c r="V35" s="355" t="str">
        <f>IF(U35&gt;KKM!$G$10,"A",IF(U35&gt;KKM!$H$10,"B",IF(U35&gt;=KKM!$I$10,"C","D")))</f>
        <v>B</v>
      </c>
      <c r="W35" s="356">
        <f t="shared" si="0"/>
        <v>80</v>
      </c>
      <c r="X35" s="361" t="str">
        <f>IF(W35&gt;KKM!$G$10," sangat baik ",IF(W35&gt;KKM!$H$10," baik ",IF(W35&gt;=KKM!$I$10," cukup baik "," perlu bimbingan ")))</f>
        <v xml:space="preserve"> baik </v>
      </c>
      <c r="Y35" s="357">
        <f t="shared" si="1"/>
        <v>80</v>
      </c>
      <c r="Z35" s="361" t="str">
        <f>IF(Y35&gt;KKM!$G$10," sangat baik ",IF(Y35&gt;KKM!$H$10," baik ",IF(Y35&gt;=KKM!$I$10," cukup baik "," perlu bimbingan ")))</f>
        <v xml:space="preserve"> baik </v>
      </c>
      <c r="AA35" s="353" t="str">
        <f t="shared" si="5"/>
        <v xml:space="preserve">SATRIA baik  dalam menerapkan konsep perpindahan kalor dalam kehidupan sehari-hari.
</v>
      </c>
      <c r="AB35" s="256"/>
      <c r="AC35" s="257" t="str">
        <f t="shared" si="2"/>
        <v xml:space="preserve"> baik  dalam menerapkan konsep perpindahan kalor dalam kehidupan sehari-hari.
</v>
      </c>
      <c r="AD35" s="257" t="str">
        <f t="shared" si="3"/>
        <v xml:space="preserve"> baik  dalam menerapkan konsep perpindahan kalor dalam kehidupan sehari-hari.
</v>
      </c>
      <c r="AE35" s="257" t="str">
        <f t="shared" si="6"/>
        <v xml:space="preserve"> baik  dalam menerapkan konsep perpindahan kalor dalam kehidupan sehari-hari.
, dan  baik  dalam menerapkan konsep perpindahan kalor dalam kehidupan sehari-hari.
</v>
      </c>
      <c r="AF35" s="257" t="str">
        <f t="shared" si="7"/>
        <v xml:space="preserve"> baik  dalam menerapkan konsep perpindahan kalor dalam kehidupan sehari-hari.
</v>
      </c>
      <c r="AG35" s="258" t="str">
        <f t="shared" si="8"/>
        <v xml:space="preserve"> baik  dalam menerapkan konsep perpindahan kalor dalam kehidupan sehari-hari.
</v>
      </c>
      <c r="AH35" s="252" t="str">
        <f t="shared" si="9"/>
        <v xml:space="preserve">SATRIA baik  dalam menerapkan konsep perpindahan kalor dalam kehidupan sehari-hari.
</v>
      </c>
      <c r="AI35" s="153"/>
      <c r="AR35" s="469">
        <f t="shared" si="10"/>
        <v>80</v>
      </c>
    </row>
    <row r="36" spans="2:44" ht="41.25" customHeight="1">
      <c r="B36" s="142">
        <v>32</v>
      </c>
      <c r="C36" s="143" t="str">
        <f>SISWA!B37</f>
        <v>1718250040336</v>
      </c>
      <c r="D36" s="144" t="str">
        <f>SISWA!E37</f>
        <v>NADIA</v>
      </c>
      <c r="E36" s="159">
        <v>87.5</v>
      </c>
      <c r="F36" s="160">
        <v>87.5</v>
      </c>
      <c r="G36" s="160">
        <v>87.5</v>
      </c>
      <c r="H36" s="160">
        <v>87.5</v>
      </c>
      <c r="I36" s="160"/>
      <c r="J36" s="159"/>
      <c r="K36" s="159"/>
      <c r="L36" s="159"/>
      <c r="M36" s="159"/>
      <c r="N36" s="159"/>
      <c r="O36" s="159"/>
      <c r="P36" s="159"/>
      <c r="Q36" s="159"/>
      <c r="R36" s="160"/>
      <c r="S36" s="160"/>
      <c r="T36" s="159"/>
      <c r="U36" s="354">
        <f t="shared" si="4"/>
        <v>88</v>
      </c>
      <c r="V36" s="355" t="str">
        <f>IF(U36&gt;KKM!$G$10,"A",IF(U36&gt;KKM!$H$10,"B",IF(U36&gt;=KKM!$I$10,"C","D")))</f>
        <v>A</v>
      </c>
      <c r="W36" s="356">
        <f t="shared" si="0"/>
        <v>87.5</v>
      </c>
      <c r="X36" s="361" t="str">
        <f>IF(W36&gt;KKM!$G$10," sangat baik ",IF(W36&gt;KKM!$H$10," baik ",IF(W36&gt;=KKM!$I$10," cukup baik "," perlu bimbingan ")))</f>
        <v xml:space="preserve"> sangat baik </v>
      </c>
      <c r="Y36" s="357">
        <f t="shared" si="1"/>
        <v>87.5</v>
      </c>
      <c r="Z36" s="361" t="str">
        <f>IF(Y36&gt;KKM!$G$10," sangat baik ",IF(Y36&gt;KKM!$H$10," baik ",IF(Y36&gt;=KKM!$I$10," cukup baik "," perlu bimbingan ")))</f>
        <v xml:space="preserve"> sangat baik </v>
      </c>
      <c r="AA36" s="353" t="str">
        <f t="shared" si="5"/>
        <v xml:space="preserve">NADIA sangat baik  dalam menerapkan konsep perpindahan kalor dalam kehidupan sehari-hari.
</v>
      </c>
      <c r="AB36" s="256"/>
      <c r="AC36" s="257" t="str">
        <f t="shared" si="2"/>
        <v xml:space="preserve"> sangat baik  dalam menerapkan konsep perpindahan kalor dalam kehidupan sehari-hari.
</v>
      </c>
      <c r="AD36" s="257" t="str">
        <f t="shared" si="3"/>
        <v xml:space="preserve"> sangat baik  dalam menerapkan konsep perpindahan kalor dalam kehidupan sehari-hari.
</v>
      </c>
      <c r="AE36" s="257" t="str">
        <f t="shared" si="6"/>
        <v xml:space="preserve"> sangat baik  dalam menerapkan konsep perpindahan kalor dalam kehidupan sehari-hari.
, dan  sangat baik  dalam menerapkan konsep perpindahan kalor dalam kehidupan sehari-hari.
</v>
      </c>
      <c r="AF36" s="257" t="str">
        <f t="shared" si="7"/>
        <v xml:space="preserve"> sangat baik  dalam menerapkan konsep perpindahan kalor dalam kehidupan sehari-hari.
</v>
      </c>
      <c r="AG36" s="258" t="str">
        <f t="shared" si="8"/>
        <v xml:space="preserve"> sangat baik  dalam menerapkan konsep perpindahan kalor dalam kehidupan sehari-hari.
</v>
      </c>
      <c r="AH36" s="252" t="str">
        <f t="shared" si="9"/>
        <v xml:space="preserve">NADIA sangat baik  dalam menerapkan konsep perpindahan kalor dalam kehidupan sehari-hari.
</v>
      </c>
      <c r="AI36" s="153"/>
      <c r="AR36" s="469">
        <f t="shared" si="10"/>
        <v>88</v>
      </c>
    </row>
    <row r="37" spans="2:44" ht="41.25" customHeight="1">
      <c r="B37" s="142">
        <v>33</v>
      </c>
      <c r="C37" s="143" t="str">
        <f>SISWA!B38</f>
        <v>1718250040337</v>
      </c>
      <c r="D37" s="144" t="str">
        <f>SISWA!E38</f>
        <v>NAFILA</v>
      </c>
      <c r="E37" s="159">
        <v>80</v>
      </c>
      <c r="F37" s="160">
        <v>80</v>
      </c>
      <c r="G37" s="160">
        <v>80</v>
      </c>
      <c r="H37" s="160">
        <v>80</v>
      </c>
      <c r="I37" s="160"/>
      <c r="J37" s="159"/>
      <c r="K37" s="159"/>
      <c r="L37" s="159"/>
      <c r="M37" s="159"/>
      <c r="N37" s="159"/>
      <c r="O37" s="159"/>
      <c r="P37" s="159"/>
      <c r="Q37" s="159"/>
      <c r="R37" s="160"/>
      <c r="S37" s="160"/>
      <c r="T37" s="159"/>
      <c r="U37" s="354">
        <f t="shared" si="4"/>
        <v>80</v>
      </c>
      <c r="V37" s="355" t="str">
        <f>IF(U37&gt;KKM!$G$10,"A",IF(U37&gt;KKM!$H$10,"B",IF(U37&gt;=KKM!$I$10,"C","D")))</f>
        <v>B</v>
      </c>
      <c r="W37" s="356">
        <f t="shared" si="0"/>
        <v>80</v>
      </c>
      <c r="X37" s="361" t="str">
        <f>IF(W37&gt;KKM!$G$10," sangat baik ",IF(W37&gt;KKM!$H$10," baik ",IF(W37&gt;=KKM!$I$10," cukup baik "," perlu bimbingan ")))</f>
        <v xml:space="preserve"> baik </v>
      </c>
      <c r="Y37" s="357">
        <f t="shared" si="1"/>
        <v>80</v>
      </c>
      <c r="Z37" s="361" t="str">
        <f>IF(Y37&gt;KKM!$G$10," sangat baik ",IF(Y37&gt;KKM!$H$10," baik ",IF(Y37&gt;=KKM!$I$10," cukup baik "," perlu bimbingan ")))</f>
        <v xml:space="preserve"> baik </v>
      </c>
      <c r="AA37" s="353" t="str">
        <f t="shared" si="5"/>
        <v xml:space="preserve">NAFILA baik  dalam menerapkan konsep perpindahan kalor dalam kehidupan sehari-hari.
</v>
      </c>
      <c r="AB37" s="256"/>
      <c r="AC37" s="257" t="str">
        <f t="shared" si="2"/>
        <v xml:space="preserve"> baik  dalam menerapkan konsep perpindahan kalor dalam kehidupan sehari-hari.
</v>
      </c>
      <c r="AD37" s="257" t="str">
        <f t="shared" si="3"/>
        <v xml:space="preserve"> baik  dalam menerapkan konsep perpindahan kalor dalam kehidupan sehari-hari.
</v>
      </c>
      <c r="AE37" s="257" t="str">
        <f t="shared" si="6"/>
        <v xml:space="preserve"> baik  dalam menerapkan konsep perpindahan kalor dalam kehidupan sehari-hari.
, dan  baik  dalam menerapkan konsep perpindahan kalor dalam kehidupan sehari-hari.
</v>
      </c>
      <c r="AF37" s="257" t="str">
        <f t="shared" si="7"/>
        <v xml:space="preserve"> baik  dalam menerapkan konsep perpindahan kalor dalam kehidupan sehari-hari.
</v>
      </c>
      <c r="AG37" s="258" t="str">
        <f t="shared" si="8"/>
        <v xml:space="preserve"> baik  dalam menerapkan konsep perpindahan kalor dalam kehidupan sehari-hari.
</v>
      </c>
      <c r="AH37" s="252" t="str">
        <f t="shared" si="9"/>
        <v xml:space="preserve">NAFILA baik  dalam menerapkan konsep perpindahan kalor dalam kehidupan sehari-hari.
</v>
      </c>
      <c r="AI37" s="153"/>
      <c r="AR37" s="469">
        <f t="shared" si="10"/>
        <v>80</v>
      </c>
    </row>
    <row r="38" spans="2:44" ht="41.25" customHeight="1">
      <c r="B38" s="142">
        <v>34</v>
      </c>
      <c r="C38" s="143" t="str">
        <f>SISWA!B39</f>
        <v>1718250040338</v>
      </c>
      <c r="D38" s="144" t="str">
        <f>SISWA!E39</f>
        <v>NAZZALA</v>
      </c>
      <c r="E38" s="159">
        <v>85</v>
      </c>
      <c r="F38" s="160">
        <v>85</v>
      </c>
      <c r="G38" s="160">
        <v>85</v>
      </c>
      <c r="H38" s="160">
        <v>85</v>
      </c>
      <c r="I38" s="160"/>
      <c r="J38" s="159"/>
      <c r="K38" s="159"/>
      <c r="L38" s="159"/>
      <c r="M38" s="159"/>
      <c r="N38" s="159"/>
      <c r="O38" s="159"/>
      <c r="P38" s="159"/>
      <c r="Q38" s="159"/>
      <c r="R38" s="160"/>
      <c r="S38" s="160"/>
      <c r="T38" s="159"/>
      <c r="U38" s="354">
        <f t="shared" si="4"/>
        <v>85</v>
      </c>
      <c r="V38" s="355" t="str">
        <f>IF(U38&gt;KKM!$G$10,"A",IF(U38&gt;KKM!$H$10,"B",IF(U38&gt;=KKM!$I$10,"C","D")))</f>
        <v>B</v>
      </c>
      <c r="W38" s="356">
        <f t="shared" si="0"/>
        <v>85</v>
      </c>
      <c r="X38" s="361" t="str">
        <f>IF(W38&gt;KKM!$G$10," sangat baik ",IF(W38&gt;KKM!$H$10," baik ",IF(W38&gt;=KKM!$I$10," cukup baik "," perlu bimbingan ")))</f>
        <v xml:space="preserve"> baik </v>
      </c>
      <c r="Y38" s="357">
        <f t="shared" si="1"/>
        <v>85</v>
      </c>
      <c r="Z38" s="361" t="str">
        <f>IF(Y38&gt;KKM!$G$10," sangat baik ",IF(Y38&gt;KKM!$H$10," baik ",IF(Y38&gt;=KKM!$I$10," cukup baik "," perlu bimbingan ")))</f>
        <v xml:space="preserve"> baik </v>
      </c>
      <c r="AA38" s="353" t="str">
        <f t="shared" si="5"/>
        <v xml:space="preserve">NAZZALA baik  dalam menerapkan konsep perpindahan kalor dalam kehidupan sehari-hari.
</v>
      </c>
      <c r="AB38" s="256"/>
      <c r="AC38" s="257" t="str">
        <f t="shared" si="2"/>
        <v xml:space="preserve"> baik  dalam menerapkan konsep perpindahan kalor dalam kehidupan sehari-hari.
</v>
      </c>
      <c r="AD38" s="257" t="str">
        <f t="shared" si="3"/>
        <v xml:space="preserve"> baik  dalam menerapkan konsep perpindahan kalor dalam kehidupan sehari-hari.
</v>
      </c>
      <c r="AE38" s="257" t="str">
        <f t="shared" si="6"/>
        <v xml:space="preserve"> baik  dalam menerapkan konsep perpindahan kalor dalam kehidupan sehari-hari.
, dan  baik  dalam menerapkan konsep perpindahan kalor dalam kehidupan sehari-hari.
</v>
      </c>
      <c r="AF38" s="257" t="str">
        <f t="shared" si="7"/>
        <v xml:space="preserve"> baik  dalam menerapkan konsep perpindahan kalor dalam kehidupan sehari-hari.
</v>
      </c>
      <c r="AG38" s="258" t="str">
        <f t="shared" si="8"/>
        <v xml:space="preserve"> baik  dalam menerapkan konsep perpindahan kalor dalam kehidupan sehari-hari.
</v>
      </c>
      <c r="AH38" s="252" t="str">
        <f t="shared" si="9"/>
        <v xml:space="preserve">NAZZALA baik  dalam menerapkan konsep perpindahan kalor dalam kehidupan sehari-hari.
</v>
      </c>
      <c r="AI38" s="153"/>
      <c r="AR38" s="469">
        <f t="shared" si="10"/>
        <v>85</v>
      </c>
    </row>
    <row r="39" spans="2:44" ht="41.25" customHeight="1">
      <c r="B39" s="142">
        <v>35</v>
      </c>
      <c r="C39" s="143" t="str">
        <f>SISWA!B40</f>
        <v>1718250040339</v>
      </c>
      <c r="D39" s="144" t="str">
        <f>SISWA!E40</f>
        <v>RAFAREL</v>
      </c>
      <c r="E39" s="159">
        <v>72.5</v>
      </c>
      <c r="F39" s="160">
        <v>72.5</v>
      </c>
      <c r="G39" s="160">
        <v>72.5</v>
      </c>
      <c r="H39" s="160">
        <v>72.5</v>
      </c>
      <c r="I39" s="160"/>
      <c r="J39" s="159"/>
      <c r="K39" s="159"/>
      <c r="L39" s="159"/>
      <c r="M39" s="159"/>
      <c r="N39" s="159"/>
      <c r="O39" s="159"/>
      <c r="P39" s="159"/>
      <c r="Q39" s="159"/>
      <c r="R39" s="160"/>
      <c r="S39" s="160"/>
      <c r="T39" s="159"/>
      <c r="U39" s="354">
        <f t="shared" si="4"/>
        <v>73</v>
      </c>
      <c r="V39" s="355" t="str">
        <f>IF(U39&gt;KKM!$G$10,"A",IF(U39&gt;KKM!$H$10,"B",IF(U39&gt;=KKM!$I$10,"C","D")))</f>
        <v>C</v>
      </c>
      <c r="W39" s="356">
        <f t="shared" si="0"/>
        <v>72.5</v>
      </c>
      <c r="X39" s="361" t="str">
        <f>IF(W39&gt;KKM!$G$10," sangat baik ",IF(W39&gt;KKM!$H$10," baik ",IF(W39&gt;=KKM!$I$10," cukup baik "," perlu bimbingan ")))</f>
        <v xml:space="preserve"> cukup baik </v>
      </c>
      <c r="Y39" s="357">
        <f t="shared" si="1"/>
        <v>72.5</v>
      </c>
      <c r="Z39" s="361" t="str">
        <f>IF(Y39&gt;KKM!$G$10," sangat baik ",IF(Y39&gt;KKM!$H$10," baik ",IF(Y39&gt;=KKM!$I$10," cukup baik "," perlu bimbingan ")))</f>
        <v xml:space="preserve"> cukup baik </v>
      </c>
      <c r="AA39" s="353" t="str">
        <f t="shared" si="5"/>
        <v xml:space="preserve">RAFAREL cukup baik  dalam menerapkan konsep perpindahan kalor dalam kehidupan sehari-hari.
</v>
      </c>
      <c r="AB39" s="256"/>
      <c r="AC39" s="257" t="str">
        <f t="shared" si="2"/>
        <v xml:space="preserve"> cukup baik  dalam menerapkan konsep perpindahan kalor dalam kehidupan sehari-hari.
</v>
      </c>
      <c r="AD39" s="257" t="str">
        <f t="shared" si="3"/>
        <v xml:space="preserve"> cukup baik  dalam menerapkan konsep perpindahan kalor dalam kehidupan sehari-hari.
</v>
      </c>
      <c r="AE39" s="257" t="str">
        <f t="shared" si="6"/>
        <v xml:space="preserve"> cukup baik  dalam menerapkan konsep perpindahan kalor dalam kehidupan sehari-hari.
, dan  cukup baik  dalam menerapkan konsep perpindahan kalor dalam kehidupan sehari-hari.
</v>
      </c>
      <c r="AF39" s="257" t="str">
        <f t="shared" si="7"/>
        <v xml:space="preserve"> cukup baik  dalam menerapkan konsep perpindahan kalor dalam kehidupan sehari-hari.
</v>
      </c>
      <c r="AG39" s="258" t="str">
        <f t="shared" si="8"/>
        <v xml:space="preserve"> cukup baik  dalam menerapkan konsep perpindahan kalor dalam kehidupan sehari-hari.
</v>
      </c>
      <c r="AH39" s="252" t="str">
        <f t="shared" si="9"/>
        <v xml:space="preserve">RAFAREL cukup baik  dalam menerapkan konsep perpindahan kalor dalam kehidupan sehari-hari.
</v>
      </c>
      <c r="AI39" s="153"/>
      <c r="AR39" s="469">
        <f t="shared" si="10"/>
        <v>73</v>
      </c>
    </row>
    <row r="40" spans="2:44" ht="41.25" customHeight="1">
      <c r="B40" s="142">
        <v>36</v>
      </c>
      <c r="C40" s="143" t="str">
        <f>SISWA!B41</f>
        <v>1718250040340</v>
      </c>
      <c r="D40" s="144" t="str">
        <f>SISWA!E41</f>
        <v>RAKHA</v>
      </c>
      <c r="E40" s="159">
        <v>75</v>
      </c>
      <c r="F40" s="160">
        <v>75</v>
      </c>
      <c r="G40" s="160">
        <v>75</v>
      </c>
      <c r="H40" s="160">
        <v>75</v>
      </c>
      <c r="I40" s="160"/>
      <c r="J40" s="159"/>
      <c r="K40" s="159"/>
      <c r="L40" s="159"/>
      <c r="M40" s="159"/>
      <c r="N40" s="159"/>
      <c r="O40" s="159"/>
      <c r="P40" s="159"/>
      <c r="Q40" s="159"/>
      <c r="R40" s="160"/>
      <c r="S40" s="160"/>
      <c r="T40" s="159"/>
      <c r="U40" s="354">
        <f t="shared" si="4"/>
        <v>75</v>
      </c>
      <c r="V40" s="355" t="str">
        <f>IF(U40&gt;KKM!$G$10,"A",IF(U40&gt;KKM!$H$10,"B",IF(U40&gt;=KKM!$I$10,"C","D")))</f>
        <v>C</v>
      </c>
      <c r="W40" s="356">
        <f t="shared" si="0"/>
        <v>75</v>
      </c>
      <c r="X40" s="361" t="str">
        <f>IF(W40&gt;KKM!$G$10," sangat baik ",IF(W40&gt;KKM!$H$10," baik ",IF(W40&gt;=KKM!$I$10," cukup baik "," perlu bimbingan ")))</f>
        <v xml:space="preserve"> cukup baik </v>
      </c>
      <c r="Y40" s="357">
        <f t="shared" si="1"/>
        <v>75</v>
      </c>
      <c r="Z40" s="361" t="str">
        <f>IF(Y40&gt;KKM!$G$10," sangat baik ",IF(Y40&gt;KKM!$H$10," baik ",IF(Y40&gt;=KKM!$I$10," cukup baik "," perlu bimbingan ")))</f>
        <v xml:space="preserve"> cukup baik </v>
      </c>
      <c r="AA40" s="353" t="str">
        <f t="shared" si="5"/>
        <v xml:space="preserve">RAKHA cukup baik  dalam menerapkan konsep perpindahan kalor dalam kehidupan sehari-hari.
</v>
      </c>
      <c r="AB40" s="256"/>
      <c r="AC40" s="257" t="str">
        <f t="shared" si="2"/>
        <v xml:space="preserve"> cukup baik  dalam menerapkan konsep perpindahan kalor dalam kehidupan sehari-hari.
</v>
      </c>
      <c r="AD40" s="257" t="str">
        <f t="shared" si="3"/>
        <v xml:space="preserve"> cukup baik  dalam menerapkan konsep perpindahan kalor dalam kehidupan sehari-hari.
</v>
      </c>
      <c r="AE40" s="257" t="str">
        <f t="shared" si="6"/>
        <v xml:space="preserve"> cukup baik  dalam menerapkan konsep perpindahan kalor dalam kehidupan sehari-hari.
, dan  cukup baik  dalam menerapkan konsep perpindahan kalor dalam kehidupan sehari-hari.
</v>
      </c>
      <c r="AF40" s="257" t="str">
        <f t="shared" si="7"/>
        <v xml:space="preserve"> cukup baik  dalam menerapkan konsep perpindahan kalor dalam kehidupan sehari-hari.
</v>
      </c>
      <c r="AG40" s="258" t="str">
        <f t="shared" si="8"/>
        <v xml:space="preserve"> cukup baik  dalam menerapkan konsep perpindahan kalor dalam kehidupan sehari-hari.
</v>
      </c>
      <c r="AH40" s="252" t="str">
        <f t="shared" si="9"/>
        <v xml:space="preserve">RAKHA cukup baik  dalam menerapkan konsep perpindahan kalor dalam kehidupan sehari-hari.
</v>
      </c>
      <c r="AI40" s="153"/>
      <c r="AR40" s="469">
        <f t="shared" si="10"/>
        <v>75</v>
      </c>
    </row>
    <row r="41" spans="2:44" ht="41.25" customHeight="1">
      <c r="B41" s="142">
        <v>37</v>
      </c>
      <c r="C41" s="143" t="str">
        <f>SISWA!B42</f>
        <v>1718250040341</v>
      </c>
      <c r="D41" s="144" t="str">
        <f>SISWA!E42</f>
        <v>RYU</v>
      </c>
      <c r="E41" s="159">
        <v>77.5</v>
      </c>
      <c r="F41" s="160">
        <v>77.5</v>
      </c>
      <c r="G41" s="160">
        <v>77.5</v>
      </c>
      <c r="H41" s="160">
        <v>77.5</v>
      </c>
      <c r="I41" s="160"/>
      <c r="J41" s="159"/>
      <c r="K41" s="159"/>
      <c r="L41" s="159"/>
      <c r="M41" s="159"/>
      <c r="N41" s="159"/>
      <c r="O41" s="159"/>
      <c r="P41" s="159"/>
      <c r="Q41" s="159"/>
      <c r="R41" s="160"/>
      <c r="S41" s="160"/>
      <c r="T41" s="159"/>
      <c r="U41" s="354">
        <f t="shared" si="4"/>
        <v>78</v>
      </c>
      <c r="V41" s="355" t="str">
        <f>IF(U41&gt;KKM!$G$10,"A",IF(U41&gt;KKM!$H$10,"B",IF(U41&gt;=KKM!$I$10,"C","D")))</f>
        <v>B</v>
      </c>
      <c r="W41" s="356">
        <f t="shared" si="0"/>
        <v>77.5</v>
      </c>
      <c r="X41" s="361" t="str">
        <f>IF(W41&gt;KKM!$G$10," sangat baik ",IF(W41&gt;KKM!$H$10," baik ",IF(W41&gt;=KKM!$I$10," cukup baik "," perlu bimbingan ")))</f>
        <v xml:space="preserve"> baik </v>
      </c>
      <c r="Y41" s="357">
        <f t="shared" si="1"/>
        <v>77.5</v>
      </c>
      <c r="Z41" s="361" t="str">
        <f>IF(Y41&gt;KKM!$G$10," sangat baik ",IF(Y41&gt;KKM!$H$10," baik ",IF(Y41&gt;=KKM!$I$10," cukup baik "," perlu bimbingan ")))</f>
        <v xml:space="preserve"> baik </v>
      </c>
      <c r="AA41" s="353" t="str">
        <f t="shared" si="5"/>
        <v xml:space="preserve">RYU baik  dalam menerapkan konsep perpindahan kalor dalam kehidupan sehari-hari.
</v>
      </c>
      <c r="AB41" s="256"/>
      <c r="AC41" s="257" t="str">
        <f t="shared" si="2"/>
        <v xml:space="preserve"> baik  dalam menerapkan konsep perpindahan kalor dalam kehidupan sehari-hari.
</v>
      </c>
      <c r="AD41" s="257" t="str">
        <f t="shared" si="3"/>
        <v xml:space="preserve"> baik  dalam menerapkan konsep perpindahan kalor dalam kehidupan sehari-hari.
</v>
      </c>
      <c r="AE41" s="257" t="str">
        <f t="shared" si="6"/>
        <v xml:space="preserve"> baik  dalam menerapkan konsep perpindahan kalor dalam kehidupan sehari-hari.
, dan  baik  dalam menerapkan konsep perpindahan kalor dalam kehidupan sehari-hari.
</v>
      </c>
      <c r="AF41" s="257" t="str">
        <f t="shared" si="7"/>
        <v xml:space="preserve"> baik  dalam menerapkan konsep perpindahan kalor dalam kehidupan sehari-hari.
</v>
      </c>
      <c r="AG41" s="258" t="str">
        <f t="shared" si="8"/>
        <v xml:space="preserve"> baik  dalam menerapkan konsep perpindahan kalor dalam kehidupan sehari-hari.
</v>
      </c>
      <c r="AH41" s="252" t="str">
        <f t="shared" si="9"/>
        <v xml:space="preserve">RYU baik  dalam menerapkan konsep perpindahan kalor dalam kehidupan sehari-hari.
</v>
      </c>
      <c r="AI41" s="153"/>
      <c r="AR41" s="469">
        <f t="shared" si="10"/>
        <v>78</v>
      </c>
    </row>
    <row r="42" spans="2:44" ht="41.25" customHeight="1">
      <c r="B42" s="142">
        <v>38</v>
      </c>
      <c r="C42" s="143" t="str">
        <f>SISWA!B43</f>
        <v>1718250040342</v>
      </c>
      <c r="D42" s="144" t="str">
        <f>SISWA!E43</f>
        <v>SAEPUL</v>
      </c>
      <c r="E42" s="159">
        <v>87.5</v>
      </c>
      <c r="F42" s="160">
        <v>87.5</v>
      </c>
      <c r="G42" s="160">
        <v>87.5</v>
      </c>
      <c r="H42" s="160">
        <v>87.5</v>
      </c>
      <c r="I42" s="160"/>
      <c r="J42" s="159"/>
      <c r="K42" s="159"/>
      <c r="L42" s="159"/>
      <c r="M42" s="159"/>
      <c r="N42" s="159"/>
      <c r="O42" s="159"/>
      <c r="P42" s="159"/>
      <c r="Q42" s="159"/>
      <c r="R42" s="160"/>
      <c r="S42" s="160"/>
      <c r="T42" s="159"/>
      <c r="U42" s="354">
        <f t="shared" si="4"/>
        <v>88</v>
      </c>
      <c r="V42" s="355" t="str">
        <f>IF(U42&gt;KKM!$G$10,"A",IF(U42&gt;KKM!$H$10,"B",IF(U42&gt;=KKM!$I$10,"C","D")))</f>
        <v>A</v>
      </c>
      <c r="W42" s="356">
        <f t="shared" si="0"/>
        <v>87.5</v>
      </c>
      <c r="X42" s="361" t="str">
        <f>IF(W42&gt;KKM!$G$10," sangat baik ",IF(W42&gt;KKM!$H$10," baik ",IF(W42&gt;=KKM!$I$10," cukup baik "," perlu bimbingan ")))</f>
        <v xml:space="preserve"> sangat baik </v>
      </c>
      <c r="Y42" s="357">
        <f t="shared" si="1"/>
        <v>87.5</v>
      </c>
      <c r="Z42" s="361" t="str">
        <f>IF(Y42&gt;KKM!$G$10," sangat baik ",IF(Y42&gt;KKM!$H$10," baik ",IF(Y42&gt;=KKM!$I$10," cukup baik "," perlu bimbingan ")))</f>
        <v xml:space="preserve"> sangat baik </v>
      </c>
      <c r="AA42" s="353" t="str">
        <f t="shared" si="5"/>
        <v xml:space="preserve">SAEPUL sangat baik  dalam menerapkan konsep perpindahan kalor dalam kehidupan sehari-hari.
</v>
      </c>
      <c r="AB42" s="256"/>
      <c r="AC42" s="257" t="str">
        <f t="shared" si="2"/>
        <v xml:space="preserve"> sangat baik  dalam menerapkan konsep perpindahan kalor dalam kehidupan sehari-hari.
</v>
      </c>
      <c r="AD42" s="257" t="str">
        <f t="shared" si="3"/>
        <v xml:space="preserve"> sangat baik  dalam menerapkan konsep perpindahan kalor dalam kehidupan sehari-hari.
</v>
      </c>
      <c r="AE42" s="257" t="str">
        <f t="shared" si="6"/>
        <v xml:space="preserve"> sangat baik  dalam menerapkan konsep perpindahan kalor dalam kehidupan sehari-hari.
, dan  sangat baik  dalam menerapkan konsep perpindahan kalor dalam kehidupan sehari-hari.
</v>
      </c>
      <c r="AF42" s="257" t="str">
        <f t="shared" si="7"/>
        <v xml:space="preserve"> sangat baik  dalam menerapkan konsep perpindahan kalor dalam kehidupan sehari-hari.
</v>
      </c>
      <c r="AG42" s="258" t="str">
        <f t="shared" si="8"/>
        <v xml:space="preserve"> sangat baik  dalam menerapkan konsep perpindahan kalor dalam kehidupan sehari-hari.
</v>
      </c>
      <c r="AH42" s="252" t="str">
        <f t="shared" si="9"/>
        <v xml:space="preserve">SAEPUL sangat baik  dalam menerapkan konsep perpindahan kalor dalam kehidupan sehari-hari.
</v>
      </c>
      <c r="AI42" s="153"/>
      <c r="AR42" s="469">
        <f t="shared" si="10"/>
        <v>88</v>
      </c>
    </row>
    <row r="43" spans="2:44" ht="41.25" customHeight="1">
      <c r="B43" s="142">
        <v>39</v>
      </c>
      <c r="C43" s="143" t="str">
        <f>SISWA!B44</f>
        <v>1718250040343</v>
      </c>
      <c r="D43" s="144" t="str">
        <f>SISWA!E44</f>
        <v>SALMA</v>
      </c>
      <c r="E43" s="159">
        <v>77.5</v>
      </c>
      <c r="F43" s="160">
        <v>77.5</v>
      </c>
      <c r="G43" s="160">
        <v>77.5</v>
      </c>
      <c r="H43" s="160">
        <v>77.5</v>
      </c>
      <c r="I43" s="160"/>
      <c r="J43" s="159"/>
      <c r="K43" s="159"/>
      <c r="L43" s="159"/>
      <c r="M43" s="159"/>
      <c r="N43" s="159"/>
      <c r="O43" s="159"/>
      <c r="P43" s="159"/>
      <c r="Q43" s="159"/>
      <c r="R43" s="160"/>
      <c r="S43" s="160"/>
      <c r="T43" s="159"/>
      <c r="U43" s="354">
        <f t="shared" si="4"/>
        <v>78</v>
      </c>
      <c r="V43" s="355" t="str">
        <f>IF(U43&gt;KKM!$G$10,"A",IF(U43&gt;KKM!$H$10,"B",IF(U43&gt;=KKM!$I$10,"C","D")))</f>
        <v>B</v>
      </c>
      <c r="W43" s="356">
        <f t="shared" si="0"/>
        <v>77.5</v>
      </c>
      <c r="X43" s="361" t="str">
        <f>IF(W43&gt;KKM!$G$10," sangat baik ",IF(W43&gt;KKM!$H$10," baik ",IF(W43&gt;=KKM!$I$10," cukup baik "," perlu bimbingan ")))</f>
        <v xml:space="preserve"> baik </v>
      </c>
      <c r="Y43" s="357">
        <f t="shared" si="1"/>
        <v>77.5</v>
      </c>
      <c r="Z43" s="361" t="str">
        <f>IF(Y43&gt;KKM!$G$10," sangat baik ",IF(Y43&gt;KKM!$H$10," baik ",IF(Y43&gt;=KKM!$I$10," cukup baik "," perlu bimbingan ")))</f>
        <v xml:space="preserve"> baik </v>
      </c>
      <c r="AA43" s="353" t="str">
        <f t="shared" si="5"/>
        <v xml:space="preserve">SALMA baik  dalam menerapkan konsep perpindahan kalor dalam kehidupan sehari-hari.
</v>
      </c>
      <c r="AB43" s="256"/>
      <c r="AC43" s="257" t="str">
        <f t="shared" si="2"/>
        <v xml:space="preserve"> baik  dalam menerapkan konsep perpindahan kalor dalam kehidupan sehari-hari.
</v>
      </c>
      <c r="AD43" s="257" t="str">
        <f t="shared" si="3"/>
        <v xml:space="preserve"> baik  dalam menerapkan konsep perpindahan kalor dalam kehidupan sehari-hari.
</v>
      </c>
      <c r="AE43" s="257" t="str">
        <f t="shared" si="6"/>
        <v xml:space="preserve"> baik  dalam menerapkan konsep perpindahan kalor dalam kehidupan sehari-hari.
, dan  baik  dalam menerapkan konsep perpindahan kalor dalam kehidupan sehari-hari.
</v>
      </c>
      <c r="AF43" s="257" t="str">
        <f t="shared" si="7"/>
        <v xml:space="preserve"> baik  dalam menerapkan konsep perpindahan kalor dalam kehidupan sehari-hari.
</v>
      </c>
      <c r="AG43" s="258" t="str">
        <f t="shared" si="8"/>
        <v xml:space="preserve"> baik  dalam menerapkan konsep perpindahan kalor dalam kehidupan sehari-hari.
</v>
      </c>
      <c r="AH43" s="252" t="str">
        <f t="shared" si="9"/>
        <v xml:space="preserve">SALMA baik  dalam menerapkan konsep perpindahan kalor dalam kehidupan sehari-hari.
</v>
      </c>
      <c r="AI43" s="153"/>
      <c r="AR43" s="469">
        <f t="shared" si="10"/>
        <v>78</v>
      </c>
    </row>
    <row r="44" spans="2:44" ht="41.25" customHeight="1">
      <c r="B44" s="142">
        <v>40</v>
      </c>
      <c r="C44" s="143" t="str">
        <f>SISWA!B45</f>
        <v>1718250040344</v>
      </c>
      <c r="D44" s="144" t="str">
        <f>SISWA!E45</f>
        <v>SYAKILA</v>
      </c>
      <c r="E44" s="159">
        <v>90</v>
      </c>
      <c r="F44" s="160">
        <v>90</v>
      </c>
      <c r="G44" s="160">
        <v>90</v>
      </c>
      <c r="H44" s="160">
        <v>90</v>
      </c>
      <c r="I44" s="160"/>
      <c r="J44" s="159"/>
      <c r="K44" s="159"/>
      <c r="L44" s="159"/>
      <c r="M44" s="159"/>
      <c r="N44" s="159"/>
      <c r="O44" s="159"/>
      <c r="P44" s="159"/>
      <c r="Q44" s="159"/>
      <c r="R44" s="160"/>
      <c r="S44" s="160"/>
      <c r="T44" s="159"/>
      <c r="U44" s="354">
        <f t="shared" si="4"/>
        <v>90</v>
      </c>
      <c r="V44" s="355" t="str">
        <f>IF(U44&gt;KKM!$G$10,"A",IF(U44&gt;KKM!$H$10,"B",IF(U44&gt;=KKM!$I$10,"C","D")))</f>
        <v>A</v>
      </c>
      <c r="W44" s="356">
        <f t="shared" si="0"/>
        <v>90</v>
      </c>
      <c r="X44" s="361" t="str">
        <f>IF(W44&gt;KKM!$G$10," sangat baik ",IF(W44&gt;KKM!$H$10," baik ",IF(W44&gt;=KKM!$I$10," cukup baik "," perlu bimbingan ")))</f>
        <v xml:space="preserve"> sangat baik </v>
      </c>
      <c r="Y44" s="357">
        <f t="shared" si="1"/>
        <v>90</v>
      </c>
      <c r="Z44" s="361" t="str">
        <f>IF(Y44&gt;KKM!$G$10," sangat baik ",IF(Y44&gt;KKM!$H$10," baik ",IF(Y44&gt;=KKM!$I$10," cukup baik "," perlu bimbingan ")))</f>
        <v xml:space="preserve"> sangat baik </v>
      </c>
      <c r="AA44" s="353" t="str">
        <f t="shared" si="5"/>
        <v xml:space="preserve">SYAKILA sangat baik  dalam menerapkan konsep perpindahan kalor dalam kehidupan sehari-hari.
</v>
      </c>
      <c r="AB44" s="256"/>
      <c r="AC44" s="257" t="str">
        <f t="shared" si="2"/>
        <v xml:space="preserve"> sangat baik  dalam menerapkan konsep perpindahan kalor dalam kehidupan sehari-hari.
</v>
      </c>
      <c r="AD44" s="257" t="str">
        <f t="shared" si="3"/>
        <v xml:space="preserve"> sangat baik  dalam menerapkan konsep perpindahan kalor dalam kehidupan sehari-hari.
</v>
      </c>
      <c r="AE44" s="257" t="str">
        <f t="shared" si="6"/>
        <v xml:space="preserve"> sangat baik  dalam menerapkan konsep perpindahan kalor dalam kehidupan sehari-hari.
, dan  sangat baik  dalam menerapkan konsep perpindahan kalor dalam kehidupan sehari-hari.
</v>
      </c>
      <c r="AF44" s="257" t="str">
        <f t="shared" si="7"/>
        <v xml:space="preserve"> sangat baik  dalam menerapkan konsep perpindahan kalor dalam kehidupan sehari-hari.
</v>
      </c>
      <c r="AG44" s="258" t="str">
        <f t="shared" si="8"/>
        <v xml:space="preserve"> sangat baik  dalam menerapkan konsep perpindahan kalor dalam kehidupan sehari-hari.
</v>
      </c>
      <c r="AH44" s="252" t="str">
        <f t="shared" si="9"/>
        <v xml:space="preserve">SYAKILA sangat baik  dalam menerapkan konsep perpindahan kalor dalam kehidupan sehari-hari.
</v>
      </c>
      <c r="AI44" s="153"/>
      <c r="AR44" s="469">
        <f t="shared" si="10"/>
        <v>90</v>
      </c>
    </row>
    <row r="45" spans="2:44" ht="41.25" customHeight="1">
      <c r="B45" s="142">
        <v>41</v>
      </c>
      <c r="C45" s="143" t="str">
        <f>SISWA!B46</f>
        <v>1718250040345</v>
      </c>
      <c r="D45" s="144" t="str">
        <f>SISWA!E46</f>
        <v>SYIFA</v>
      </c>
      <c r="E45" s="159">
        <v>80</v>
      </c>
      <c r="F45" s="160">
        <v>80</v>
      </c>
      <c r="G45" s="160">
        <v>80</v>
      </c>
      <c r="H45" s="160">
        <v>80</v>
      </c>
      <c r="I45" s="160"/>
      <c r="J45" s="159"/>
      <c r="K45" s="159"/>
      <c r="L45" s="159"/>
      <c r="M45" s="159"/>
      <c r="N45" s="159"/>
      <c r="O45" s="159"/>
      <c r="P45" s="159"/>
      <c r="Q45" s="159"/>
      <c r="R45" s="160"/>
      <c r="S45" s="160"/>
      <c r="T45" s="159"/>
      <c r="U45" s="354">
        <f t="shared" si="4"/>
        <v>80</v>
      </c>
      <c r="V45" s="355" t="str">
        <f>IF(U45&gt;KKM!$G$10,"A",IF(U45&gt;KKM!$H$10,"B",IF(U45&gt;=KKM!$I$10,"C","D")))</f>
        <v>B</v>
      </c>
      <c r="W45" s="356">
        <f t="shared" si="0"/>
        <v>80</v>
      </c>
      <c r="X45" s="361" t="str">
        <f>IF(W45&gt;KKM!$G$10," sangat baik ",IF(W45&gt;KKM!$H$10," baik ",IF(W45&gt;=KKM!$I$10," cukup baik "," perlu bimbingan ")))</f>
        <v xml:space="preserve"> baik </v>
      </c>
      <c r="Y45" s="357">
        <f t="shared" si="1"/>
        <v>80</v>
      </c>
      <c r="Z45" s="361" t="str">
        <f>IF(Y45&gt;KKM!$G$10," sangat baik ",IF(Y45&gt;KKM!$H$10," baik ",IF(Y45&gt;=KKM!$I$10," cukup baik "," perlu bimbingan ")))</f>
        <v xml:space="preserve"> baik </v>
      </c>
      <c r="AA45" s="353" t="str">
        <f t="shared" si="5"/>
        <v xml:space="preserve">SYIFA baik  dalam menerapkan konsep perpindahan kalor dalam kehidupan sehari-hari.
</v>
      </c>
      <c r="AB45" s="256"/>
      <c r="AC45" s="257" t="str">
        <f t="shared" si="2"/>
        <v xml:space="preserve"> baik  dalam menerapkan konsep perpindahan kalor dalam kehidupan sehari-hari.
</v>
      </c>
      <c r="AD45" s="257" t="str">
        <f t="shared" si="3"/>
        <v xml:space="preserve"> baik  dalam menerapkan konsep perpindahan kalor dalam kehidupan sehari-hari.
</v>
      </c>
      <c r="AE45" s="257" t="str">
        <f t="shared" si="6"/>
        <v xml:space="preserve"> baik  dalam menerapkan konsep perpindahan kalor dalam kehidupan sehari-hari.
, dan  baik  dalam menerapkan konsep perpindahan kalor dalam kehidupan sehari-hari.
</v>
      </c>
      <c r="AF45" s="257" t="str">
        <f t="shared" si="7"/>
        <v xml:space="preserve"> baik  dalam menerapkan konsep perpindahan kalor dalam kehidupan sehari-hari.
</v>
      </c>
      <c r="AG45" s="258" t="str">
        <f t="shared" si="8"/>
        <v xml:space="preserve"> baik  dalam menerapkan konsep perpindahan kalor dalam kehidupan sehari-hari.
</v>
      </c>
      <c r="AH45" s="252" t="str">
        <f t="shared" si="9"/>
        <v xml:space="preserve">SYIFA baik  dalam menerapkan konsep perpindahan kalor dalam kehidupan sehari-hari.
</v>
      </c>
      <c r="AI45" s="153"/>
      <c r="AR45" s="469">
        <f t="shared" si="10"/>
        <v>80</v>
      </c>
    </row>
    <row r="46" spans="2:44" ht="41.25" customHeight="1">
      <c r="B46" s="142">
        <v>42</v>
      </c>
      <c r="C46" s="143" t="str">
        <f>SISWA!B47</f>
        <v>1718250040346</v>
      </c>
      <c r="D46" s="144" t="str">
        <f>SISWA!E47</f>
        <v>WAFDAN</v>
      </c>
      <c r="E46" s="159">
        <v>90</v>
      </c>
      <c r="F46" s="160">
        <v>90</v>
      </c>
      <c r="G46" s="160">
        <v>90</v>
      </c>
      <c r="H46" s="160">
        <v>90</v>
      </c>
      <c r="I46" s="160"/>
      <c r="J46" s="159"/>
      <c r="K46" s="159"/>
      <c r="L46" s="159"/>
      <c r="M46" s="159"/>
      <c r="N46" s="159"/>
      <c r="O46" s="159"/>
      <c r="P46" s="159"/>
      <c r="Q46" s="159"/>
      <c r="R46" s="160"/>
      <c r="S46" s="160"/>
      <c r="T46" s="159"/>
      <c r="U46" s="354">
        <f t="shared" si="4"/>
        <v>90</v>
      </c>
      <c r="V46" s="355" t="str">
        <f>IF(U46&gt;KKM!$G$10,"A",IF(U46&gt;KKM!$H$10,"B",IF(U46&gt;=KKM!$I$10,"C","D")))</f>
        <v>A</v>
      </c>
      <c r="W46" s="356">
        <f t="shared" si="0"/>
        <v>90</v>
      </c>
      <c r="X46" s="361" t="str">
        <f>IF(W46&gt;KKM!$G$10," sangat baik ",IF(W46&gt;KKM!$H$10," baik ",IF(W46&gt;=KKM!$I$10," cukup baik "," perlu bimbingan ")))</f>
        <v xml:space="preserve"> sangat baik </v>
      </c>
      <c r="Y46" s="357">
        <f t="shared" si="1"/>
        <v>90</v>
      </c>
      <c r="Z46" s="361" t="str">
        <f>IF(Y46&gt;KKM!$G$10," sangat baik ",IF(Y46&gt;KKM!$H$10," baik ",IF(Y46&gt;=KKM!$I$10," cukup baik "," perlu bimbingan ")))</f>
        <v xml:space="preserve"> sangat baik </v>
      </c>
      <c r="AA46" s="353" t="str">
        <f t="shared" si="5"/>
        <v xml:space="preserve">WAFDAN sangat baik  dalam menerapkan konsep perpindahan kalor dalam kehidupan sehari-hari.
</v>
      </c>
      <c r="AB46" s="256"/>
      <c r="AC46" s="257" t="str">
        <f t="shared" si="2"/>
        <v xml:space="preserve"> sangat baik  dalam menerapkan konsep perpindahan kalor dalam kehidupan sehari-hari.
</v>
      </c>
      <c r="AD46" s="257" t="str">
        <f t="shared" si="3"/>
        <v xml:space="preserve"> sangat baik  dalam menerapkan konsep perpindahan kalor dalam kehidupan sehari-hari.
</v>
      </c>
      <c r="AE46" s="257" t="str">
        <f t="shared" si="6"/>
        <v xml:space="preserve"> sangat baik  dalam menerapkan konsep perpindahan kalor dalam kehidupan sehari-hari.
, dan  sangat baik  dalam menerapkan konsep perpindahan kalor dalam kehidupan sehari-hari.
</v>
      </c>
      <c r="AF46" s="257" t="str">
        <f t="shared" si="7"/>
        <v xml:space="preserve"> sangat baik  dalam menerapkan konsep perpindahan kalor dalam kehidupan sehari-hari.
</v>
      </c>
      <c r="AG46" s="258" t="str">
        <f t="shared" si="8"/>
        <v xml:space="preserve"> sangat baik  dalam menerapkan konsep perpindahan kalor dalam kehidupan sehari-hari.
</v>
      </c>
      <c r="AH46" s="252" t="str">
        <f t="shared" si="9"/>
        <v xml:space="preserve">WAFDAN sangat baik  dalam menerapkan konsep perpindahan kalor dalam kehidupan sehari-hari.
</v>
      </c>
      <c r="AI46" s="153"/>
      <c r="AR46" s="469">
        <f t="shared" si="10"/>
        <v>90</v>
      </c>
    </row>
    <row r="47" spans="2:44" ht="41.25" customHeight="1">
      <c r="B47" s="142">
        <v>43</v>
      </c>
      <c r="C47" s="143" t="str">
        <f>SISWA!B48</f>
        <v>1718250040347</v>
      </c>
      <c r="D47" s="144" t="str">
        <f>SISWA!E48</f>
        <v>ZEVA</v>
      </c>
      <c r="E47" s="159">
        <v>95</v>
      </c>
      <c r="F47" s="160">
        <v>95</v>
      </c>
      <c r="G47" s="160">
        <v>95</v>
      </c>
      <c r="H47" s="160">
        <v>95</v>
      </c>
      <c r="I47" s="160"/>
      <c r="J47" s="159"/>
      <c r="K47" s="159"/>
      <c r="L47" s="159"/>
      <c r="M47" s="159"/>
      <c r="N47" s="159"/>
      <c r="O47" s="159"/>
      <c r="P47" s="159"/>
      <c r="Q47" s="159"/>
      <c r="R47" s="160"/>
      <c r="S47" s="160"/>
      <c r="T47" s="159"/>
      <c r="U47" s="354">
        <f t="shared" si="4"/>
        <v>95</v>
      </c>
      <c r="V47" s="355" t="str">
        <f>IF(U47&gt;KKM!$G$10,"A",IF(U47&gt;KKM!$H$10,"B",IF(U47&gt;=KKM!$I$10,"C","D")))</f>
        <v>A</v>
      </c>
      <c r="W47" s="356">
        <f t="shared" si="0"/>
        <v>95</v>
      </c>
      <c r="X47" s="361" t="str">
        <f>IF(W47&gt;KKM!$G$10," sangat baik ",IF(W47&gt;KKM!$H$10," baik ",IF(W47&gt;=KKM!$I$10," cukup baik "," perlu bimbingan ")))</f>
        <v xml:space="preserve"> sangat baik </v>
      </c>
      <c r="Y47" s="357">
        <f t="shared" si="1"/>
        <v>95</v>
      </c>
      <c r="Z47" s="361" t="str">
        <f>IF(Y47&gt;KKM!$G$10," sangat baik ",IF(Y47&gt;KKM!$H$10," baik ",IF(Y47&gt;=KKM!$I$10," cukup baik "," perlu bimbingan ")))</f>
        <v xml:space="preserve"> sangat baik </v>
      </c>
      <c r="AA47" s="353" t="str">
        <f t="shared" si="5"/>
        <v xml:space="preserve">ZEVA sangat baik  dalam menerapkan konsep perpindahan kalor dalam kehidupan sehari-hari.
</v>
      </c>
      <c r="AB47" s="256"/>
      <c r="AC47" s="257" t="str">
        <f t="shared" si="2"/>
        <v xml:space="preserve"> sangat baik  dalam menerapkan konsep perpindahan kalor dalam kehidupan sehari-hari.
</v>
      </c>
      <c r="AD47" s="257" t="str">
        <f t="shared" si="3"/>
        <v xml:space="preserve"> sangat baik  dalam menerapkan konsep perpindahan kalor dalam kehidupan sehari-hari.
</v>
      </c>
      <c r="AE47" s="257" t="str">
        <f t="shared" si="6"/>
        <v xml:space="preserve"> sangat baik  dalam menerapkan konsep perpindahan kalor dalam kehidupan sehari-hari.
, dan  sangat baik  dalam menerapkan konsep perpindahan kalor dalam kehidupan sehari-hari.
</v>
      </c>
      <c r="AF47" s="257" t="str">
        <f t="shared" si="7"/>
        <v xml:space="preserve"> sangat baik  dalam menerapkan konsep perpindahan kalor dalam kehidupan sehari-hari.
</v>
      </c>
      <c r="AG47" s="258" t="str">
        <f t="shared" si="8"/>
        <v xml:space="preserve"> sangat baik  dalam menerapkan konsep perpindahan kalor dalam kehidupan sehari-hari.
</v>
      </c>
      <c r="AH47" s="252" t="str">
        <f t="shared" si="9"/>
        <v xml:space="preserve">ZEVA sangat baik  dalam menerapkan konsep perpindahan kalor dalam kehidupan sehari-hari.
</v>
      </c>
      <c r="AI47" s="153"/>
      <c r="AR47" s="469">
        <f t="shared" si="10"/>
        <v>95</v>
      </c>
    </row>
    <row r="48" spans="2:44" ht="41.25" customHeight="1">
      <c r="B48" s="142">
        <v>44</v>
      </c>
      <c r="C48" s="143">
        <f>SISWA!B49</f>
        <v>0</v>
      </c>
      <c r="D48" s="144">
        <f>SISWA!E49</f>
        <v>0</v>
      </c>
      <c r="E48" s="159"/>
      <c r="F48" s="160"/>
      <c r="G48" s="160"/>
      <c r="H48" s="160"/>
      <c r="I48" s="160"/>
      <c r="J48" s="159"/>
      <c r="K48" s="159"/>
      <c r="L48" s="159"/>
      <c r="M48" s="159"/>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53"/>
      <c r="AR48" s="469" t="str">
        <f t="shared" si="10"/>
        <v/>
      </c>
    </row>
    <row r="49" spans="2:44" ht="41.25" customHeight="1">
      <c r="B49" s="142">
        <v>45</v>
      </c>
      <c r="C49" s="143">
        <f>SISWA!B50</f>
        <v>0</v>
      </c>
      <c r="D49" s="144">
        <f>SISWA!E50</f>
        <v>0</v>
      </c>
      <c r="E49" s="159"/>
      <c r="F49" s="160"/>
      <c r="G49" s="160"/>
      <c r="H49" s="160"/>
      <c r="I49" s="160"/>
      <c r="J49" s="159"/>
      <c r="K49" s="159"/>
      <c r="L49" s="159"/>
      <c r="M49" s="159"/>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53"/>
      <c r="AR49" s="469" t="str">
        <f t="shared" si="10"/>
        <v/>
      </c>
    </row>
    <row r="50" spans="2:44" ht="41.25" customHeight="1">
      <c r="B50" s="142">
        <v>46</v>
      </c>
      <c r="C50" s="143">
        <f>SISWA!B51</f>
        <v>0</v>
      </c>
      <c r="D50" s="144">
        <f>SISWA!E51</f>
        <v>0</v>
      </c>
      <c r="E50" s="159"/>
      <c r="F50" s="160"/>
      <c r="G50" s="160"/>
      <c r="H50" s="160"/>
      <c r="I50" s="160"/>
      <c r="J50" s="159"/>
      <c r="K50" s="159"/>
      <c r="L50" s="159"/>
      <c r="M50" s="159"/>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53"/>
      <c r="AR50" s="469" t="str">
        <f t="shared" si="10"/>
        <v/>
      </c>
    </row>
    <row r="51" spans="2:44" ht="41.25" customHeight="1">
      <c r="B51" s="142">
        <v>47</v>
      </c>
      <c r="C51" s="143">
        <f>SISWA!B52</f>
        <v>0</v>
      </c>
      <c r="D51" s="144">
        <f>SISWA!E52</f>
        <v>0</v>
      </c>
      <c r="E51" s="159"/>
      <c r="F51" s="160"/>
      <c r="G51" s="160"/>
      <c r="H51" s="160"/>
      <c r="I51" s="160"/>
      <c r="J51" s="159"/>
      <c r="K51" s="159"/>
      <c r="L51" s="159"/>
      <c r="M51" s="159"/>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53"/>
      <c r="AR51" s="469" t="str">
        <f t="shared" si="10"/>
        <v/>
      </c>
    </row>
    <row r="52" spans="2:44" ht="41.25" customHeight="1">
      <c r="B52" s="142">
        <v>48</v>
      </c>
      <c r="C52" s="143">
        <f>SISWA!B53</f>
        <v>0</v>
      </c>
      <c r="D52" s="144">
        <f>SISWA!E53</f>
        <v>0</v>
      </c>
      <c r="E52" s="159"/>
      <c r="F52" s="160"/>
      <c r="G52" s="160"/>
      <c r="H52" s="160"/>
      <c r="I52" s="160"/>
      <c r="J52" s="159"/>
      <c r="K52" s="159"/>
      <c r="L52" s="159"/>
      <c r="M52" s="159"/>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53"/>
      <c r="AR52" s="469" t="str">
        <f t="shared" si="10"/>
        <v/>
      </c>
    </row>
    <row r="53" spans="2:44" ht="41.25" customHeight="1">
      <c r="B53" s="142">
        <v>49</v>
      </c>
      <c r="C53" s="143">
        <f>SISWA!B54</f>
        <v>0</v>
      </c>
      <c r="D53" s="144">
        <f>SISWA!E54</f>
        <v>0</v>
      </c>
      <c r="E53" s="159"/>
      <c r="F53" s="160"/>
      <c r="G53" s="160"/>
      <c r="H53" s="160"/>
      <c r="I53" s="160"/>
      <c r="J53" s="159"/>
      <c r="K53" s="159"/>
      <c r="L53" s="159"/>
      <c r="M53" s="159"/>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53"/>
      <c r="AR53" s="469" t="str">
        <f t="shared" si="10"/>
        <v/>
      </c>
    </row>
    <row r="54" spans="2:44" ht="41.25" customHeight="1">
      <c r="B54" s="142">
        <v>50</v>
      </c>
      <c r="C54" s="143">
        <f>SISWA!B55</f>
        <v>0</v>
      </c>
      <c r="D54" s="144">
        <f>SISWA!E55</f>
        <v>0</v>
      </c>
      <c r="E54" s="159"/>
      <c r="F54" s="160"/>
      <c r="G54" s="160"/>
      <c r="H54" s="160"/>
      <c r="I54" s="160"/>
      <c r="J54" s="159"/>
      <c r="K54" s="159"/>
      <c r="L54" s="159"/>
      <c r="M54" s="159"/>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53"/>
      <c r="AR54" s="469" t="str">
        <f t="shared" si="10"/>
        <v/>
      </c>
    </row>
    <row r="55" spans="2:44" ht="15.75">
      <c r="B55" s="154"/>
      <c r="C55" s="154"/>
      <c r="D55" s="154"/>
      <c r="E55" s="159"/>
      <c r="F55" s="160"/>
      <c r="G55" s="160"/>
      <c r="H55" s="160"/>
      <c r="I55" s="160"/>
      <c r="J55" s="159"/>
      <c r="K55" s="159"/>
      <c r="L55" s="159"/>
      <c r="M55" s="159"/>
      <c r="N55" s="159"/>
      <c r="O55" s="159"/>
      <c r="P55" s="159"/>
      <c r="Q55" s="159"/>
      <c r="R55" s="160"/>
      <c r="S55" s="160"/>
      <c r="T55" s="159"/>
      <c r="U55" s="147"/>
      <c r="V55" s="148"/>
      <c r="W55" s="149"/>
      <c r="X55" s="149"/>
      <c r="Y55" s="149"/>
      <c r="Z55" s="149"/>
      <c r="AA55" s="150"/>
      <c r="AB55" s="151"/>
      <c r="AC55" s="152"/>
      <c r="AD55" s="155"/>
      <c r="AE55" s="155"/>
      <c r="AF55" s="155"/>
      <c r="AG55" s="155"/>
      <c r="AH55" s="155"/>
      <c r="AI55" s="153"/>
    </row>
  </sheetData>
  <sheetProtection password="C70C" sheet="1" objects="1" scenarios="1"/>
  <mergeCells count="11">
    <mergeCell ref="AA2:AA4"/>
    <mergeCell ref="W3:X3"/>
    <mergeCell ref="Y3:Z3"/>
    <mergeCell ref="B1:Z1"/>
    <mergeCell ref="B2:B4"/>
    <mergeCell ref="C2:C4"/>
    <mergeCell ref="D2:D4"/>
    <mergeCell ref="E2:T2"/>
    <mergeCell ref="U2:U4"/>
    <mergeCell ref="V2:V4"/>
    <mergeCell ref="W2:Z2"/>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M55"/>
  <sheetViews>
    <sheetView zoomScale="85" zoomScaleNormal="85"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507" customWidth="1"/>
    <col min="2" max="2" width="4.42578125" style="137" customWidth="1"/>
    <col min="3" max="3" width="6.42578125" style="137" customWidth="1"/>
    <col min="4" max="4" width="28.7109375" style="137" customWidth="1"/>
    <col min="5" max="11" width="6.7109375" style="137" customWidth="1"/>
    <col min="12" max="19" width="6.7109375" style="137" hidden="1" customWidth="1"/>
    <col min="20" max="20" width="6.7109375" style="137" customWidth="1"/>
    <col min="21" max="22" width="4.7109375" style="137" customWidth="1"/>
    <col min="23" max="23" width="5.140625" style="137" customWidth="1"/>
    <col min="24" max="24" width="10.85546875" style="137" customWidth="1"/>
    <col min="25" max="25" width="5.140625" style="137" customWidth="1"/>
    <col min="26" max="26" width="11.42578125" style="137" customWidth="1"/>
    <col min="27" max="27" width="84.42578125" style="137" customWidth="1"/>
    <col min="28" max="28" width="29.85546875" style="137" customWidth="1"/>
    <col min="29" max="34" width="10.7109375" style="137" hidden="1" customWidth="1"/>
    <col min="35" max="40" width="9.140625" style="137" hidden="1" customWidth="1"/>
    <col min="41" max="42" width="9.140625" style="137" customWidth="1"/>
    <col min="43" max="44" width="9.140625" style="137" hidden="1" customWidth="1"/>
    <col min="45" max="45" width="9.140625" style="137" customWidth="1"/>
    <col min="46" max="53" width="5" style="137" hidden="1" customWidth="1"/>
    <col min="54" max="55" width="0" style="137" hidden="1" customWidth="1"/>
    <col min="56" max="69" width="10.7109375" style="137" hidden="1" customWidth="1"/>
    <col min="70" max="91" width="0" style="137" hidden="1" customWidth="1"/>
    <col min="92" max="16384" width="9.140625" style="137" hidden="1"/>
  </cols>
  <sheetData>
    <row r="1" spans="1:44" s="510" customFormat="1" ht="45.75" customHeight="1">
      <c r="B1" s="685" t="s">
        <v>205</v>
      </c>
      <c r="C1" s="685"/>
      <c r="D1" s="685"/>
      <c r="E1" s="685"/>
      <c r="F1" s="685"/>
      <c r="G1" s="685"/>
      <c r="H1" s="685"/>
      <c r="I1" s="685"/>
      <c r="J1" s="685"/>
      <c r="K1" s="685"/>
      <c r="L1" s="685"/>
      <c r="M1" s="685"/>
      <c r="N1" s="685"/>
      <c r="O1" s="685"/>
      <c r="P1" s="685"/>
      <c r="Q1" s="685"/>
      <c r="R1" s="685"/>
      <c r="S1" s="685"/>
      <c r="T1" s="685"/>
      <c r="U1" s="685"/>
      <c r="V1" s="685"/>
      <c r="W1" s="685"/>
      <c r="X1" s="685"/>
      <c r="Y1" s="685"/>
      <c r="Z1" s="685"/>
    </row>
    <row r="2" spans="1:44"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R2" s="502">
        <f>DEPAN!$E$23</f>
        <v>43</v>
      </c>
    </row>
    <row r="3" spans="1:44" ht="94.5" customHeight="1">
      <c r="B3" s="716"/>
      <c r="C3" s="717"/>
      <c r="D3" s="718"/>
      <c r="E3" s="408" t="str">
        <f>'KI-KD'!$C84</f>
        <v>Mengidentifikasi karakteristik geografis Indonesia sebagai negara kepulauan/maritim dan agraris serta pengaruhnya terhadap kehidupan ekonomi, sosial, budaya, komunikasi, serta transportasi.</v>
      </c>
      <c r="F3" s="408" t="str">
        <f>'KI-KD'!$C85</f>
        <v xml:space="preserve">menganalisis bentuk-bentuk interaksi manusia dengan lingkungan dan pengaruhnya terhadap pembangunan sosial, budaya, dan ekonomi masyarakat Indonesia
</v>
      </c>
      <c r="G3" s="408" t="str">
        <f>'KI-KD'!$C86</f>
        <v xml:space="preserve">menganalisis peran ekonomi dalam upaya menyejahterakan kehidupan masyarakat di bidang sosial dan budaya untuk memperkuat kesatuan dan persatuan bangsa Indonesia serta hubungannya dengan karakteristik ruang
</v>
      </c>
      <c r="H3" s="408" t="str">
        <f>'KI-KD'!$C87</f>
        <v>Mengidentifikasi faktor-faktor penting penyebab penjajahan bangsa Indonesia dan upaya bangsa Indonesia dalam mempertahankan kedaulatannya</v>
      </c>
      <c r="I3" s="408">
        <f>'KI-KD'!$C88</f>
        <v>0</v>
      </c>
      <c r="J3" s="408">
        <f>'KI-KD'!$C89</f>
        <v>0</v>
      </c>
      <c r="K3" s="408">
        <f>'KI-KD'!$C90</f>
        <v>0</v>
      </c>
      <c r="L3" s="408"/>
      <c r="M3" s="170"/>
      <c r="N3" s="170"/>
      <c r="O3" s="170"/>
      <c r="P3" s="157"/>
      <c r="Q3" s="157"/>
      <c r="R3" s="157"/>
      <c r="S3" s="157"/>
      <c r="T3" s="138"/>
      <c r="U3" s="720"/>
      <c r="V3" s="721"/>
      <c r="W3" s="712" t="s">
        <v>267</v>
      </c>
      <c r="X3" s="713"/>
      <c r="Y3" s="714" t="s">
        <v>268</v>
      </c>
      <c r="Z3" s="715"/>
      <c r="AA3" s="679"/>
      <c r="AB3" s="2"/>
      <c r="AC3" s="2"/>
      <c r="AD3" s="2"/>
      <c r="AE3" s="2"/>
      <c r="AF3" s="2"/>
      <c r="AG3" s="2"/>
      <c r="AH3" s="253"/>
      <c r="AR3" s="469">
        <f>AR4-AR5</f>
        <v>43</v>
      </c>
    </row>
    <row r="4" spans="1:44" s="141" customFormat="1" ht="25.5" customHeight="1">
      <c r="A4" s="509"/>
      <c r="B4" s="716"/>
      <c r="C4" s="717"/>
      <c r="D4" s="718"/>
      <c r="E4" s="140" t="str">
        <f>'KI-KD'!$B84</f>
        <v>3.1</v>
      </c>
      <c r="F4" s="140" t="str">
        <f>'KI-KD'!$B85</f>
        <v>3.2</v>
      </c>
      <c r="G4" s="140" t="str">
        <f>'KI-KD'!$B86</f>
        <v>3.3</v>
      </c>
      <c r="H4" s="140" t="str">
        <f>'KI-KD'!$B87</f>
        <v>3.4</v>
      </c>
      <c r="I4" s="140">
        <f>'KI-KD'!$B88</f>
        <v>0</v>
      </c>
      <c r="J4" s="140">
        <f>'KI-KD'!$B89</f>
        <v>0</v>
      </c>
      <c r="K4" s="140">
        <f>'KI-KD'!$B90</f>
        <v>0</v>
      </c>
      <c r="L4" s="140"/>
      <c r="M4" s="158"/>
      <c r="N4" s="158"/>
      <c r="O4" s="158"/>
      <c r="P4" s="158"/>
      <c r="Q4" s="158"/>
      <c r="R4" s="158"/>
      <c r="S4" s="158"/>
      <c r="T4" s="140"/>
      <c r="U4" s="720"/>
      <c r="V4" s="721"/>
      <c r="W4" s="248" t="s">
        <v>269</v>
      </c>
      <c r="X4" s="249" t="s">
        <v>3</v>
      </c>
      <c r="Y4" s="250" t="s">
        <v>269</v>
      </c>
      <c r="Z4" s="251" t="s">
        <v>3</v>
      </c>
      <c r="AA4" s="680"/>
      <c r="AB4" s="2"/>
      <c r="AC4" s="254" t="s">
        <v>270</v>
      </c>
      <c r="AD4" s="254" t="s">
        <v>271</v>
      </c>
      <c r="AE4" s="254" t="s">
        <v>272</v>
      </c>
      <c r="AF4" s="254" t="s">
        <v>273</v>
      </c>
      <c r="AG4" s="255" t="s">
        <v>266</v>
      </c>
      <c r="AH4" s="252"/>
      <c r="AR4" s="141">
        <v>50</v>
      </c>
    </row>
    <row r="5" spans="1:44" ht="38.25" customHeight="1">
      <c r="B5" s="142">
        <v>1</v>
      </c>
      <c r="C5" s="143" t="str">
        <f>SISWA!B6</f>
        <v>1718250040305</v>
      </c>
      <c r="D5" s="144" t="str">
        <f>SISWA!E6</f>
        <v>YAHYA</v>
      </c>
      <c r="E5" s="159">
        <v>87.5</v>
      </c>
      <c r="F5" s="160">
        <v>87.5</v>
      </c>
      <c r="G5" s="159">
        <v>87.5</v>
      </c>
      <c r="H5" s="160">
        <v>87.5</v>
      </c>
      <c r="I5" s="160"/>
      <c r="J5" s="159"/>
      <c r="K5" s="159"/>
      <c r="L5" s="159"/>
      <c r="M5" s="159"/>
      <c r="N5" s="159"/>
      <c r="O5" s="159"/>
      <c r="P5" s="159"/>
      <c r="Q5" s="159"/>
      <c r="R5" s="160"/>
      <c r="S5" s="160"/>
      <c r="T5" s="159"/>
      <c r="U5" s="354">
        <f>ROUND((AVERAGE(E5:T5)),0)</f>
        <v>88</v>
      </c>
      <c r="V5" s="355" t="str">
        <f>IF(U5&gt;KKM!$G$10,"A",IF(U5&gt;KKM!$H$10,"B",IF(U5&gt;=KKM!$I$10,"C","D")))</f>
        <v>A</v>
      </c>
      <c r="W5" s="356">
        <f t="shared" ref="W5:W54" si="0">MAX(E5:T5)</f>
        <v>87.5</v>
      </c>
      <c r="X5" s="361" t="str">
        <f>IF(W5&gt;KKM!$G$10," sangat baik ",IF(W5&gt;KKM!$H$10," baik ",IF(W5&gt;=KKM!$I$10," cukup baik "," perlu bimbingan ")))</f>
        <v xml:space="preserve"> sangat baik </v>
      </c>
      <c r="Y5" s="357">
        <f t="shared" ref="Y5:Y54" si="1">MIN(E5:T5)</f>
        <v>87.5</v>
      </c>
      <c r="Z5" s="361" t="str">
        <f>IF(Y5&gt;KKM!$G$10," sangat baik ",IF(Y5&gt;KKM!$H$10," baik ",IF(Y5&gt;=KKM!$I$10," cukup baik "," perlu bimbingan ")))</f>
        <v xml:space="preserve"> sangat baik </v>
      </c>
      <c r="AA5" s="353" t="str">
        <f>IFERROR(AH5," ")</f>
        <v>YAHYA sangat baik  dalam Mengidentifikasi karakteristik geografis Indonesia sebagai negara kepulauan/maritim dan agraris serta pengaruhnya terhadap kehidupan ekonomi, sosial, budaya, komunikasi, serta transportasi.</v>
      </c>
      <c r="AB5" s="256"/>
      <c r="AC5" s="257" t="str">
        <f t="shared" ref="AC5:AC54" si="2">X5&amp;" dalam "&amp;INDEX($E$3:$T$3,MATCH(W5,$E5:$T5,0))</f>
        <v xml:space="preserve"> sangat baik  dalam Mengidentifikasi karakteristik geografis Indonesia sebagai negara kepulauan/maritim dan agraris serta pengaruhnya terhadap kehidupan ekonomi, sosial, budaya, komunikasi, serta transportasi.</v>
      </c>
      <c r="AD5" s="257" t="str">
        <f t="shared" ref="AD5:AD54" si="3">Z5&amp;" dalam "&amp;INDEX($E$3:$T$3,MATCH(Y5,$E5:$T5,0))</f>
        <v xml:space="preserve"> sangat baik  dalam Mengidentifikasi karakteristik geografis Indonesia sebagai negara kepulauan/maritim dan agraris serta pengaruhnya terhadap kehidupan ekonomi, sosial, budaya, komunikasi, serta transportasi.</v>
      </c>
      <c r="AE5" s="257" t="str">
        <f>AC5&amp;", dan "&amp;AD5</f>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5" s="257" t="str">
        <f>IF(AC5=AD5,AC5," ")</f>
        <v xml:space="preserve"> sangat baik  dalam Mengidentifikasi karakteristik geografis Indonesia sebagai negara kepulauan/maritim dan agraris serta pengaruhnya terhadap kehidupan ekonomi, sosial, budaya, komunikasi, serta transportasi.</v>
      </c>
      <c r="AG5" s="258" t="str">
        <f>IF(AF5=" ",AE5,AF5)</f>
        <v xml:space="preserve"> sangat baik  dalam Mengidentifikasi karakteristik geografis Indonesia sebagai negara kepulauan/maritim dan agraris serta pengaruhnya terhadap kehidupan ekonomi, sosial, budaya, komunikasi, serta transportasi.</v>
      </c>
      <c r="AH5" s="252" t="str">
        <f>CONCATENATE(D5,AG5)</f>
        <v>YAHYA sangat baik  dalam Mengidentifikasi karakteristik geografis Indonesia sebagai negara kepulauan/maritim dan agraris serta pengaruhnya terhadap kehidupan ekonomi, sosial, budaya, komunikasi, serta transportasi.</v>
      </c>
      <c r="AI5" s="153"/>
      <c r="AQ5" s="469">
        <f>IFERROR(U5,"")</f>
        <v>88</v>
      </c>
      <c r="AR5" s="469">
        <f>COUNTBLANK(AQ5:AQ54)</f>
        <v>7</v>
      </c>
    </row>
    <row r="6" spans="1:44" ht="38.25" customHeight="1">
      <c r="B6" s="142">
        <v>2</v>
      </c>
      <c r="C6" s="143" t="str">
        <f>SISWA!B7</f>
        <v>1718250040306</v>
      </c>
      <c r="D6" s="144" t="str">
        <f>SISWA!E7</f>
        <v>ADHWA</v>
      </c>
      <c r="E6" s="159">
        <v>85</v>
      </c>
      <c r="F6" s="160">
        <v>85</v>
      </c>
      <c r="G6" s="159">
        <v>85</v>
      </c>
      <c r="H6" s="160">
        <v>85</v>
      </c>
      <c r="I6" s="160"/>
      <c r="J6" s="159"/>
      <c r="K6" s="159"/>
      <c r="L6" s="159"/>
      <c r="M6" s="159"/>
      <c r="N6" s="159"/>
      <c r="O6" s="159"/>
      <c r="P6" s="159"/>
      <c r="Q6" s="159"/>
      <c r="R6" s="160"/>
      <c r="S6" s="160"/>
      <c r="T6" s="159"/>
      <c r="U6" s="354">
        <f t="shared" ref="U6:U54" si="4">ROUND((AVERAGE(E6:T6)),0)</f>
        <v>85</v>
      </c>
      <c r="V6" s="355" t="str">
        <f>IF(U6&gt;KKM!$G$10,"A",IF(U6&gt;KKM!$H$10,"B",IF(U6&gt;=KKM!$I$10,"C","D")))</f>
        <v>B</v>
      </c>
      <c r="W6" s="356">
        <f t="shared" si="0"/>
        <v>85</v>
      </c>
      <c r="X6" s="361" t="str">
        <f>IF(W6&gt;KKM!$G$10," sangat baik ",IF(W6&gt;KKM!$H$10," baik ",IF(W6&gt;=KKM!$I$10," cukup baik "," perlu bimbingan ")))</f>
        <v xml:space="preserve"> baik </v>
      </c>
      <c r="Y6" s="357">
        <f t="shared" si="1"/>
        <v>85</v>
      </c>
      <c r="Z6" s="361" t="str">
        <f>IF(Y6&gt;KKM!$G$10," sangat baik ",IF(Y6&gt;KKM!$H$10," baik ",IF(Y6&gt;=KKM!$I$10," cukup baik "," perlu bimbingan ")))</f>
        <v xml:space="preserve"> baik </v>
      </c>
      <c r="AA6" s="353" t="str">
        <f t="shared" ref="AA6:AA54" si="5">IFERROR(AH6," ")</f>
        <v>ADHWA baik  dalam Mengidentifikasi karakteristik geografis Indonesia sebagai negara kepulauan/maritim dan agraris serta pengaruhnya terhadap kehidupan ekonomi, sosial, budaya, komunikasi, serta transportasi.</v>
      </c>
      <c r="AB6" s="256"/>
      <c r="AC6" s="257" t="str">
        <f t="shared" si="2"/>
        <v xml:space="preserve"> baik  dalam Mengidentifikasi karakteristik geografis Indonesia sebagai negara kepulauan/maritim dan agraris serta pengaruhnya terhadap kehidupan ekonomi, sosial, budaya, komunikasi, serta transportasi.</v>
      </c>
      <c r="AD6" s="257" t="str">
        <f t="shared" si="3"/>
        <v xml:space="preserve"> baik  dalam Mengidentifikasi karakteristik geografis Indonesia sebagai negara kepulauan/maritim dan agraris serta pengaruhnya terhadap kehidupan ekonomi, sosial, budaya, komunikasi, serta transportasi.</v>
      </c>
      <c r="AE6" s="257" t="str">
        <f t="shared" ref="AE6:AE54" si="6">AC6&amp;", dan "&amp;AD6</f>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6" s="257" t="str">
        <f t="shared" ref="AF6:AF54" si="7">IF(AC6=AD6,AC6," ")</f>
        <v xml:space="preserve"> baik  dalam Mengidentifikasi karakteristik geografis Indonesia sebagai negara kepulauan/maritim dan agraris serta pengaruhnya terhadap kehidupan ekonomi, sosial, budaya, komunikasi, serta transportasi.</v>
      </c>
      <c r="AG6" s="258" t="str">
        <f t="shared" ref="AG6:AG54" si="8">IF(AF6=" ",AE6,AF6)</f>
        <v xml:space="preserve"> baik  dalam Mengidentifikasi karakteristik geografis Indonesia sebagai negara kepulauan/maritim dan agraris serta pengaruhnya terhadap kehidupan ekonomi, sosial, budaya, komunikasi, serta transportasi.</v>
      </c>
      <c r="AH6" s="252" t="str">
        <f t="shared" ref="AH6:AH54" si="9">CONCATENATE(D6,AG6)</f>
        <v>ADHWA baik  dalam Mengidentifikasi karakteristik geografis Indonesia sebagai negara kepulauan/maritim dan agraris serta pengaruhnya terhadap kehidupan ekonomi, sosial, budaya, komunikasi, serta transportasi.</v>
      </c>
      <c r="AI6" s="153"/>
      <c r="AQ6" s="469">
        <f t="shared" ref="AQ6:AQ54" si="10">IFERROR(U6,"")</f>
        <v>85</v>
      </c>
      <c r="AR6" s="503">
        <f>IFERROR(AR3/AR2,"0%")</f>
        <v>1</v>
      </c>
    </row>
    <row r="7" spans="1:44" ht="38.25" customHeight="1">
      <c r="B7" s="142">
        <v>3</v>
      </c>
      <c r="C7" s="143" t="str">
        <f>SISWA!B8</f>
        <v xml:space="preserve"> 1718250040307</v>
      </c>
      <c r="D7" s="144" t="str">
        <f>SISWA!E8</f>
        <v>ANDHIKA</v>
      </c>
      <c r="E7" s="159">
        <v>82.5</v>
      </c>
      <c r="F7" s="160">
        <v>82.5</v>
      </c>
      <c r="G7" s="160">
        <v>82.5</v>
      </c>
      <c r="H7" s="160">
        <v>82.5</v>
      </c>
      <c r="I7" s="160"/>
      <c r="J7" s="159"/>
      <c r="K7" s="159"/>
      <c r="L7" s="159"/>
      <c r="M7" s="159"/>
      <c r="N7" s="159"/>
      <c r="O7" s="159"/>
      <c r="P7" s="159"/>
      <c r="Q7" s="159"/>
      <c r="R7" s="160"/>
      <c r="S7" s="160"/>
      <c r="T7" s="159"/>
      <c r="U7" s="354">
        <f t="shared" si="4"/>
        <v>83</v>
      </c>
      <c r="V7" s="355" t="str">
        <f>IF(U7&gt;KKM!$G$10,"A",IF(U7&gt;KKM!$H$10,"B",IF(U7&gt;=KKM!$I$10,"C","D")))</f>
        <v>B</v>
      </c>
      <c r="W7" s="356">
        <f t="shared" si="0"/>
        <v>82.5</v>
      </c>
      <c r="X7" s="361" t="str">
        <f>IF(W7&gt;KKM!$G$10," sangat baik ",IF(W7&gt;KKM!$H$10," baik ",IF(W7&gt;=KKM!$I$10," cukup baik "," perlu bimbingan ")))</f>
        <v xml:space="preserve"> baik </v>
      </c>
      <c r="Y7" s="357">
        <f t="shared" si="1"/>
        <v>82.5</v>
      </c>
      <c r="Z7" s="361" t="str">
        <f>IF(Y7&gt;KKM!$G$10," sangat baik ",IF(Y7&gt;KKM!$H$10," baik ",IF(Y7&gt;=KKM!$I$10," cukup baik "," perlu bimbingan ")))</f>
        <v xml:space="preserve"> baik </v>
      </c>
      <c r="AA7" s="353" t="str">
        <f t="shared" si="5"/>
        <v>ANDHIKA baik  dalam Mengidentifikasi karakteristik geografis Indonesia sebagai negara kepulauan/maritim dan agraris serta pengaruhnya terhadap kehidupan ekonomi, sosial, budaya, komunikasi, serta transportasi.</v>
      </c>
      <c r="AB7" s="256"/>
      <c r="AC7" s="257" t="str">
        <f t="shared" si="2"/>
        <v xml:space="preserve"> baik  dalam Mengidentifikasi karakteristik geografis Indonesia sebagai negara kepulauan/maritim dan agraris serta pengaruhnya terhadap kehidupan ekonomi, sosial, budaya, komunikasi, serta transportasi.</v>
      </c>
      <c r="AD7" s="257" t="str">
        <f t="shared" si="3"/>
        <v xml:space="preserve"> baik  dalam Mengidentifikasi karakteristik geografis Indonesia sebagai negara kepulauan/maritim dan agraris serta pengaruhnya terhadap kehidupan ekonomi, sosial, budaya, komunikasi, serta transportasi.</v>
      </c>
      <c r="AE7"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7" s="257" t="str">
        <f t="shared" si="7"/>
        <v xml:space="preserve"> baik  dalam Mengidentifikasi karakteristik geografis Indonesia sebagai negara kepulauan/maritim dan agraris serta pengaruhnya terhadap kehidupan ekonomi, sosial, budaya, komunikasi, serta transportasi.</v>
      </c>
      <c r="AG7" s="258" t="str">
        <f t="shared" si="8"/>
        <v xml:space="preserve"> baik  dalam Mengidentifikasi karakteristik geografis Indonesia sebagai negara kepulauan/maritim dan agraris serta pengaruhnya terhadap kehidupan ekonomi, sosial, budaya, komunikasi, serta transportasi.</v>
      </c>
      <c r="AH7" s="252" t="str">
        <f t="shared" si="9"/>
        <v>ANDHIKA baik  dalam Mengidentifikasi karakteristik geografis Indonesia sebagai negara kepulauan/maritim dan agraris serta pengaruhnya terhadap kehidupan ekonomi, sosial, budaya, komunikasi, serta transportasi.</v>
      </c>
      <c r="AI7" s="153"/>
      <c r="AQ7" s="469">
        <f t="shared" si="10"/>
        <v>83</v>
      </c>
    </row>
    <row r="8" spans="1:44" ht="38.25" customHeight="1">
      <c r="B8" s="142">
        <v>4</v>
      </c>
      <c r="C8" s="143" t="str">
        <f>SISWA!B9</f>
        <v xml:space="preserve"> 1718250040308</v>
      </c>
      <c r="D8" s="144" t="str">
        <f>SISWA!E9</f>
        <v>ANGGARA</v>
      </c>
      <c r="E8" s="159">
        <v>82.5</v>
      </c>
      <c r="F8" s="160">
        <v>82.5</v>
      </c>
      <c r="G8" s="160">
        <v>82.5</v>
      </c>
      <c r="H8" s="160">
        <v>82.5</v>
      </c>
      <c r="I8" s="160"/>
      <c r="J8" s="159"/>
      <c r="K8" s="159"/>
      <c r="L8" s="159"/>
      <c r="M8" s="159"/>
      <c r="N8" s="159"/>
      <c r="O8" s="159"/>
      <c r="P8" s="159"/>
      <c r="Q8" s="159"/>
      <c r="R8" s="160"/>
      <c r="S8" s="160"/>
      <c r="T8" s="159"/>
      <c r="U8" s="354">
        <f t="shared" si="4"/>
        <v>83</v>
      </c>
      <c r="V8" s="355" t="str">
        <f>IF(U8&gt;KKM!$G$10,"A",IF(U8&gt;KKM!$H$10,"B",IF(U8&gt;=KKM!$I$10,"C","D")))</f>
        <v>B</v>
      </c>
      <c r="W8" s="356">
        <f t="shared" si="0"/>
        <v>82.5</v>
      </c>
      <c r="X8" s="361" t="str">
        <f>IF(W8&gt;KKM!$G$10," sangat baik ",IF(W8&gt;KKM!$H$10," baik ",IF(W8&gt;=KKM!$I$10," cukup baik "," perlu bimbingan ")))</f>
        <v xml:space="preserve"> baik </v>
      </c>
      <c r="Y8" s="357">
        <f t="shared" si="1"/>
        <v>82.5</v>
      </c>
      <c r="Z8" s="361" t="str">
        <f>IF(Y8&gt;KKM!$G$10," sangat baik ",IF(Y8&gt;KKM!$H$10," baik ",IF(Y8&gt;=KKM!$I$10," cukup baik "," perlu bimbingan ")))</f>
        <v xml:space="preserve"> baik </v>
      </c>
      <c r="AA8" s="353" t="str">
        <f t="shared" si="5"/>
        <v>ANGGARA baik  dalam Mengidentifikasi karakteristik geografis Indonesia sebagai negara kepulauan/maritim dan agraris serta pengaruhnya terhadap kehidupan ekonomi, sosial, budaya, komunikasi, serta transportasi.</v>
      </c>
      <c r="AB8" s="256"/>
      <c r="AC8" s="257" t="str">
        <f t="shared" si="2"/>
        <v xml:space="preserve"> baik  dalam Mengidentifikasi karakteristik geografis Indonesia sebagai negara kepulauan/maritim dan agraris serta pengaruhnya terhadap kehidupan ekonomi, sosial, budaya, komunikasi, serta transportasi.</v>
      </c>
      <c r="AD8" s="257" t="str">
        <f t="shared" si="3"/>
        <v xml:space="preserve"> baik  dalam Mengidentifikasi karakteristik geografis Indonesia sebagai negara kepulauan/maritim dan agraris serta pengaruhnya terhadap kehidupan ekonomi, sosial, budaya, komunikasi, serta transportasi.</v>
      </c>
      <c r="AE8"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8" s="257" t="str">
        <f t="shared" si="7"/>
        <v xml:space="preserve"> baik  dalam Mengidentifikasi karakteristik geografis Indonesia sebagai negara kepulauan/maritim dan agraris serta pengaruhnya terhadap kehidupan ekonomi, sosial, budaya, komunikasi, serta transportasi.</v>
      </c>
      <c r="AG8" s="258" t="str">
        <f t="shared" si="8"/>
        <v xml:space="preserve"> baik  dalam Mengidentifikasi karakteristik geografis Indonesia sebagai negara kepulauan/maritim dan agraris serta pengaruhnya terhadap kehidupan ekonomi, sosial, budaya, komunikasi, serta transportasi.</v>
      </c>
      <c r="AH8" s="252" t="str">
        <f t="shared" si="9"/>
        <v>ANGGARA baik  dalam Mengidentifikasi karakteristik geografis Indonesia sebagai negara kepulauan/maritim dan agraris serta pengaruhnya terhadap kehidupan ekonomi, sosial, budaya, komunikasi, serta transportasi.</v>
      </c>
      <c r="AI8" s="153"/>
      <c r="AQ8" s="469">
        <f t="shared" si="10"/>
        <v>83</v>
      </c>
    </row>
    <row r="9" spans="1:44" ht="38.25" customHeight="1">
      <c r="B9" s="142">
        <v>5</v>
      </c>
      <c r="C9" s="143" t="str">
        <f>SISWA!B10</f>
        <v>1718250040309</v>
      </c>
      <c r="D9" s="144" t="str">
        <f>SISWA!E10</f>
        <v>ARIA</v>
      </c>
      <c r="E9" s="159">
        <v>80</v>
      </c>
      <c r="F9" s="160">
        <v>80</v>
      </c>
      <c r="G9" s="160">
        <v>80</v>
      </c>
      <c r="H9" s="160">
        <v>80</v>
      </c>
      <c r="I9" s="160"/>
      <c r="J9" s="159"/>
      <c r="K9" s="159"/>
      <c r="L9" s="159"/>
      <c r="M9" s="159"/>
      <c r="N9" s="159"/>
      <c r="O9" s="159"/>
      <c r="P9" s="159"/>
      <c r="Q9" s="159"/>
      <c r="R9" s="160"/>
      <c r="S9" s="160"/>
      <c r="T9" s="159"/>
      <c r="U9" s="354">
        <f t="shared" si="4"/>
        <v>80</v>
      </c>
      <c r="V9" s="355" t="str">
        <f>IF(U9&gt;KKM!$G$10,"A",IF(U9&gt;KKM!$H$10,"B",IF(U9&gt;=KKM!$I$10,"C","D")))</f>
        <v>B</v>
      </c>
      <c r="W9" s="356">
        <f t="shared" si="0"/>
        <v>80</v>
      </c>
      <c r="X9" s="361" t="str">
        <f>IF(W9&gt;KKM!$G$10," sangat baik ",IF(W9&gt;KKM!$H$10," baik ",IF(W9&gt;=KKM!$I$10," cukup baik "," perlu bimbingan ")))</f>
        <v xml:space="preserve"> baik </v>
      </c>
      <c r="Y9" s="357">
        <f t="shared" si="1"/>
        <v>80</v>
      </c>
      <c r="Z9" s="361" t="str">
        <f>IF(Y9&gt;KKM!$G$10," sangat baik ",IF(Y9&gt;KKM!$H$10," baik ",IF(Y9&gt;=KKM!$I$10," cukup baik "," perlu bimbingan ")))</f>
        <v xml:space="preserve"> baik </v>
      </c>
      <c r="AA9" s="353" t="str">
        <f t="shared" si="5"/>
        <v>ARIA baik  dalam Mengidentifikasi karakteristik geografis Indonesia sebagai negara kepulauan/maritim dan agraris serta pengaruhnya terhadap kehidupan ekonomi, sosial, budaya, komunikasi, serta transportasi.</v>
      </c>
      <c r="AB9" s="256"/>
      <c r="AC9" s="257" t="str">
        <f t="shared" si="2"/>
        <v xml:space="preserve"> baik  dalam Mengidentifikasi karakteristik geografis Indonesia sebagai negara kepulauan/maritim dan agraris serta pengaruhnya terhadap kehidupan ekonomi, sosial, budaya, komunikasi, serta transportasi.</v>
      </c>
      <c r="AD9" s="257" t="str">
        <f t="shared" si="3"/>
        <v xml:space="preserve"> baik  dalam Mengidentifikasi karakteristik geografis Indonesia sebagai negara kepulauan/maritim dan agraris serta pengaruhnya terhadap kehidupan ekonomi, sosial, budaya, komunikasi, serta transportasi.</v>
      </c>
      <c r="AE9"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9" s="257" t="str">
        <f t="shared" si="7"/>
        <v xml:space="preserve"> baik  dalam Mengidentifikasi karakteristik geografis Indonesia sebagai negara kepulauan/maritim dan agraris serta pengaruhnya terhadap kehidupan ekonomi, sosial, budaya, komunikasi, serta transportasi.</v>
      </c>
      <c r="AG9" s="258" t="str">
        <f t="shared" si="8"/>
        <v xml:space="preserve"> baik  dalam Mengidentifikasi karakteristik geografis Indonesia sebagai negara kepulauan/maritim dan agraris serta pengaruhnya terhadap kehidupan ekonomi, sosial, budaya, komunikasi, serta transportasi.</v>
      </c>
      <c r="AH9" s="252" t="str">
        <f t="shared" si="9"/>
        <v>ARIA baik  dalam Mengidentifikasi karakteristik geografis Indonesia sebagai negara kepulauan/maritim dan agraris serta pengaruhnya terhadap kehidupan ekonomi, sosial, budaya, komunikasi, serta transportasi.</v>
      </c>
      <c r="AI9" s="153"/>
      <c r="AQ9" s="469">
        <f t="shared" si="10"/>
        <v>80</v>
      </c>
    </row>
    <row r="10" spans="1:44" ht="38.25" customHeight="1">
      <c r="B10" s="142">
        <v>6</v>
      </c>
      <c r="C10" s="143" t="str">
        <f>SISWA!B11</f>
        <v>1718250040310</v>
      </c>
      <c r="D10" s="144" t="str">
        <f>SISWA!E11</f>
        <v>CAHAYA</v>
      </c>
      <c r="E10" s="159">
        <v>85</v>
      </c>
      <c r="F10" s="160">
        <v>85</v>
      </c>
      <c r="G10" s="160">
        <v>85</v>
      </c>
      <c r="H10" s="160">
        <v>85</v>
      </c>
      <c r="I10" s="160"/>
      <c r="J10" s="159"/>
      <c r="K10" s="159"/>
      <c r="L10" s="159"/>
      <c r="M10" s="159"/>
      <c r="N10" s="159"/>
      <c r="O10" s="159"/>
      <c r="P10" s="159"/>
      <c r="Q10" s="159"/>
      <c r="R10" s="160"/>
      <c r="S10" s="160"/>
      <c r="T10" s="159"/>
      <c r="U10" s="354">
        <f t="shared" si="4"/>
        <v>85</v>
      </c>
      <c r="V10" s="355" t="str">
        <f>IF(U10&gt;KKM!$G$10,"A",IF(U10&gt;KKM!$H$10,"B",IF(U10&gt;=KKM!$I$10,"C","D")))</f>
        <v>B</v>
      </c>
      <c r="W10" s="356">
        <f t="shared" si="0"/>
        <v>85</v>
      </c>
      <c r="X10" s="361" t="str">
        <f>IF(W10&gt;KKM!$G$10," sangat baik ",IF(W10&gt;KKM!$H$10," baik ",IF(W10&gt;=KKM!$I$10," cukup baik "," perlu bimbingan ")))</f>
        <v xml:space="preserve"> baik </v>
      </c>
      <c r="Y10" s="357">
        <f t="shared" si="1"/>
        <v>85</v>
      </c>
      <c r="Z10" s="361" t="str">
        <f>IF(Y10&gt;KKM!$G$10," sangat baik ",IF(Y10&gt;KKM!$H$10," baik ",IF(Y10&gt;=KKM!$I$10," cukup baik "," perlu bimbingan ")))</f>
        <v xml:space="preserve"> baik </v>
      </c>
      <c r="AA10" s="353" t="str">
        <f t="shared" si="5"/>
        <v>CAHAYA baik  dalam Mengidentifikasi karakteristik geografis Indonesia sebagai negara kepulauan/maritim dan agraris serta pengaruhnya terhadap kehidupan ekonomi, sosial, budaya, komunikasi, serta transportasi.</v>
      </c>
      <c r="AB10" s="256"/>
      <c r="AC10" s="257" t="str">
        <f t="shared" si="2"/>
        <v xml:space="preserve"> baik  dalam Mengidentifikasi karakteristik geografis Indonesia sebagai negara kepulauan/maritim dan agraris serta pengaruhnya terhadap kehidupan ekonomi, sosial, budaya, komunikasi, serta transportasi.</v>
      </c>
      <c r="AD10" s="257" t="str">
        <f t="shared" si="3"/>
        <v xml:space="preserve"> baik  dalam Mengidentifikasi karakteristik geografis Indonesia sebagai negara kepulauan/maritim dan agraris serta pengaruhnya terhadap kehidupan ekonomi, sosial, budaya, komunikasi, serta transportasi.</v>
      </c>
      <c r="AE10"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10" s="257" t="str">
        <f t="shared" si="7"/>
        <v xml:space="preserve"> baik  dalam Mengidentifikasi karakteristik geografis Indonesia sebagai negara kepulauan/maritim dan agraris serta pengaruhnya terhadap kehidupan ekonomi, sosial, budaya, komunikasi, serta transportasi.</v>
      </c>
      <c r="AG10" s="258" t="str">
        <f t="shared" si="8"/>
        <v xml:space="preserve"> baik  dalam Mengidentifikasi karakteristik geografis Indonesia sebagai negara kepulauan/maritim dan agraris serta pengaruhnya terhadap kehidupan ekonomi, sosial, budaya, komunikasi, serta transportasi.</v>
      </c>
      <c r="AH10" s="252" t="str">
        <f t="shared" si="9"/>
        <v>CAHAYA baik  dalam Mengidentifikasi karakteristik geografis Indonesia sebagai negara kepulauan/maritim dan agraris serta pengaruhnya terhadap kehidupan ekonomi, sosial, budaya, komunikasi, serta transportasi.</v>
      </c>
      <c r="AI10" s="153"/>
      <c r="AQ10" s="469">
        <f t="shared" si="10"/>
        <v>85</v>
      </c>
    </row>
    <row r="11" spans="1:44" ht="38.25" customHeight="1">
      <c r="B11" s="142">
        <v>7</v>
      </c>
      <c r="C11" s="143" t="str">
        <f>SISWA!B12</f>
        <v>1718250040311</v>
      </c>
      <c r="D11" s="144" t="str">
        <f>SISWA!E12</f>
        <v>CALISTA</v>
      </c>
      <c r="E11" s="159">
        <v>80</v>
      </c>
      <c r="F11" s="160">
        <v>80</v>
      </c>
      <c r="G11" s="160">
        <v>80</v>
      </c>
      <c r="H11" s="160">
        <v>80</v>
      </c>
      <c r="I11" s="160"/>
      <c r="J11" s="159"/>
      <c r="K11" s="159"/>
      <c r="L11" s="159"/>
      <c r="M11" s="159"/>
      <c r="N11" s="159"/>
      <c r="O11" s="159"/>
      <c r="P11" s="159"/>
      <c r="Q11" s="159"/>
      <c r="R11" s="160"/>
      <c r="S11" s="160"/>
      <c r="T11" s="159"/>
      <c r="U11" s="354">
        <f t="shared" si="4"/>
        <v>80</v>
      </c>
      <c r="V11" s="355" t="str">
        <f>IF(U11&gt;KKM!$G$10,"A",IF(U11&gt;KKM!$H$10,"B",IF(U11&gt;=KKM!$I$10,"C","D")))</f>
        <v>B</v>
      </c>
      <c r="W11" s="356">
        <f t="shared" si="0"/>
        <v>80</v>
      </c>
      <c r="X11" s="361" t="str">
        <f>IF(W11&gt;KKM!$G$10," sangat baik ",IF(W11&gt;KKM!$H$10," baik ",IF(W11&gt;=KKM!$I$10," cukup baik "," perlu bimbingan ")))</f>
        <v xml:space="preserve"> baik </v>
      </c>
      <c r="Y11" s="357">
        <f t="shared" si="1"/>
        <v>80</v>
      </c>
      <c r="Z11" s="361" t="str">
        <f>IF(Y11&gt;KKM!$G$10," sangat baik ",IF(Y11&gt;KKM!$H$10," baik ",IF(Y11&gt;=KKM!$I$10," cukup baik "," perlu bimbingan ")))</f>
        <v xml:space="preserve"> baik </v>
      </c>
      <c r="AA11" s="353" t="str">
        <f t="shared" si="5"/>
        <v>CALISTA baik  dalam Mengidentifikasi karakteristik geografis Indonesia sebagai negara kepulauan/maritim dan agraris serta pengaruhnya terhadap kehidupan ekonomi, sosial, budaya, komunikasi, serta transportasi.</v>
      </c>
      <c r="AB11" s="256"/>
      <c r="AC11" s="257" t="str">
        <f t="shared" si="2"/>
        <v xml:space="preserve"> baik  dalam Mengidentifikasi karakteristik geografis Indonesia sebagai negara kepulauan/maritim dan agraris serta pengaruhnya terhadap kehidupan ekonomi, sosial, budaya, komunikasi, serta transportasi.</v>
      </c>
      <c r="AD11" s="257" t="str">
        <f t="shared" si="3"/>
        <v xml:space="preserve"> baik  dalam Mengidentifikasi karakteristik geografis Indonesia sebagai negara kepulauan/maritim dan agraris serta pengaruhnya terhadap kehidupan ekonomi, sosial, budaya, komunikasi, serta transportasi.</v>
      </c>
      <c r="AE11"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11" s="257" t="str">
        <f t="shared" si="7"/>
        <v xml:space="preserve"> baik  dalam Mengidentifikasi karakteristik geografis Indonesia sebagai negara kepulauan/maritim dan agraris serta pengaruhnya terhadap kehidupan ekonomi, sosial, budaya, komunikasi, serta transportasi.</v>
      </c>
      <c r="AG11" s="258" t="str">
        <f t="shared" si="8"/>
        <v xml:space="preserve"> baik  dalam Mengidentifikasi karakteristik geografis Indonesia sebagai negara kepulauan/maritim dan agraris serta pengaruhnya terhadap kehidupan ekonomi, sosial, budaya, komunikasi, serta transportasi.</v>
      </c>
      <c r="AH11" s="252" t="str">
        <f t="shared" si="9"/>
        <v>CALISTA baik  dalam Mengidentifikasi karakteristik geografis Indonesia sebagai negara kepulauan/maritim dan agraris serta pengaruhnya terhadap kehidupan ekonomi, sosial, budaya, komunikasi, serta transportasi.</v>
      </c>
      <c r="AI11" s="153"/>
      <c r="AQ11" s="469">
        <f t="shared" si="10"/>
        <v>80</v>
      </c>
    </row>
    <row r="12" spans="1:44" ht="38.25" customHeight="1">
      <c r="B12" s="142">
        <v>8</v>
      </c>
      <c r="C12" s="143" t="str">
        <f>SISWA!B13</f>
        <v>1718250040312</v>
      </c>
      <c r="D12" s="144" t="str">
        <f>SISWA!E13</f>
        <v>CARISSA</v>
      </c>
      <c r="E12" s="159">
        <v>85</v>
      </c>
      <c r="F12" s="160">
        <v>85</v>
      </c>
      <c r="G12" s="160">
        <v>85</v>
      </c>
      <c r="H12" s="160">
        <v>85</v>
      </c>
      <c r="I12" s="160"/>
      <c r="J12" s="159"/>
      <c r="K12" s="159"/>
      <c r="L12" s="159"/>
      <c r="M12" s="159"/>
      <c r="N12" s="159"/>
      <c r="O12" s="159"/>
      <c r="P12" s="159"/>
      <c r="Q12" s="159"/>
      <c r="R12" s="160"/>
      <c r="S12" s="160"/>
      <c r="T12" s="159"/>
      <c r="U12" s="354">
        <f t="shared" si="4"/>
        <v>85</v>
      </c>
      <c r="V12" s="355" t="str">
        <f>IF(U12&gt;KKM!$G$10,"A",IF(U12&gt;KKM!$H$10,"B",IF(U12&gt;=KKM!$I$10,"C","D")))</f>
        <v>B</v>
      </c>
      <c r="W12" s="356">
        <f t="shared" si="0"/>
        <v>85</v>
      </c>
      <c r="X12" s="361" t="str">
        <f>IF(W12&gt;KKM!$G$10," sangat baik ",IF(W12&gt;KKM!$H$10," baik ",IF(W12&gt;=KKM!$I$10," cukup baik "," perlu bimbingan ")))</f>
        <v xml:space="preserve"> baik </v>
      </c>
      <c r="Y12" s="357">
        <f t="shared" si="1"/>
        <v>85</v>
      </c>
      <c r="Z12" s="361" t="str">
        <f>IF(Y12&gt;KKM!$G$10," sangat baik ",IF(Y12&gt;KKM!$H$10," baik ",IF(Y12&gt;=KKM!$I$10," cukup baik "," perlu bimbingan ")))</f>
        <v xml:space="preserve"> baik </v>
      </c>
      <c r="AA12" s="353" t="str">
        <f t="shared" si="5"/>
        <v>CARISSA baik  dalam Mengidentifikasi karakteristik geografis Indonesia sebagai negara kepulauan/maritim dan agraris serta pengaruhnya terhadap kehidupan ekonomi, sosial, budaya, komunikasi, serta transportasi.</v>
      </c>
      <c r="AB12" s="256"/>
      <c r="AC12" s="257" t="str">
        <f t="shared" si="2"/>
        <v xml:space="preserve"> baik  dalam Mengidentifikasi karakteristik geografis Indonesia sebagai negara kepulauan/maritim dan agraris serta pengaruhnya terhadap kehidupan ekonomi, sosial, budaya, komunikasi, serta transportasi.</v>
      </c>
      <c r="AD12" s="257" t="str">
        <f t="shared" si="3"/>
        <v xml:space="preserve"> baik  dalam Mengidentifikasi karakteristik geografis Indonesia sebagai negara kepulauan/maritim dan agraris serta pengaruhnya terhadap kehidupan ekonomi, sosial, budaya, komunikasi, serta transportasi.</v>
      </c>
      <c r="AE12"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12" s="257" t="str">
        <f t="shared" si="7"/>
        <v xml:space="preserve"> baik  dalam Mengidentifikasi karakteristik geografis Indonesia sebagai negara kepulauan/maritim dan agraris serta pengaruhnya terhadap kehidupan ekonomi, sosial, budaya, komunikasi, serta transportasi.</v>
      </c>
      <c r="AG12" s="258" t="str">
        <f t="shared" si="8"/>
        <v xml:space="preserve"> baik  dalam Mengidentifikasi karakteristik geografis Indonesia sebagai negara kepulauan/maritim dan agraris serta pengaruhnya terhadap kehidupan ekonomi, sosial, budaya, komunikasi, serta transportasi.</v>
      </c>
      <c r="AH12" s="252" t="str">
        <f t="shared" si="9"/>
        <v>CARISSA baik  dalam Mengidentifikasi karakteristik geografis Indonesia sebagai negara kepulauan/maritim dan agraris serta pengaruhnya terhadap kehidupan ekonomi, sosial, budaya, komunikasi, serta transportasi.</v>
      </c>
      <c r="AI12" s="153"/>
      <c r="AQ12" s="469">
        <f t="shared" si="10"/>
        <v>85</v>
      </c>
    </row>
    <row r="13" spans="1:44" ht="38.25" customHeight="1">
      <c r="B13" s="142">
        <v>9</v>
      </c>
      <c r="C13" s="143" t="str">
        <f>SISWA!B14</f>
        <v>1718250040313</v>
      </c>
      <c r="D13" s="144" t="str">
        <f>SISWA!E14</f>
        <v>CHAIDAR</v>
      </c>
      <c r="E13" s="159">
        <v>87.5</v>
      </c>
      <c r="F13" s="160">
        <v>87.5</v>
      </c>
      <c r="G13" s="160">
        <v>87.5</v>
      </c>
      <c r="H13" s="160">
        <v>87.5</v>
      </c>
      <c r="I13" s="160"/>
      <c r="J13" s="159"/>
      <c r="K13" s="159"/>
      <c r="L13" s="159"/>
      <c r="M13" s="159"/>
      <c r="N13" s="159"/>
      <c r="O13" s="159"/>
      <c r="P13" s="159"/>
      <c r="Q13" s="159"/>
      <c r="R13" s="160"/>
      <c r="S13" s="160"/>
      <c r="T13" s="159"/>
      <c r="U13" s="354">
        <f t="shared" si="4"/>
        <v>88</v>
      </c>
      <c r="V13" s="355" t="str">
        <f>IF(U13&gt;KKM!$G$10,"A",IF(U13&gt;KKM!$H$10,"B",IF(U13&gt;=KKM!$I$10,"C","D")))</f>
        <v>A</v>
      </c>
      <c r="W13" s="356">
        <f t="shared" si="0"/>
        <v>87.5</v>
      </c>
      <c r="X13" s="361" t="str">
        <f>IF(W13&gt;KKM!$G$10," sangat baik ",IF(W13&gt;KKM!$H$10," baik ",IF(W13&gt;=KKM!$I$10," cukup baik "," perlu bimbingan ")))</f>
        <v xml:space="preserve"> sangat baik </v>
      </c>
      <c r="Y13" s="357">
        <f t="shared" si="1"/>
        <v>87.5</v>
      </c>
      <c r="Z13" s="361" t="str">
        <f>IF(Y13&gt;KKM!$G$10," sangat baik ",IF(Y13&gt;KKM!$H$10," baik ",IF(Y13&gt;=KKM!$I$10," cukup baik "," perlu bimbingan ")))</f>
        <v xml:space="preserve"> sangat baik </v>
      </c>
      <c r="AA13" s="353" t="str">
        <f t="shared" si="5"/>
        <v>CHAIDAR sangat baik  dalam Mengidentifikasi karakteristik geografis Indonesia sebagai negara kepulauan/maritim dan agraris serta pengaruhnya terhadap kehidupan ekonomi, sosial, budaya, komunikasi, serta transportasi.</v>
      </c>
      <c r="AB13" s="256"/>
      <c r="AC13" s="257" t="str">
        <f t="shared" si="2"/>
        <v xml:space="preserve"> sangat baik  dalam Mengidentifikasi karakteristik geografis Indonesia sebagai negara kepulauan/maritim dan agraris serta pengaruhnya terhadap kehidupan ekonomi, sosial, budaya, komunikasi, serta transportasi.</v>
      </c>
      <c r="AD13" s="257" t="str">
        <f t="shared" si="3"/>
        <v xml:space="preserve"> sangat baik  dalam Mengidentifikasi karakteristik geografis Indonesia sebagai negara kepulauan/maritim dan agraris serta pengaruhnya terhadap kehidupan ekonomi, sosial, budaya, komunikasi, serta transportasi.</v>
      </c>
      <c r="AE13"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13" s="257" t="str">
        <f t="shared" si="7"/>
        <v xml:space="preserve"> sangat baik  dalam Mengidentifikasi karakteristik geografis Indonesia sebagai negara kepulauan/maritim dan agraris serta pengaruhnya terhadap kehidupan ekonomi, sosial, budaya, komunikasi, serta transportasi.</v>
      </c>
      <c r="AG13" s="258" t="str">
        <f t="shared" si="8"/>
        <v xml:space="preserve"> sangat baik  dalam Mengidentifikasi karakteristik geografis Indonesia sebagai negara kepulauan/maritim dan agraris serta pengaruhnya terhadap kehidupan ekonomi, sosial, budaya, komunikasi, serta transportasi.</v>
      </c>
      <c r="AH13" s="252" t="str">
        <f t="shared" si="9"/>
        <v>CHAIDAR sangat baik  dalam Mengidentifikasi karakteristik geografis Indonesia sebagai negara kepulauan/maritim dan agraris serta pengaruhnya terhadap kehidupan ekonomi, sosial, budaya, komunikasi, serta transportasi.</v>
      </c>
      <c r="AI13" s="153"/>
      <c r="AQ13" s="469">
        <f t="shared" si="10"/>
        <v>88</v>
      </c>
    </row>
    <row r="14" spans="1:44" ht="38.25" customHeight="1">
      <c r="B14" s="142">
        <v>10</v>
      </c>
      <c r="C14" s="143" t="str">
        <f>SISWA!B15</f>
        <v>1718250040314</v>
      </c>
      <c r="D14" s="144" t="str">
        <f>SISWA!E15</f>
        <v>DAVKA</v>
      </c>
      <c r="E14" s="159">
        <v>90</v>
      </c>
      <c r="F14" s="160">
        <v>90</v>
      </c>
      <c r="G14" s="160">
        <v>90</v>
      </c>
      <c r="H14" s="160">
        <v>90</v>
      </c>
      <c r="I14" s="160"/>
      <c r="J14" s="159"/>
      <c r="K14" s="159"/>
      <c r="L14" s="159"/>
      <c r="M14" s="159"/>
      <c r="N14" s="159"/>
      <c r="O14" s="159"/>
      <c r="P14" s="159"/>
      <c r="Q14" s="159"/>
      <c r="R14" s="160"/>
      <c r="S14" s="160"/>
      <c r="T14" s="159"/>
      <c r="U14" s="354">
        <f t="shared" si="4"/>
        <v>90</v>
      </c>
      <c r="V14" s="355" t="str">
        <f>IF(U14&gt;KKM!$G$10,"A",IF(U14&gt;KKM!$H$10,"B",IF(U14&gt;=KKM!$I$10,"C","D")))</f>
        <v>A</v>
      </c>
      <c r="W14" s="356">
        <f t="shared" si="0"/>
        <v>90</v>
      </c>
      <c r="X14" s="361" t="str">
        <f>IF(W14&gt;KKM!$G$10," sangat baik ",IF(W14&gt;KKM!$H$10," baik ",IF(W14&gt;=KKM!$I$10," cukup baik "," perlu bimbingan ")))</f>
        <v xml:space="preserve"> sangat baik </v>
      </c>
      <c r="Y14" s="357">
        <f t="shared" si="1"/>
        <v>90</v>
      </c>
      <c r="Z14" s="361" t="str">
        <f>IF(Y14&gt;KKM!$G$10," sangat baik ",IF(Y14&gt;KKM!$H$10," baik ",IF(Y14&gt;=KKM!$I$10," cukup baik "," perlu bimbingan ")))</f>
        <v xml:space="preserve"> sangat baik </v>
      </c>
      <c r="AA14" s="353" t="str">
        <f t="shared" si="5"/>
        <v>DAVKA sangat baik  dalam Mengidentifikasi karakteristik geografis Indonesia sebagai negara kepulauan/maritim dan agraris serta pengaruhnya terhadap kehidupan ekonomi, sosial, budaya, komunikasi, serta transportasi.</v>
      </c>
      <c r="AB14" s="256"/>
      <c r="AC14" s="257" t="str">
        <f t="shared" si="2"/>
        <v xml:space="preserve"> sangat baik  dalam Mengidentifikasi karakteristik geografis Indonesia sebagai negara kepulauan/maritim dan agraris serta pengaruhnya terhadap kehidupan ekonomi, sosial, budaya, komunikasi, serta transportasi.</v>
      </c>
      <c r="AD14" s="257" t="str">
        <f t="shared" si="3"/>
        <v xml:space="preserve"> sangat baik  dalam Mengidentifikasi karakteristik geografis Indonesia sebagai negara kepulauan/maritim dan agraris serta pengaruhnya terhadap kehidupan ekonomi, sosial, budaya, komunikasi, serta transportasi.</v>
      </c>
      <c r="AE14"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14" s="257" t="str">
        <f t="shared" si="7"/>
        <v xml:space="preserve"> sangat baik  dalam Mengidentifikasi karakteristik geografis Indonesia sebagai negara kepulauan/maritim dan agraris serta pengaruhnya terhadap kehidupan ekonomi, sosial, budaya, komunikasi, serta transportasi.</v>
      </c>
      <c r="AG14" s="258" t="str">
        <f t="shared" si="8"/>
        <v xml:space="preserve"> sangat baik  dalam Mengidentifikasi karakteristik geografis Indonesia sebagai negara kepulauan/maritim dan agraris serta pengaruhnya terhadap kehidupan ekonomi, sosial, budaya, komunikasi, serta transportasi.</v>
      </c>
      <c r="AH14" s="252" t="str">
        <f t="shared" si="9"/>
        <v>DAVKA sangat baik  dalam Mengidentifikasi karakteristik geografis Indonesia sebagai negara kepulauan/maritim dan agraris serta pengaruhnya terhadap kehidupan ekonomi, sosial, budaya, komunikasi, serta transportasi.</v>
      </c>
      <c r="AI14" s="153"/>
      <c r="AQ14" s="469">
        <f t="shared" si="10"/>
        <v>90</v>
      </c>
    </row>
    <row r="15" spans="1:44" ht="38.25" customHeight="1">
      <c r="B15" s="142">
        <v>11</v>
      </c>
      <c r="C15" s="143" t="str">
        <f>SISWA!B16</f>
        <v>1718250040315</v>
      </c>
      <c r="D15" s="144" t="str">
        <f>SISWA!E16</f>
        <v>DZIBRIL</v>
      </c>
      <c r="E15" s="159">
        <v>77.5</v>
      </c>
      <c r="F15" s="160">
        <v>77.5</v>
      </c>
      <c r="G15" s="160">
        <v>77.5</v>
      </c>
      <c r="H15" s="160">
        <v>77.5</v>
      </c>
      <c r="I15" s="160"/>
      <c r="J15" s="159"/>
      <c r="K15" s="159"/>
      <c r="L15" s="159"/>
      <c r="M15" s="159"/>
      <c r="N15" s="159"/>
      <c r="O15" s="159"/>
      <c r="P15" s="159"/>
      <c r="Q15" s="159"/>
      <c r="R15" s="160"/>
      <c r="S15" s="160"/>
      <c r="T15" s="159"/>
      <c r="U15" s="354">
        <f t="shared" si="4"/>
        <v>78</v>
      </c>
      <c r="V15" s="355" t="str">
        <f>IF(U15&gt;KKM!$G$10,"A",IF(U15&gt;KKM!$H$10,"B",IF(U15&gt;=KKM!$I$10,"C","D")))</f>
        <v>B</v>
      </c>
      <c r="W15" s="356">
        <f t="shared" si="0"/>
        <v>77.5</v>
      </c>
      <c r="X15" s="361" t="str">
        <f>IF(W15&gt;KKM!$G$10," sangat baik ",IF(W15&gt;KKM!$H$10," baik ",IF(W15&gt;=KKM!$I$10," cukup baik "," perlu bimbingan ")))</f>
        <v xml:space="preserve"> baik </v>
      </c>
      <c r="Y15" s="357">
        <f t="shared" si="1"/>
        <v>77.5</v>
      </c>
      <c r="Z15" s="361" t="str">
        <f>IF(Y15&gt;KKM!$G$10," sangat baik ",IF(Y15&gt;KKM!$H$10," baik ",IF(Y15&gt;=KKM!$I$10," cukup baik "," perlu bimbingan ")))</f>
        <v xml:space="preserve"> baik </v>
      </c>
      <c r="AA15" s="353" t="str">
        <f t="shared" si="5"/>
        <v>DZIBRIL baik  dalam Mengidentifikasi karakteristik geografis Indonesia sebagai negara kepulauan/maritim dan agraris serta pengaruhnya terhadap kehidupan ekonomi, sosial, budaya, komunikasi, serta transportasi.</v>
      </c>
      <c r="AB15" s="256"/>
      <c r="AC15" s="257" t="str">
        <f t="shared" si="2"/>
        <v xml:space="preserve"> baik  dalam Mengidentifikasi karakteristik geografis Indonesia sebagai negara kepulauan/maritim dan agraris serta pengaruhnya terhadap kehidupan ekonomi, sosial, budaya, komunikasi, serta transportasi.</v>
      </c>
      <c r="AD15" s="257" t="str">
        <f t="shared" si="3"/>
        <v xml:space="preserve"> baik  dalam Mengidentifikasi karakteristik geografis Indonesia sebagai negara kepulauan/maritim dan agraris serta pengaruhnya terhadap kehidupan ekonomi, sosial, budaya, komunikasi, serta transportasi.</v>
      </c>
      <c r="AE15"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15" s="257" t="str">
        <f t="shared" si="7"/>
        <v xml:space="preserve"> baik  dalam Mengidentifikasi karakteristik geografis Indonesia sebagai negara kepulauan/maritim dan agraris serta pengaruhnya terhadap kehidupan ekonomi, sosial, budaya, komunikasi, serta transportasi.</v>
      </c>
      <c r="AG15" s="258" t="str">
        <f t="shared" si="8"/>
        <v xml:space="preserve"> baik  dalam Mengidentifikasi karakteristik geografis Indonesia sebagai negara kepulauan/maritim dan agraris serta pengaruhnya terhadap kehidupan ekonomi, sosial, budaya, komunikasi, serta transportasi.</v>
      </c>
      <c r="AH15" s="252" t="str">
        <f t="shared" si="9"/>
        <v>DZIBRIL baik  dalam Mengidentifikasi karakteristik geografis Indonesia sebagai negara kepulauan/maritim dan agraris serta pengaruhnya terhadap kehidupan ekonomi, sosial, budaya, komunikasi, serta transportasi.</v>
      </c>
      <c r="AI15" s="153"/>
      <c r="AQ15" s="469">
        <f t="shared" si="10"/>
        <v>78</v>
      </c>
    </row>
    <row r="16" spans="1:44" ht="38.25" customHeight="1">
      <c r="B16" s="142">
        <v>12</v>
      </c>
      <c r="C16" s="143" t="str">
        <f>SISWA!B17</f>
        <v>1718250040316</v>
      </c>
      <c r="D16" s="144" t="str">
        <f>SISWA!E17</f>
        <v>ERICHA</v>
      </c>
      <c r="E16" s="159">
        <v>90</v>
      </c>
      <c r="F16" s="160">
        <v>90</v>
      </c>
      <c r="G16" s="160">
        <v>90</v>
      </c>
      <c r="H16" s="160">
        <v>90</v>
      </c>
      <c r="I16" s="160"/>
      <c r="J16" s="159"/>
      <c r="K16" s="159"/>
      <c r="L16" s="159"/>
      <c r="M16" s="159"/>
      <c r="N16" s="159"/>
      <c r="O16" s="159"/>
      <c r="P16" s="159"/>
      <c r="Q16" s="159"/>
      <c r="R16" s="160"/>
      <c r="S16" s="160"/>
      <c r="T16" s="159"/>
      <c r="U16" s="354">
        <f t="shared" si="4"/>
        <v>90</v>
      </c>
      <c r="V16" s="355" t="str">
        <f>IF(U16&gt;KKM!$G$10,"A",IF(U16&gt;KKM!$H$10,"B",IF(U16&gt;=KKM!$I$10,"C","D")))</f>
        <v>A</v>
      </c>
      <c r="W16" s="356">
        <f t="shared" si="0"/>
        <v>90</v>
      </c>
      <c r="X16" s="361" t="str">
        <f>IF(W16&gt;KKM!$G$10," sangat baik ",IF(W16&gt;KKM!$H$10," baik ",IF(W16&gt;=KKM!$I$10," cukup baik "," perlu bimbingan ")))</f>
        <v xml:space="preserve"> sangat baik </v>
      </c>
      <c r="Y16" s="357">
        <f t="shared" si="1"/>
        <v>90</v>
      </c>
      <c r="Z16" s="361" t="str">
        <f>IF(Y16&gt;KKM!$G$10," sangat baik ",IF(Y16&gt;KKM!$H$10," baik ",IF(Y16&gt;=KKM!$I$10," cukup baik "," perlu bimbingan ")))</f>
        <v xml:space="preserve"> sangat baik </v>
      </c>
      <c r="AA16" s="353" t="str">
        <f t="shared" si="5"/>
        <v>ERICHA sangat baik  dalam Mengidentifikasi karakteristik geografis Indonesia sebagai negara kepulauan/maritim dan agraris serta pengaruhnya terhadap kehidupan ekonomi, sosial, budaya, komunikasi, serta transportasi.</v>
      </c>
      <c r="AB16" s="256"/>
      <c r="AC16" s="257" t="str">
        <f t="shared" si="2"/>
        <v xml:space="preserve"> sangat baik  dalam Mengidentifikasi karakteristik geografis Indonesia sebagai negara kepulauan/maritim dan agraris serta pengaruhnya terhadap kehidupan ekonomi, sosial, budaya, komunikasi, serta transportasi.</v>
      </c>
      <c r="AD16" s="257" t="str">
        <f t="shared" si="3"/>
        <v xml:space="preserve"> sangat baik  dalam Mengidentifikasi karakteristik geografis Indonesia sebagai negara kepulauan/maritim dan agraris serta pengaruhnya terhadap kehidupan ekonomi, sosial, budaya, komunikasi, serta transportasi.</v>
      </c>
      <c r="AE16"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16" s="257" t="str">
        <f t="shared" si="7"/>
        <v xml:space="preserve"> sangat baik  dalam Mengidentifikasi karakteristik geografis Indonesia sebagai negara kepulauan/maritim dan agraris serta pengaruhnya terhadap kehidupan ekonomi, sosial, budaya, komunikasi, serta transportasi.</v>
      </c>
      <c r="AG16" s="258" t="str">
        <f t="shared" si="8"/>
        <v xml:space="preserve"> sangat baik  dalam Mengidentifikasi karakteristik geografis Indonesia sebagai negara kepulauan/maritim dan agraris serta pengaruhnya terhadap kehidupan ekonomi, sosial, budaya, komunikasi, serta transportasi.</v>
      </c>
      <c r="AH16" s="252" t="str">
        <f t="shared" si="9"/>
        <v>ERICHA sangat baik  dalam Mengidentifikasi karakteristik geografis Indonesia sebagai negara kepulauan/maritim dan agraris serta pengaruhnya terhadap kehidupan ekonomi, sosial, budaya, komunikasi, serta transportasi.</v>
      </c>
      <c r="AI16" s="153"/>
      <c r="AQ16" s="469">
        <f t="shared" si="10"/>
        <v>90</v>
      </c>
    </row>
    <row r="17" spans="2:43" ht="38.25" customHeight="1">
      <c r="B17" s="142">
        <v>13</v>
      </c>
      <c r="C17" s="143" t="str">
        <f>SISWA!B18</f>
        <v>1718250040317</v>
      </c>
      <c r="D17" s="144" t="str">
        <f>SISWA!E18</f>
        <v>HISYAM</v>
      </c>
      <c r="E17" s="159">
        <v>87.5</v>
      </c>
      <c r="F17" s="160">
        <v>87.5</v>
      </c>
      <c r="G17" s="160">
        <v>87.5</v>
      </c>
      <c r="H17" s="160">
        <v>87.5</v>
      </c>
      <c r="I17" s="160"/>
      <c r="J17" s="159"/>
      <c r="K17" s="159"/>
      <c r="L17" s="159"/>
      <c r="M17" s="159"/>
      <c r="N17" s="159"/>
      <c r="O17" s="159"/>
      <c r="P17" s="159"/>
      <c r="Q17" s="159"/>
      <c r="R17" s="160"/>
      <c r="S17" s="160"/>
      <c r="T17" s="159"/>
      <c r="U17" s="354">
        <f t="shared" si="4"/>
        <v>88</v>
      </c>
      <c r="V17" s="355" t="str">
        <f>IF(U17&gt;KKM!$G$10,"A",IF(U17&gt;KKM!$H$10,"B",IF(U17&gt;=KKM!$I$10,"C","D")))</f>
        <v>A</v>
      </c>
      <c r="W17" s="356">
        <f t="shared" si="0"/>
        <v>87.5</v>
      </c>
      <c r="X17" s="361" t="str">
        <f>IF(W17&gt;KKM!$G$10," sangat baik ",IF(W17&gt;KKM!$H$10," baik ",IF(W17&gt;=KKM!$I$10," cukup baik "," perlu bimbingan ")))</f>
        <v xml:space="preserve"> sangat baik </v>
      </c>
      <c r="Y17" s="357">
        <f t="shared" si="1"/>
        <v>87.5</v>
      </c>
      <c r="Z17" s="361" t="str">
        <f>IF(Y17&gt;KKM!$G$10," sangat baik ",IF(Y17&gt;KKM!$H$10," baik ",IF(Y17&gt;=KKM!$I$10," cukup baik "," perlu bimbingan ")))</f>
        <v xml:space="preserve"> sangat baik </v>
      </c>
      <c r="AA17" s="353" t="str">
        <f t="shared" si="5"/>
        <v>HISYAM sangat baik  dalam Mengidentifikasi karakteristik geografis Indonesia sebagai negara kepulauan/maritim dan agraris serta pengaruhnya terhadap kehidupan ekonomi, sosial, budaya, komunikasi, serta transportasi.</v>
      </c>
      <c r="AB17" s="256"/>
      <c r="AC17" s="257" t="str">
        <f t="shared" si="2"/>
        <v xml:space="preserve"> sangat baik  dalam Mengidentifikasi karakteristik geografis Indonesia sebagai negara kepulauan/maritim dan agraris serta pengaruhnya terhadap kehidupan ekonomi, sosial, budaya, komunikasi, serta transportasi.</v>
      </c>
      <c r="AD17" s="257" t="str">
        <f t="shared" si="3"/>
        <v xml:space="preserve"> sangat baik  dalam Mengidentifikasi karakteristik geografis Indonesia sebagai negara kepulauan/maritim dan agraris serta pengaruhnya terhadap kehidupan ekonomi, sosial, budaya, komunikasi, serta transportasi.</v>
      </c>
      <c r="AE17"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17" s="257" t="str">
        <f t="shared" si="7"/>
        <v xml:space="preserve"> sangat baik  dalam Mengidentifikasi karakteristik geografis Indonesia sebagai negara kepulauan/maritim dan agraris serta pengaruhnya terhadap kehidupan ekonomi, sosial, budaya, komunikasi, serta transportasi.</v>
      </c>
      <c r="AG17" s="258" t="str">
        <f t="shared" si="8"/>
        <v xml:space="preserve"> sangat baik  dalam Mengidentifikasi karakteristik geografis Indonesia sebagai negara kepulauan/maritim dan agraris serta pengaruhnya terhadap kehidupan ekonomi, sosial, budaya, komunikasi, serta transportasi.</v>
      </c>
      <c r="AH17" s="252" t="str">
        <f t="shared" si="9"/>
        <v>HISYAM sangat baik  dalam Mengidentifikasi karakteristik geografis Indonesia sebagai negara kepulauan/maritim dan agraris serta pengaruhnya terhadap kehidupan ekonomi, sosial, budaya, komunikasi, serta transportasi.</v>
      </c>
      <c r="AI17" s="153"/>
      <c r="AQ17" s="469">
        <f t="shared" si="10"/>
        <v>88</v>
      </c>
    </row>
    <row r="18" spans="2:43" ht="38.25" customHeight="1">
      <c r="B18" s="142">
        <v>14</v>
      </c>
      <c r="C18" s="143" t="str">
        <f>SISWA!B19</f>
        <v>1718250040318</v>
      </c>
      <c r="D18" s="144" t="str">
        <f>SISWA!E19</f>
        <v>FAUZI</v>
      </c>
      <c r="E18" s="159">
        <v>87.5</v>
      </c>
      <c r="F18" s="160">
        <v>87.5</v>
      </c>
      <c r="G18" s="160">
        <v>87.5</v>
      </c>
      <c r="H18" s="160">
        <v>87.5</v>
      </c>
      <c r="I18" s="160"/>
      <c r="J18" s="159"/>
      <c r="K18" s="159"/>
      <c r="L18" s="159"/>
      <c r="M18" s="159"/>
      <c r="N18" s="159"/>
      <c r="O18" s="159"/>
      <c r="P18" s="159"/>
      <c r="Q18" s="159"/>
      <c r="R18" s="160"/>
      <c r="S18" s="160"/>
      <c r="T18" s="159"/>
      <c r="U18" s="354">
        <f t="shared" si="4"/>
        <v>88</v>
      </c>
      <c r="V18" s="355" t="str">
        <f>IF(U18&gt;KKM!$G$10,"A",IF(U18&gt;KKM!$H$10,"B",IF(U18&gt;=KKM!$I$10,"C","D")))</f>
        <v>A</v>
      </c>
      <c r="W18" s="356">
        <f t="shared" si="0"/>
        <v>87.5</v>
      </c>
      <c r="X18" s="361" t="str">
        <f>IF(W18&gt;KKM!$G$10," sangat baik ",IF(W18&gt;KKM!$H$10," baik ",IF(W18&gt;=KKM!$I$10," cukup baik "," perlu bimbingan ")))</f>
        <v xml:space="preserve"> sangat baik </v>
      </c>
      <c r="Y18" s="357">
        <f t="shared" si="1"/>
        <v>87.5</v>
      </c>
      <c r="Z18" s="361" t="str">
        <f>IF(Y18&gt;KKM!$G$10," sangat baik ",IF(Y18&gt;KKM!$H$10," baik ",IF(Y18&gt;=KKM!$I$10," cukup baik "," perlu bimbingan ")))</f>
        <v xml:space="preserve"> sangat baik </v>
      </c>
      <c r="AA18" s="353" t="str">
        <f t="shared" si="5"/>
        <v>FAUZI sangat baik  dalam Mengidentifikasi karakteristik geografis Indonesia sebagai negara kepulauan/maritim dan agraris serta pengaruhnya terhadap kehidupan ekonomi, sosial, budaya, komunikasi, serta transportasi.</v>
      </c>
      <c r="AB18" s="256"/>
      <c r="AC18" s="257" t="str">
        <f t="shared" si="2"/>
        <v xml:space="preserve"> sangat baik  dalam Mengidentifikasi karakteristik geografis Indonesia sebagai negara kepulauan/maritim dan agraris serta pengaruhnya terhadap kehidupan ekonomi, sosial, budaya, komunikasi, serta transportasi.</v>
      </c>
      <c r="AD18" s="257" t="str">
        <f t="shared" si="3"/>
        <v xml:space="preserve"> sangat baik  dalam Mengidentifikasi karakteristik geografis Indonesia sebagai negara kepulauan/maritim dan agraris serta pengaruhnya terhadap kehidupan ekonomi, sosial, budaya, komunikasi, serta transportasi.</v>
      </c>
      <c r="AE18"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18" s="257" t="str">
        <f t="shared" si="7"/>
        <v xml:space="preserve"> sangat baik  dalam Mengidentifikasi karakteristik geografis Indonesia sebagai negara kepulauan/maritim dan agraris serta pengaruhnya terhadap kehidupan ekonomi, sosial, budaya, komunikasi, serta transportasi.</v>
      </c>
      <c r="AG18" s="258" t="str">
        <f t="shared" si="8"/>
        <v xml:space="preserve"> sangat baik  dalam Mengidentifikasi karakteristik geografis Indonesia sebagai negara kepulauan/maritim dan agraris serta pengaruhnya terhadap kehidupan ekonomi, sosial, budaya, komunikasi, serta transportasi.</v>
      </c>
      <c r="AH18" s="252" t="str">
        <f t="shared" si="9"/>
        <v>FAUZI sangat baik  dalam Mengidentifikasi karakteristik geografis Indonesia sebagai negara kepulauan/maritim dan agraris serta pengaruhnya terhadap kehidupan ekonomi, sosial, budaya, komunikasi, serta transportasi.</v>
      </c>
      <c r="AI18" s="153"/>
      <c r="AQ18" s="469">
        <f t="shared" si="10"/>
        <v>88</v>
      </c>
    </row>
    <row r="19" spans="2:43" ht="38.25" customHeight="1">
      <c r="B19" s="142">
        <v>15</v>
      </c>
      <c r="C19" s="143" t="str">
        <f>SISWA!B20</f>
        <v>1718250040319</v>
      </c>
      <c r="D19" s="144" t="str">
        <f>SISWA!E20</f>
        <v>FIRLY</v>
      </c>
      <c r="E19" s="159">
        <v>87.5</v>
      </c>
      <c r="F19" s="160">
        <v>87.5</v>
      </c>
      <c r="G19" s="160">
        <v>87.5</v>
      </c>
      <c r="H19" s="160">
        <v>87.5</v>
      </c>
      <c r="I19" s="160"/>
      <c r="J19" s="159"/>
      <c r="K19" s="159"/>
      <c r="L19" s="159"/>
      <c r="M19" s="159"/>
      <c r="N19" s="159"/>
      <c r="O19" s="159"/>
      <c r="P19" s="159"/>
      <c r="Q19" s="159"/>
      <c r="R19" s="160"/>
      <c r="S19" s="160"/>
      <c r="T19" s="159"/>
      <c r="U19" s="354">
        <f t="shared" si="4"/>
        <v>88</v>
      </c>
      <c r="V19" s="355" t="str">
        <f>IF(U19&gt;KKM!$G$10,"A",IF(U19&gt;KKM!$H$10,"B",IF(U19&gt;=KKM!$I$10,"C","D")))</f>
        <v>A</v>
      </c>
      <c r="W19" s="356">
        <f t="shared" si="0"/>
        <v>87.5</v>
      </c>
      <c r="X19" s="361" t="str">
        <f>IF(W19&gt;KKM!$G$10," sangat baik ",IF(W19&gt;KKM!$H$10," baik ",IF(W19&gt;=KKM!$I$10," cukup baik "," perlu bimbingan ")))</f>
        <v xml:space="preserve"> sangat baik </v>
      </c>
      <c r="Y19" s="357">
        <f t="shared" si="1"/>
        <v>87.5</v>
      </c>
      <c r="Z19" s="361" t="str">
        <f>IF(Y19&gt;KKM!$G$10," sangat baik ",IF(Y19&gt;KKM!$H$10," baik ",IF(Y19&gt;=KKM!$I$10," cukup baik "," perlu bimbingan ")))</f>
        <v xml:space="preserve"> sangat baik </v>
      </c>
      <c r="AA19" s="353" t="str">
        <f t="shared" si="5"/>
        <v>FIRLY sangat baik  dalam Mengidentifikasi karakteristik geografis Indonesia sebagai negara kepulauan/maritim dan agraris serta pengaruhnya terhadap kehidupan ekonomi, sosial, budaya, komunikasi, serta transportasi.</v>
      </c>
      <c r="AB19" s="256"/>
      <c r="AC19" s="257" t="str">
        <f t="shared" si="2"/>
        <v xml:space="preserve"> sangat baik  dalam Mengidentifikasi karakteristik geografis Indonesia sebagai negara kepulauan/maritim dan agraris serta pengaruhnya terhadap kehidupan ekonomi, sosial, budaya, komunikasi, serta transportasi.</v>
      </c>
      <c r="AD19" s="257" t="str">
        <f t="shared" si="3"/>
        <v xml:space="preserve"> sangat baik  dalam Mengidentifikasi karakteristik geografis Indonesia sebagai negara kepulauan/maritim dan agraris serta pengaruhnya terhadap kehidupan ekonomi, sosial, budaya, komunikasi, serta transportasi.</v>
      </c>
      <c r="AE19"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19" s="257" t="str">
        <f t="shared" si="7"/>
        <v xml:space="preserve"> sangat baik  dalam Mengidentifikasi karakteristik geografis Indonesia sebagai negara kepulauan/maritim dan agraris serta pengaruhnya terhadap kehidupan ekonomi, sosial, budaya, komunikasi, serta transportasi.</v>
      </c>
      <c r="AG19" s="258" t="str">
        <f t="shared" si="8"/>
        <v xml:space="preserve"> sangat baik  dalam Mengidentifikasi karakteristik geografis Indonesia sebagai negara kepulauan/maritim dan agraris serta pengaruhnya terhadap kehidupan ekonomi, sosial, budaya, komunikasi, serta transportasi.</v>
      </c>
      <c r="AH19" s="252" t="str">
        <f t="shared" si="9"/>
        <v>FIRLY sangat baik  dalam Mengidentifikasi karakteristik geografis Indonesia sebagai negara kepulauan/maritim dan agraris serta pengaruhnya terhadap kehidupan ekonomi, sosial, budaya, komunikasi, serta transportasi.</v>
      </c>
      <c r="AI19" s="153"/>
      <c r="AQ19" s="469">
        <f t="shared" si="10"/>
        <v>88</v>
      </c>
    </row>
    <row r="20" spans="2:43" ht="38.25" customHeight="1">
      <c r="B20" s="142">
        <v>16</v>
      </c>
      <c r="C20" s="143" t="str">
        <f>SISWA!B21</f>
        <v>1718250040320</v>
      </c>
      <c r="D20" s="144" t="str">
        <f>SISWA!E21</f>
        <v>HANA</v>
      </c>
      <c r="E20" s="159">
        <v>77.5</v>
      </c>
      <c r="F20" s="160">
        <v>77.5</v>
      </c>
      <c r="G20" s="160">
        <v>77.5</v>
      </c>
      <c r="H20" s="160">
        <v>77.5</v>
      </c>
      <c r="I20" s="160"/>
      <c r="J20" s="159"/>
      <c r="K20" s="159"/>
      <c r="L20" s="159"/>
      <c r="M20" s="159"/>
      <c r="N20" s="159"/>
      <c r="O20" s="159"/>
      <c r="P20" s="159"/>
      <c r="Q20" s="159"/>
      <c r="R20" s="160"/>
      <c r="S20" s="160"/>
      <c r="T20" s="159"/>
      <c r="U20" s="354">
        <f t="shared" si="4"/>
        <v>78</v>
      </c>
      <c r="V20" s="355" t="str">
        <f>IF(U20&gt;KKM!$G$10,"A",IF(U20&gt;KKM!$H$10,"B",IF(U20&gt;=KKM!$I$10,"C","D")))</f>
        <v>B</v>
      </c>
      <c r="W20" s="356">
        <f t="shared" si="0"/>
        <v>77.5</v>
      </c>
      <c r="X20" s="361" t="str">
        <f>IF(W20&gt;KKM!$G$10," sangat baik ",IF(W20&gt;KKM!$H$10," baik ",IF(W20&gt;=KKM!$I$10," cukup baik "," perlu bimbingan ")))</f>
        <v xml:space="preserve"> baik </v>
      </c>
      <c r="Y20" s="357">
        <f t="shared" si="1"/>
        <v>77.5</v>
      </c>
      <c r="Z20" s="361" t="str">
        <f>IF(Y20&gt;KKM!$G$10," sangat baik ",IF(Y20&gt;KKM!$H$10," baik ",IF(Y20&gt;=KKM!$I$10," cukup baik "," perlu bimbingan ")))</f>
        <v xml:space="preserve"> baik </v>
      </c>
      <c r="AA20" s="353" t="str">
        <f t="shared" si="5"/>
        <v>HANA baik  dalam Mengidentifikasi karakteristik geografis Indonesia sebagai negara kepulauan/maritim dan agraris serta pengaruhnya terhadap kehidupan ekonomi, sosial, budaya, komunikasi, serta transportasi.</v>
      </c>
      <c r="AB20" s="256"/>
      <c r="AC20" s="257" t="str">
        <f t="shared" si="2"/>
        <v xml:space="preserve"> baik  dalam Mengidentifikasi karakteristik geografis Indonesia sebagai negara kepulauan/maritim dan agraris serta pengaruhnya terhadap kehidupan ekonomi, sosial, budaya, komunikasi, serta transportasi.</v>
      </c>
      <c r="AD20" s="257" t="str">
        <f t="shared" si="3"/>
        <v xml:space="preserve"> baik  dalam Mengidentifikasi karakteristik geografis Indonesia sebagai negara kepulauan/maritim dan agraris serta pengaruhnya terhadap kehidupan ekonomi, sosial, budaya, komunikasi, serta transportasi.</v>
      </c>
      <c r="AE20"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20" s="257" t="str">
        <f t="shared" si="7"/>
        <v xml:space="preserve"> baik  dalam Mengidentifikasi karakteristik geografis Indonesia sebagai negara kepulauan/maritim dan agraris serta pengaruhnya terhadap kehidupan ekonomi, sosial, budaya, komunikasi, serta transportasi.</v>
      </c>
      <c r="AG20" s="258" t="str">
        <f t="shared" si="8"/>
        <v xml:space="preserve"> baik  dalam Mengidentifikasi karakteristik geografis Indonesia sebagai negara kepulauan/maritim dan agraris serta pengaruhnya terhadap kehidupan ekonomi, sosial, budaya, komunikasi, serta transportasi.</v>
      </c>
      <c r="AH20" s="252" t="str">
        <f t="shared" si="9"/>
        <v>HANA baik  dalam Mengidentifikasi karakteristik geografis Indonesia sebagai negara kepulauan/maritim dan agraris serta pengaruhnya terhadap kehidupan ekonomi, sosial, budaya, komunikasi, serta transportasi.</v>
      </c>
      <c r="AI20" s="153"/>
      <c r="AQ20" s="469">
        <f t="shared" si="10"/>
        <v>78</v>
      </c>
    </row>
    <row r="21" spans="2:43" ht="38.25" customHeight="1">
      <c r="B21" s="142">
        <v>17</v>
      </c>
      <c r="C21" s="143" t="str">
        <f>SISWA!B22</f>
        <v>1718250040321</v>
      </c>
      <c r="D21" s="144" t="str">
        <f>SISWA!E22</f>
        <v>MALLA</v>
      </c>
      <c r="E21" s="159">
        <v>85</v>
      </c>
      <c r="F21" s="160">
        <v>85</v>
      </c>
      <c r="G21" s="160">
        <v>85</v>
      </c>
      <c r="H21" s="160">
        <v>85</v>
      </c>
      <c r="I21" s="160"/>
      <c r="J21" s="159"/>
      <c r="K21" s="159"/>
      <c r="L21" s="159"/>
      <c r="M21" s="159"/>
      <c r="N21" s="159"/>
      <c r="O21" s="159"/>
      <c r="P21" s="159"/>
      <c r="Q21" s="159"/>
      <c r="R21" s="160"/>
      <c r="S21" s="160"/>
      <c r="T21" s="159"/>
      <c r="U21" s="354">
        <f t="shared" si="4"/>
        <v>85</v>
      </c>
      <c r="V21" s="355" t="str">
        <f>IF(U21&gt;KKM!$G$10,"A",IF(U21&gt;KKM!$H$10,"B",IF(U21&gt;=KKM!$I$10,"C","D")))</f>
        <v>B</v>
      </c>
      <c r="W21" s="356">
        <f t="shared" si="0"/>
        <v>85</v>
      </c>
      <c r="X21" s="361" t="str">
        <f>IF(W21&gt;KKM!$G$10," sangat baik ",IF(W21&gt;KKM!$H$10," baik ",IF(W21&gt;=KKM!$I$10," cukup baik "," perlu bimbingan ")))</f>
        <v xml:space="preserve"> baik </v>
      </c>
      <c r="Y21" s="357">
        <f t="shared" si="1"/>
        <v>85</v>
      </c>
      <c r="Z21" s="361" t="str">
        <f>IF(Y21&gt;KKM!$G$10," sangat baik ",IF(Y21&gt;KKM!$H$10," baik ",IF(Y21&gt;=KKM!$I$10," cukup baik "," perlu bimbingan ")))</f>
        <v xml:space="preserve"> baik </v>
      </c>
      <c r="AA21" s="353" t="str">
        <f t="shared" si="5"/>
        <v>MALLA baik  dalam Mengidentifikasi karakteristik geografis Indonesia sebagai negara kepulauan/maritim dan agraris serta pengaruhnya terhadap kehidupan ekonomi, sosial, budaya, komunikasi, serta transportasi.</v>
      </c>
      <c r="AB21" s="256"/>
      <c r="AC21" s="257" t="str">
        <f t="shared" si="2"/>
        <v xml:space="preserve"> baik  dalam Mengidentifikasi karakteristik geografis Indonesia sebagai negara kepulauan/maritim dan agraris serta pengaruhnya terhadap kehidupan ekonomi, sosial, budaya, komunikasi, serta transportasi.</v>
      </c>
      <c r="AD21" s="257" t="str">
        <f t="shared" si="3"/>
        <v xml:space="preserve"> baik  dalam Mengidentifikasi karakteristik geografis Indonesia sebagai negara kepulauan/maritim dan agraris serta pengaruhnya terhadap kehidupan ekonomi, sosial, budaya, komunikasi, serta transportasi.</v>
      </c>
      <c r="AE21"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21" s="257" t="str">
        <f t="shared" si="7"/>
        <v xml:space="preserve"> baik  dalam Mengidentifikasi karakteristik geografis Indonesia sebagai negara kepulauan/maritim dan agraris serta pengaruhnya terhadap kehidupan ekonomi, sosial, budaya, komunikasi, serta transportasi.</v>
      </c>
      <c r="AG21" s="258" t="str">
        <f t="shared" si="8"/>
        <v xml:space="preserve"> baik  dalam Mengidentifikasi karakteristik geografis Indonesia sebagai negara kepulauan/maritim dan agraris serta pengaruhnya terhadap kehidupan ekonomi, sosial, budaya, komunikasi, serta transportasi.</v>
      </c>
      <c r="AH21" s="252" t="str">
        <f t="shared" si="9"/>
        <v>MALLA baik  dalam Mengidentifikasi karakteristik geografis Indonesia sebagai negara kepulauan/maritim dan agraris serta pengaruhnya terhadap kehidupan ekonomi, sosial, budaya, komunikasi, serta transportasi.</v>
      </c>
      <c r="AI21" s="153"/>
      <c r="AQ21" s="469">
        <f t="shared" si="10"/>
        <v>85</v>
      </c>
    </row>
    <row r="22" spans="2:43" ht="38.25" customHeight="1">
      <c r="B22" s="142">
        <v>18</v>
      </c>
      <c r="C22" s="143" t="str">
        <f>SISWA!B23</f>
        <v>1718250040322</v>
      </c>
      <c r="D22" s="144" t="str">
        <f>SISWA!E23</f>
        <v>INTAN</v>
      </c>
      <c r="E22" s="159">
        <v>85</v>
      </c>
      <c r="F22" s="160">
        <v>85</v>
      </c>
      <c r="G22" s="160">
        <v>85</v>
      </c>
      <c r="H22" s="160">
        <v>85</v>
      </c>
      <c r="I22" s="160"/>
      <c r="J22" s="159"/>
      <c r="K22" s="159"/>
      <c r="L22" s="159"/>
      <c r="M22" s="159"/>
      <c r="N22" s="159"/>
      <c r="O22" s="159"/>
      <c r="P22" s="159"/>
      <c r="Q22" s="159"/>
      <c r="R22" s="160"/>
      <c r="S22" s="160"/>
      <c r="T22" s="159"/>
      <c r="U22" s="354">
        <f t="shared" si="4"/>
        <v>85</v>
      </c>
      <c r="V22" s="355" t="str">
        <f>IF(U22&gt;KKM!$G$10,"A",IF(U22&gt;KKM!$H$10,"B",IF(U22&gt;=KKM!$I$10,"C","D")))</f>
        <v>B</v>
      </c>
      <c r="W22" s="356">
        <f t="shared" si="0"/>
        <v>85</v>
      </c>
      <c r="X22" s="361" t="str">
        <f>IF(W22&gt;KKM!$G$10," sangat baik ",IF(W22&gt;KKM!$H$10," baik ",IF(W22&gt;=KKM!$I$10," cukup baik "," perlu bimbingan ")))</f>
        <v xml:space="preserve"> baik </v>
      </c>
      <c r="Y22" s="357">
        <f t="shared" si="1"/>
        <v>85</v>
      </c>
      <c r="Z22" s="361" t="str">
        <f>IF(Y22&gt;KKM!$G$10," sangat baik ",IF(Y22&gt;KKM!$H$10," baik ",IF(Y22&gt;=KKM!$I$10," cukup baik "," perlu bimbingan ")))</f>
        <v xml:space="preserve"> baik </v>
      </c>
      <c r="AA22" s="353" t="str">
        <f t="shared" si="5"/>
        <v>INTAN baik  dalam Mengidentifikasi karakteristik geografis Indonesia sebagai negara kepulauan/maritim dan agraris serta pengaruhnya terhadap kehidupan ekonomi, sosial, budaya, komunikasi, serta transportasi.</v>
      </c>
      <c r="AB22" s="256"/>
      <c r="AC22" s="257" t="str">
        <f t="shared" si="2"/>
        <v xml:space="preserve"> baik  dalam Mengidentifikasi karakteristik geografis Indonesia sebagai negara kepulauan/maritim dan agraris serta pengaruhnya terhadap kehidupan ekonomi, sosial, budaya, komunikasi, serta transportasi.</v>
      </c>
      <c r="AD22" s="257" t="str">
        <f t="shared" si="3"/>
        <v xml:space="preserve"> baik  dalam Mengidentifikasi karakteristik geografis Indonesia sebagai negara kepulauan/maritim dan agraris serta pengaruhnya terhadap kehidupan ekonomi, sosial, budaya, komunikasi, serta transportasi.</v>
      </c>
      <c r="AE22"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22" s="257" t="str">
        <f t="shared" si="7"/>
        <v xml:space="preserve"> baik  dalam Mengidentifikasi karakteristik geografis Indonesia sebagai negara kepulauan/maritim dan agraris serta pengaruhnya terhadap kehidupan ekonomi, sosial, budaya, komunikasi, serta transportasi.</v>
      </c>
      <c r="AG22" s="258" t="str">
        <f t="shared" si="8"/>
        <v xml:space="preserve"> baik  dalam Mengidentifikasi karakteristik geografis Indonesia sebagai negara kepulauan/maritim dan agraris serta pengaruhnya terhadap kehidupan ekonomi, sosial, budaya, komunikasi, serta transportasi.</v>
      </c>
      <c r="AH22" s="252" t="str">
        <f t="shared" si="9"/>
        <v>INTAN baik  dalam Mengidentifikasi karakteristik geografis Indonesia sebagai negara kepulauan/maritim dan agraris serta pengaruhnya terhadap kehidupan ekonomi, sosial, budaya, komunikasi, serta transportasi.</v>
      </c>
      <c r="AI22" s="153"/>
      <c r="AQ22" s="469">
        <f t="shared" si="10"/>
        <v>85</v>
      </c>
    </row>
    <row r="23" spans="2:43" ht="38.25" customHeight="1">
      <c r="B23" s="142">
        <v>19</v>
      </c>
      <c r="C23" s="143" t="str">
        <f>SISWA!B24</f>
        <v>1718250040323</v>
      </c>
      <c r="D23" s="144" t="str">
        <f>SISWA!E24</f>
        <v>JORDY</v>
      </c>
      <c r="E23" s="159">
        <v>92.5</v>
      </c>
      <c r="F23" s="160">
        <v>92.5</v>
      </c>
      <c r="G23" s="160">
        <v>92.5</v>
      </c>
      <c r="H23" s="160">
        <v>92.5</v>
      </c>
      <c r="I23" s="160"/>
      <c r="J23" s="159"/>
      <c r="K23" s="159"/>
      <c r="L23" s="159"/>
      <c r="M23" s="159"/>
      <c r="N23" s="159"/>
      <c r="O23" s="159"/>
      <c r="P23" s="159"/>
      <c r="Q23" s="159"/>
      <c r="R23" s="160"/>
      <c r="S23" s="160"/>
      <c r="T23" s="159"/>
      <c r="U23" s="354">
        <f t="shared" si="4"/>
        <v>93</v>
      </c>
      <c r="V23" s="355" t="str">
        <f>IF(U23&gt;KKM!$G$10,"A",IF(U23&gt;KKM!$H$10,"B",IF(U23&gt;=KKM!$I$10,"C","D")))</f>
        <v>A</v>
      </c>
      <c r="W23" s="356">
        <f t="shared" si="0"/>
        <v>92.5</v>
      </c>
      <c r="X23" s="361" t="str">
        <f>IF(W23&gt;KKM!$G$10," sangat baik ",IF(W23&gt;KKM!$H$10," baik ",IF(W23&gt;=KKM!$I$10," cukup baik "," perlu bimbingan ")))</f>
        <v xml:space="preserve"> sangat baik </v>
      </c>
      <c r="Y23" s="357">
        <f t="shared" si="1"/>
        <v>92.5</v>
      </c>
      <c r="Z23" s="361" t="str">
        <f>IF(Y23&gt;KKM!$G$10," sangat baik ",IF(Y23&gt;KKM!$H$10," baik ",IF(Y23&gt;=KKM!$I$10," cukup baik "," perlu bimbingan ")))</f>
        <v xml:space="preserve"> sangat baik </v>
      </c>
      <c r="AA23" s="353" t="str">
        <f t="shared" si="5"/>
        <v>JORDY sangat baik  dalam Mengidentifikasi karakteristik geografis Indonesia sebagai negara kepulauan/maritim dan agraris serta pengaruhnya terhadap kehidupan ekonomi, sosial, budaya, komunikasi, serta transportasi.</v>
      </c>
      <c r="AB23" s="256"/>
      <c r="AC23" s="257" t="str">
        <f t="shared" si="2"/>
        <v xml:space="preserve"> sangat baik  dalam Mengidentifikasi karakteristik geografis Indonesia sebagai negara kepulauan/maritim dan agraris serta pengaruhnya terhadap kehidupan ekonomi, sosial, budaya, komunikasi, serta transportasi.</v>
      </c>
      <c r="AD23" s="257" t="str">
        <f t="shared" si="3"/>
        <v xml:space="preserve"> sangat baik  dalam Mengidentifikasi karakteristik geografis Indonesia sebagai negara kepulauan/maritim dan agraris serta pengaruhnya terhadap kehidupan ekonomi, sosial, budaya, komunikasi, serta transportasi.</v>
      </c>
      <c r="AE23"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23" s="257" t="str">
        <f t="shared" si="7"/>
        <v xml:space="preserve"> sangat baik  dalam Mengidentifikasi karakteristik geografis Indonesia sebagai negara kepulauan/maritim dan agraris serta pengaruhnya terhadap kehidupan ekonomi, sosial, budaya, komunikasi, serta transportasi.</v>
      </c>
      <c r="AG23" s="258" t="str">
        <f t="shared" si="8"/>
        <v xml:space="preserve"> sangat baik  dalam Mengidentifikasi karakteristik geografis Indonesia sebagai negara kepulauan/maritim dan agraris serta pengaruhnya terhadap kehidupan ekonomi, sosial, budaya, komunikasi, serta transportasi.</v>
      </c>
      <c r="AH23" s="252" t="str">
        <f t="shared" si="9"/>
        <v>JORDY sangat baik  dalam Mengidentifikasi karakteristik geografis Indonesia sebagai negara kepulauan/maritim dan agraris serta pengaruhnya terhadap kehidupan ekonomi, sosial, budaya, komunikasi, serta transportasi.</v>
      </c>
      <c r="AI23" s="153"/>
      <c r="AQ23" s="469">
        <f t="shared" si="10"/>
        <v>93</v>
      </c>
    </row>
    <row r="24" spans="2:43" ht="38.25" customHeight="1">
      <c r="B24" s="142">
        <v>20</v>
      </c>
      <c r="C24" s="143" t="str">
        <f>SISWA!B25</f>
        <v>1718250040324</v>
      </c>
      <c r="D24" s="144" t="str">
        <f>SISWA!E25</f>
        <v>KURNIA</v>
      </c>
      <c r="E24" s="159">
        <v>90</v>
      </c>
      <c r="F24" s="160">
        <v>90</v>
      </c>
      <c r="G24" s="160">
        <v>90</v>
      </c>
      <c r="H24" s="160">
        <v>90</v>
      </c>
      <c r="I24" s="160"/>
      <c r="J24" s="159"/>
      <c r="K24" s="159"/>
      <c r="L24" s="159"/>
      <c r="M24" s="159"/>
      <c r="N24" s="159"/>
      <c r="O24" s="159"/>
      <c r="P24" s="159"/>
      <c r="Q24" s="159"/>
      <c r="R24" s="160"/>
      <c r="S24" s="160"/>
      <c r="T24" s="159"/>
      <c r="U24" s="354">
        <f t="shared" si="4"/>
        <v>90</v>
      </c>
      <c r="V24" s="355" t="str">
        <f>IF(U24&gt;KKM!$G$10,"A",IF(U24&gt;KKM!$H$10,"B",IF(U24&gt;=KKM!$I$10,"C","D")))</f>
        <v>A</v>
      </c>
      <c r="W24" s="356">
        <f t="shared" si="0"/>
        <v>90</v>
      </c>
      <c r="X24" s="361" t="str">
        <f>IF(W24&gt;KKM!$G$10," sangat baik ",IF(W24&gt;KKM!$H$10," baik ",IF(W24&gt;=KKM!$I$10," cukup baik "," perlu bimbingan ")))</f>
        <v xml:space="preserve"> sangat baik </v>
      </c>
      <c r="Y24" s="357">
        <f t="shared" si="1"/>
        <v>90</v>
      </c>
      <c r="Z24" s="361" t="str">
        <f>IF(Y24&gt;KKM!$G$10," sangat baik ",IF(Y24&gt;KKM!$H$10," baik ",IF(Y24&gt;=KKM!$I$10," cukup baik "," perlu bimbingan ")))</f>
        <v xml:space="preserve"> sangat baik </v>
      </c>
      <c r="AA24" s="353" t="str">
        <f t="shared" si="5"/>
        <v>KURNIA sangat baik  dalam Mengidentifikasi karakteristik geografis Indonesia sebagai negara kepulauan/maritim dan agraris serta pengaruhnya terhadap kehidupan ekonomi, sosial, budaya, komunikasi, serta transportasi.</v>
      </c>
      <c r="AB24" s="256"/>
      <c r="AC24" s="257" t="str">
        <f t="shared" si="2"/>
        <v xml:space="preserve"> sangat baik  dalam Mengidentifikasi karakteristik geografis Indonesia sebagai negara kepulauan/maritim dan agraris serta pengaruhnya terhadap kehidupan ekonomi, sosial, budaya, komunikasi, serta transportasi.</v>
      </c>
      <c r="AD24" s="257" t="str">
        <f t="shared" si="3"/>
        <v xml:space="preserve"> sangat baik  dalam Mengidentifikasi karakteristik geografis Indonesia sebagai negara kepulauan/maritim dan agraris serta pengaruhnya terhadap kehidupan ekonomi, sosial, budaya, komunikasi, serta transportasi.</v>
      </c>
      <c r="AE24"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24" s="257" t="str">
        <f t="shared" si="7"/>
        <v xml:space="preserve"> sangat baik  dalam Mengidentifikasi karakteristik geografis Indonesia sebagai negara kepulauan/maritim dan agraris serta pengaruhnya terhadap kehidupan ekonomi, sosial, budaya, komunikasi, serta transportasi.</v>
      </c>
      <c r="AG24" s="258" t="str">
        <f t="shared" si="8"/>
        <v xml:space="preserve"> sangat baik  dalam Mengidentifikasi karakteristik geografis Indonesia sebagai negara kepulauan/maritim dan agraris serta pengaruhnya terhadap kehidupan ekonomi, sosial, budaya, komunikasi, serta transportasi.</v>
      </c>
      <c r="AH24" s="252" t="str">
        <f t="shared" si="9"/>
        <v>KURNIA sangat baik  dalam Mengidentifikasi karakteristik geografis Indonesia sebagai negara kepulauan/maritim dan agraris serta pengaruhnya terhadap kehidupan ekonomi, sosial, budaya, komunikasi, serta transportasi.</v>
      </c>
      <c r="AI24" s="153"/>
      <c r="AQ24" s="469">
        <f t="shared" si="10"/>
        <v>90</v>
      </c>
    </row>
    <row r="25" spans="2:43" ht="38.25" customHeight="1">
      <c r="B25" s="142">
        <v>21</v>
      </c>
      <c r="C25" s="143" t="str">
        <f>SISWA!B26</f>
        <v>1718250040325</v>
      </c>
      <c r="D25" s="144" t="str">
        <f>SISWA!E26</f>
        <v>LATIZA</v>
      </c>
      <c r="E25" s="159">
        <v>100</v>
      </c>
      <c r="F25" s="160">
        <v>100</v>
      </c>
      <c r="G25" s="160">
        <v>100</v>
      </c>
      <c r="H25" s="160">
        <v>100</v>
      </c>
      <c r="I25" s="160"/>
      <c r="J25" s="159"/>
      <c r="K25" s="159"/>
      <c r="L25" s="159"/>
      <c r="M25" s="159"/>
      <c r="N25" s="159"/>
      <c r="O25" s="159"/>
      <c r="P25" s="159"/>
      <c r="Q25" s="159"/>
      <c r="R25" s="160"/>
      <c r="S25" s="160"/>
      <c r="T25" s="159"/>
      <c r="U25" s="354">
        <f t="shared" si="4"/>
        <v>100</v>
      </c>
      <c r="V25" s="355" t="str">
        <f>IF(U25&gt;KKM!$G$10,"A",IF(U25&gt;KKM!$H$10,"B",IF(U25&gt;=KKM!$I$10,"C","D")))</f>
        <v>A</v>
      </c>
      <c r="W25" s="356">
        <f t="shared" si="0"/>
        <v>100</v>
      </c>
      <c r="X25" s="361" t="str">
        <f>IF(W25&gt;KKM!$G$10," sangat baik ",IF(W25&gt;KKM!$H$10," baik ",IF(W25&gt;=KKM!$I$10," cukup baik "," perlu bimbingan ")))</f>
        <v xml:space="preserve"> sangat baik </v>
      </c>
      <c r="Y25" s="357">
        <f t="shared" si="1"/>
        <v>100</v>
      </c>
      <c r="Z25" s="361" t="str">
        <f>IF(Y25&gt;KKM!$G$10," sangat baik ",IF(Y25&gt;KKM!$H$10," baik ",IF(Y25&gt;=KKM!$I$10," cukup baik "," perlu bimbingan ")))</f>
        <v xml:space="preserve"> sangat baik </v>
      </c>
      <c r="AA25" s="353" t="str">
        <f t="shared" si="5"/>
        <v>LATIZA sangat baik  dalam Mengidentifikasi karakteristik geografis Indonesia sebagai negara kepulauan/maritim dan agraris serta pengaruhnya terhadap kehidupan ekonomi, sosial, budaya, komunikasi, serta transportasi.</v>
      </c>
      <c r="AB25" s="256"/>
      <c r="AC25" s="257" t="str">
        <f t="shared" si="2"/>
        <v xml:space="preserve"> sangat baik  dalam Mengidentifikasi karakteristik geografis Indonesia sebagai negara kepulauan/maritim dan agraris serta pengaruhnya terhadap kehidupan ekonomi, sosial, budaya, komunikasi, serta transportasi.</v>
      </c>
      <c r="AD25" s="257" t="str">
        <f t="shared" si="3"/>
        <v xml:space="preserve"> sangat baik  dalam Mengidentifikasi karakteristik geografis Indonesia sebagai negara kepulauan/maritim dan agraris serta pengaruhnya terhadap kehidupan ekonomi, sosial, budaya, komunikasi, serta transportasi.</v>
      </c>
      <c r="AE25"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25" s="257" t="str">
        <f t="shared" si="7"/>
        <v xml:space="preserve"> sangat baik  dalam Mengidentifikasi karakteristik geografis Indonesia sebagai negara kepulauan/maritim dan agraris serta pengaruhnya terhadap kehidupan ekonomi, sosial, budaya, komunikasi, serta transportasi.</v>
      </c>
      <c r="AG25" s="258" t="str">
        <f t="shared" si="8"/>
        <v xml:space="preserve"> sangat baik  dalam Mengidentifikasi karakteristik geografis Indonesia sebagai negara kepulauan/maritim dan agraris serta pengaruhnya terhadap kehidupan ekonomi, sosial, budaya, komunikasi, serta transportasi.</v>
      </c>
      <c r="AH25" s="252" t="str">
        <f t="shared" si="9"/>
        <v>LATIZA sangat baik  dalam Mengidentifikasi karakteristik geografis Indonesia sebagai negara kepulauan/maritim dan agraris serta pengaruhnya terhadap kehidupan ekonomi, sosial, budaya, komunikasi, serta transportasi.</v>
      </c>
      <c r="AI25" s="153"/>
      <c r="AQ25" s="469">
        <f t="shared" si="10"/>
        <v>100</v>
      </c>
    </row>
    <row r="26" spans="2:43" ht="38.25" customHeight="1">
      <c r="B26" s="142">
        <v>22</v>
      </c>
      <c r="C26" s="143" t="str">
        <f>SISWA!B27</f>
        <v>1718250040326</v>
      </c>
      <c r="D26" s="144" t="str">
        <f>SISWA!E27</f>
        <v>RIZKY</v>
      </c>
      <c r="E26" s="159">
        <v>75</v>
      </c>
      <c r="F26" s="160">
        <v>75</v>
      </c>
      <c r="G26" s="160">
        <v>75</v>
      </c>
      <c r="H26" s="160">
        <v>75</v>
      </c>
      <c r="I26" s="160"/>
      <c r="J26" s="159"/>
      <c r="K26" s="159"/>
      <c r="L26" s="159"/>
      <c r="M26" s="159"/>
      <c r="N26" s="159"/>
      <c r="O26" s="159"/>
      <c r="P26" s="159"/>
      <c r="Q26" s="159"/>
      <c r="R26" s="160"/>
      <c r="S26" s="160"/>
      <c r="T26" s="159"/>
      <c r="U26" s="354">
        <f t="shared" si="4"/>
        <v>75</v>
      </c>
      <c r="V26" s="355" t="str">
        <f>IF(U26&gt;KKM!$G$10,"A",IF(U26&gt;KKM!$H$10,"B",IF(U26&gt;=KKM!$I$10,"C","D")))</f>
        <v>C</v>
      </c>
      <c r="W26" s="356">
        <f t="shared" si="0"/>
        <v>75</v>
      </c>
      <c r="X26" s="361" t="str">
        <f>IF(W26&gt;KKM!$G$10," sangat baik ",IF(W26&gt;KKM!$H$10," baik ",IF(W26&gt;=KKM!$I$10," cukup baik "," perlu bimbingan ")))</f>
        <v xml:space="preserve"> cukup baik </v>
      </c>
      <c r="Y26" s="357">
        <f t="shared" si="1"/>
        <v>75</v>
      </c>
      <c r="Z26" s="361" t="str">
        <f>IF(Y26&gt;KKM!$G$10," sangat baik ",IF(Y26&gt;KKM!$H$10," baik ",IF(Y26&gt;=KKM!$I$10," cukup baik "," perlu bimbingan ")))</f>
        <v xml:space="preserve"> cukup baik </v>
      </c>
      <c r="AA26" s="353" t="str">
        <f t="shared" si="5"/>
        <v>RIZKY cukup baik  dalam Mengidentifikasi karakteristik geografis Indonesia sebagai negara kepulauan/maritim dan agraris serta pengaruhnya terhadap kehidupan ekonomi, sosial, budaya, komunikasi, serta transportasi.</v>
      </c>
      <c r="AB26" s="256"/>
      <c r="AC26" s="257" t="str">
        <f t="shared" si="2"/>
        <v xml:space="preserve"> cukup baik  dalam Mengidentifikasi karakteristik geografis Indonesia sebagai negara kepulauan/maritim dan agraris serta pengaruhnya terhadap kehidupan ekonomi, sosial, budaya, komunikasi, serta transportasi.</v>
      </c>
      <c r="AD26" s="257" t="str">
        <f t="shared" si="3"/>
        <v xml:space="preserve"> cukup baik  dalam Mengidentifikasi karakteristik geografis Indonesia sebagai negara kepulauan/maritim dan agraris serta pengaruhnya terhadap kehidupan ekonomi, sosial, budaya, komunikasi, serta transportasi.</v>
      </c>
      <c r="AE26" s="257" t="str">
        <f t="shared" si="6"/>
        <v xml:space="preserve"> cukup baik  dalam Mengidentifikasi karakteristik geografis Indonesia sebagai negara kepulauan/maritim dan agraris serta pengaruhnya terhadap kehidupan ekonomi, sosial, budaya, komunikasi, serta transportasi., dan  cukup baik  dalam Mengidentifikasi karakteristik geografis Indonesia sebagai negara kepulauan/maritim dan agraris serta pengaruhnya terhadap kehidupan ekonomi, sosial, budaya, komunikasi, serta transportasi.</v>
      </c>
      <c r="AF26" s="257" t="str">
        <f t="shared" si="7"/>
        <v xml:space="preserve"> cukup baik  dalam Mengidentifikasi karakteristik geografis Indonesia sebagai negara kepulauan/maritim dan agraris serta pengaruhnya terhadap kehidupan ekonomi, sosial, budaya, komunikasi, serta transportasi.</v>
      </c>
      <c r="AG26" s="258" t="str">
        <f t="shared" si="8"/>
        <v xml:space="preserve"> cukup baik  dalam Mengidentifikasi karakteristik geografis Indonesia sebagai negara kepulauan/maritim dan agraris serta pengaruhnya terhadap kehidupan ekonomi, sosial, budaya, komunikasi, serta transportasi.</v>
      </c>
      <c r="AH26" s="252" t="str">
        <f t="shared" si="9"/>
        <v>RIZKY cukup baik  dalam Mengidentifikasi karakteristik geografis Indonesia sebagai negara kepulauan/maritim dan agraris serta pengaruhnya terhadap kehidupan ekonomi, sosial, budaya, komunikasi, serta transportasi.</v>
      </c>
      <c r="AI26" s="153"/>
      <c r="AQ26" s="469">
        <f t="shared" si="10"/>
        <v>75</v>
      </c>
    </row>
    <row r="27" spans="2:43" ht="38.25" customHeight="1">
      <c r="B27" s="142">
        <v>23</v>
      </c>
      <c r="C27" s="143" t="str">
        <f>SISWA!B28</f>
        <v>1718250040327</v>
      </c>
      <c r="D27" s="144" t="str">
        <f>SISWA!E28</f>
        <v>RAMADHANDANI</v>
      </c>
      <c r="E27" s="159">
        <v>92.5</v>
      </c>
      <c r="F27" s="160">
        <v>92.5</v>
      </c>
      <c r="G27" s="160">
        <v>92.5</v>
      </c>
      <c r="H27" s="160">
        <v>92.5</v>
      </c>
      <c r="I27" s="160"/>
      <c r="J27" s="159"/>
      <c r="K27" s="159"/>
      <c r="L27" s="159"/>
      <c r="M27" s="159"/>
      <c r="N27" s="159"/>
      <c r="O27" s="159"/>
      <c r="P27" s="159"/>
      <c r="Q27" s="159"/>
      <c r="R27" s="160"/>
      <c r="S27" s="160"/>
      <c r="T27" s="159"/>
      <c r="U27" s="354">
        <f t="shared" si="4"/>
        <v>93</v>
      </c>
      <c r="V27" s="355" t="str">
        <f>IF(U27&gt;KKM!$G$10,"A",IF(U27&gt;KKM!$H$10,"B",IF(U27&gt;=KKM!$I$10,"C","D")))</f>
        <v>A</v>
      </c>
      <c r="W27" s="356">
        <f t="shared" si="0"/>
        <v>92.5</v>
      </c>
      <c r="X27" s="361" t="str">
        <f>IF(W27&gt;KKM!$G$10," sangat baik ",IF(W27&gt;KKM!$H$10," baik ",IF(W27&gt;=KKM!$I$10," cukup baik "," perlu bimbingan ")))</f>
        <v xml:space="preserve"> sangat baik </v>
      </c>
      <c r="Y27" s="357">
        <f t="shared" si="1"/>
        <v>92.5</v>
      </c>
      <c r="Z27" s="361" t="str">
        <f>IF(Y27&gt;KKM!$G$10," sangat baik ",IF(Y27&gt;KKM!$H$10," baik ",IF(Y27&gt;=KKM!$I$10," cukup baik "," perlu bimbingan ")))</f>
        <v xml:space="preserve"> sangat baik </v>
      </c>
      <c r="AA27" s="353" t="str">
        <f t="shared" si="5"/>
        <v>RAMADHANDANI sangat baik  dalam Mengidentifikasi karakteristik geografis Indonesia sebagai negara kepulauan/maritim dan agraris serta pengaruhnya terhadap kehidupan ekonomi, sosial, budaya, komunikasi, serta transportasi.</v>
      </c>
      <c r="AB27" s="256"/>
      <c r="AC27" s="257" t="str">
        <f t="shared" si="2"/>
        <v xml:space="preserve"> sangat baik  dalam Mengidentifikasi karakteristik geografis Indonesia sebagai negara kepulauan/maritim dan agraris serta pengaruhnya terhadap kehidupan ekonomi, sosial, budaya, komunikasi, serta transportasi.</v>
      </c>
      <c r="AD27" s="257" t="str">
        <f t="shared" si="3"/>
        <v xml:space="preserve"> sangat baik  dalam Mengidentifikasi karakteristik geografis Indonesia sebagai negara kepulauan/maritim dan agraris serta pengaruhnya terhadap kehidupan ekonomi, sosial, budaya, komunikasi, serta transportasi.</v>
      </c>
      <c r="AE27"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27" s="257" t="str">
        <f t="shared" si="7"/>
        <v xml:space="preserve"> sangat baik  dalam Mengidentifikasi karakteristik geografis Indonesia sebagai negara kepulauan/maritim dan agraris serta pengaruhnya terhadap kehidupan ekonomi, sosial, budaya, komunikasi, serta transportasi.</v>
      </c>
      <c r="AG27" s="258" t="str">
        <f t="shared" si="8"/>
        <v xml:space="preserve"> sangat baik  dalam Mengidentifikasi karakteristik geografis Indonesia sebagai negara kepulauan/maritim dan agraris serta pengaruhnya terhadap kehidupan ekonomi, sosial, budaya, komunikasi, serta transportasi.</v>
      </c>
      <c r="AH27" s="252" t="str">
        <f t="shared" si="9"/>
        <v>RAMADHANDANI sangat baik  dalam Mengidentifikasi karakteristik geografis Indonesia sebagai negara kepulauan/maritim dan agraris serta pengaruhnya terhadap kehidupan ekonomi, sosial, budaya, komunikasi, serta transportasi.</v>
      </c>
      <c r="AI27" s="153"/>
      <c r="AQ27" s="469">
        <f t="shared" si="10"/>
        <v>93</v>
      </c>
    </row>
    <row r="28" spans="2:43" ht="38.25" customHeight="1">
      <c r="B28" s="142">
        <v>24</v>
      </c>
      <c r="C28" s="143" t="str">
        <f>SISWA!B29</f>
        <v>1718250040328</v>
      </c>
      <c r="D28" s="144" t="str">
        <f>SISWA!E29</f>
        <v>SYAEPUL</v>
      </c>
      <c r="E28" s="159">
        <v>77.5</v>
      </c>
      <c r="F28" s="160">
        <v>77.5</v>
      </c>
      <c r="G28" s="160">
        <v>77.5</v>
      </c>
      <c r="H28" s="160">
        <v>77.5</v>
      </c>
      <c r="I28" s="160"/>
      <c r="J28" s="159"/>
      <c r="K28" s="159"/>
      <c r="L28" s="159"/>
      <c r="M28" s="159"/>
      <c r="N28" s="159"/>
      <c r="O28" s="159"/>
      <c r="P28" s="159"/>
      <c r="Q28" s="159"/>
      <c r="R28" s="160"/>
      <c r="S28" s="160"/>
      <c r="T28" s="159"/>
      <c r="U28" s="354">
        <f t="shared" si="4"/>
        <v>78</v>
      </c>
      <c r="V28" s="355" t="str">
        <f>IF(U28&gt;KKM!$G$10,"A",IF(U28&gt;KKM!$H$10,"B",IF(U28&gt;=KKM!$I$10,"C","D")))</f>
        <v>B</v>
      </c>
      <c r="W28" s="356">
        <f t="shared" si="0"/>
        <v>77.5</v>
      </c>
      <c r="X28" s="361" t="str">
        <f>IF(W28&gt;KKM!$G$10," sangat baik ",IF(W28&gt;KKM!$H$10," baik ",IF(W28&gt;=KKM!$I$10," cukup baik "," perlu bimbingan ")))</f>
        <v xml:space="preserve"> baik </v>
      </c>
      <c r="Y28" s="357">
        <f t="shared" si="1"/>
        <v>77.5</v>
      </c>
      <c r="Z28" s="361" t="str">
        <f>IF(Y28&gt;KKM!$G$10," sangat baik ",IF(Y28&gt;KKM!$H$10," baik ",IF(Y28&gt;=KKM!$I$10," cukup baik "," perlu bimbingan ")))</f>
        <v xml:space="preserve"> baik </v>
      </c>
      <c r="AA28" s="353" t="str">
        <f t="shared" si="5"/>
        <v>SYAEPUL baik  dalam Mengidentifikasi karakteristik geografis Indonesia sebagai negara kepulauan/maritim dan agraris serta pengaruhnya terhadap kehidupan ekonomi, sosial, budaya, komunikasi, serta transportasi.</v>
      </c>
      <c r="AB28" s="256"/>
      <c r="AC28" s="257" t="str">
        <f t="shared" si="2"/>
        <v xml:space="preserve"> baik  dalam Mengidentifikasi karakteristik geografis Indonesia sebagai negara kepulauan/maritim dan agraris serta pengaruhnya terhadap kehidupan ekonomi, sosial, budaya, komunikasi, serta transportasi.</v>
      </c>
      <c r="AD28" s="257" t="str">
        <f t="shared" si="3"/>
        <v xml:space="preserve"> baik  dalam Mengidentifikasi karakteristik geografis Indonesia sebagai negara kepulauan/maritim dan agraris serta pengaruhnya terhadap kehidupan ekonomi, sosial, budaya, komunikasi, serta transportasi.</v>
      </c>
      <c r="AE28"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28" s="257" t="str">
        <f t="shared" si="7"/>
        <v xml:space="preserve"> baik  dalam Mengidentifikasi karakteristik geografis Indonesia sebagai negara kepulauan/maritim dan agraris serta pengaruhnya terhadap kehidupan ekonomi, sosial, budaya, komunikasi, serta transportasi.</v>
      </c>
      <c r="AG28" s="258" t="str">
        <f t="shared" si="8"/>
        <v xml:space="preserve"> baik  dalam Mengidentifikasi karakteristik geografis Indonesia sebagai negara kepulauan/maritim dan agraris serta pengaruhnya terhadap kehidupan ekonomi, sosial, budaya, komunikasi, serta transportasi.</v>
      </c>
      <c r="AH28" s="252" t="str">
        <f t="shared" si="9"/>
        <v>SYAEPUL baik  dalam Mengidentifikasi karakteristik geografis Indonesia sebagai negara kepulauan/maritim dan agraris serta pengaruhnya terhadap kehidupan ekonomi, sosial, budaya, komunikasi, serta transportasi.</v>
      </c>
      <c r="AI28" s="153"/>
      <c r="AQ28" s="469">
        <f t="shared" si="10"/>
        <v>78</v>
      </c>
    </row>
    <row r="29" spans="2:43" ht="38.25" customHeight="1">
      <c r="B29" s="142">
        <v>25</v>
      </c>
      <c r="C29" s="143" t="str">
        <f>SISWA!B30</f>
        <v>1718250040329</v>
      </c>
      <c r="D29" s="144" t="str">
        <f>SISWA!E30</f>
        <v>ALIF</v>
      </c>
      <c r="E29" s="159">
        <v>90</v>
      </c>
      <c r="F29" s="160">
        <v>90</v>
      </c>
      <c r="G29" s="160">
        <v>90</v>
      </c>
      <c r="H29" s="160">
        <v>90</v>
      </c>
      <c r="I29" s="160"/>
      <c r="J29" s="159"/>
      <c r="K29" s="159"/>
      <c r="L29" s="159"/>
      <c r="M29" s="159"/>
      <c r="N29" s="159"/>
      <c r="O29" s="159"/>
      <c r="P29" s="159"/>
      <c r="Q29" s="159"/>
      <c r="R29" s="160"/>
      <c r="S29" s="160"/>
      <c r="T29" s="159"/>
      <c r="U29" s="354">
        <f t="shared" si="4"/>
        <v>90</v>
      </c>
      <c r="V29" s="355" t="str">
        <f>IF(U29&gt;KKM!$G$10,"A",IF(U29&gt;KKM!$H$10,"B",IF(U29&gt;=KKM!$I$10,"C","D")))</f>
        <v>A</v>
      </c>
      <c r="W29" s="356">
        <f t="shared" si="0"/>
        <v>90</v>
      </c>
      <c r="X29" s="361" t="str">
        <f>IF(W29&gt;KKM!$G$10," sangat baik ",IF(W29&gt;KKM!$H$10," baik ",IF(W29&gt;=KKM!$I$10," cukup baik "," perlu bimbingan ")))</f>
        <v xml:space="preserve"> sangat baik </v>
      </c>
      <c r="Y29" s="357">
        <f t="shared" si="1"/>
        <v>90</v>
      </c>
      <c r="Z29" s="361" t="str">
        <f>IF(Y29&gt;KKM!$G$10," sangat baik ",IF(Y29&gt;KKM!$H$10," baik ",IF(Y29&gt;=KKM!$I$10," cukup baik "," perlu bimbingan ")))</f>
        <v xml:space="preserve"> sangat baik </v>
      </c>
      <c r="AA29" s="353" t="str">
        <f t="shared" si="5"/>
        <v>ALIF sangat baik  dalam Mengidentifikasi karakteristik geografis Indonesia sebagai negara kepulauan/maritim dan agraris serta pengaruhnya terhadap kehidupan ekonomi, sosial, budaya, komunikasi, serta transportasi.</v>
      </c>
      <c r="AB29" s="256"/>
      <c r="AC29" s="257" t="str">
        <f t="shared" si="2"/>
        <v xml:space="preserve"> sangat baik  dalam Mengidentifikasi karakteristik geografis Indonesia sebagai negara kepulauan/maritim dan agraris serta pengaruhnya terhadap kehidupan ekonomi, sosial, budaya, komunikasi, serta transportasi.</v>
      </c>
      <c r="AD29" s="257" t="str">
        <f t="shared" si="3"/>
        <v xml:space="preserve"> sangat baik  dalam Mengidentifikasi karakteristik geografis Indonesia sebagai negara kepulauan/maritim dan agraris serta pengaruhnya terhadap kehidupan ekonomi, sosial, budaya, komunikasi, serta transportasi.</v>
      </c>
      <c r="AE29"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29" s="257" t="str">
        <f t="shared" si="7"/>
        <v xml:space="preserve"> sangat baik  dalam Mengidentifikasi karakteristik geografis Indonesia sebagai negara kepulauan/maritim dan agraris serta pengaruhnya terhadap kehidupan ekonomi, sosial, budaya, komunikasi, serta transportasi.</v>
      </c>
      <c r="AG29" s="258" t="str">
        <f t="shared" si="8"/>
        <v xml:space="preserve"> sangat baik  dalam Mengidentifikasi karakteristik geografis Indonesia sebagai negara kepulauan/maritim dan agraris serta pengaruhnya terhadap kehidupan ekonomi, sosial, budaya, komunikasi, serta transportasi.</v>
      </c>
      <c r="AH29" s="252" t="str">
        <f t="shared" si="9"/>
        <v>ALIF sangat baik  dalam Mengidentifikasi karakteristik geografis Indonesia sebagai negara kepulauan/maritim dan agraris serta pengaruhnya terhadap kehidupan ekonomi, sosial, budaya, komunikasi, serta transportasi.</v>
      </c>
      <c r="AI29" s="153"/>
      <c r="AQ29" s="469">
        <f t="shared" si="10"/>
        <v>90</v>
      </c>
    </row>
    <row r="30" spans="2:43" ht="38.25" customHeight="1">
      <c r="B30" s="142">
        <v>26</v>
      </c>
      <c r="C30" s="143" t="str">
        <f>SISWA!B31</f>
        <v>1718250040330</v>
      </c>
      <c r="D30" s="144" t="str">
        <f>SISWA!E31</f>
        <v>HIZKIEL</v>
      </c>
      <c r="E30" s="159">
        <v>87.5</v>
      </c>
      <c r="F30" s="160">
        <v>87.5</v>
      </c>
      <c r="G30" s="160">
        <v>87.5</v>
      </c>
      <c r="H30" s="160">
        <v>87.5</v>
      </c>
      <c r="I30" s="160"/>
      <c r="J30" s="159"/>
      <c r="K30" s="159"/>
      <c r="L30" s="159"/>
      <c r="M30" s="159"/>
      <c r="N30" s="159"/>
      <c r="O30" s="159"/>
      <c r="P30" s="159"/>
      <c r="Q30" s="159"/>
      <c r="R30" s="160"/>
      <c r="S30" s="160"/>
      <c r="T30" s="159"/>
      <c r="U30" s="354">
        <f t="shared" si="4"/>
        <v>88</v>
      </c>
      <c r="V30" s="355" t="str">
        <f>IF(U30&gt;KKM!$G$10,"A",IF(U30&gt;KKM!$H$10,"B",IF(U30&gt;=KKM!$I$10,"C","D")))</f>
        <v>A</v>
      </c>
      <c r="W30" s="356">
        <f t="shared" si="0"/>
        <v>87.5</v>
      </c>
      <c r="X30" s="361" t="str">
        <f>IF(W30&gt;KKM!$G$10," sangat baik ",IF(W30&gt;KKM!$H$10," baik ",IF(W30&gt;=KKM!$I$10," cukup baik "," perlu bimbingan ")))</f>
        <v xml:space="preserve"> sangat baik </v>
      </c>
      <c r="Y30" s="357">
        <f t="shared" si="1"/>
        <v>87.5</v>
      </c>
      <c r="Z30" s="361" t="str">
        <f>IF(Y30&gt;KKM!$G$10," sangat baik ",IF(Y30&gt;KKM!$H$10," baik ",IF(Y30&gt;=KKM!$I$10," cukup baik "," perlu bimbingan ")))</f>
        <v xml:space="preserve"> sangat baik </v>
      </c>
      <c r="AA30" s="353" t="str">
        <f t="shared" si="5"/>
        <v>HIZKIEL sangat baik  dalam Mengidentifikasi karakteristik geografis Indonesia sebagai negara kepulauan/maritim dan agraris serta pengaruhnya terhadap kehidupan ekonomi, sosial, budaya, komunikasi, serta transportasi.</v>
      </c>
      <c r="AB30" s="256"/>
      <c r="AC30" s="257" t="str">
        <f t="shared" si="2"/>
        <v xml:space="preserve"> sangat baik  dalam Mengidentifikasi karakteristik geografis Indonesia sebagai negara kepulauan/maritim dan agraris serta pengaruhnya terhadap kehidupan ekonomi, sosial, budaya, komunikasi, serta transportasi.</v>
      </c>
      <c r="AD30" s="257" t="str">
        <f t="shared" si="3"/>
        <v xml:space="preserve"> sangat baik  dalam Mengidentifikasi karakteristik geografis Indonesia sebagai negara kepulauan/maritim dan agraris serta pengaruhnya terhadap kehidupan ekonomi, sosial, budaya, komunikasi, serta transportasi.</v>
      </c>
      <c r="AE30"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30" s="257" t="str">
        <f t="shared" si="7"/>
        <v xml:space="preserve"> sangat baik  dalam Mengidentifikasi karakteristik geografis Indonesia sebagai negara kepulauan/maritim dan agraris serta pengaruhnya terhadap kehidupan ekonomi, sosial, budaya, komunikasi, serta transportasi.</v>
      </c>
      <c r="AG30" s="258" t="str">
        <f t="shared" si="8"/>
        <v xml:space="preserve"> sangat baik  dalam Mengidentifikasi karakteristik geografis Indonesia sebagai negara kepulauan/maritim dan agraris serta pengaruhnya terhadap kehidupan ekonomi, sosial, budaya, komunikasi, serta transportasi.</v>
      </c>
      <c r="AH30" s="252" t="str">
        <f t="shared" si="9"/>
        <v>HIZKIEL sangat baik  dalam Mengidentifikasi karakteristik geografis Indonesia sebagai negara kepulauan/maritim dan agraris serta pengaruhnya terhadap kehidupan ekonomi, sosial, budaya, komunikasi, serta transportasi.</v>
      </c>
      <c r="AI30" s="153"/>
      <c r="AQ30" s="469">
        <f t="shared" si="10"/>
        <v>88</v>
      </c>
    </row>
    <row r="31" spans="2:43" ht="38.25" customHeight="1">
      <c r="B31" s="142">
        <v>27</v>
      </c>
      <c r="C31" s="143" t="str">
        <f>SISWA!B32</f>
        <v>1718250040331</v>
      </c>
      <c r="D31" s="144" t="str">
        <f>SISWA!E32</f>
        <v>LAEL</v>
      </c>
      <c r="E31" s="159">
        <v>80</v>
      </c>
      <c r="F31" s="160">
        <v>80</v>
      </c>
      <c r="G31" s="160">
        <v>80</v>
      </c>
      <c r="H31" s="160">
        <v>80</v>
      </c>
      <c r="I31" s="160"/>
      <c r="J31" s="159"/>
      <c r="K31" s="159"/>
      <c r="L31" s="159"/>
      <c r="M31" s="159"/>
      <c r="N31" s="159"/>
      <c r="O31" s="159"/>
      <c r="P31" s="159"/>
      <c r="Q31" s="159"/>
      <c r="R31" s="160"/>
      <c r="S31" s="160"/>
      <c r="T31" s="159"/>
      <c r="U31" s="354">
        <f t="shared" si="4"/>
        <v>80</v>
      </c>
      <c r="V31" s="355" t="str">
        <f>IF(U31&gt;KKM!$G$10,"A",IF(U31&gt;KKM!$H$10,"B",IF(U31&gt;=KKM!$I$10,"C","D")))</f>
        <v>B</v>
      </c>
      <c r="W31" s="356">
        <f t="shared" si="0"/>
        <v>80</v>
      </c>
      <c r="X31" s="361" t="str">
        <f>IF(W31&gt;KKM!$G$10," sangat baik ",IF(W31&gt;KKM!$H$10," baik ",IF(W31&gt;=KKM!$I$10," cukup baik "," perlu bimbingan ")))</f>
        <v xml:space="preserve"> baik </v>
      </c>
      <c r="Y31" s="357">
        <f t="shared" si="1"/>
        <v>80</v>
      </c>
      <c r="Z31" s="361" t="str">
        <f>IF(Y31&gt;KKM!$G$10," sangat baik ",IF(Y31&gt;KKM!$H$10," baik ",IF(Y31&gt;=KKM!$I$10," cukup baik "," perlu bimbingan ")))</f>
        <v xml:space="preserve"> baik </v>
      </c>
      <c r="AA31" s="353" t="str">
        <f t="shared" si="5"/>
        <v>LAEL baik  dalam Mengidentifikasi karakteristik geografis Indonesia sebagai negara kepulauan/maritim dan agraris serta pengaruhnya terhadap kehidupan ekonomi, sosial, budaya, komunikasi, serta transportasi.</v>
      </c>
      <c r="AB31" s="256"/>
      <c r="AC31" s="257" t="str">
        <f t="shared" si="2"/>
        <v xml:space="preserve"> baik  dalam Mengidentifikasi karakteristik geografis Indonesia sebagai negara kepulauan/maritim dan agraris serta pengaruhnya terhadap kehidupan ekonomi, sosial, budaya, komunikasi, serta transportasi.</v>
      </c>
      <c r="AD31" s="257" t="str">
        <f t="shared" si="3"/>
        <v xml:space="preserve"> baik  dalam Mengidentifikasi karakteristik geografis Indonesia sebagai negara kepulauan/maritim dan agraris serta pengaruhnya terhadap kehidupan ekonomi, sosial, budaya, komunikasi, serta transportasi.</v>
      </c>
      <c r="AE31"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31" s="257" t="str">
        <f t="shared" si="7"/>
        <v xml:space="preserve"> baik  dalam Mengidentifikasi karakteristik geografis Indonesia sebagai negara kepulauan/maritim dan agraris serta pengaruhnya terhadap kehidupan ekonomi, sosial, budaya, komunikasi, serta transportasi.</v>
      </c>
      <c r="AG31" s="258" t="str">
        <f t="shared" si="8"/>
        <v xml:space="preserve"> baik  dalam Mengidentifikasi karakteristik geografis Indonesia sebagai negara kepulauan/maritim dan agraris serta pengaruhnya terhadap kehidupan ekonomi, sosial, budaya, komunikasi, serta transportasi.</v>
      </c>
      <c r="AH31" s="252" t="str">
        <f t="shared" si="9"/>
        <v>LAEL baik  dalam Mengidentifikasi karakteristik geografis Indonesia sebagai negara kepulauan/maritim dan agraris serta pengaruhnya terhadap kehidupan ekonomi, sosial, budaya, komunikasi, serta transportasi.</v>
      </c>
      <c r="AI31" s="153"/>
      <c r="AQ31" s="469">
        <f t="shared" si="10"/>
        <v>80</v>
      </c>
    </row>
    <row r="32" spans="2:43" ht="38.25" customHeight="1">
      <c r="B32" s="142">
        <v>28</v>
      </c>
      <c r="C32" s="143" t="str">
        <f>SISWA!B33</f>
        <v>1718250040332</v>
      </c>
      <c r="D32" s="144" t="str">
        <f>SISWA!E33</f>
        <v>NABIL</v>
      </c>
      <c r="E32" s="159">
        <v>82.5</v>
      </c>
      <c r="F32" s="160">
        <v>82.5</v>
      </c>
      <c r="G32" s="160">
        <v>82.5</v>
      </c>
      <c r="H32" s="160">
        <v>82.5</v>
      </c>
      <c r="I32" s="160"/>
      <c r="J32" s="159"/>
      <c r="K32" s="159"/>
      <c r="L32" s="159"/>
      <c r="M32" s="159"/>
      <c r="N32" s="159"/>
      <c r="O32" s="159"/>
      <c r="P32" s="159"/>
      <c r="Q32" s="159"/>
      <c r="R32" s="160"/>
      <c r="S32" s="160"/>
      <c r="T32" s="159"/>
      <c r="U32" s="354">
        <f t="shared" si="4"/>
        <v>83</v>
      </c>
      <c r="V32" s="355" t="str">
        <f>IF(U32&gt;KKM!$G$10,"A",IF(U32&gt;KKM!$H$10,"B",IF(U32&gt;=KKM!$I$10,"C","D")))</f>
        <v>B</v>
      </c>
      <c r="W32" s="356">
        <f t="shared" si="0"/>
        <v>82.5</v>
      </c>
      <c r="X32" s="361" t="str">
        <f>IF(W32&gt;KKM!$G$10," sangat baik ",IF(W32&gt;KKM!$H$10," baik ",IF(W32&gt;=KKM!$I$10," cukup baik "," perlu bimbingan ")))</f>
        <v xml:space="preserve"> baik </v>
      </c>
      <c r="Y32" s="357">
        <f t="shared" si="1"/>
        <v>82.5</v>
      </c>
      <c r="Z32" s="361" t="str">
        <f>IF(Y32&gt;KKM!$G$10," sangat baik ",IF(Y32&gt;KKM!$H$10," baik ",IF(Y32&gt;=KKM!$I$10," cukup baik "," perlu bimbingan ")))</f>
        <v xml:space="preserve"> baik </v>
      </c>
      <c r="AA32" s="353" t="str">
        <f t="shared" si="5"/>
        <v>NABIL baik  dalam Mengidentifikasi karakteristik geografis Indonesia sebagai negara kepulauan/maritim dan agraris serta pengaruhnya terhadap kehidupan ekonomi, sosial, budaya, komunikasi, serta transportasi.</v>
      </c>
      <c r="AB32" s="256"/>
      <c r="AC32" s="257" t="str">
        <f t="shared" si="2"/>
        <v xml:space="preserve"> baik  dalam Mengidentifikasi karakteristik geografis Indonesia sebagai negara kepulauan/maritim dan agraris serta pengaruhnya terhadap kehidupan ekonomi, sosial, budaya, komunikasi, serta transportasi.</v>
      </c>
      <c r="AD32" s="257" t="str">
        <f t="shared" si="3"/>
        <v xml:space="preserve"> baik  dalam Mengidentifikasi karakteristik geografis Indonesia sebagai negara kepulauan/maritim dan agraris serta pengaruhnya terhadap kehidupan ekonomi, sosial, budaya, komunikasi, serta transportasi.</v>
      </c>
      <c r="AE32"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32" s="257" t="str">
        <f t="shared" si="7"/>
        <v xml:space="preserve"> baik  dalam Mengidentifikasi karakteristik geografis Indonesia sebagai negara kepulauan/maritim dan agraris serta pengaruhnya terhadap kehidupan ekonomi, sosial, budaya, komunikasi, serta transportasi.</v>
      </c>
      <c r="AG32" s="258" t="str">
        <f t="shared" si="8"/>
        <v xml:space="preserve"> baik  dalam Mengidentifikasi karakteristik geografis Indonesia sebagai negara kepulauan/maritim dan agraris serta pengaruhnya terhadap kehidupan ekonomi, sosial, budaya, komunikasi, serta transportasi.</v>
      </c>
      <c r="AH32" s="252" t="str">
        <f t="shared" si="9"/>
        <v>NABIL baik  dalam Mengidentifikasi karakteristik geografis Indonesia sebagai negara kepulauan/maritim dan agraris serta pengaruhnya terhadap kehidupan ekonomi, sosial, budaya, komunikasi, serta transportasi.</v>
      </c>
      <c r="AI32" s="153"/>
      <c r="AQ32" s="469">
        <f t="shared" si="10"/>
        <v>83</v>
      </c>
    </row>
    <row r="33" spans="2:43" ht="38.25" customHeight="1">
      <c r="B33" s="142">
        <v>29</v>
      </c>
      <c r="C33" s="143" t="str">
        <f>SISWA!B34</f>
        <v>1718250040333</v>
      </c>
      <c r="D33" s="144" t="str">
        <f>SISWA!E34</f>
        <v>RASYA</v>
      </c>
      <c r="E33" s="159">
        <v>87.5</v>
      </c>
      <c r="F33" s="160">
        <v>87.5</v>
      </c>
      <c r="G33" s="160">
        <v>87.5</v>
      </c>
      <c r="H33" s="160">
        <v>87.5</v>
      </c>
      <c r="I33" s="160"/>
      <c r="J33" s="159"/>
      <c r="K33" s="159"/>
      <c r="L33" s="159"/>
      <c r="M33" s="159"/>
      <c r="N33" s="159"/>
      <c r="O33" s="159"/>
      <c r="P33" s="159"/>
      <c r="Q33" s="159"/>
      <c r="R33" s="160"/>
      <c r="S33" s="160"/>
      <c r="T33" s="159"/>
      <c r="U33" s="354">
        <f t="shared" si="4"/>
        <v>88</v>
      </c>
      <c r="V33" s="355" t="str">
        <f>IF(U33&gt;KKM!$G$10,"A",IF(U33&gt;KKM!$H$10,"B",IF(U33&gt;=KKM!$I$10,"C","D")))</f>
        <v>A</v>
      </c>
      <c r="W33" s="356">
        <f t="shared" si="0"/>
        <v>87.5</v>
      </c>
      <c r="X33" s="361" t="str">
        <f>IF(W33&gt;KKM!$G$10," sangat baik ",IF(W33&gt;KKM!$H$10," baik ",IF(W33&gt;=KKM!$I$10," cukup baik "," perlu bimbingan ")))</f>
        <v xml:space="preserve"> sangat baik </v>
      </c>
      <c r="Y33" s="357">
        <f t="shared" si="1"/>
        <v>87.5</v>
      </c>
      <c r="Z33" s="361" t="str">
        <f>IF(Y33&gt;KKM!$G$10," sangat baik ",IF(Y33&gt;KKM!$H$10," baik ",IF(Y33&gt;=KKM!$I$10," cukup baik "," perlu bimbingan ")))</f>
        <v xml:space="preserve"> sangat baik </v>
      </c>
      <c r="AA33" s="353" t="str">
        <f t="shared" si="5"/>
        <v>RASYA sangat baik  dalam Mengidentifikasi karakteristik geografis Indonesia sebagai negara kepulauan/maritim dan agraris serta pengaruhnya terhadap kehidupan ekonomi, sosial, budaya, komunikasi, serta transportasi.</v>
      </c>
      <c r="AB33" s="256"/>
      <c r="AC33" s="257" t="str">
        <f t="shared" si="2"/>
        <v xml:space="preserve"> sangat baik  dalam Mengidentifikasi karakteristik geografis Indonesia sebagai negara kepulauan/maritim dan agraris serta pengaruhnya terhadap kehidupan ekonomi, sosial, budaya, komunikasi, serta transportasi.</v>
      </c>
      <c r="AD33" s="257" t="str">
        <f t="shared" si="3"/>
        <v xml:space="preserve"> sangat baik  dalam Mengidentifikasi karakteristik geografis Indonesia sebagai negara kepulauan/maritim dan agraris serta pengaruhnya terhadap kehidupan ekonomi, sosial, budaya, komunikasi, serta transportasi.</v>
      </c>
      <c r="AE33"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33" s="257" t="str">
        <f t="shared" si="7"/>
        <v xml:space="preserve"> sangat baik  dalam Mengidentifikasi karakteristik geografis Indonesia sebagai negara kepulauan/maritim dan agraris serta pengaruhnya terhadap kehidupan ekonomi, sosial, budaya, komunikasi, serta transportasi.</v>
      </c>
      <c r="AG33" s="258" t="str">
        <f t="shared" si="8"/>
        <v xml:space="preserve"> sangat baik  dalam Mengidentifikasi karakteristik geografis Indonesia sebagai negara kepulauan/maritim dan agraris serta pengaruhnya terhadap kehidupan ekonomi, sosial, budaya, komunikasi, serta transportasi.</v>
      </c>
      <c r="AH33" s="252" t="str">
        <f t="shared" si="9"/>
        <v>RASYA sangat baik  dalam Mengidentifikasi karakteristik geografis Indonesia sebagai negara kepulauan/maritim dan agraris serta pengaruhnya terhadap kehidupan ekonomi, sosial, budaya, komunikasi, serta transportasi.</v>
      </c>
      <c r="AI33" s="153"/>
      <c r="AQ33" s="469">
        <f t="shared" si="10"/>
        <v>88</v>
      </c>
    </row>
    <row r="34" spans="2:43" ht="38.25" customHeight="1">
      <c r="B34" s="142">
        <v>30</v>
      </c>
      <c r="C34" s="143" t="str">
        <f>SISWA!B35</f>
        <v>1718250040334</v>
      </c>
      <c r="D34" s="144" t="str">
        <f>SISWA!E35</f>
        <v>RIZKI</v>
      </c>
      <c r="E34" s="159">
        <v>90</v>
      </c>
      <c r="F34" s="160">
        <v>90</v>
      </c>
      <c r="G34" s="160">
        <v>90</v>
      </c>
      <c r="H34" s="160">
        <v>90</v>
      </c>
      <c r="I34" s="160"/>
      <c r="J34" s="159"/>
      <c r="K34" s="159"/>
      <c r="L34" s="159"/>
      <c r="M34" s="159"/>
      <c r="N34" s="159"/>
      <c r="O34" s="159"/>
      <c r="P34" s="159"/>
      <c r="Q34" s="159"/>
      <c r="R34" s="160"/>
      <c r="S34" s="160"/>
      <c r="T34" s="159"/>
      <c r="U34" s="354">
        <f t="shared" si="4"/>
        <v>90</v>
      </c>
      <c r="V34" s="355" t="str">
        <f>IF(U34&gt;KKM!$G$10,"A",IF(U34&gt;KKM!$H$10,"B",IF(U34&gt;=KKM!$I$10,"C","D")))</f>
        <v>A</v>
      </c>
      <c r="W34" s="356">
        <f t="shared" si="0"/>
        <v>90</v>
      </c>
      <c r="X34" s="361" t="str">
        <f>IF(W34&gt;KKM!$G$10," sangat baik ",IF(W34&gt;KKM!$H$10," baik ",IF(W34&gt;=KKM!$I$10," cukup baik "," perlu bimbingan ")))</f>
        <v xml:space="preserve"> sangat baik </v>
      </c>
      <c r="Y34" s="357">
        <f t="shared" si="1"/>
        <v>90</v>
      </c>
      <c r="Z34" s="361" t="str">
        <f>IF(Y34&gt;KKM!$G$10," sangat baik ",IF(Y34&gt;KKM!$H$10," baik ",IF(Y34&gt;=KKM!$I$10," cukup baik "," perlu bimbingan ")))</f>
        <v xml:space="preserve"> sangat baik </v>
      </c>
      <c r="AA34" s="353" t="str">
        <f t="shared" si="5"/>
        <v>RIZKI sangat baik  dalam Mengidentifikasi karakteristik geografis Indonesia sebagai negara kepulauan/maritim dan agraris serta pengaruhnya terhadap kehidupan ekonomi, sosial, budaya, komunikasi, serta transportasi.</v>
      </c>
      <c r="AB34" s="256"/>
      <c r="AC34" s="257" t="str">
        <f t="shared" si="2"/>
        <v xml:space="preserve"> sangat baik  dalam Mengidentifikasi karakteristik geografis Indonesia sebagai negara kepulauan/maritim dan agraris serta pengaruhnya terhadap kehidupan ekonomi, sosial, budaya, komunikasi, serta transportasi.</v>
      </c>
      <c r="AD34" s="257" t="str">
        <f t="shared" si="3"/>
        <v xml:space="preserve"> sangat baik  dalam Mengidentifikasi karakteristik geografis Indonesia sebagai negara kepulauan/maritim dan agraris serta pengaruhnya terhadap kehidupan ekonomi, sosial, budaya, komunikasi, serta transportasi.</v>
      </c>
      <c r="AE34"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34" s="257" t="str">
        <f t="shared" si="7"/>
        <v xml:space="preserve"> sangat baik  dalam Mengidentifikasi karakteristik geografis Indonesia sebagai negara kepulauan/maritim dan agraris serta pengaruhnya terhadap kehidupan ekonomi, sosial, budaya, komunikasi, serta transportasi.</v>
      </c>
      <c r="AG34" s="258" t="str">
        <f t="shared" si="8"/>
        <v xml:space="preserve"> sangat baik  dalam Mengidentifikasi karakteristik geografis Indonesia sebagai negara kepulauan/maritim dan agraris serta pengaruhnya terhadap kehidupan ekonomi, sosial, budaya, komunikasi, serta transportasi.</v>
      </c>
      <c r="AH34" s="252" t="str">
        <f t="shared" si="9"/>
        <v>RIZKI sangat baik  dalam Mengidentifikasi karakteristik geografis Indonesia sebagai negara kepulauan/maritim dan agraris serta pengaruhnya terhadap kehidupan ekonomi, sosial, budaya, komunikasi, serta transportasi.</v>
      </c>
      <c r="AI34" s="153"/>
      <c r="AQ34" s="469">
        <f t="shared" si="10"/>
        <v>90</v>
      </c>
    </row>
    <row r="35" spans="2:43" ht="38.25" customHeight="1">
      <c r="B35" s="142">
        <v>31</v>
      </c>
      <c r="C35" s="143" t="str">
        <f>SISWA!B36</f>
        <v>1718250040335</v>
      </c>
      <c r="D35" s="144" t="str">
        <f>SISWA!E36</f>
        <v>SATRIA</v>
      </c>
      <c r="E35" s="159">
        <v>85</v>
      </c>
      <c r="F35" s="160">
        <v>85</v>
      </c>
      <c r="G35" s="160">
        <v>85</v>
      </c>
      <c r="H35" s="160">
        <v>85</v>
      </c>
      <c r="I35" s="160"/>
      <c r="J35" s="159"/>
      <c r="K35" s="159"/>
      <c r="L35" s="159"/>
      <c r="M35" s="159"/>
      <c r="N35" s="159"/>
      <c r="O35" s="159"/>
      <c r="P35" s="159"/>
      <c r="Q35" s="159"/>
      <c r="R35" s="160"/>
      <c r="S35" s="160"/>
      <c r="T35" s="159"/>
      <c r="U35" s="354">
        <f t="shared" si="4"/>
        <v>85</v>
      </c>
      <c r="V35" s="355" t="str">
        <f>IF(U35&gt;KKM!$G$10,"A",IF(U35&gt;KKM!$H$10,"B",IF(U35&gt;=KKM!$I$10,"C","D")))</f>
        <v>B</v>
      </c>
      <c r="W35" s="356">
        <f t="shared" si="0"/>
        <v>85</v>
      </c>
      <c r="X35" s="361" t="str">
        <f>IF(W35&gt;KKM!$G$10," sangat baik ",IF(W35&gt;KKM!$H$10," baik ",IF(W35&gt;=KKM!$I$10," cukup baik "," perlu bimbingan ")))</f>
        <v xml:space="preserve"> baik </v>
      </c>
      <c r="Y35" s="357">
        <f t="shared" si="1"/>
        <v>85</v>
      </c>
      <c r="Z35" s="361" t="str">
        <f>IF(Y35&gt;KKM!$G$10," sangat baik ",IF(Y35&gt;KKM!$H$10," baik ",IF(Y35&gt;=KKM!$I$10," cukup baik "," perlu bimbingan ")))</f>
        <v xml:space="preserve"> baik </v>
      </c>
      <c r="AA35" s="353" t="str">
        <f t="shared" si="5"/>
        <v>SATRIA baik  dalam Mengidentifikasi karakteristik geografis Indonesia sebagai negara kepulauan/maritim dan agraris serta pengaruhnya terhadap kehidupan ekonomi, sosial, budaya, komunikasi, serta transportasi.</v>
      </c>
      <c r="AB35" s="256"/>
      <c r="AC35" s="257" t="str">
        <f t="shared" si="2"/>
        <v xml:space="preserve"> baik  dalam Mengidentifikasi karakteristik geografis Indonesia sebagai negara kepulauan/maritim dan agraris serta pengaruhnya terhadap kehidupan ekonomi, sosial, budaya, komunikasi, serta transportasi.</v>
      </c>
      <c r="AD35" s="257" t="str">
        <f t="shared" si="3"/>
        <v xml:space="preserve"> baik  dalam Mengidentifikasi karakteristik geografis Indonesia sebagai negara kepulauan/maritim dan agraris serta pengaruhnya terhadap kehidupan ekonomi, sosial, budaya, komunikasi, serta transportasi.</v>
      </c>
      <c r="AE35"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35" s="257" t="str">
        <f t="shared" si="7"/>
        <v xml:space="preserve"> baik  dalam Mengidentifikasi karakteristik geografis Indonesia sebagai negara kepulauan/maritim dan agraris serta pengaruhnya terhadap kehidupan ekonomi, sosial, budaya, komunikasi, serta transportasi.</v>
      </c>
      <c r="AG35" s="258" t="str">
        <f t="shared" si="8"/>
        <v xml:space="preserve"> baik  dalam Mengidentifikasi karakteristik geografis Indonesia sebagai negara kepulauan/maritim dan agraris serta pengaruhnya terhadap kehidupan ekonomi, sosial, budaya, komunikasi, serta transportasi.</v>
      </c>
      <c r="AH35" s="252" t="str">
        <f t="shared" si="9"/>
        <v>SATRIA baik  dalam Mengidentifikasi karakteristik geografis Indonesia sebagai negara kepulauan/maritim dan agraris serta pengaruhnya terhadap kehidupan ekonomi, sosial, budaya, komunikasi, serta transportasi.</v>
      </c>
      <c r="AI35" s="153"/>
      <c r="AQ35" s="469">
        <f t="shared" si="10"/>
        <v>85</v>
      </c>
    </row>
    <row r="36" spans="2:43" ht="38.25" customHeight="1">
      <c r="B36" s="142">
        <v>32</v>
      </c>
      <c r="C36" s="143" t="str">
        <f>SISWA!B37</f>
        <v>1718250040336</v>
      </c>
      <c r="D36" s="144" t="str">
        <f>SISWA!E37</f>
        <v>NADIA</v>
      </c>
      <c r="E36" s="159">
        <v>87.5</v>
      </c>
      <c r="F36" s="160">
        <v>87.5</v>
      </c>
      <c r="G36" s="160">
        <v>87.5</v>
      </c>
      <c r="H36" s="160">
        <v>87.5</v>
      </c>
      <c r="I36" s="160"/>
      <c r="J36" s="159"/>
      <c r="K36" s="159"/>
      <c r="L36" s="159"/>
      <c r="M36" s="159"/>
      <c r="N36" s="159"/>
      <c r="O36" s="159"/>
      <c r="P36" s="159"/>
      <c r="Q36" s="159"/>
      <c r="R36" s="160"/>
      <c r="S36" s="160"/>
      <c r="T36" s="159"/>
      <c r="U36" s="354">
        <f t="shared" si="4"/>
        <v>88</v>
      </c>
      <c r="V36" s="355" t="str">
        <f>IF(U36&gt;KKM!$G$10,"A",IF(U36&gt;KKM!$H$10,"B",IF(U36&gt;=KKM!$I$10,"C","D")))</f>
        <v>A</v>
      </c>
      <c r="W36" s="356">
        <f t="shared" si="0"/>
        <v>87.5</v>
      </c>
      <c r="X36" s="361" t="str">
        <f>IF(W36&gt;KKM!$G$10," sangat baik ",IF(W36&gt;KKM!$H$10," baik ",IF(W36&gt;=KKM!$I$10," cukup baik "," perlu bimbingan ")))</f>
        <v xml:space="preserve"> sangat baik </v>
      </c>
      <c r="Y36" s="357">
        <f t="shared" si="1"/>
        <v>87.5</v>
      </c>
      <c r="Z36" s="361" t="str">
        <f>IF(Y36&gt;KKM!$G$10," sangat baik ",IF(Y36&gt;KKM!$H$10," baik ",IF(Y36&gt;=KKM!$I$10," cukup baik "," perlu bimbingan ")))</f>
        <v xml:space="preserve"> sangat baik </v>
      </c>
      <c r="AA36" s="353" t="str">
        <f t="shared" si="5"/>
        <v>NADIA sangat baik  dalam Mengidentifikasi karakteristik geografis Indonesia sebagai negara kepulauan/maritim dan agraris serta pengaruhnya terhadap kehidupan ekonomi, sosial, budaya, komunikasi, serta transportasi.</v>
      </c>
      <c r="AB36" s="256"/>
      <c r="AC36" s="257" t="str">
        <f t="shared" si="2"/>
        <v xml:space="preserve"> sangat baik  dalam Mengidentifikasi karakteristik geografis Indonesia sebagai negara kepulauan/maritim dan agraris serta pengaruhnya terhadap kehidupan ekonomi, sosial, budaya, komunikasi, serta transportasi.</v>
      </c>
      <c r="AD36" s="257" t="str">
        <f t="shared" si="3"/>
        <v xml:space="preserve"> sangat baik  dalam Mengidentifikasi karakteristik geografis Indonesia sebagai negara kepulauan/maritim dan agraris serta pengaruhnya terhadap kehidupan ekonomi, sosial, budaya, komunikasi, serta transportasi.</v>
      </c>
      <c r="AE36"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36" s="257" t="str">
        <f t="shared" si="7"/>
        <v xml:space="preserve"> sangat baik  dalam Mengidentifikasi karakteristik geografis Indonesia sebagai negara kepulauan/maritim dan agraris serta pengaruhnya terhadap kehidupan ekonomi, sosial, budaya, komunikasi, serta transportasi.</v>
      </c>
      <c r="AG36" s="258" t="str">
        <f t="shared" si="8"/>
        <v xml:space="preserve"> sangat baik  dalam Mengidentifikasi karakteristik geografis Indonesia sebagai negara kepulauan/maritim dan agraris serta pengaruhnya terhadap kehidupan ekonomi, sosial, budaya, komunikasi, serta transportasi.</v>
      </c>
      <c r="AH36" s="252" t="str">
        <f t="shared" si="9"/>
        <v>NADIA sangat baik  dalam Mengidentifikasi karakteristik geografis Indonesia sebagai negara kepulauan/maritim dan agraris serta pengaruhnya terhadap kehidupan ekonomi, sosial, budaya, komunikasi, serta transportasi.</v>
      </c>
      <c r="AI36" s="153"/>
      <c r="AQ36" s="469">
        <f t="shared" si="10"/>
        <v>88</v>
      </c>
    </row>
    <row r="37" spans="2:43" ht="38.25" customHeight="1">
      <c r="B37" s="142">
        <v>33</v>
      </c>
      <c r="C37" s="143" t="str">
        <f>SISWA!B38</f>
        <v>1718250040337</v>
      </c>
      <c r="D37" s="144" t="str">
        <f>SISWA!E38</f>
        <v>NAFILA</v>
      </c>
      <c r="E37" s="159">
        <v>82.5</v>
      </c>
      <c r="F37" s="160">
        <v>82.5</v>
      </c>
      <c r="G37" s="160">
        <v>82.5</v>
      </c>
      <c r="H37" s="160">
        <v>82.5</v>
      </c>
      <c r="I37" s="160"/>
      <c r="J37" s="159"/>
      <c r="K37" s="159"/>
      <c r="L37" s="159"/>
      <c r="M37" s="159"/>
      <c r="N37" s="159"/>
      <c r="O37" s="159"/>
      <c r="P37" s="159"/>
      <c r="Q37" s="159"/>
      <c r="R37" s="160"/>
      <c r="S37" s="160"/>
      <c r="T37" s="159"/>
      <c r="U37" s="354">
        <f t="shared" si="4"/>
        <v>83</v>
      </c>
      <c r="V37" s="355" t="str">
        <f>IF(U37&gt;KKM!$G$10,"A",IF(U37&gt;KKM!$H$10,"B",IF(U37&gt;=KKM!$I$10,"C","D")))</f>
        <v>B</v>
      </c>
      <c r="W37" s="356">
        <f t="shared" si="0"/>
        <v>82.5</v>
      </c>
      <c r="X37" s="361" t="str">
        <f>IF(W37&gt;KKM!$G$10," sangat baik ",IF(W37&gt;KKM!$H$10," baik ",IF(W37&gt;=KKM!$I$10," cukup baik "," perlu bimbingan ")))</f>
        <v xml:space="preserve"> baik </v>
      </c>
      <c r="Y37" s="357">
        <f t="shared" si="1"/>
        <v>82.5</v>
      </c>
      <c r="Z37" s="361" t="str">
        <f>IF(Y37&gt;KKM!$G$10," sangat baik ",IF(Y37&gt;KKM!$H$10," baik ",IF(Y37&gt;=KKM!$I$10," cukup baik "," perlu bimbingan ")))</f>
        <v xml:space="preserve"> baik </v>
      </c>
      <c r="AA37" s="353" t="str">
        <f t="shared" si="5"/>
        <v>NAFILA baik  dalam Mengidentifikasi karakteristik geografis Indonesia sebagai negara kepulauan/maritim dan agraris serta pengaruhnya terhadap kehidupan ekonomi, sosial, budaya, komunikasi, serta transportasi.</v>
      </c>
      <c r="AB37" s="256"/>
      <c r="AC37" s="257" t="str">
        <f t="shared" si="2"/>
        <v xml:space="preserve"> baik  dalam Mengidentifikasi karakteristik geografis Indonesia sebagai negara kepulauan/maritim dan agraris serta pengaruhnya terhadap kehidupan ekonomi, sosial, budaya, komunikasi, serta transportasi.</v>
      </c>
      <c r="AD37" s="257" t="str">
        <f t="shared" si="3"/>
        <v xml:space="preserve"> baik  dalam Mengidentifikasi karakteristik geografis Indonesia sebagai negara kepulauan/maritim dan agraris serta pengaruhnya terhadap kehidupan ekonomi, sosial, budaya, komunikasi, serta transportasi.</v>
      </c>
      <c r="AE37"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37" s="257" t="str">
        <f t="shared" si="7"/>
        <v xml:space="preserve"> baik  dalam Mengidentifikasi karakteristik geografis Indonesia sebagai negara kepulauan/maritim dan agraris serta pengaruhnya terhadap kehidupan ekonomi, sosial, budaya, komunikasi, serta transportasi.</v>
      </c>
      <c r="AG37" s="258" t="str">
        <f t="shared" si="8"/>
        <v xml:space="preserve"> baik  dalam Mengidentifikasi karakteristik geografis Indonesia sebagai negara kepulauan/maritim dan agraris serta pengaruhnya terhadap kehidupan ekonomi, sosial, budaya, komunikasi, serta transportasi.</v>
      </c>
      <c r="AH37" s="252" t="str">
        <f t="shared" si="9"/>
        <v>NAFILA baik  dalam Mengidentifikasi karakteristik geografis Indonesia sebagai negara kepulauan/maritim dan agraris serta pengaruhnya terhadap kehidupan ekonomi, sosial, budaya, komunikasi, serta transportasi.</v>
      </c>
      <c r="AI37" s="153"/>
      <c r="AQ37" s="469">
        <f t="shared" si="10"/>
        <v>83</v>
      </c>
    </row>
    <row r="38" spans="2:43" ht="38.25" customHeight="1">
      <c r="B38" s="142">
        <v>34</v>
      </c>
      <c r="C38" s="143" t="str">
        <f>SISWA!B39</f>
        <v>1718250040338</v>
      </c>
      <c r="D38" s="144" t="str">
        <f>SISWA!E39</f>
        <v>NAZZALA</v>
      </c>
      <c r="E38" s="159">
        <v>82.5</v>
      </c>
      <c r="F38" s="160">
        <v>82.5</v>
      </c>
      <c r="G38" s="160">
        <v>82.5</v>
      </c>
      <c r="H38" s="160">
        <v>82.5</v>
      </c>
      <c r="I38" s="160"/>
      <c r="J38" s="159"/>
      <c r="K38" s="159"/>
      <c r="L38" s="159"/>
      <c r="M38" s="159"/>
      <c r="N38" s="159"/>
      <c r="O38" s="159"/>
      <c r="P38" s="159"/>
      <c r="Q38" s="159"/>
      <c r="R38" s="160"/>
      <c r="S38" s="160"/>
      <c r="T38" s="159"/>
      <c r="U38" s="354">
        <f t="shared" si="4"/>
        <v>83</v>
      </c>
      <c r="V38" s="355" t="str">
        <f>IF(U38&gt;KKM!$G$10,"A",IF(U38&gt;KKM!$H$10,"B",IF(U38&gt;=KKM!$I$10,"C","D")))</f>
        <v>B</v>
      </c>
      <c r="W38" s="356">
        <f t="shared" si="0"/>
        <v>82.5</v>
      </c>
      <c r="X38" s="361" t="str">
        <f>IF(W38&gt;KKM!$G$10," sangat baik ",IF(W38&gt;KKM!$H$10," baik ",IF(W38&gt;=KKM!$I$10," cukup baik "," perlu bimbingan ")))</f>
        <v xml:space="preserve"> baik </v>
      </c>
      <c r="Y38" s="357">
        <f t="shared" si="1"/>
        <v>82.5</v>
      </c>
      <c r="Z38" s="361" t="str">
        <f>IF(Y38&gt;KKM!$G$10," sangat baik ",IF(Y38&gt;KKM!$H$10," baik ",IF(Y38&gt;=KKM!$I$10," cukup baik "," perlu bimbingan ")))</f>
        <v xml:space="preserve"> baik </v>
      </c>
      <c r="AA38" s="353" t="str">
        <f t="shared" si="5"/>
        <v>NAZZALA baik  dalam Mengidentifikasi karakteristik geografis Indonesia sebagai negara kepulauan/maritim dan agraris serta pengaruhnya terhadap kehidupan ekonomi, sosial, budaya, komunikasi, serta transportasi.</v>
      </c>
      <c r="AB38" s="256"/>
      <c r="AC38" s="257" t="str">
        <f t="shared" si="2"/>
        <v xml:space="preserve"> baik  dalam Mengidentifikasi karakteristik geografis Indonesia sebagai negara kepulauan/maritim dan agraris serta pengaruhnya terhadap kehidupan ekonomi, sosial, budaya, komunikasi, serta transportasi.</v>
      </c>
      <c r="AD38" s="257" t="str">
        <f t="shared" si="3"/>
        <v xml:space="preserve"> baik  dalam Mengidentifikasi karakteristik geografis Indonesia sebagai negara kepulauan/maritim dan agraris serta pengaruhnya terhadap kehidupan ekonomi, sosial, budaya, komunikasi, serta transportasi.</v>
      </c>
      <c r="AE38"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38" s="257" t="str">
        <f t="shared" si="7"/>
        <v xml:space="preserve"> baik  dalam Mengidentifikasi karakteristik geografis Indonesia sebagai negara kepulauan/maritim dan agraris serta pengaruhnya terhadap kehidupan ekonomi, sosial, budaya, komunikasi, serta transportasi.</v>
      </c>
      <c r="AG38" s="258" t="str">
        <f t="shared" si="8"/>
        <v xml:space="preserve"> baik  dalam Mengidentifikasi karakteristik geografis Indonesia sebagai negara kepulauan/maritim dan agraris serta pengaruhnya terhadap kehidupan ekonomi, sosial, budaya, komunikasi, serta transportasi.</v>
      </c>
      <c r="AH38" s="252" t="str">
        <f t="shared" si="9"/>
        <v>NAZZALA baik  dalam Mengidentifikasi karakteristik geografis Indonesia sebagai negara kepulauan/maritim dan agraris serta pengaruhnya terhadap kehidupan ekonomi, sosial, budaya, komunikasi, serta transportasi.</v>
      </c>
      <c r="AI38" s="153"/>
      <c r="AQ38" s="469">
        <f t="shared" si="10"/>
        <v>83</v>
      </c>
    </row>
    <row r="39" spans="2:43" ht="38.25" customHeight="1">
      <c r="B39" s="142">
        <v>35</v>
      </c>
      <c r="C39" s="143" t="str">
        <f>SISWA!B40</f>
        <v>1718250040339</v>
      </c>
      <c r="D39" s="144" t="str">
        <f>SISWA!E40</f>
        <v>RAFAREL</v>
      </c>
      <c r="E39" s="159">
        <v>77.5</v>
      </c>
      <c r="F39" s="160">
        <v>77.5</v>
      </c>
      <c r="G39" s="160">
        <v>77.5</v>
      </c>
      <c r="H39" s="160">
        <v>77.5</v>
      </c>
      <c r="I39" s="160"/>
      <c r="J39" s="159"/>
      <c r="K39" s="159"/>
      <c r="L39" s="159"/>
      <c r="M39" s="159"/>
      <c r="N39" s="159"/>
      <c r="O39" s="159"/>
      <c r="P39" s="159"/>
      <c r="Q39" s="159"/>
      <c r="R39" s="160"/>
      <c r="S39" s="160"/>
      <c r="T39" s="159"/>
      <c r="U39" s="354">
        <f t="shared" si="4"/>
        <v>78</v>
      </c>
      <c r="V39" s="355" t="str">
        <f>IF(U39&gt;KKM!$G$10,"A",IF(U39&gt;KKM!$H$10,"B",IF(U39&gt;=KKM!$I$10,"C","D")))</f>
        <v>B</v>
      </c>
      <c r="W39" s="356">
        <f t="shared" si="0"/>
        <v>77.5</v>
      </c>
      <c r="X39" s="361" t="str">
        <f>IF(W39&gt;KKM!$G$10," sangat baik ",IF(W39&gt;KKM!$H$10," baik ",IF(W39&gt;=KKM!$I$10," cukup baik "," perlu bimbingan ")))</f>
        <v xml:space="preserve"> baik </v>
      </c>
      <c r="Y39" s="357">
        <f t="shared" si="1"/>
        <v>77.5</v>
      </c>
      <c r="Z39" s="361" t="str">
        <f>IF(Y39&gt;KKM!$G$10," sangat baik ",IF(Y39&gt;KKM!$H$10," baik ",IF(Y39&gt;=KKM!$I$10," cukup baik "," perlu bimbingan ")))</f>
        <v xml:space="preserve"> baik </v>
      </c>
      <c r="AA39" s="353" t="str">
        <f t="shared" si="5"/>
        <v>RAFAREL baik  dalam Mengidentifikasi karakteristik geografis Indonesia sebagai negara kepulauan/maritim dan agraris serta pengaruhnya terhadap kehidupan ekonomi, sosial, budaya, komunikasi, serta transportasi.</v>
      </c>
      <c r="AB39" s="256"/>
      <c r="AC39" s="257" t="str">
        <f t="shared" si="2"/>
        <v xml:space="preserve"> baik  dalam Mengidentifikasi karakteristik geografis Indonesia sebagai negara kepulauan/maritim dan agraris serta pengaruhnya terhadap kehidupan ekonomi, sosial, budaya, komunikasi, serta transportasi.</v>
      </c>
      <c r="AD39" s="257" t="str">
        <f t="shared" si="3"/>
        <v xml:space="preserve"> baik  dalam Mengidentifikasi karakteristik geografis Indonesia sebagai negara kepulauan/maritim dan agraris serta pengaruhnya terhadap kehidupan ekonomi, sosial, budaya, komunikasi, serta transportasi.</v>
      </c>
      <c r="AE39"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39" s="257" t="str">
        <f t="shared" si="7"/>
        <v xml:space="preserve"> baik  dalam Mengidentifikasi karakteristik geografis Indonesia sebagai negara kepulauan/maritim dan agraris serta pengaruhnya terhadap kehidupan ekonomi, sosial, budaya, komunikasi, serta transportasi.</v>
      </c>
      <c r="AG39" s="258" t="str">
        <f t="shared" si="8"/>
        <v xml:space="preserve"> baik  dalam Mengidentifikasi karakteristik geografis Indonesia sebagai negara kepulauan/maritim dan agraris serta pengaruhnya terhadap kehidupan ekonomi, sosial, budaya, komunikasi, serta transportasi.</v>
      </c>
      <c r="AH39" s="252" t="str">
        <f t="shared" si="9"/>
        <v>RAFAREL baik  dalam Mengidentifikasi karakteristik geografis Indonesia sebagai negara kepulauan/maritim dan agraris serta pengaruhnya terhadap kehidupan ekonomi, sosial, budaya, komunikasi, serta transportasi.</v>
      </c>
      <c r="AI39" s="153"/>
      <c r="AQ39" s="469">
        <f t="shared" si="10"/>
        <v>78</v>
      </c>
    </row>
    <row r="40" spans="2:43" ht="38.25" customHeight="1">
      <c r="B40" s="142">
        <v>36</v>
      </c>
      <c r="C40" s="143" t="str">
        <f>SISWA!B41</f>
        <v>1718250040340</v>
      </c>
      <c r="D40" s="144" t="str">
        <f>SISWA!E41</f>
        <v>RAKHA</v>
      </c>
      <c r="E40" s="159">
        <v>82.5</v>
      </c>
      <c r="F40" s="160">
        <v>82.5</v>
      </c>
      <c r="G40" s="160">
        <v>82.5</v>
      </c>
      <c r="H40" s="160">
        <v>82.5</v>
      </c>
      <c r="I40" s="160"/>
      <c r="J40" s="159"/>
      <c r="K40" s="159"/>
      <c r="L40" s="159"/>
      <c r="M40" s="159"/>
      <c r="N40" s="159"/>
      <c r="O40" s="159"/>
      <c r="P40" s="159"/>
      <c r="Q40" s="159"/>
      <c r="R40" s="160"/>
      <c r="S40" s="160"/>
      <c r="T40" s="159"/>
      <c r="U40" s="354">
        <f t="shared" si="4"/>
        <v>83</v>
      </c>
      <c r="V40" s="355" t="str">
        <f>IF(U40&gt;KKM!$G$10,"A",IF(U40&gt;KKM!$H$10,"B",IF(U40&gt;=KKM!$I$10,"C","D")))</f>
        <v>B</v>
      </c>
      <c r="W40" s="356">
        <f t="shared" si="0"/>
        <v>82.5</v>
      </c>
      <c r="X40" s="361" t="str">
        <f>IF(W40&gt;KKM!$G$10," sangat baik ",IF(W40&gt;KKM!$H$10," baik ",IF(W40&gt;=KKM!$I$10," cukup baik "," perlu bimbingan ")))</f>
        <v xml:space="preserve"> baik </v>
      </c>
      <c r="Y40" s="357">
        <f t="shared" si="1"/>
        <v>82.5</v>
      </c>
      <c r="Z40" s="361" t="str">
        <f>IF(Y40&gt;KKM!$G$10," sangat baik ",IF(Y40&gt;KKM!$H$10," baik ",IF(Y40&gt;=KKM!$I$10," cukup baik "," perlu bimbingan ")))</f>
        <v xml:space="preserve"> baik </v>
      </c>
      <c r="AA40" s="353" t="str">
        <f t="shared" si="5"/>
        <v>RAKHA baik  dalam Mengidentifikasi karakteristik geografis Indonesia sebagai negara kepulauan/maritim dan agraris serta pengaruhnya terhadap kehidupan ekonomi, sosial, budaya, komunikasi, serta transportasi.</v>
      </c>
      <c r="AB40" s="256"/>
      <c r="AC40" s="257" t="str">
        <f t="shared" si="2"/>
        <v xml:space="preserve"> baik  dalam Mengidentifikasi karakteristik geografis Indonesia sebagai negara kepulauan/maritim dan agraris serta pengaruhnya terhadap kehidupan ekonomi, sosial, budaya, komunikasi, serta transportasi.</v>
      </c>
      <c r="AD40" s="257" t="str">
        <f t="shared" si="3"/>
        <v xml:space="preserve"> baik  dalam Mengidentifikasi karakteristik geografis Indonesia sebagai negara kepulauan/maritim dan agraris serta pengaruhnya terhadap kehidupan ekonomi, sosial, budaya, komunikasi, serta transportasi.</v>
      </c>
      <c r="AE40"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40" s="257" t="str">
        <f t="shared" si="7"/>
        <v xml:space="preserve"> baik  dalam Mengidentifikasi karakteristik geografis Indonesia sebagai negara kepulauan/maritim dan agraris serta pengaruhnya terhadap kehidupan ekonomi, sosial, budaya, komunikasi, serta transportasi.</v>
      </c>
      <c r="AG40" s="258" t="str">
        <f t="shared" si="8"/>
        <v xml:space="preserve"> baik  dalam Mengidentifikasi karakteristik geografis Indonesia sebagai negara kepulauan/maritim dan agraris serta pengaruhnya terhadap kehidupan ekonomi, sosial, budaya, komunikasi, serta transportasi.</v>
      </c>
      <c r="AH40" s="252" t="str">
        <f t="shared" si="9"/>
        <v>RAKHA baik  dalam Mengidentifikasi karakteristik geografis Indonesia sebagai negara kepulauan/maritim dan agraris serta pengaruhnya terhadap kehidupan ekonomi, sosial, budaya, komunikasi, serta transportasi.</v>
      </c>
      <c r="AI40" s="153"/>
      <c r="AQ40" s="469">
        <f t="shared" si="10"/>
        <v>83</v>
      </c>
    </row>
    <row r="41" spans="2:43" ht="38.25" customHeight="1">
      <c r="B41" s="142">
        <v>37</v>
      </c>
      <c r="C41" s="143" t="str">
        <f>SISWA!B42</f>
        <v>1718250040341</v>
      </c>
      <c r="D41" s="144" t="str">
        <f>SISWA!E42</f>
        <v>RYU</v>
      </c>
      <c r="E41" s="159">
        <v>72.5</v>
      </c>
      <c r="F41" s="160">
        <v>72.5</v>
      </c>
      <c r="G41" s="160">
        <v>72.5</v>
      </c>
      <c r="H41" s="160">
        <v>72.5</v>
      </c>
      <c r="I41" s="160"/>
      <c r="J41" s="159"/>
      <c r="K41" s="159"/>
      <c r="L41" s="159"/>
      <c r="M41" s="159"/>
      <c r="N41" s="159"/>
      <c r="O41" s="159"/>
      <c r="P41" s="159"/>
      <c r="Q41" s="159"/>
      <c r="R41" s="160"/>
      <c r="S41" s="160"/>
      <c r="T41" s="159"/>
      <c r="U41" s="354">
        <f t="shared" si="4"/>
        <v>73</v>
      </c>
      <c r="V41" s="355" t="str">
        <f>IF(U41&gt;KKM!$G$10,"A",IF(U41&gt;KKM!$H$10,"B",IF(U41&gt;=KKM!$I$10,"C","D")))</f>
        <v>C</v>
      </c>
      <c r="W41" s="356">
        <f t="shared" si="0"/>
        <v>72.5</v>
      </c>
      <c r="X41" s="361" t="str">
        <f>IF(W41&gt;KKM!$G$10," sangat baik ",IF(W41&gt;KKM!$H$10," baik ",IF(W41&gt;=KKM!$I$10," cukup baik "," perlu bimbingan ")))</f>
        <v xml:space="preserve"> cukup baik </v>
      </c>
      <c r="Y41" s="357">
        <f t="shared" si="1"/>
        <v>72.5</v>
      </c>
      <c r="Z41" s="361" t="str">
        <f>IF(Y41&gt;KKM!$G$10," sangat baik ",IF(Y41&gt;KKM!$H$10," baik ",IF(Y41&gt;=KKM!$I$10," cukup baik "," perlu bimbingan ")))</f>
        <v xml:space="preserve"> cukup baik </v>
      </c>
      <c r="AA41" s="353" t="str">
        <f t="shared" si="5"/>
        <v>RYU cukup baik  dalam Mengidentifikasi karakteristik geografis Indonesia sebagai negara kepulauan/maritim dan agraris serta pengaruhnya terhadap kehidupan ekonomi, sosial, budaya, komunikasi, serta transportasi.</v>
      </c>
      <c r="AB41" s="256"/>
      <c r="AC41" s="257" t="str">
        <f t="shared" si="2"/>
        <v xml:space="preserve"> cukup baik  dalam Mengidentifikasi karakteristik geografis Indonesia sebagai negara kepulauan/maritim dan agraris serta pengaruhnya terhadap kehidupan ekonomi, sosial, budaya, komunikasi, serta transportasi.</v>
      </c>
      <c r="AD41" s="257" t="str">
        <f t="shared" si="3"/>
        <v xml:space="preserve"> cukup baik  dalam Mengidentifikasi karakteristik geografis Indonesia sebagai negara kepulauan/maritim dan agraris serta pengaruhnya terhadap kehidupan ekonomi, sosial, budaya, komunikasi, serta transportasi.</v>
      </c>
      <c r="AE41" s="257" t="str">
        <f t="shared" si="6"/>
        <v xml:space="preserve"> cukup baik  dalam Mengidentifikasi karakteristik geografis Indonesia sebagai negara kepulauan/maritim dan agraris serta pengaruhnya terhadap kehidupan ekonomi, sosial, budaya, komunikasi, serta transportasi., dan  cukup baik  dalam Mengidentifikasi karakteristik geografis Indonesia sebagai negara kepulauan/maritim dan agraris serta pengaruhnya terhadap kehidupan ekonomi, sosial, budaya, komunikasi, serta transportasi.</v>
      </c>
      <c r="AF41" s="257" t="str">
        <f t="shared" si="7"/>
        <v xml:space="preserve"> cukup baik  dalam Mengidentifikasi karakteristik geografis Indonesia sebagai negara kepulauan/maritim dan agraris serta pengaruhnya terhadap kehidupan ekonomi, sosial, budaya, komunikasi, serta transportasi.</v>
      </c>
      <c r="AG41" s="258" t="str">
        <f t="shared" si="8"/>
        <v xml:space="preserve"> cukup baik  dalam Mengidentifikasi karakteristik geografis Indonesia sebagai negara kepulauan/maritim dan agraris serta pengaruhnya terhadap kehidupan ekonomi, sosial, budaya, komunikasi, serta transportasi.</v>
      </c>
      <c r="AH41" s="252" t="str">
        <f t="shared" si="9"/>
        <v>RYU cukup baik  dalam Mengidentifikasi karakteristik geografis Indonesia sebagai negara kepulauan/maritim dan agraris serta pengaruhnya terhadap kehidupan ekonomi, sosial, budaya, komunikasi, serta transportasi.</v>
      </c>
      <c r="AI41" s="153"/>
      <c r="AQ41" s="469">
        <f t="shared" si="10"/>
        <v>73</v>
      </c>
    </row>
    <row r="42" spans="2:43" ht="38.25" customHeight="1">
      <c r="B42" s="142">
        <v>38</v>
      </c>
      <c r="C42" s="143" t="str">
        <f>SISWA!B43</f>
        <v>1718250040342</v>
      </c>
      <c r="D42" s="144" t="str">
        <f>SISWA!E43</f>
        <v>SAEPUL</v>
      </c>
      <c r="E42" s="159">
        <v>85</v>
      </c>
      <c r="F42" s="160">
        <v>85</v>
      </c>
      <c r="G42" s="160">
        <v>85</v>
      </c>
      <c r="H42" s="160">
        <v>85</v>
      </c>
      <c r="I42" s="160"/>
      <c r="J42" s="159"/>
      <c r="K42" s="159"/>
      <c r="L42" s="159"/>
      <c r="M42" s="159"/>
      <c r="N42" s="159"/>
      <c r="O42" s="159"/>
      <c r="P42" s="159"/>
      <c r="Q42" s="159"/>
      <c r="R42" s="160"/>
      <c r="S42" s="160"/>
      <c r="T42" s="159"/>
      <c r="U42" s="354">
        <f t="shared" si="4"/>
        <v>85</v>
      </c>
      <c r="V42" s="355" t="str">
        <f>IF(U42&gt;KKM!$G$10,"A",IF(U42&gt;KKM!$H$10,"B",IF(U42&gt;=KKM!$I$10,"C","D")))</f>
        <v>B</v>
      </c>
      <c r="W42" s="356">
        <f t="shared" si="0"/>
        <v>85</v>
      </c>
      <c r="X42" s="361" t="str">
        <f>IF(W42&gt;KKM!$G$10," sangat baik ",IF(W42&gt;KKM!$H$10," baik ",IF(W42&gt;=KKM!$I$10," cukup baik "," perlu bimbingan ")))</f>
        <v xml:space="preserve"> baik </v>
      </c>
      <c r="Y42" s="357">
        <f t="shared" si="1"/>
        <v>85</v>
      </c>
      <c r="Z42" s="361" t="str">
        <f>IF(Y42&gt;KKM!$G$10," sangat baik ",IF(Y42&gt;KKM!$H$10," baik ",IF(Y42&gt;=KKM!$I$10," cukup baik "," perlu bimbingan ")))</f>
        <v xml:space="preserve"> baik </v>
      </c>
      <c r="AA42" s="353" t="str">
        <f t="shared" si="5"/>
        <v>SAEPUL baik  dalam Mengidentifikasi karakteristik geografis Indonesia sebagai negara kepulauan/maritim dan agraris serta pengaruhnya terhadap kehidupan ekonomi, sosial, budaya, komunikasi, serta transportasi.</v>
      </c>
      <c r="AB42" s="256"/>
      <c r="AC42" s="257" t="str">
        <f t="shared" si="2"/>
        <v xml:space="preserve"> baik  dalam Mengidentifikasi karakteristik geografis Indonesia sebagai negara kepulauan/maritim dan agraris serta pengaruhnya terhadap kehidupan ekonomi, sosial, budaya, komunikasi, serta transportasi.</v>
      </c>
      <c r="AD42" s="257" t="str">
        <f t="shared" si="3"/>
        <v xml:space="preserve"> baik  dalam Mengidentifikasi karakteristik geografis Indonesia sebagai negara kepulauan/maritim dan agraris serta pengaruhnya terhadap kehidupan ekonomi, sosial, budaya, komunikasi, serta transportasi.</v>
      </c>
      <c r="AE42"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42" s="257" t="str">
        <f t="shared" si="7"/>
        <v xml:space="preserve"> baik  dalam Mengidentifikasi karakteristik geografis Indonesia sebagai negara kepulauan/maritim dan agraris serta pengaruhnya terhadap kehidupan ekonomi, sosial, budaya, komunikasi, serta transportasi.</v>
      </c>
      <c r="AG42" s="258" t="str">
        <f t="shared" si="8"/>
        <v xml:space="preserve"> baik  dalam Mengidentifikasi karakteristik geografis Indonesia sebagai negara kepulauan/maritim dan agraris serta pengaruhnya terhadap kehidupan ekonomi, sosial, budaya, komunikasi, serta transportasi.</v>
      </c>
      <c r="AH42" s="252" t="str">
        <f t="shared" si="9"/>
        <v>SAEPUL baik  dalam Mengidentifikasi karakteristik geografis Indonesia sebagai negara kepulauan/maritim dan agraris serta pengaruhnya terhadap kehidupan ekonomi, sosial, budaya, komunikasi, serta transportasi.</v>
      </c>
      <c r="AI42" s="153"/>
      <c r="AQ42" s="469">
        <f t="shared" si="10"/>
        <v>85</v>
      </c>
    </row>
    <row r="43" spans="2:43" ht="38.25" customHeight="1">
      <c r="B43" s="142">
        <v>39</v>
      </c>
      <c r="C43" s="143" t="str">
        <f>SISWA!B44</f>
        <v>1718250040343</v>
      </c>
      <c r="D43" s="144" t="str">
        <f>SISWA!E44</f>
        <v>SALMA</v>
      </c>
      <c r="E43" s="159">
        <v>77.5</v>
      </c>
      <c r="F43" s="160">
        <v>77.5</v>
      </c>
      <c r="G43" s="160">
        <v>77.5</v>
      </c>
      <c r="H43" s="160">
        <v>77.5</v>
      </c>
      <c r="I43" s="160"/>
      <c r="J43" s="159"/>
      <c r="K43" s="159"/>
      <c r="L43" s="159"/>
      <c r="M43" s="159"/>
      <c r="N43" s="159"/>
      <c r="O43" s="159"/>
      <c r="P43" s="159"/>
      <c r="Q43" s="159"/>
      <c r="R43" s="160"/>
      <c r="S43" s="160"/>
      <c r="T43" s="159"/>
      <c r="U43" s="354">
        <f t="shared" si="4"/>
        <v>78</v>
      </c>
      <c r="V43" s="355" t="str">
        <f>IF(U43&gt;KKM!$G$10,"A",IF(U43&gt;KKM!$H$10,"B",IF(U43&gt;=KKM!$I$10,"C","D")))</f>
        <v>B</v>
      </c>
      <c r="W43" s="356">
        <f t="shared" si="0"/>
        <v>77.5</v>
      </c>
      <c r="X43" s="361" t="str">
        <f>IF(W43&gt;KKM!$G$10," sangat baik ",IF(W43&gt;KKM!$H$10," baik ",IF(W43&gt;=KKM!$I$10," cukup baik "," perlu bimbingan ")))</f>
        <v xml:space="preserve"> baik </v>
      </c>
      <c r="Y43" s="357">
        <f t="shared" si="1"/>
        <v>77.5</v>
      </c>
      <c r="Z43" s="361" t="str">
        <f>IF(Y43&gt;KKM!$G$10," sangat baik ",IF(Y43&gt;KKM!$H$10," baik ",IF(Y43&gt;=KKM!$I$10," cukup baik "," perlu bimbingan ")))</f>
        <v xml:space="preserve"> baik </v>
      </c>
      <c r="AA43" s="353" t="str">
        <f t="shared" si="5"/>
        <v>SALMA baik  dalam Mengidentifikasi karakteristik geografis Indonesia sebagai negara kepulauan/maritim dan agraris serta pengaruhnya terhadap kehidupan ekonomi, sosial, budaya, komunikasi, serta transportasi.</v>
      </c>
      <c r="AB43" s="256"/>
      <c r="AC43" s="257" t="str">
        <f t="shared" si="2"/>
        <v xml:space="preserve"> baik  dalam Mengidentifikasi karakteristik geografis Indonesia sebagai negara kepulauan/maritim dan agraris serta pengaruhnya terhadap kehidupan ekonomi, sosial, budaya, komunikasi, serta transportasi.</v>
      </c>
      <c r="AD43" s="257" t="str">
        <f t="shared" si="3"/>
        <v xml:space="preserve"> baik  dalam Mengidentifikasi karakteristik geografis Indonesia sebagai negara kepulauan/maritim dan agraris serta pengaruhnya terhadap kehidupan ekonomi, sosial, budaya, komunikasi, serta transportasi.</v>
      </c>
      <c r="AE43"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43" s="257" t="str">
        <f t="shared" si="7"/>
        <v xml:space="preserve"> baik  dalam Mengidentifikasi karakteristik geografis Indonesia sebagai negara kepulauan/maritim dan agraris serta pengaruhnya terhadap kehidupan ekonomi, sosial, budaya, komunikasi, serta transportasi.</v>
      </c>
      <c r="AG43" s="258" t="str">
        <f t="shared" si="8"/>
        <v xml:space="preserve"> baik  dalam Mengidentifikasi karakteristik geografis Indonesia sebagai negara kepulauan/maritim dan agraris serta pengaruhnya terhadap kehidupan ekonomi, sosial, budaya, komunikasi, serta transportasi.</v>
      </c>
      <c r="AH43" s="252" t="str">
        <f t="shared" si="9"/>
        <v>SALMA baik  dalam Mengidentifikasi karakteristik geografis Indonesia sebagai negara kepulauan/maritim dan agraris serta pengaruhnya terhadap kehidupan ekonomi, sosial, budaya, komunikasi, serta transportasi.</v>
      </c>
      <c r="AI43" s="153"/>
      <c r="AQ43" s="469">
        <f t="shared" si="10"/>
        <v>78</v>
      </c>
    </row>
    <row r="44" spans="2:43" ht="38.25" customHeight="1">
      <c r="B44" s="142">
        <v>40</v>
      </c>
      <c r="C44" s="143" t="str">
        <f>SISWA!B45</f>
        <v>1718250040344</v>
      </c>
      <c r="D44" s="144" t="str">
        <f>SISWA!E45</f>
        <v>SYAKILA</v>
      </c>
      <c r="E44" s="159">
        <v>87.5</v>
      </c>
      <c r="F44" s="160">
        <v>87.5</v>
      </c>
      <c r="G44" s="160">
        <v>87.5</v>
      </c>
      <c r="H44" s="160">
        <v>87.5</v>
      </c>
      <c r="I44" s="160"/>
      <c r="J44" s="159"/>
      <c r="K44" s="159"/>
      <c r="L44" s="159"/>
      <c r="M44" s="159"/>
      <c r="N44" s="159"/>
      <c r="O44" s="159"/>
      <c r="P44" s="159"/>
      <c r="Q44" s="159"/>
      <c r="R44" s="160"/>
      <c r="S44" s="160"/>
      <c r="T44" s="159"/>
      <c r="U44" s="354">
        <f t="shared" si="4"/>
        <v>88</v>
      </c>
      <c r="V44" s="355" t="str">
        <f>IF(U44&gt;KKM!$G$10,"A",IF(U44&gt;KKM!$H$10,"B",IF(U44&gt;=KKM!$I$10,"C","D")))</f>
        <v>A</v>
      </c>
      <c r="W44" s="356">
        <f t="shared" si="0"/>
        <v>87.5</v>
      </c>
      <c r="X44" s="361" t="str">
        <f>IF(W44&gt;KKM!$G$10," sangat baik ",IF(W44&gt;KKM!$H$10," baik ",IF(W44&gt;=KKM!$I$10," cukup baik "," perlu bimbingan ")))</f>
        <v xml:space="preserve"> sangat baik </v>
      </c>
      <c r="Y44" s="357">
        <f t="shared" si="1"/>
        <v>87.5</v>
      </c>
      <c r="Z44" s="361" t="str">
        <f>IF(Y44&gt;KKM!$G$10," sangat baik ",IF(Y44&gt;KKM!$H$10," baik ",IF(Y44&gt;=KKM!$I$10," cukup baik "," perlu bimbingan ")))</f>
        <v xml:space="preserve"> sangat baik </v>
      </c>
      <c r="AA44" s="353" t="str">
        <f t="shared" si="5"/>
        <v>SYAKILA sangat baik  dalam Mengidentifikasi karakteristik geografis Indonesia sebagai negara kepulauan/maritim dan agraris serta pengaruhnya terhadap kehidupan ekonomi, sosial, budaya, komunikasi, serta transportasi.</v>
      </c>
      <c r="AB44" s="256"/>
      <c r="AC44" s="257" t="str">
        <f t="shared" si="2"/>
        <v xml:space="preserve"> sangat baik  dalam Mengidentifikasi karakteristik geografis Indonesia sebagai negara kepulauan/maritim dan agraris serta pengaruhnya terhadap kehidupan ekonomi, sosial, budaya, komunikasi, serta transportasi.</v>
      </c>
      <c r="AD44" s="257" t="str">
        <f t="shared" si="3"/>
        <v xml:space="preserve"> sangat baik  dalam Mengidentifikasi karakteristik geografis Indonesia sebagai negara kepulauan/maritim dan agraris serta pengaruhnya terhadap kehidupan ekonomi, sosial, budaya, komunikasi, serta transportasi.</v>
      </c>
      <c r="AE44"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44" s="257" t="str">
        <f t="shared" si="7"/>
        <v xml:space="preserve"> sangat baik  dalam Mengidentifikasi karakteristik geografis Indonesia sebagai negara kepulauan/maritim dan agraris serta pengaruhnya terhadap kehidupan ekonomi, sosial, budaya, komunikasi, serta transportasi.</v>
      </c>
      <c r="AG44" s="258" t="str">
        <f t="shared" si="8"/>
        <v xml:space="preserve"> sangat baik  dalam Mengidentifikasi karakteristik geografis Indonesia sebagai negara kepulauan/maritim dan agraris serta pengaruhnya terhadap kehidupan ekonomi, sosial, budaya, komunikasi, serta transportasi.</v>
      </c>
      <c r="AH44" s="252" t="str">
        <f t="shared" si="9"/>
        <v>SYAKILA sangat baik  dalam Mengidentifikasi karakteristik geografis Indonesia sebagai negara kepulauan/maritim dan agraris serta pengaruhnya terhadap kehidupan ekonomi, sosial, budaya, komunikasi, serta transportasi.</v>
      </c>
      <c r="AI44" s="153"/>
      <c r="AQ44" s="469">
        <f t="shared" si="10"/>
        <v>88</v>
      </c>
    </row>
    <row r="45" spans="2:43" ht="38.25" customHeight="1">
      <c r="B45" s="142">
        <v>41</v>
      </c>
      <c r="C45" s="143" t="str">
        <f>SISWA!B46</f>
        <v>1718250040345</v>
      </c>
      <c r="D45" s="144" t="str">
        <f>SISWA!E46</f>
        <v>SYIFA</v>
      </c>
      <c r="E45" s="159">
        <v>87.5</v>
      </c>
      <c r="F45" s="160">
        <v>87.5</v>
      </c>
      <c r="G45" s="160">
        <v>87.5</v>
      </c>
      <c r="H45" s="160">
        <v>87.5</v>
      </c>
      <c r="I45" s="160"/>
      <c r="J45" s="159"/>
      <c r="K45" s="159"/>
      <c r="L45" s="159"/>
      <c r="M45" s="159"/>
      <c r="N45" s="159"/>
      <c r="O45" s="159"/>
      <c r="P45" s="159"/>
      <c r="Q45" s="159"/>
      <c r="R45" s="160"/>
      <c r="S45" s="160"/>
      <c r="T45" s="159"/>
      <c r="U45" s="354">
        <f t="shared" si="4"/>
        <v>88</v>
      </c>
      <c r="V45" s="355" t="str">
        <f>IF(U45&gt;KKM!$G$10,"A",IF(U45&gt;KKM!$H$10,"B",IF(U45&gt;=KKM!$I$10,"C","D")))</f>
        <v>A</v>
      </c>
      <c r="W45" s="356">
        <f t="shared" si="0"/>
        <v>87.5</v>
      </c>
      <c r="X45" s="361" t="str">
        <f>IF(W45&gt;KKM!$G$10," sangat baik ",IF(W45&gt;KKM!$H$10," baik ",IF(W45&gt;=KKM!$I$10," cukup baik "," perlu bimbingan ")))</f>
        <v xml:space="preserve"> sangat baik </v>
      </c>
      <c r="Y45" s="357">
        <f t="shared" si="1"/>
        <v>87.5</v>
      </c>
      <c r="Z45" s="361" t="str">
        <f>IF(Y45&gt;KKM!$G$10," sangat baik ",IF(Y45&gt;KKM!$H$10," baik ",IF(Y45&gt;=KKM!$I$10," cukup baik "," perlu bimbingan ")))</f>
        <v xml:space="preserve"> sangat baik </v>
      </c>
      <c r="AA45" s="353" t="str">
        <f t="shared" si="5"/>
        <v>SYIFA sangat baik  dalam Mengidentifikasi karakteristik geografis Indonesia sebagai negara kepulauan/maritim dan agraris serta pengaruhnya terhadap kehidupan ekonomi, sosial, budaya, komunikasi, serta transportasi.</v>
      </c>
      <c r="AB45" s="256"/>
      <c r="AC45" s="257" t="str">
        <f t="shared" si="2"/>
        <v xml:space="preserve"> sangat baik  dalam Mengidentifikasi karakteristik geografis Indonesia sebagai negara kepulauan/maritim dan agraris serta pengaruhnya terhadap kehidupan ekonomi, sosial, budaya, komunikasi, serta transportasi.</v>
      </c>
      <c r="AD45" s="257" t="str">
        <f t="shared" si="3"/>
        <v xml:space="preserve"> sangat baik  dalam Mengidentifikasi karakteristik geografis Indonesia sebagai negara kepulauan/maritim dan agraris serta pengaruhnya terhadap kehidupan ekonomi, sosial, budaya, komunikasi, serta transportasi.</v>
      </c>
      <c r="AE45"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45" s="257" t="str">
        <f t="shared" si="7"/>
        <v xml:space="preserve"> sangat baik  dalam Mengidentifikasi karakteristik geografis Indonesia sebagai negara kepulauan/maritim dan agraris serta pengaruhnya terhadap kehidupan ekonomi, sosial, budaya, komunikasi, serta transportasi.</v>
      </c>
      <c r="AG45" s="258" t="str">
        <f t="shared" si="8"/>
        <v xml:space="preserve"> sangat baik  dalam Mengidentifikasi karakteristik geografis Indonesia sebagai negara kepulauan/maritim dan agraris serta pengaruhnya terhadap kehidupan ekonomi, sosial, budaya, komunikasi, serta transportasi.</v>
      </c>
      <c r="AH45" s="252" t="str">
        <f t="shared" si="9"/>
        <v>SYIFA sangat baik  dalam Mengidentifikasi karakteristik geografis Indonesia sebagai negara kepulauan/maritim dan agraris serta pengaruhnya terhadap kehidupan ekonomi, sosial, budaya, komunikasi, serta transportasi.</v>
      </c>
      <c r="AI45" s="153"/>
      <c r="AQ45" s="469">
        <f t="shared" si="10"/>
        <v>88</v>
      </c>
    </row>
    <row r="46" spans="2:43" ht="38.25" customHeight="1">
      <c r="B46" s="142">
        <v>42</v>
      </c>
      <c r="C46" s="143" t="str">
        <f>SISWA!B47</f>
        <v>1718250040346</v>
      </c>
      <c r="D46" s="144" t="str">
        <f>SISWA!E47</f>
        <v>WAFDAN</v>
      </c>
      <c r="E46" s="159">
        <v>82.5</v>
      </c>
      <c r="F46" s="160">
        <v>82.5</v>
      </c>
      <c r="G46" s="160">
        <v>82.5</v>
      </c>
      <c r="H46" s="160">
        <v>82.5</v>
      </c>
      <c r="I46" s="160"/>
      <c r="J46" s="159"/>
      <c r="K46" s="159"/>
      <c r="L46" s="159"/>
      <c r="M46" s="159"/>
      <c r="N46" s="159"/>
      <c r="O46" s="159"/>
      <c r="P46" s="159"/>
      <c r="Q46" s="159"/>
      <c r="R46" s="160"/>
      <c r="S46" s="160"/>
      <c r="T46" s="159"/>
      <c r="U46" s="354">
        <f t="shared" si="4"/>
        <v>83</v>
      </c>
      <c r="V46" s="355" t="str">
        <f>IF(U46&gt;KKM!$G$10,"A",IF(U46&gt;KKM!$H$10,"B",IF(U46&gt;=KKM!$I$10,"C","D")))</f>
        <v>B</v>
      </c>
      <c r="W46" s="356">
        <f t="shared" si="0"/>
        <v>82.5</v>
      </c>
      <c r="X46" s="361" t="str">
        <f>IF(W46&gt;KKM!$G$10," sangat baik ",IF(W46&gt;KKM!$H$10," baik ",IF(W46&gt;=KKM!$I$10," cukup baik "," perlu bimbingan ")))</f>
        <v xml:space="preserve"> baik </v>
      </c>
      <c r="Y46" s="357">
        <f t="shared" si="1"/>
        <v>82.5</v>
      </c>
      <c r="Z46" s="361" t="str">
        <f>IF(Y46&gt;KKM!$G$10," sangat baik ",IF(Y46&gt;KKM!$H$10," baik ",IF(Y46&gt;=KKM!$I$10," cukup baik "," perlu bimbingan ")))</f>
        <v xml:space="preserve"> baik </v>
      </c>
      <c r="AA46" s="353" t="str">
        <f t="shared" si="5"/>
        <v>WAFDAN baik  dalam Mengidentifikasi karakteristik geografis Indonesia sebagai negara kepulauan/maritim dan agraris serta pengaruhnya terhadap kehidupan ekonomi, sosial, budaya, komunikasi, serta transportasi.</v>
      </c>
      <c r="AB46" s="256"/>
      <c r="AC46" s="257" t="str">
        <f t="shared" si="2"/>
        <v xml:space="preserve"> baik  dalam Mengidentifikasi karakteristik geografis Indonesia sebagai negara kepulauan/maritim dan agraris serta pengaruhnya terhadap kehidupan ekonomi, sosial, budaya, komunikasi, serta transportasi.</v>
      </c>
      <c r="AD46" s="257" t="str">
        <f t="shared" si="3"/>
        <v xml:space="preserve"> baik  dalam Mengidentifikasi karakteristik geografis Indonesia sebagai negara kepulauan/maritim dan agraris serta pengaruhnya terhadap kehidupan ekonomi, sosial, budaya, komunikasi, serta transportasi.</v>
      </c>
      <c r="AE46" s="257" t="str">
        <f t="shared" si="6"/>
        <v xml:space="preserve"> baik  dalam Mengidentifikasi karakteristik geografis Indonesia sebagai negara kepulauan/maritim dan agraris serta pengaruhnya terhadap kehidupan ekonomi, sosial, budaya, komunikasi, serta transportasi., dan  baik  dalam Mengidentifikasi karakteristik geografis Indonesia sebagai negara kepulauan/maritim dan agraris serta pengaruhnya terhadap kehidupan ekonomi, sosial, budaya, komunikasi, serta transportasi.</v>
      </c>
      <c r="AF46" s="257" t="str">
        <f t="shared" si="7"/>
        <v xml:space="preserve"> baik  dalam Mengidentifikasi karakteristik geografis Indonesia sebagai negara kepulauan/maritim dan agraris serta pengaruhnya terhadap kehidupan ekonomi, sosial, budaya, komunikasi, serta transportasi.</v>
      </c>
      <c r="AG46" s="258" t="str">
        <f t="shared" si="8"/>
        <v xml:space="preserve"> baik  dalam Mengidentifikasi karakteristik geografis Indonesia sebagai negara kepulauan/maritim dan agraris serta pengaruhnya terhadap kehidupan ekonomi, sosial, budaya, komunikasi, serta transportasi.</v>
      </c>
      <c r="AH46" s="252" t="str">
        <f t="shared" si="9"/>
        <v>WAFDAN baik  dalam Mengidentifikasi karakteristik geografis Indonesia sebagai negara kepulauan/maritim dan agraris serta pengaruhnya terhadap kehidupan ekonomi, sosial, budaya, komunikasi, serta transportasi.</v>
      </c>
      <c r="AI46" s="153"/>
      <c r="AQ46" s="469">
        <f t="shared" si="10"/>
        <v>83</v>
      </c>
    </row>
    <row r="47" spans="2:43" ht="38.25" customHeight="1">
      <c r="B47" s="142">
        <v>43</v>
      </c>
      <c r="C47" s="143" t="str">
        <f>SISWA!B48</f>
        <v>1718250040347</v>
      </c>
      <c r="D47" s="144" t="str">
        <f>SISWA!E48</f>
        <v>ZEVA</v>
      </c>
      <c r="E47" s="159">
        <v>90</v>
      </c>
      <c r="F47" s="160">
        <v>90</v>
      </c>
      <c r="G47" s="160">
        <v>90</v>
      </c>
      <c r="H47" s="160">
        <v>90</v>
      </c>
      <c r="I47" s="160"/>
      <c r="J47" s="159"/>
      <c r="K47" s="159"/>
      <c r="L47" s="159"/>
      <c r="M47" s="159"/>
      <c r="N47" s="159"/>
      <c r="O47" s="159"/>
      <c r="P47" s="159"/>
      <c r="Q47" s="159"/>
      <c r="R47" s="160"/>
      <c r="S47" s="160"/>
      <c r="T47" s="159"/>
      <c r="U47" s="354">
        <f t="shared" si="4"/>
        <v>90</v>
      </c>
      <c r="V47" s="355" t="str">
        <f>IF(U47&gt;KKM!$G$10,"A",IF(U47&gt;KKM!$H$10,"B",IF(U47&gt;=KKM!$I$10,"C","D")))</f>
        <v>A</v>
      </c>
      <c r="W47" s="356">
        <f t="shared" si="0"/>
        <v>90</v>
      </c>
      <c r="X47" s="361" t="str">
        <f>IF(W47&gt;KKM!$G$10," sangat baik ",IF(W47&gt;KKM!$H$10," baik ",IF(W47&gt;=KKM!$I$10," cukup baik "," perlu bimbingan ")))</f>
        <v xml:space="preserve"> sangat baik </v>
      </c>
      <c r="Y47" s="357">
        <f t="shared" si="1"/>
        <v>90</v>
      </c>
      <c r="Z47" s="361" t="str">
        <f>IF(Y47&gt;KKM!$G$10," sangat baik ",IF(Y47&gt;KKM!$H$10," baik ",IF(Y47&gt;=KKM!$I$10," cukup baik "," perlu bimbingan ")))</f>
        <v xml:space="preserve"> sangat baik </v>
      </c>
      <c r="AA47" s="353" t="str">
        <f t="shared" si="5"/>
        <v>ZEVA sangat baik  dalam Mengidentifikasi karakteristik geografis Indonesia sebagai negara kepulauan/maritim dan agraris serta pengaruhnya terhadap kehidupan ekonomi, sosial, budaya, komunikasi, serta transportasi.</v>
      </c>
      <c r="AB47" s="256"/>
      <c r="AC47" s="257" t="str">
        <f t="shared" si="2"/>
        <v xml:space="preserve"> sangat baik  dalam Mengidentifikasi karakteristik geografis Indonesia sebagai negara kepulauan/maritim dan agraris serta pengaruhnya terhadap kehidupan ekonomi, sosial, budaya, komunikasi, serta transportasi.</v>
      </c>
      <c r="AD47" s="257" t="str">
        <f t="shared" si="3"/>
        <v xml:space="preserve"> sangat baik  dalam Mengidentifikasi karakteristik geografis Indonesia sebagai negara kepulauan/maritim dan agraris serta pengaruhnya terhadap kehidupan ekonomi, sosial, budaya, komunikasi, serta transportasi.</v>
      </c>
      <c r="AE47" s="257" t="str">
        <f t="shared" si="6"/>
        <v xml:space="preserve"> sangat baik  dalam Mengidentifikasi karakteristik geografis Indonesia sebagai negara kepulauan/maritim dan agraris serta pengaruhnya terhadap kehidupan ekonomi, sosial, budaya, komunikasi, serta transportasi., dan  sangat baik  dalam Mengidentifikasi karakteristik geografis Indonesia sebagai negara kepulauan/maritim dan agraris serta pengaruhnya terhadap kehidupan ekonomi, sosial, budaya, komunikasi, serta transportasi.</v>
      </c>
      <c r="AF47" s="257" t="str">
        <f t="shared" si="7"/>
        <v xml:space="preserve"> sangat baik  dalam Mengidentifikasi karakteristik geografis Indonesia sebagai negara kepulauan/maritim dan agraris serta pengaruhnya terhadap kehidupan ekonomi, sosial, budaya, komunikasi, serta transportasi.</v>
      </c>
      <c r="AG47" s="258" t="str">
        <f t="shared" si="8"/>
        <v xml:space="preserve"> sangat baik  dalam Mengidentifikasi karakteristik geografis Indonesia sebagai negara kepulauan/maritim dan agraris serta pengaruhnya terhadap kehidupan ekonomi, sosial, budaya, komunikasi, serta transportasi.</v>
      </c>
      <c r="AH47" s="252" t="str">
        <f t="shared" si="9"/>
        <v>ZEVA sangat baik  dalam Mengidentifikasi karakteristik geografis Indonesia sebagai negara kepulauan/maritim dan agraris serta pengaruhnya terhadap kehidupan ekonomi, sosial, budaya, komunikasi, serta transportasi.</v>
      </c>
      <c r="AI47" s="153"/>
      <c r="AQ47" s="469">
        <f t="shared" si="10"/>
        <v>90</v>
      </c>
    </row>
    <row r="48" spans="2:43" ht="38.25" customHeight="1">
      <c r="B48" s="142">
        <v>44</v>
      </c>
      <c r="C48" s="143">
        <f>SISWA!B49</f>
        <v>0</v>
      </c>
      <c r="D48" s="144">
        <f>SISWA!E49</f>
        <v>0</v>
      </c>
      <c r="E48" s="159"/>
      <c r="F48" s="160"/>
      <c r="G48" s="160"/>
      <c r="H48" s="160"/>
      <c r="I48" s="160"/>
      <c r="J48" s="159"/>
      <c r="K48" s="159"/>
      <c r="L48" s="159"/>
      <c r="M48" s="159"/>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53"/>
      <c r="AQ48" s="469" t="str">
        <f t="shared" si="10"/>
        <v/>
      </c>
    </row>
    <row r="49" spans="2:43" ht="38.25" customHeight="1">
      <c r="B49" s="142">
        <v>45</v>
      </c>
      <c r="C49" s="143">
        <f>SISWA!B50</f>
        <v>0</v>
      </c>
      <c r="D49" s="144">
        <f>SISWA!E50</f>
        <v>0</v>
      </c>
      <c r="E49" s="159"/>
      <c r="F49" s="160"/>
      <c r="G49" s="160"/>
      <c r="H49" s="160"/>
      <c r="I49" s="160"/>
      <c r="J49" s="159"/>
      <c r="K49" s="159"/>
      <c r="L49" s="159"/>
      <c r="M49" s="159"/>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53"/>
      <c r="AQ49" s="469" t="str">
        <f t="shared" si="10"/>
        <v/>
      </c>
    </row>
    <row r="50" spans="2:43" ht="38.25" customHeight="1">
      <c r="B50" s="142">
        <v>46</v>
      </c>
      <c r="C50" s="143">
        <f>SISWA!B51</f>
        <v>0</v>
      </c>
      <c r="D50" s="144">
        <f>SISWA!E51</f>
        <v>0</v>
      </c>
      <c r="E50" s="159"/>
      <c r="F50" s="160"/>
      <c r="G50" s="160"/>
      <c r="H50" s="160"/>
      <c r="I50" s="160"/>
      <c r="J50" s="159"/>
      <c r="K50" s="159"/>
      <c r="L50" s="159"/>
      <c r="M50" s="159"/>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53"/>
      <c r="AQ50" s="469" t="str">
        <f t="shared" si="10"/>
        <v/>
      </c>
    </row>
    <row r="51" spans="2:43" ht="38.25" customHeight="1">
      <c r="B51" s="142">
        <v>47</v>
      </c>
      <c r="C51" s="143">
        <f>SISWA!B52</f>
        <v>0</v>
      </c>
      <c r="D51" s="144">
        <f>SISWA!E52</f>
        <v>0</v>
      </c>
      <c r="E51" s="159"/>
      <c r="F51" s="160"/>
      <c r="G51" s="160"/>
      <c r="H51" s="160"/>
      <c r="I51" s="160"/>
      <c r="J51" s="159"/>
      <c r="K51" s="159"/>
      <c r="L51" s="159"/>
      <c r="M51" s="159"/>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53"/>
      <c r="AQ51" s="469" t="str">
        <f t="shared" si="10"/>
        <v/>
      </c>
    </row>
    <row r="52" spans="2:43" ht="38.25" customHeight="1">
      <c r="B52" s="142">
        <v>48</v>
      </c>
      <c r="C52" s="143">
        <f>SISWA!B53</f>
        <v>0</v>
      </c>
      <c r="D52" s="144">
        <f>SISWA!E53</f>
        <v>0</v>
      </c>
      <c r="E52" s="159"/>
      <c r="F52" s="160"/>
      <c r="G52" s="160"/>
      <c r="H52" s="160"/>
      <c r="I52" s="160"/>
      <c r="J52" s="159"/>
      <c r="K52" s="159"/>
      <c r="L52" s="159"/>
      <c r="M52" s="159"/>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53"/>
      <c r="AQ52" s="469" t="str">
        <f t="shared" si="10"/>
        <v/>
      </c>
    </row>
    <row r="53" spans="2:43" ht="38.25" customHeight="1">
      <c r="B53" s="142">
        <v>49</v>
      </c>
      <c r="C53" s="143">
        <f>SISWA!B54</f>
        <v>0</v>
      </c>
      <c r="D53" s="144">
        <f>SISWA!E54</f>
        <v>0</v>
      </c>
      <c r="E53" s="159"/>
      <c r="F53" s="160"/>
      <c r="G53" s="160"/>
      <c r="H53" s="160"/>
      <c r="I53" s="160"/>
      <c r="J53" s="159"/>
      <c r="K53" s="159"/>
      <c r="L53" s="159"/>
      <c r="M53" s="159"/>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53"/>
      <c r="AQ53" s="469" t="str">
        <f t="shared" si="10"/>
        <v/>
      </c>
    </row>
    <row r="54" spans="2:43" ht="38.25" customHeight="1">
      <c r="B54" s="142">
        <v>50</v>
      </c>
      <c r="C54" s="143">
        <f>SISWA!B55</f>
        <v>0</v>
      </c>
      <c r="D54" s="144">
        <f>SISWA!E55</f>
        <v>0</v>
      </c>
      <c r="E54" s="159"/>
      <c r="F54" s="160"/>
      <c r="G54" s="160"/>
      <c r="H54" s="160"/>
      <c r="I54" s="160"/>
      <c r="J54" s="159"/>
      <c r="K54" s="159"/>
      <c r="L54" s="159"/>
      <c r="M54" s="159"/>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53"/>
      <c r="AQ54" s="469" t="str">
        <f t="shared" si="10"/>
        <v/>
      </c>
    </row>
    <row r="55" spans="2:43" ht="38.25" customHeight="1">
      <c r="B55" s="154"/>
      <c r="C55" s="154"/>
      <c r="D55" s="154"/>
      <c r="E55" s="145"/>
      <c r="F55" s="146"/>
      <c r="G55" s="146"/>
      <c r="H55" s="146"/>
      <c r="I55" s="146"/>
      <c r="J55" s="145"/>
      <c r="K55" s="145"/>
      <c r="L55" s="145"/>
      <c r="M55" s="145"/>
      <c r="N55" s="145"/>
      <c r="O55" s="145"/>
      <c r="P55" s="145"/>
      <c r="Q55" s="145"/>
      <c r="R55" s="146"/>
      <c r="S55" s="146"/>
      <c r="T55" s="145"/>
      <c r="U55" s="147"/>
      <c r="V55" s="148"/>
      <c r="W55" s="149"/>
      <c r="X55" s="149"/>
      <c r="Y55" s="149"/>
      <c r="Z55" s="149"/>
      <c r="AA55" s="150"/>
      <c r="AB55" s="151"/>
      <c r="AC55" s="152"/>
      <c r="AD55" s="155"/>
      <c r="AE55" s="155"/>
      <c r="AF55" s="155"/>
      <c r="AG55" s="155"/>
      <c r="AH55" s="155"/>
      <c r="AI55" s="153"/>
    </row>
  </sheetData>
  <sheetProtection password="C70C" sheet="1" objects="1" scenarios="1"/>
  <mergeCells count="11">
    <mergeCell ref="AA2:AA4"/>
    <mergeCell ref="W3:X3"/>
    <mergeCell ref="Y3:Z3"/>
    <mergeCell ref="B1:Z1"/>
    <mergeCell ref="B2:B4"/>
    <mergeCell ref="C2:C4"/>
    <mergeCell ref="D2:D4"/>
    <mergeCell ref="E2:T2"/>
    <mergeCell ref="U2:U4"/>
    <mergeCell ref="V2:V4"/>
    <mergeCell ref="W2:Z2"/>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N55"/>
  <sheetViews>
    <sheetView zoomScale="85" zoomScaleNormal="85"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507" customWidth="1"/>
    <col min="2" max="2" width="4.42578125" style="137" customWidth="1"/>
    <col min="3" max="3" width="6.42578125" style="137" customWidth="1"/>
    <col min="4" max="4" width="28.7109375" style="137" customWidth="1"/>
    <col min="5" max="10" width="6.7109375" style="137" customWidth="1"/>
    <col min="11" max="19" width="6.7109375" style="137" hidden="1" customWidth="1"/>
    <col min="20" max="20" width="6.7109375" style="137" customWidth="1"/>
    <col min="21" max="22" width="4.7109375" style="137" customWidth="1"/>
    <col min="23" max="23" width="5.140625" style="137" customWidth="1"/>
    <col min="24" max="24" width="10.28515625" style="137" customWidth="1"/>
    <col min="25" max="25" width="5.140625" style="137" customWidth="1"/>
    <col min="26" max="26" width="10.28515625" style="137" customWidth="1"/>
    <col min="27" max="27" width="84.42578125" style="137" customWidth="1"/>
    <col min="28" max="28" width="29.85546875" style="137" customWidth="1"/>
    <col min="29" max="34" width="10.7109375" style="137" hidden="1" customWidth="1"/>
    <col min="35" max="41" width="9.140625" style="137" hidden="1" customWidth="1"/>
    <col min="42" max="43" width="9.140625" style="137" customWidth="1"/>
    <col min="44" max="45" width="9.140625" style="137" hidden="1" customWidth="1"/>
    <col min="46" max="46" width="9.140625" style="137" customWidth="1"/>
    <col min="47" max="54" width="5" style="137" hidden="1" customWidth="1"/>
    <col min="55" max="56" width="0" style="137" hidden="1" customWidth="1"/>
    <col min="57" max="70" width="10.7109375" style="137" hidden="1" customWidth="1"/>
    <col min="71" max="92" width="0" style="137" hidden="1" customWidth="1"/>
    <col min="93" max="16384" width="9.140625" style="137" hidden="1"/>
  </cols>
  <sheetData>
    <row r="1" spans="1:45" s="510" customFormat="1" ht="45.75" customHeight="1">
      <c r="B1" s="685" t="s">
        <v>57</v>
      </c>
      <c r="C1" s="685"/>
      <c r="D1" s="685"/>
      <c r="E1" s="685"/>
      <c r="F1" s="685"/>
      <c r="G1" s="685"/>
      <c r="H1" s="685"/>
      <c r="I1" s="685"/>
      <c r="J1" s="685"/>
      <c r="K1" s="685"/>
      <c r="L1" s="685"/>
      <c r="M1" s="685"/>
      <c r="N1" s="685"/>
      <c r="O1" s="685"/>
      <c r="P1" s="685"/>
      <c r="Q1" s="685"/>
      <c r="R1" s="685"/>
      <c r="S1" s="685"/>
      <c r="T1" s="685"/>
      <c r="U1" s="685"/>
      <c r="V1" s="685"/>
      <c r="W1" s="685"/>
      <c r="X1" s="685"/>
      <c r="Y1" s="685"/>
      <c r="Z1" s="685"/>
    </row>
    <row r="2" spans="1:45"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S2" s="502">
        <f>DEPAN!$E$23</f>
        <v>43</v>
      </c>
    </row>
    <row r="3" spans="1:45" ht="94.5" customHeight="1">
      <c r="B3" s="716"/>
      <c r="C3" s="717"/>
      <c r="D3" s="718"/>
      <c r="E3" s="408" t="str">
        <f>'KI-KD'!$C94</f>
        <v>memahami gambar cerita</v>
      </c>
      <c r="F3" s="408" t="str">
        <f>'KI-KD'!$C95</f>
        <v xml:space="preserve">memahami tangga nada
</v>
      </c>
      <c r="G3" s="408" t="e">
        <f>'KI-KD'!#REF!</f>
        <v>#REF!</v>
      </c>
      <c r="H3" s="408" t="e">
        <f>'KI-KD'!#REF!</f>
        <v>#REF!</v>
      </c>
      <c r="I3" s="408" t="str">
        <f>'KI-KD'!$C96</f>
        <v>memahami pola lantai dalam tari kreasi daerah</v>
      </c>
      <c r="J3" s="408" t="str">
        <f>'KI-KD'!$C97</f>
        <v>memahami karya seni rupa daerah</v>
      </c>
      <c r="K3" s="408">
        <f>'KI-KD'!$C98</f>
        <v>0</v>
      </c>
      <c r="L3" s="408">
        <f>'KI-KD'!$C99</f>
        <v>0</v>
      </c>
      <c r="M3" s="408" t="e">
        <f>'KI-KD'!#REF!</f>
        <v>#REF!</v>
      </c>
      <c r="N3" s="408" t="e">
        <f>'KI-KD'!#REF!</f>
        <v>#REF!</v>
      </c>
      <c r="O3" s="408" t="e">
        <f>'KI-KD'!#REF!</f>
        <v>#REF!</v>
      </c>
      <c r="P3" s="408" t="e">
        <f>'KI-KD'!#REF!</f>
        <v>#REF!</v>
      </c>
      <c r="Q3" s="138"/>
      <c r="R3" s="138"/>
      <c r="S3" s="138"/>
      <c r="T3" s="138"/>
      <c r="U3" s="720"/>
      <c r="V3" s="721"/>
      <c r="W3" s="712" t="s">
        <v>267</v>
      </c>
      <c r="X3" s="713"/>
      <c r="Y3" s="714" t="s">
        <v>268</v>
      </c>
      <c r="Z3" s="715"/>
      <c r="AA3" s="679"/>
      <c r="AB3" s="2"/>
      <c r="AC3" s="2"/>
      <c r="AD3" s="2"/>
      <c r="AE3" s="2"/>
      <c r="AF3" s="2"/>
      <c r="AG3" s="2"/>
      <c r="AH3" s="253"/>
      <c r="AS3" s="469">
        <f>AS4-AS5</f>
        <v>43</v>
      </c>
    </row>
    <row r="4" spans="1:45" s="141" customFormat="1" ht="25.5" customHeight="1">
      <c r="A4" s="509"/>
      <c r="B4" s="716"/>
      <c r="C4" s="717"/>
      <c r="D4" s="718"/>
      <c r="E4" s="140" t="str">
        <f>'KI-KD'!$B94</f>
        <v>3.1</v>
      </c>
      <c r="F4" s="140" t="str">
        <f>'KI-KD'!$B95</f>
        <v>3.2</v>
      </c>
      <c r="G4" s="140" t="e">
        <f>'KI-KD'!#REF!</f>
        <v>#REF!</v>
      </c>
      <c r="H4" s="140" t="e">
        <f>'KI-KD'!#REF!</f>
        <v>#REF!</v>
      </c>
      <c r="I4" s="140" t="str">
        <f>'KI-KD'!$B96</f>
        <v>3.3</v>
      </c>
      <c r="J4" s="140" t="str">
        <f>'KI-KD'!$B97</f>
        <v>3.4</v>
      </c>
      <c r="K4" s="140">
        <f>'KI-KD'!$B98</f>
        <v>0</v>
      </c>
      <c r="L4" s="140">
        <f>'KI-KD'!$B99</f>
        <v>0</v>
      </c>
      <c r="M4" s="140" t="e">
        <f>'KI-KD'!#REF!</f>
        <v>#REF!</v>
      </c>
      <c r="N4" s="140" t="e">
        <f>'KI-KD'!#REF!</f>
        <v>#REF!</v>
      </c>
      <c r="O4" s="140" t="e">
        <f>'KI-KD'!#REF!</f>
        <v>#REF!</v>
      </c>
      <c r="P4" s="140" t="e">
        <f>'KI-KD'!#REF!</f>
        <v>#REF!</v>
      </c>
      <c r="Q4" s="140"/>
      <c r="R4" s="140"/>
      <c r="S4" s="140"/>
      <c r="T4" s="140"/>
      <c r="U4" s="720"/>
      <c r="V4" s="721"/>
      <c r="W4" s="248" t="s">
        <v>269</v>
      </c>
      <c r="X4" s="249" t="s">
        <v>3</v>
      </c>
      <c r="Y4" s="250" t="s">
        <v>269</v>
      </c>
      <c r="Z4" s="251" t="s">
        <v>3</v>
      </c>
      <c r="AA4" s="680"/>
      <c r="AB4" s="2"/>
      <c r="AC4" s="254" t="s">
        <v>270</v>
      </c>
      <c r="AD4" s="254" t="s">
        <v>271</v>
      </c>
      <c r="AE4" s="254" t="s">
        <v>272</v>
      </c>
      <c r="AF4" s="254" t="s">
        <v>273</v>
      </c>
      <c r="AG4" s="255" t="s">
        <v>266</v>
      </c>
      <c r="AH4" s="252"/>
      <c r="AS4" s="141">
        <v>50</v>
      </c>
    </row>
    <row r="5" spans="1:45" ht="63.75" customHeight="1">
      <c r="B5" s="142">
        <v>1</v>
      </c>
      <c r="C5" s="143" t="str">
        <f>SISWA!B6</f>
        <v>1718250040305</v>
      </c>
      <c r="D5" s="144" t="str">
        <f>SISWA!E6</f>
        <v>YAHYA</v>
      </c>
      <c r="E5" s="159">
        <v>95</v>
      </c>
      <c r="F5" s="159">
        <v>95</v>
      </c>
      <c r="G5" s="160"/>
      <c r="H5" s="159"/>
      <c r="I5" s="160">
        <v>95</v>
      </c>
      <c r="J5" s="159">
        <v>95</v>
      </c>
      <c r="K5" s="159"/>
      <c r="L5" s="159"/>
      <c r="M5" s="159"/>
      <c r="N5" s="159"/>
      <c r="O5" s="159"/>
      <c r="P5" s="159"/>
      <c r="Q5" s="159"/>
      <c r="R5" s="160"/>
      <c r="S5" s="160"/>
      <c r="T5" s="159" t="s">
        <v>766</v>
      </c>
      <c r="U5" s="354">
        <f>ROUND((AVERAGE(E5:T5)),0)</f>
        <v>95</v>
      </c>
      <c r="V5" s="355" t="str">
        <f>IF(U5&gt;KKM!$G$10,"A",IF(U5&gt;KKM!$H$10,"B",IF(U5&gt;=KKM!$I$10,"C","D")))</f>
        <v>A</v>
      </c>
      <c r="W5" s="356">
        <f t="shared" ref="W5:W54" si="0">MAX(E5:T5)</f>
        <v>95</v>
      </c>
      <c r="X5" s="361" t="str">
        <f>IF(W5&gt;KKM!$G$10," sangat baik ",IF(W5&gt;KKM!$H$10," baik ",IF(W5&gt;=KKM!$I$10," cukup baik "," perlu bimbingan ")))</f>
        <v xml:space="preserve"> sangat baik </v>
      </c>
      <c r="Y5" s="357">
        <f t="shared" ref="Y5:Y54" si="1">MIN(E5:T5)</f>
        <v>95</v>
      </c>
      <c r="Z5" s="361" t="str">
        <f>IF(Y5&gt;KKM!$G$10," sangat baik ",IF(Y5&gt;KKM!$H$10," baik ",IF(Y5&gt;=KKM!$I$10," cukup baik "," perlu bimbingan ")))</f>
        <v xml:space="preserve"> sangat baik </v>
      </c>
      <c r="AA5" s="353" t="str">
        <f>IFERROR(AH5," ")</f>
        <v>YAHYA sangat baik  dalam memahami gambar cerita</v>
      </c>
      <c r="AB5" s="256"/>
      <c r="AC5" s="257" t="str">
        <f t="shared" ref="AC5:AC54" si="2">X5&amp;" dalam "&amp;INDEX($E$3:$T$3,MATCH(W5,$E5:$T5,0))</f>
        <v xml:space="preserve"> sangat baik  dalam memahami gambar cerita</v>
      </c>
      <c r="AD5" s="257" t="str">
        <f t="shared" ref="AD5:AD54" si="3">Z5&amp;" dalam "&amp;INDEX($E$3:$T$3,MATCH(Y5,$E5:$T5,0))</f>
        <v xml:space="preserve"> sangat baik  dalam memahami gambar cerita</v>
      </c>
      <c r="AE5" s="257" t="str">
        <f>AC5&amp;", dan "&amp;AD5</f>
        <v xml:space="preserve"> sangat baik  dalam memahami gambar cerita, dan  sangat baik  dalam memahami gambar cerita</v>
      </c>
      <c r="AF5" s="257" t="str">
        <f>IF(AC5=AD5,AC5," ")</f>
        <v xml:space="preserve"> sangat baik  dalam memahami gambar cerita</v>
      </c>
      <c r="AG5" s="258" t="str">
        <f>IF(AF5=" ",AE5,AF5)</f>
        <v xml:space="preserve"> sangat baik  dalam memahami gambar cerita</v>
      </c>
      <c r="AH5" s="252" t="str">
        <f>CONCATENATE(D5,AG5)</f>
        <v>YAHYA sangat baik  dalam memahami gambar cerita</v>
      </c>
      <c r="AI5" s="153"/>
      <c r="AR5" s="469">
        <f>IFERROR(U5,"")</f>
        <v>95</v>
      </c>
      <c r="AS5" s="469">
        <f>COUNTBLANK(AR5:AR54)</f>
        <v>7</v>
      </c>
    </row>
    <row r="6" spans="1:45" ht="63.75" customHeight="1">
      <c r="B6" s="142">
        <v>2</v>
      </c>
      <c r="C6" s="143" t="str">
        <f>SISWA!B7</f>
        <v>1718250040306</v>
      </c>
      <c r="D6" s="144" t="str">
        <f>SISWA!E7</f>
        <v>ADHWA</v>
      </c>
      <c r="E6" s="159">
        <v>95</v>
      </c>
      <c r="F6" s="159">
        <v>95</v>
      </c>
      <c r="G6" s="160"/>
      <c r="H6" s="159"/>
      <c r="I6" s="160">
        <v>95</v>
      </c>
      <c r="J6" s="159">
        <v>95</v>
      </c>
      <c r="K6" s="159"/>
      <c r="L6" s="159"/>
      <c r="M6" s="159"/>
      <c r="N6" s="159"/>
      <c r="O6" s="159"/>
      <c r="P6" s="159"/>
      <c r="Q6" s="159"/>
      <c r="R6" s="160"/>
      <c r="S6" s="160"/>
      <c r="T6" s="159"/>
      <c r="U6" s="354">
        <f t="shared" ref="U6:U54" si="4">ROUND((AVERAGE(E6:T6)),0)</f>
        <v>95</v>
      </c>
      <c r="V6" s="355" t="str">
        <f>IF(U6&gt;KKM!$G$10,"A",IF(U6&gt;KKM!$H$10,"B",IF(U6&gt;=KKM!$I$10,"C","D")))</f>
        <v>A</v>
      </c>
      <c r="W6" s="356">
        <f t="shared" si="0"/>
        <v>95</v>
      </c>
      <c r="X6" s="361" t="str">
        <f>IF(W6&gt;KKM!$G$10," sangat baik ",IF(W6&gt;KKM!$H$10," baik ",IF(W6&gt;=KKM!$I$10," cukup baik "," perlu bimbingan ")))</f>
        <v xml:space="preserve"> sangat baik </v>
      </c>
      <c r="Y6" s="357">
        <f t="shared" si="1"/>
        <v>95</v>
      </c>
      <c r="Z6" s="361" t="str">
        <f>IF(Y6&gt;KKM!$G$10," sangat baik ",IF(Y6&gt;KKM!$H$10," baik ",IF(Y6&gt;=KKM!$I$10," cukup baik "," perlu bimbingan ")))</f>
        <v xml:space="preserve"> sangat baik </v>
      </c>
      <c r="AA6" s="353" t="str">
        <f t="shared" ref="AA6:AA54" si="5">IFERROR(AH6," ")</f>
        <v>ADHWA sangat baik  dalam memahami gambar cerita</v>
      </c>
      <c r="AB6" s="256"/>
      <c r="AC6" s="257" t="str">
        <f t="shared" si="2"/>
        <v xml:space="preserve"> sangat baik  dalam memahami gambar cerita</v>
      </c>
      <c r="AD6" s="257" t="str">
        <f t="shared" si="3"/>
        <v xml:space="preserve"> sangat baik  dalam memahami gambar cerita</v>
      </c>
      <c r="AE6" s="257" t="str">
        <f t="shared" ref="AE6:AE54" si="6">AC6&amp;", dan "&amp;AD6</f>
        <v xml:space="preserve"> sangat baik  dalam memahami gambar cerita, dan  sangat baik  dalam memahami gambar cerita</v>
      </c>
      <c r="AF6" s="257" t="str">
        <f t="shared" ref="AF6:AF54" si="7">IF(AC6=AD6,AC6," ")</f>
        <v xml:space="preserve"> sangat baik  dalam memahami gambar cerita</v>
      </c>
      <c r="AG6" s="258" t="str">
        <f t="shared" ref="AG6:AG54" si="8">IF(AF6=" ",AE6,AF6)</f>
        <v xml:space="preserve"> sangat baik  dalam memahami gambar cerita</v>
      </c>
      <c r="AH6" s="252" t="str">
        <f t="shared" ref="AH6:AH54" si="9">CONCATENATE(D6,AG6)</f>
        <v>ADHWA sangat baik  dalam memahami gambar cerita</v>
      </c>
      <c r="AI6" s="153"/>
      <c r="AR6" s="469">
        <f t="shared" ref="AR6:AR54" si="10">IFERROR(U6,"")</f>
        <v>95</v>
      </c>
      <c r="AS6" s="503">
        <f>IFERROR(AS3/AS2,"0%")</f>
        <v>1</v>
      </c>
    </row>
    <row r="7" spans="1:45" ht="63.75" customHeight="1">
      <c r="B7" s="142">
        <v>3</v>
      </c>
      <c r="C7" s="143" t="str">
        <f>SISWA!B8</f>
        <v xml:space="preserve"> 1718250040307</v>
      </c>
      <c r="D7" s="144" t="str">
        <f>SISWA!E8</f>
        <v>ANDHIKA</v>
      </c>
      <c r="E7" s="159">
        <v>97.5</v>
      </c>
      <c r="F7" s="160">
        <v>97.5</v>
      </c>
      <c r="G7" s="160"/>
      <c r="H7" s="160"/>
      <c r="I7" s="160">
        <v>97.5</v>
      </c>
      <c r="J7" s="159">
        <v>97.5</v>
      </c>
      <c r="K7" s="159"/>
      <c r="L7" s="159"/>
      <c r="M7" s="159"/>
      <c r="N7" s="159"/>
      <c r="O7" s="159"/>
      <c r="P7" s="159"/>
      <c r="Q7" s="159"/>
      <c r="R7" s="160"/>
      <c r="S7" s="160"/>
      <c r="T7" s="159"/>
      <c r="U7" s="354">
        <f t="shared" si="4"/>
        <v>98</v>
      </c>
      <c r="V7" s="355" t="str">
        <f>IF(U7&gt;KKM!$G$10,"A",IF(U7&gt;KKM!$H$10,"B",IF(U7&gt;=KKM!$I$10,"C","D")))</f>
        <v>A</v>
      </c>
      <c r="W7" s="356">
        <f t="shared" si="0"/>
        <v>97.5</v>
      </c>
      <c r="X7" s="361" t="str">
        <f>IF(W7&gt;KKM!$G$10," sangat baik ",IF(W7&gt;KKM!$H$10," baik ",IF(W7&gt;=KKM!$I$10," cukup baik "," perlu bimbingan ")))</f>
        <v xml:space="preserve"> sangat baik </v>
      </c>
      <c r="Y7" s="357">
        <f t="shared" si="1"/>
        <v>97.5</v>
      </c>
      <c r="Z7" s="361" t="str">
        <f>IF(Y7&gt;KKM!$G$10," sangat baik ",IF(Y7&gt;KKM!$H$10," baik ",IF(Y7&gt;=KKM!$I$10," cukup baik "," perlu bimbingan ")))</f>
        <v xml:space="preserve"> sangat baik </v>
      </c>
      <c r="AA7" s="353" t="str">
        <f t="shared" si="5"/>
        <v>ANDHIKA sangat baik  dalam memahami gambar cerita</v>
      </c>
      <c r="AB7" s="256"/>
      <c r="AC7" s="257" t="str">
        <f t="shared" si="2"/>
        <v xml:space="preserve"> sangat baik  dalam memahami gambar cerita</v>
      </c>
      <c r="AD7" s="257" t="str">
        <f t="shared" si="3"/>
        <v xml:space="preserve"> sangat baik  dalam memahami gambar cerita</v>
      </c>
      <c r="AE7" s="257" t="str">
        <f t="shared" si="6"/>
        <v xml:space="preserve"> sangat baik  dalam memahami gambar cerita, dan  sangat baik  dalam memahami gambar cerita</v>
      </c>
      <c r="AF7" s="257" t="str">
        <f t="shared" si="7"/>
        <v xml:space="preserve"> sangat baik  dalam memahami gambar cerita</v>
      </c>
      <c r="AG7" s="258" t="str">
        <f t="shared" si="8"/>
        <v xml:space="preserve"> sangat baik  dalam memahami gambar cerita</v>
      </c>
      <c r="AH7" s="252" t="str">
        <f t="shared" si="9"/>
        <v>ANDHIKA sangat baik  dalam memahami gambar cerita</v>
      </c>
      <c r="AI7" s="153"/>
      <c r="AR7" s="469">
        <f t="shared" si="10"/>
        <v>98</v>
      </c>
    </row>
    <row r="8" spans="1:45" ht="63.75" customHeight="1">
      <c r="B8" s="142">
        <v>4</v>
      </c>
      <c r="C8" s="143" t="str">
        <f>SISWA!B9</f>
        <v xml:space="preserve"> 1718250040308</v>
      </c>
      <c r="D8" s="144" t="str">
        <f>SISWA!E9</f>
        <v>ANGGARA</v>
      </c>
      <c r="E8" s="159">
        <v>90</v>
      </c>
      <c r="F8" s="160">
        <v>90</v>
      </c>
      <c r="G8" s="160"/>
      <c r="H8" s="160"/>
      <c r="I8" s="160">
        <v>90</v>
      </c>
      <c r="J8" s="159">
        <v>90</v>
      </c>
      <c r="K8" s="159"/>
      <c r="L8" s="159"/>
      <c r="M8" s="159"/>
      <c r="N8" s="159"/>
      <c r="O8" s="159"/>
      <c r="P8" s="159"/>
      <c r="Q8" s="159"/>
      <c r="R8" s="160"/>
      <c r="S8" s="160"/>
      <c r="T8" s="159"/>
      <c r="U8" s="354">
        <f t="shared" si="4"/>
        <v>90</v>
      </c>
      <c r="V8" s="355" t="str">
        <f>IF(U8&gt;KKM!$G$10,"A",IF(U8&gt;KKM!$H$10,"B",IF(U8&gt;=KKM!$I$10,"C","D")))</f>
        <v>A</v>
      </c>
      <c r="W8" s="356">
        <f t="shared" si="0"/>
        <v>90</v>
      </c>
      <c r="X8" s="361" t="str">
        <f>IF(W8&gt;KKM!$G$10," sangat baik ",IF(W8&gt;KKM!$H$10," baik ",IF(W8&gt;=KKM!$I$10," cukup baik "," perlu bimbingan ")))</f>
        <v xml:space="preserve"> sangat baik </v>
      </c>
      <c r="Y8" s="357">
        <f t="shared" si="1"/>
        <v>90</v>
      </c>
      <c r="Z8" s="361" t="str">
        <f>IF(Y8&gt;KKM!$G$10," sangat baik ",IF(Y8&gt;KKM!$H$10," baik ",IF(Y8&gt;=KKM!$I$10," cukup baik "," perlu bimbingan ")))</f>
        <v xml:space="preserve"> sangat baik </v>
      </c>
      <c r="AA8" s="353" t="str">
        <f t="shared" si="5"/>
        <v>ANGGARA sangat baik  dalam memahami gambar cerita</v>
      </c>
      <c r="AB8" s="256"/>
      <c r="AC8" s="257" t="str">
        <f t="shared" si="2"/>
        <v xml:space="preserve"> sangat baik  dalam memahami gambar cerita</v>
      </c>
      <c r="AD8" s="257" t="str">
        <f t="shared" si="3"/>
        <v xml:space="preserve"> sangat baik  dalam memahami gambar cerita</v>
      </c>
      <c r="AE8" s="257" t="str">
        <f t="shared" si="6"/>
        <v xml:space="preserve"> sangat baik  dalam memahami gambar cerita, dan  sangat baik  dalam memahami gambar cerita</v>
      </c>
      <c r="AF8" s="257" t="str">
        <f t="shared" si="7"/>
        <v xml:space="preserve"> sangat baik  dalam memahami gambar cerita</v>
      </c>
      <c r="AG8" s="258" t="str">
        <f t="shared" si="8"/>
        <v xml:space="preserve"> sangat baik  dalam memahami gambar cerita</v>
      </c>
      <c r="AH8" s="252" t="str">
        <f t="shared" si="9"/>
        <v>ANGGARA sangat baik  dalam memahami gambar cerita</v>
      </c>
      <c r="AI8" s="153"/>
      <c r="AR8" s="469">
        <f t="shared" si="10"/>
        <v>90</v>
      </c>
    </row>
    <row r="9" spans="1:45" ht="63.75" customHeight="1">
      <c r="B9" s="142">
        <v>5</v>
      </c>
      <c r="C9" s="143" t="str">
        <f>SISWA!B10</f>
        <v>1718250040309</v>
      </c>
      <c r="D9" s="144" t="str">
        <f>SISWA!E10</f>
        <v>ARIA</v>
      </c>
      <c r="E9" s="159">
        <v>92.5</v>
      </c>
      <c r="F9" s="160">
        <v>92.5</v>
      </c>
      <c r="G9" s="160"/>
      <c r="H9" s="160"/>
      <c r="I9" s="160">
        <v>92.5</v>
      </c>
      <c r="J9" s="159">
        <v>92.5</v>
      </c>
      <c r="K9" s="159"/>
      <c r="L9" s="159"/>
      <c r="M9" s="159"/>
      <c r="N9" s="159"/>
      <c r="O9" s="159"/>
      <c r="P9" s="159"/>
      <c r="Q9" s="159"/>
      <c r="R9" s="160"/>
      <c r="S9" s="160"/>
      <c r="T9" s="159"/>
      <c r="U9" s="354">
        <f t="shared" si="4"/>
        <v>93</v>
      </c>
      <c r="V9" s="355" t="str">
        <f>IF(U9&gt;KKM!$G$10,"A",IF(U9&gt;KKM!$H$10,"B",IF(U9&gt;=KKM!$I$10,"C","D")))</f>
        <v>A</v>
      </c>
      <c r="W9" s="356">
        <f t="shared" si="0"/>
        <v>92.5</v>
      </c>
      <c r="X9" s="361" t="str">
        <f>IF(W9&gt;KKM!$G$10," sangat baik ",IF(W9&gt;KKM!$H$10," baik ",IF(W9&gt;=KKM!$I$10," cukup baik "," perlu bimbingan ")))</f>
        <v xml:space="preserve"> sangat baik </v>
      </c>
      <c r="Y9" s="357">
        <f t="shared" si="1"/>
        <v>92.5</v>
      </c>
      <c r="Z9" s="361" t="str">
        <f>IF(Y9&gt;KKM!$G$10," sangat baik ",IF(Y9&gt;KKM!$H$10," baik ",IF(Y9&gt;=KKM!$I$10," cukup baik "," perlu bimbingan ")))</f>
        <v xml:space="preserve"> sangat baik </v>
      </c>
      <c r="AA9" s="353" t="str">
        <f t="shared" si="5"/>
        <v>ARIA sangat baik  dalam memahami gambar cerita</v>
      </c>
      <c r="AB9" s="256"/>
      <c r="AC9" s="257" t="str">
        <f t="shared" si="2"/>
        <v xml:space="preserve"> sangat baik  dalam memahami gambar cerita</v>
      </c>
      <c r="AD9" s="257" t="str">
        <f t="shared" si="3"/>
        <v xml:space="preserve"> sangat baik  dalam memahami gambar cerita</v>
      </c>
      <c r="AE9" s="257" t="str">
        <f t="shared" si="6"/>
        <v xml:space="preserve"> sangat baik  dalam memahami gambar cerita, dan  sangat baik  dalam memahami gambar cerita</v>
      </c>
      <c r="AF9" s="257" t="str">
        <f t="shared" si="7"/>
        <v xml:space="preserve"> sangat baik  dalam memahami gambar cerita</v>
      </c>
      <c r="AG9" s="258" t="str">
        <f t="shared" si="8"/>
        <v xml:space="preserve"> sangat baik  dalam memahami gambar cerita</v>
      </c>
      <c r="AH9" s="252" t="str">
        <f t="shared" si="9"/>
        <v>ARIA sangat baik  dalam memahami gambar cerita</v>
      </c>
      <c r="AI9" s="153"/>
      <c r="AR9" s="469">
        <f t="shared" si="10"/>
        <v>93</v>
      </c>
    </row>
    <row r="10" spans="1:45" ht="63.75" customHeight="1">
      <c r="B10" s="142">
        <v>6</v>
      </c>
      <c r="C10" s="143" t="str">
        <f>SISWA!B11</f>
        <v>1718250040310</v>
      </c>
      <c r="D10" s="144" t="str">
        <f>SISWA!E11</f>
        <v>CAHAYA</v>
      </c>
      <c r="E10" s="159">
        <v>90</v>
      </c>
      <c r="F10" s="160">
        <v>90</v>
      </c>
      <c r="G10" s="160"/>
      <c r="H10" s="160"/>
      <c r="I10" s="160">
        <v>90</v>
      </c>
      <c r="J10" s="159">
        <v>90</v>
      </c>
      <c r="K10" s="159"/>
      <c r="L10" s="159"/>
      <c r="M10" s="159"/>
      <c r="N10" s="159"/>
      <c r="O10" s="159"/>
      <c r="P10" s="159"/>
      <c r="Q10" s="159"/>
      <c r="R10" s="160"/>
      <c r="S10" s="160"/>
      <c r="T10" s="159"/>
      <c r="U10" s="354">
        <f t="shared" si="4"/>
        <v>90</v>
      </c>
      <c r="V10" s="355" t="str">
        <f>IF(U10&gt;KKM!$G$10,"A",IF(U10&gt;KKM!$H$10,"B",IF(U10&gt;=KKM!$I$10,"C","D")))</f>
        <v>A</v>
      </c>
      <c r="W10" s="356">
        <f t="shared" si="0"/>
        <v>90</v>
      </c>
      <c r="X10" s="361" t="str">
        <f>IF(W10&gt;KKM!$G$10," sangat baik ",IF(W10&gt;KKM!$H$10," baik ",IF(W10&gt;=KKM!$I$10," cukup baik "," perlu bimbingan ")))</f>
        <v xml:space="preserve"> sangat baik </v>
      </c>
      <c r="Y10" s="357">
        <f t="shared" si="1"/>
        <v>90</v>
      </c>
      <c r="Z10" s="361" t="str">
        <f>IF(Y10&gt;KKM!$G$10," sangat baik ",IF(Y10&gt;KKM!$H$10," baik ",IF(Y10&gt;=KKM!$I$10," cukup baik "," perlu bimbingan ")))</f>
        <v xml:space="preserve"> sangat baik </v>
      </c>
      <c r="AA10" s="353" t="str">
        <f t="shared" si="5"/>
        <v>CAHAYA sangat baik  dalam memahami gambar cerita</v>
      </c>
      <c r="AB10" s="256"/>
      <c r="AC10" s="257" t="str">
        <f t="shared" si="2"/>
        <v xml:space="preserve"> sangat baik  dalam memahami gambar cerita</v>
      </c>
      <c r="AD10" s="257" t="str">
        <f t="shared" si="3"/>
        <v xml:space="preserve"> sangat baik  dalam memahami gambar cerita</v>
      </c>
      <c r="AE10" s="257" t="str">
        <f t="shared" si="6"/>
        <v xml:space="preserve"> sangat baik  dalam memahami gambar cerita, dan  sangat baik  dalam memahami gambar cerita</v>
      </c>
      <c r="AF10" s="257" t="str">
        <f t="shared" si="7"/>
        <v xml:space="preserve"> sangat baik  dalam memahami gambar cerita</v>
      </c>
      <c r="AG10" s="258" t="str">
        <f t="shared" si="8"/>
        <v xml:space="preserve"> sangat baik  dalam memahami gambar cerita</v>
      </c>
      <c r="AH10" s="252" t="str">
        <f t="shared" si="9"/>
        <v>CAHAYA sangat baik  dalam memahami gambar cerita</v>
      </c>
      <c r="AI10" s="153"/>
      <c r="AR10" s="469">
        <f t="shared" si="10"/>
        <v>90</v>
      </c>
    </row>
    <row r="11" spans="1:45" ht="63.75" customHeight="1">
      <c r="B11" s="142">
        <v>7</v>
      </c>
      <c r="C11" s="143" t="str">
        <f>SISWA!B12</f>
        <v>1718250040311</v>
      </c>
      <c r="D11" s="144" t="str">
        <f>SISWA!E12</f>
        <v>CALISTA</v>
      </c>
      <c r="E11" s="159">
        <v>82.5</v>
      </c>
      <c r="F11" s="160">
        <v>82.5</v>
      </c>
      <c r="G11" s="160"/>
      <c r="H11" s="160"/>
      <c r="I11" s="160">
        <v>82.5</v>
      </c>
      <c r="J11" s="159">
        <v>82.5</v>
      </c>
      <c r="K11" s="159"/>
      <c r="L11" s="159"/>
      <c r="M11" s="159"/>
      <c r="N11" s="159"/>
      <c r="O11" s="159"/>
      <c r="P11" s="159"/>
      <c r="Q11" s="159"/>
      <c r="R11" s="160"/>
      <c r="S11" s="160"/>
      <c r="T11" s="159"/>
      <c r="U11" s="354">
        <f t="shared" si="4"/>
        <v>83</v>
      </c>
      <c r="V11" s="355" t="str">
        <f>IF(U11&gt;KKM!$G$10,"A",IF(U11&gt;KKM!$H$10,"B",IF(U11&gt;=KKM!$I$10,"C","D")))</f>
        <v>B</v>
      </c>
      <c r="W11" s="356">
        <f t="shared" si="0"/>
        <v>82.5</v>
      </c>
      <c r="X11" s="361" t="str">
        <f>IF(W11&gt;KKM!$G$10," sangat baik ",IF(W11&gt;KKM!$H$10," baik ",IF(W11&gt;=KKM!$I$10," cukup baik "," perlu bimbingan ")))</f>
        <v xml:space="preserve"> baik </v>
      </c>
      <c r="Y11" s="357">
        <f t="shared" si="1"/>
        <v>82.5</v>
      </c>
      <c r="Z11" s="361" t="str">
        <f>IF(Y11&gt;KKM!$G$10," sangat baik ",IF(Y11&gt;KKM!$H$10," baik ",IF(Y11&gt;=KKM!$I$10," cukup baik "," perlu bimbingan ")))</f>
        <v xml:space="preserve"> baik </v>
      </c>
      <c r="AA11" s="353" t="str">
        <f t="shared" si="5"/>
        <v>CALISTA baik  dalam memahami gambar cerita</v>
      </c>
      <c r="AB11" s="256"/>
      <c r="AC11" s="257" t="str">
        <f t="shared" si="2"/>
        <v xml:space="preserve"> baik  dalam memahami gambar cerita</v>
      </c>
      <c r="AD11" s="257" t="str">
        <f t="shared" si="3"/>
        <v xml:space="preserve"> baik  dalam memahami gambar cerita</v>
      </c>
      <c r="AE11" s="257" t="str">
        <f t="shared" si="6"/>
        <v xml:space="preserve"> baik  dalam memahami gambar cerita, dan  baik  dalam memahami gambar cerita</v>
      </c>
      <c r="AF11" s="257" t="str">
        <f t="shared" si="7"/>
        <v xml:space="preserve"> baik  dalam memahami gambar cerita</v>
      </c>
      <c r="AG11" s="258" t="str">
        <f t="shared" si="8"/>
        <v xml:space="preserve"> baik  dalam memahami gambar cerita</v>
      </c>
      <c r="AH11" s="252" t="str">
        <f t="shared" si="9"/>
        <v>CALISTA baik  dalam memahami gambar cerita</v>
      </c>
      <c r="AI11" s="153"/>
      <c r="AR11" s="469">
        <f t="shared" si="10"/>
        <v>83</v>
      </c>
    </row>
    <row r="12" spans="1:45" ht="63.75" customHeight="1">
      <c r="B12" s="142">
        <v>8</v>
      </c>
      <c r="C12" s="143" t="str">
        <f>SISWA!B13</f>
        <v>1718250040312</v>
      </c>
      <c r="D12" s="144" t="str">
        <f>SISWA!E13</f>
        <v>CARISSA</v>
      </c>
      <c r="E12" s="159">
        <v>92.5</v>
      </c>
      <c r="F12" s="160">
        <v>92.5</v>
      </c>
      <c r="G12" s="160"/>
      <c r="H12" s="160"/>
      <c r="I12" s="160">
        <v>92.5</v>
      </c>
      <c r="J12" s="159">
        <v>92.5</v>
      </c>
      <c r="K12" s="159"/>
      <c r="L12" s="159"/>
      <c r="M12" s="159"/>
      <c r="N12" s="159"/>
      <c r="O12" s="159"/>
      <c r="P12" s="159"/>
      <c r="Q12" s="159"/>
      <c r="R12" s="160"/>
      <c r="S12" s="160"/>
      <c r="T12" s="159"/>
      <c r="U12" s="354">
        <f t="shared" si="4"/>
        <v>93</v>
      </c>
      <c r="V12" s="355" t="str">
        <f>IF(U12&gt;KKM!$G$10,"A",IF(U12&gt;KKM!$H$10,"B",IF(U12&gt;=KKM!$I$10,"C","D")))</f>
        <v>A</v>
      </c>
      <c r="W12" s="356">
        <f t="shared" si="0"/>
        <v>92.5</v>
      </c>
      <c r="X12" s="361" t="str">
        <f>IF(W12&gt;KKM!$G$10," sangat baik ",IF(W12&gt;KKM!$H$10," baik ",IF(W12&gt;=KKM!$I$10," cukup baik "," perlu bimbingan ")))</f>
        <v xml:space="preserve"> sangat baik </v>
      </c>
      <c r="Y12" s="357">
        <f t="shared" si="1"/>
        <v>92.5</v>
      </c>
      <c r="Z12" s="361" t="str">
        <f>IF(Y12&gt;KKM!$G$10," sangat baik ",IF(Y12&gt;KKM!$H$10," baik ",IF(Y12&gt;=KKM!$I$10," cukup baik "," perlu bimbingan ")))</f>
        <v xml:space="preserve"> sangat baik </v>
      </c>
      <c r="AA12" s="353" t="str">
        <f t="shared" si="5"/>
        <v>CARISSA sangat baik  dalam memahami gambar cerita</v>
      </c>
      <c r="AB12" s="256"/>
      <c r="AC12" s="257" t="str">
        <f t="shared" si="2"/>
        <v xml:space="preserve"> sangat baik  dalam memahami gambar cerita</v>
      </c>
      <c r="AD12" s="257" t="str">
        <f t="shared" si="3"/>
        <v xml:space="preserve"> sangat baik  dalam memahami gambar cerita</v>
      </c>
      <c r="AE12" s="257" t="str">
        <f t="shared" si="6"/>
        <v xml:space="preserve"> sangat baik  dalam memahami gambar cerita, dan  sangat baik  dalam memahami gambar cerita</v>
      </c>
      <c r="AF12" s="257" t="str">
        <f t="shared" si="7"/>
        <v xml:space="preserve"> sangat baik  dalam memahami gambar cerita</v>
      </c>
      <c r="AG12" s="258" t="str">
        <f t="shared" si="8"/>
        <v xml:space="preserve"> sangat baik  dalam memahami gambar cerita</v>
      </c>
      <c r="AH12" s="252" t="str">
        <f t="shared" si="9"/>
        <v>CARISSA sangat baik  dalam memahami gambar cerita</v>
      </c>
      <c r="AI12" s="153"/>
      <c r="AR12" s="469">
        <f t="shared" si="10"/>
        <v>93</v>
      </c>
    </row>
    <row r="13" spans="1:45" ht="63.75" customHeight="1">
      <c r="B13" s="142">
        <v>9</v>
      </c>
      <c r="C13" s="143" t="str">
        <f>SISWA!B14</f>
        <v>1718250040313</v>
      </c>
      <c r="D13" s="144" t="str">
        <f>SISWA!E14</f>
        <v>CHAIDAR</v>
      </c>
      <c r="E13" s="159">
        <v>95</v>
      </c>
      <c r="F13" s="160">
        <v>95</v>
      </c>
      <c r="G13" s="160"/>
      <c r="H13" s="160"/>
      <c r="I13" s="160">
        <v>95</v>
      </c>
      <c r="J13" s="159">
        <v>95</v>
      </c>
      <c r="K13" s="159"/>
      <c r="L13" s="159"/>
      <c r="M13" s="159"/>
      <c r="N13" s="159"/>
      <c r="O13" s="159"/>
      <c r="P13" s="159"/>
      <c r="Q13" s="159"/>
      <c r="R13" s="160"/>
      <c r="S13" s="160"/>
      <c r="T13" s="159"/>
      <c r="U13" s="354">
        <f t="shared" si="4"/>
        <v>95</v>
      </c>
      <c r="V13" s="355" t="str">
        <f>IF(U13&gt;KKM!$G$10,"A",IF(U13&gt;KKM!$H$10,"B",IF(U13&gt;=KKM!$I$10,"C","D")))</f>
        <v>A</v>
      </c>
      <c r="W13" s="356">
        <f t="shared" si="0"/>
        <v>95</v>
      </c>
      <c r="X13" s="361" t="str">
        <f>IF(W13&gt;KKM!$G$10," sangat baik ",IF(W13&gt;KKM!$H$10," baik ",IF(W13&gt;=KKM!$I$10," cukup baik "," perlu bimbingan ")))</f>
        <v xml:space="preserve"> sangat baik </v>
      </c>
      <c r="Y13" s="357">
        <f t="shared" si="1"/>
        <v>95</v>
      </c>
      <c r="Z13" s="361" t="str">
        <f>IF(Y13&gt;KKM!$G$10," sangat baik ",IF(Y13&gt;KKM!$H$10," baik ",IF(Y13&gt;=KKM!$I$10," cukup baik "," perlu bimbingan ")))</f>
        <v xml:space="preserve"> sangat baik </v>
      </c>
      <c r="AA13" s="353" t="str">
        <f t="shared" si="5"/>
        <v>CHAIDAR sangat baik  dalam memahami gambar cerita</v>
      </c>
      <c r="AB13" s="256"/>
      <c r="AC13" s="257" t="str">
        <f t="shared" si="2"/>
        <v xml:space="preserve"> sangat baik  dalam memahami gambar cerita</v>
      </c>
      <c r="AD13" s="257" t="str">
        <f t="shared" si="3"/>
        <v xml:space="preserve"> sangat baik  dalam memahami gambar cerita</v>
      </c>
      <c r="AE13" s="257" t="str">
        <f t="shared" si="6"/>
        <v xml:space="preserve"> sangat baik  dalam memahami gambar cerita, dan  sangat baik  dalam memahami gambar cerita</v>
      </c>
      <c r="AF13" s="257" t="str">
        <f t="shared" si="7"/>
        <v xml:space="preserve"> sangat baik  dalam memahami gambar cerita</v>
      </c>
      <c r="AG13" s="258" t="str">
        <f t="shared" si="8"/>
        <v xml:space="preserve"> sangat baik  dalam memahami gambar cerita</v>
      </c>
      <c r="AH13" s="252" t="str">
        <f t="shared" si="9"/>
        <v>CHAIDAR sangat baik  dalam memahami gambar cerita</v>
      </c>
      <c r="AI13" s="153"/>
      <c r="AR13" s="469">
        <f t="shared" si="10"/>
        <v>95</v>
      </c>
    </row>
    <row r="14" spans="1:45" ht="63.75" customHeight="1">
      <c r="B14" s="142">
        <v>10</v>
      </c>
      <c r="C14" s="143" t="str">
        <f>SISWA!B15</f>
        <v>1718250040314</v>
      </c>
      <c r="D14" s="144" t="str">
        <f>SISWA!E15</f>
        <v>DAVKA</v>
      </c>
      <c r="E14" s="159">
        <v>97.5</v>
      </c>
      <c r="F14" s="160">
        <v>97.5</v>
      </c>
      <c r="G14" s="160"/>
      <c r="H14" s="160"/>
      <c r="I14" s="160">
        <v>97.5</v>
      </c>
      <c r="J14" s="159">
        <v>97.5</v>
      </c>
      <c r="K14" s="159"/>
      <c r="L14" s="159"/>
      <c r="M14" s="159"/>
      <c r="N14" s="159"/>
      <c r="O14" s="159"/>
      <c r="P14" s="159"/>
      <c r="Q14" s="159"/>
      <c r="R14" s="160"/>
      <c r="S14" s="160"/>
      <c r="T14" s="159"/>
      <c r="U14" s="354">
        <f t="shared" si="4"/>
        <v>98</v>
      </c>
      <c r="V14" s="355" t="str">
        <f>IF(U14&gt;KKM!$G$10,"A",IF(U14&gt;KKM!$H$10,"B",IF(U14&gt;=KKM!$I$10,"C","D")))</f>
        <v>A</v>
      </c>
      <c r="W14" s="356">
        <f t="shared" si="0"/>
        <v>97.5</v>
      </c>
      <c r="X14" s="361" t="str">
        <f>IF(W14&gt;KKM!$G$10," sangat baik ",IF(W14&gt;KKM!$H$10," baik ",IF(W14&gt;=KKM!$I$10," cukup baik "," perlu bimbingan ")))</f>
        <v xml:space="preserve"> sangat baik </v>
      </c>
      <c r="Y14" s="357">
        <f t="shared" si="1"/>
        <v>97.5</v>
      </c>
      <c r="Z14" s="361" t="str">
        <f>IF(Y14&gt;KKM!$G$10," sangat baik ",IF(Y14&gt;KKM!$H$10," baik ",IF(Y14&gt;=KKM!$I$10," cukup baik "," perlu bimbingan ")))</f>
        <v xml:space="preserve"> sangat baik </v>
      </c>
      <c r="AA14" s="353" t="str">
        <f t="shared" si="5"/>
        <v>DAVKA sangat baik  dalam memahami gambar cerita</v>
      </c>
      <c r="AB14" s="256"/>
      <c r="AC14" s="257" t="str">
        <f t="shared" si="2"/>
        <v xml:space="preserve"> sangat baik  dalam memahami gambar cerita</v>
      </c>
      <c r="AD14" s="257" t="str">
        <f t="shared" si="3"/>
        <v xml:space="preserve"> sangat baik  dalam memahami gambar cerita</v>
      </c>
      <c r="AE14" s="257" t="str">
        <f t="shared" si="6"/>
        <v xml:space="preserve"> sangat baik  dalam memahami gambar cerita, dan  sangat baik  dalam memahami gambar cerita</v>
      </c>
      <c r="AF14" s="257" t="str">
        <f t="shared" si="7"/>
        <v xml:space="preserve"> sangat baik  dalam memahami gambar cerita</v>
      </c>
      <c r="AG14" s="258" t="str">
        <f t="shared" si="8"/>
        <v xml:space="preserve"> sangat baik  dalam memahami gambar cerita</v>
      </c>
      <c r="AH14" s="252" t="str">
        <f t="shared" si="9"/>
        <v>DAVKA sangat baik  dalam memahami gambar cerita</v>
      </c>
      <c r="AI14" s="153"/>
      <c r="AR14" s="469">
        <f t="shared" si="10"/>
        <v>98</v>
      </c>
    </row>
    <row r="15" spans="1:45" ht="63.75" customHeight="1">
      <c r="B15" s="142">
        <v>11</v>
      </c>
      <c r="C15" s="143" t="str">
        <f>SISWA!B16</f>
        <v>1718250040315</v>
      </c>
      <c r="D15" s="144" t="str">
        <f>SISWA!E16</f>
        <v>DZIBRIL</v>
      </c>
      <c r="E15" s="159">
        <v>80</v>
      </c>
      <c r="F15" s="160">
        <v>80</v>
      </c>
      <c r="G15" s="160"/>
      <c r="H15" s="160"/>
      <c r="I15" s="160">
        <v>80</v>
      </c>
      <c r="J15" s="159">
        <v>80</v>
      </c>
      <c r="K15" s="159"/>
      <c r="L15" s="159"/>
      <c r="M15" s="159"/>
      <c r="N15" s="159"/>
      <c r="O15" s="159"/>
      <c r="P15" s="159"/>
      <c r="Q15" s="159"/>
      <c r="R15" s="160"/>
      <c r="S15" s="160"/>
      <c r="T15" s="159"/>
      <c r="U15" s="354">
        <f t="shared" si="4"/>
        <v>80</v>
      </c>
      <c r="V15" s="355" t="str">
        <f>IF(U15&gt;KKM!$G$10,"A",IF(U15&gt;KKM!$H$10,"B",IF(U15&gt;=KKM!$I$10,"C","D")))</f>
        <v>B</v>
      </c>
      <c r="W15" s="356">
        <f t="shared" si="0"/>
        <v>80</v>
      </c>
      <c r="X15" s="361" t="str">
        <f>IF(W15&gt;KKM!$G$10," sangat baik ",IF(W15&gt;KKM!$H$10," baik ",IF(W15&gt;=KKM!$I$10," cukup baik "," perlu bimbingan ")))</f>
        <v xml:space="preserve"> baik </v>
      </c>
      <c r="Y15" s="357">
        <f t="shared" si="1"/>
        <v>80</v>
      </c>
      <c r="Z15" s="361" t="str">
        <f>IF(Y15&gt;KKM!$G$10," sangat baik ",IF(Y15&gt;KKM!$H$10," baik ",IF(Y15&gt;=KKM!$I$10," cukup baik "," perlu bimbingan ")))</f>
        <v xml:space="preserve"> baik </v>
      </c>
      <c r="AA15" s="353" t="str">
        <f t="shared" si="5"/>
        <v>DZIBRIL baik  dalam memahami gambar cerita</v>
      </c>
      <c r="AB15" s="256"/>
      <c r="AC15" s="257" t="str">
        <f t="shared" si="2"/>
        <v xml:space="preserve"> baik  dalam memahami gambar cerita</v>
      </c>
      <c r="AD15" s="257" t="str">
        <f t="shared" si="3"/>
        <v xml:space="preserve"> baik  dalam memahami gambar cerita</v>
      </c>
      <c r="AE15" s="257" t="str">
        <f t="shared" si="6"/>
        <v xml:space="preserve"> baik  dalam memahami gambar cerita, dan  baik  dalam memahami gambar cerita</v>
      </c>
      <c r="AF15" s="257" t="str">
        <f t="shared" si="7"/>
        <v xml:space="preserve"> baik  dalam memahami gambar cerita</v>
      </c>
      <c r="AG15" s="258" t="str">
        <f t="shared" si="8"/>
        <v xml:space="preserve"> baik  dalam memahami gambar cerita</v>
      </c>
      <c r="AH15" s="252" t="str">
        <f t="shared" si="9"/>
        <v>DZIBRIL baik  dalam memahami gambar cerita</v>
      </c>
      <c r="AI15" s="153"/>
      <c r="AR15" s="469">
        <f t="shared" si="10"/>
        <v>80</v>
      </c>
    </row>
    <row r="16" spans="1:45" ht="63.75" customHeight="1">
      <c r="B16" s="142">
        <v>12</v>
      </c>
      <c r="C16" s="143" t="str">
        <f>SISWA!B17</f>
        <v>1718250040316</v>
      </c>
      <c r="D16" s="144" t="str">
        <f>SISWA!E17</f>
        <v>ERICHA</v>
      </c>
      <c r="E16" s="159">
        <v>92.5</v>
      </c>
      <c r="F16" s="160">
        <v>92.5</v>
      </c>
      <c r="G16" s="160"/>
      <c r="H16" s="160"/>
      <c r="I16" s="160">
        <v>92.5</v>
      </c>
      <c r="J16" s="159">
        <v>92.5</v>
      </c>
      <c r="K16" s="159"/>
      <c r="L16" s="159"/>
      <c r="M16" s="159"/>
      <c r="N16" s="159"/>
      <c r="O16" s="159"/>
      <c r="P16" s="159"/>
      <c r="Q16" s="159"/>
      <c r="R16" s="160"/>
      <c r="S16" s="160"/>
      <c r="T16" s="159"/>
      <c r="U16" s="354">
        <f t="shared" si="4"/>
        <v>93</v>
      </c>
      <c r="V16" s="355" t="str">
        <f>IF(U16&gt;KKM!$G$10,"A",IF(U16&gt;KKM!$H$10,"B",IF(U16&gt;=KKM!$I$10,"C","D")))</f>
        <v>A</v>
      </c>
      <c r="W16" s="356">
        <f t="shared" si="0"/>
        <v>92.5</v>
      </c>
      <c r="X16" s="361" t="str">
        <f>IF(W16&gt;KKM!$G$10," sangat baik ",IF(W16&gt;KKM!$H$10," baik ",IF(W16&gt;=KKM!$I$10," cukup baik "," perlu bimbingan ")))</f>
        <v xml:space="preserve"> sangat baik </v>
      </c>
      <c r="Y16" s="357">
        <f t="shared" si="1"/>
        <v>92.5</v>
      </c>
      <c r="Z16" s="361" t="str">
        <f>IF(Y16&gt;KKM!$G$10," sangat baik ",IF(Y16&gt;KKM!$H$10," baik ",IF(Y16&gt;=KKM!$I$10," cukup baik "," perlu bimbingan ")))</f>
        <v xml:space="preserve"> sangat baik </v>
      </c>
      <c r="AA16" s="353" t="str">
        <f t="shared" si="5"/>
        <v>ERICHA sangat baik  dalam memahami gambar cerita</v>
      </c>
      <c r="AB16" s="256"/>
      <c r="AC16" s="257" t="str">
        <f t="shared" si="2"/>
        <v xml:space="preserve"> sangat baik  dalam memahami gambar cerita</v>
      </c>
      <c r="AD16" s="257" t="str">
        <f t="shared" si="3"/>
        <v xml:space="preserve"> sangat baik  dalam memahami gambar cerita</v>
      </c>
      <c r="AE16" s="257" t="str">
        <f t="shared" si="6"/>
        <v xml:space="preserve"> sangat baik  dalam memahami gambar cerita, dan  sangat baik  dalam memahami gambar cerita</v>
      </c>
      <c r="AF16" s="257" t="str">
        <f t="shared" si="7"/>
        <v xml:space="preserve"> sangat baik  dalam memahami gambar cerita</v>
      </c>
      <c r="AG16" s="258" t="str">
        <f t="shared" si="8"/>
        <v xml:space="preserve"> sangat baik  dalam memahami gambar cerita</v>
      </c>
      <c r="AH16" s="252" t="str">
        <f t="shared" si="9"/>
        <v>ERICHA sangat baik  dalam memahami gambar cerita</v>
      </c>
      <c r="AI16" s="153"/>
      <c r="AR16" s="469">
        <f t="shared" si="10"/>
        <v>93</v>
      </c>
    </row>
    <row r="17" spans="2:44" ht="63.75" customHeight="1">
      <c r="B17" s="142">
        <v>13</v>
      </c>
      <c r="C17" s="143" t="str">
        <f>SISWA!B18</f>
        <v>1718250040317</v>
      </c>
      <c r="D17" s="144" t="str">
        <f>SISWA!E18</f>
        <v>HISYAM</v>
      </c>
      <c r="E17" s="159">
        <v>85</v>
      </c>
      <c r="F17" s="160">
        <v>85</v>
      </c>
      <c r="G17" s="160"/>
      <c r="H17" s="160"/>
      <c r="I17" s="160">
        <v>85</v>
      </c>
      <c r="J17" s="159">
        <v>85</v>
      </c>
      <c r="K17" s="159"/>
      <c r="L17" s="159"/>
      <c r="M17" s="159"/>
      <c r="N17" s="159"/>
      <c r="O17" s="159"/>
      <c r="P17" s="159"/>
      <c r="Q17" s="159"/>
      <c r="R17" s="160"/>
      <c r="S17" s="160"/>
      <c r="T17" s="159"/>
      <c r="U17" s="354">
        <f t="shared" si="4"/>
        <v>85</v>
      </c>
      <c r="V17" s="355" t="str">
        <f>IF(U17&gt;KKM!$G$10,"A",IF(U17&gt;KKM!$H$10,"B",IF(U17&gt;=KKM!$I$10,"C","D")))</f>
        <v>B</v>
      </c>
      <c r="W17" s="356">
        <f t="shared" si="0"/>
        <v>85</v>
      </c>
      <c r="X17" s="361" t="str">
        <f>IF(W17&gt;KKM!$G$10," sangat baik ",IF(W17&gt;KKM!$H$10," baik ",IF(W17&gt;=KKM!$I$10," cukup baik "," perlu bimbingan ")))</f>
        <v xml:space="preserve"> baik </v>
      </c>
      <c r="Y17" s="357">
        <f t="shared" si="1"/>
        <v>85</v>
      </c>
      <c r="Z17" s="361" t="str">
        <f>IF(Y17&gt;KKM!$G$10," sangat baik ",IF(Y17&gt;KKM!$H$10," baik ",IF(Y17&gt;=KKM!$I$10," cukup baik "," perlu bimbingan ")))</f>
        <v xml:space="preserve"> baik </v>
      </c>
      <c r="AA17" s="353" t="str">
        <f t="shared" si="5"/>
        <v>HISYAM baik  dalam memahami gambar cerita</v>
      </c>
      <c r="AB17" s="256"/>
      <c r="AC17" s="257" t="str">
        <f t="shared" si="2"/>
        <v xml:space="preserve"> baik  dalam memahami gambar cerita</v>
      </c>
      <c r="AD17" s="257" t="str">
        <f t="shared" si="3"/>
        <v xml:space="preserve"> baik  dalam memahami gambar cerita</v>
      </c>
      <c r="AE17" s="257" t="str">
        <f t="shared" si="6"/>
        <v xml:space="preserve"> baik  dalam memahami gambar cerita, dan  baik  dalam memahami gambar cerita</v>
      </c>
      <c r="AF17" s="257" t="str">
        <f t="shared" si="7"/>
        <v xml:space="preserve"> baik  dalam memahami gambar cerita</v>
      </c>
      <c r="AG17" s="258" t="str">
        <f t="shared" si="8"/>
        <v xml:space="preserve"> baik  dalam memahami gambar cerita</v>
      </c>
      <c r="AH17" s="252" t="str">
        <f t="shared" si="9"/>
        <v>HISYAM baik  dalam memahami gambar cerita</v>
      </c>
      <c r="AI17" s="153"/>
      <c r="AR17" s="469">
        <f t="shared" si="10"/>
        <v>85</v>
      </c>
    </row>
    <row r="18" spans="2:44" ht="63.75" customHeight="1">
      <c r="B18" s="142">
        <v>14</v>
      </c>
      <c r="C18" s="143" t="str">
        <f>SISWA!B19</f>
        <v>1718250040318</v>
      </c>
      <c r="D18" s="144" t="str">
        <f>SISWA!E19</f>
        <v>FAUZI</v>
      </c>
      <c r="E18" s="159">
        <v>85</v>
      </c>
      <c r="F18" s="160">
        <v>85</v>
      </c>
      <c r="G18" s="160"/>
      <c r="H18" s="160"/>
      <c r="I18" s="160">
        <v>85</v>
      </c>
      <c r="J18" s="159">
        <v>85</v>
      </c>
      <c r="K18" s="159"/>
      <c r="L18" s="159"/>
      <c r="M18" s="159"/>
      <c r="N18" s="159"/>
      <c r="O18" s="159"/>
      <c r="P18" s="159"/>
      <c r="Q18" s="159"/>
      <c r="R18" s="160"/>
      <c r="S18" s="160"/>
      <c r="T18" s="159"/>
      <c r="U18" s="354">
        <f t="shared" si="4"/>
        <v>85</v>
      </c>
      <c r="V18" s="355" t="str">
        <f>IF(U18&gt;KKM!$G$10,"A",IF(U18&gt;KKM!$H$10,"B",IF(U18&gt;=KKM!$I$10,"C","D")))</f>
        <v>B</v>
      </c>
      <c r="W18" s="356">
        <f t="shared" si="0"/>
        <v>85</v>
      </c>
      <c r="X18" s="361" t="str">
        <f>IF(W18&gt;KKM!$G$10," sangat baik ",IF(W18&gt;KKM!$H$10," baik ",IF(W18&gt;=KKM!$I$10," cukup baik "," perlu bimbingan ")))</f>
        <v xml:space="preserve"> baik </v>
      </c>
      <c r="Y18" s="357">
        <f t="shared" si="1"/>
        <v>85</v>
      </c>
      <c r="Z18" s="361" t="str">
        <f>IF(Y18&gt;KKM!$G$10," sangat baik ",IF(Y18&gt;KKM!$H$10," baik ",IF(Y18&gt;=KKM!$I$10," cukup baik "," perlu bimbingan ")))</f>
        <v xml:space="preserve"> baik </v>
      </c>
      <c r="AA18" s="353" t="str">
        <f t="shared" si="5"/>
        <v>FAUZI baik  dalam memahami gambar cerita</v>
      </c>
      <c r="AB18" s="256"/>
      <c r="AC18" s="257" t="str">
        <f t="shared" si="2"/>
        <v xml:space="preserve"> baik  dalam memahami gambar cerita</v>
      </c>
      <c r="AD18" s="257" t="str">
        <f t="shared" si="3"/>
        <v xml:space="preserve"> baik  dalam memahami gambar cerita</v>
      </c>
      <c r="AE18" s="257" t="str">
        <f t="shared" si="6"/>
        <v xml:space="preserve"> baik  dalam memahami gambar cerita, dan  baik  dalam memahami gambar cerita</v>
      </c>
      <c r="AF18" s="257" t="str">
        <f t="shared" si="7"/>
        <v xml:space="preserve"> baik  dalam memahami gambar cerita</v>
      </c>
      <c r="AG18" s="258" t="str">
        <f t="shared" si="8"/>
        <v xml:space="preserve"> baik  dalam memahami gambar cerita</v>
      </c>
      <c r="AH18" s="252" t="str">
        <f t="shared" si="9"/>
        <v>FAUZI baik  dalam memahami gambar cerita</v>
      </c>
      <c r="AI18" s="153"/>
      <c r="AR18" s="469">
        <f t="shared" si="10"/>
        <v>85</v>
      </c>
    </row>
    <row r="19" spans="2:44" ht="63.75" customHeight="1">
      <c r="B19" s="142">
        <v>15</v>
      </c>
      <c r="C19" s="143" t="str">
        <f>SISWA!B20</f>
        <v>1718250040319</v>
      </c>
      <c r="D19" s="144" t="str">
        <f>SISWA!E20</f>
        <v>FIRLY</v>
      </c>
      <c r="E19" s="159">
        <v>87.5</v>
      </c>
      <c r="F19" s="160">
        <v>87.5</v>
      </c>
      <c r="G19" s="160"/>
      <c r="H19" s="160"/>
      <c r="I19" s="160">
        <v>87.5</v>
      </c>
      <c r="J19" s="159">
        <v>87.5</v>
      </c>
      <c r="K19" s="159"/>
      <c r="L19" s="159"/>
      <c r="M19" s="159"/>
      <c r="N19" s="159"/>
      <c r="O19" s="159"/>
      <c r="P19" s="159"/>
      <c r="Q19" s="159"/>
      <c r="R19" s="160"/>
      <c r="S19" s="160"/>
      <c r="T19" s="159"/>
      <c r="U19" s="354">
        <f t="shared" si="4"/>
        <v>88</v>
      </c>
      <c r="V19" s="355" t="str">
        <f>IF(U19&gt;KKM!$G$10,"A",IF(U19&gt;KKM!$H$10,"B",IF(U19&gt;=KKM!$I$10,"C","D")))</f>
        <v>A</v>
      </c>
      <c r="W19" s="356">
        <f t="shared" si="0"/>
        <v>87.5</v>
      </c>
      <c r="X19" s="361" t="str">
        <f>IF(W19&gt;KKM!$G$10," sangat baik ",IF(W19&gt;KKM!$H$10," baik ",IF(W19&gt;=KKM!$I$10," cukup baik "," perlu bimbingan ")))</f>
        <v xml:space="preserve"> sangat baik </v>
      </c>
      <c r="Y19" s="357">
        <f t="shared" si="1"/>
        <v>87.5</v>
      </c>
      <c r="Z19" s="361" t="str">
        <f>IF(Y19&gt;KKM!$G$10," sangat baik ",IF(Y19&gt;KKM!$H$10," baik ",IF(Y19&gt;=KKM!$I$10," cukup baik "," perlu bimbingan ")))</f>
        <v xml:space="preserve"> sangat baik </v>
      </c>
      <c r="AA19" s="353" t="str">
        <f t="shared" si="5"/>
        <v>FIRLY sangat baik  dalam memahami gambar cerita</v>
      </c>
      <c r="AB19" s="256"/>
      <c r="AC19" s="257" t="str">
        <f t="shared" si="2"/>
        <v xml:space="preserve"> sangat baik  dalam memahami gambar cerita</v>
      </c>
      <c r="AD19" s="257" t="str">
        <f t="shared" si="3"/>
        <v xml:space="preserve"> sangat baik  dalam memahami gambar cerita</v>
      </c>
      <c r="AE19" s="257" t="str">
        <f t="shared" si="6"/>
        <v xml:space="preserve"> sangat baik  dalam memahami gambar cerita, dan  sangat baik  dalam memahami gambar cerita</v>
      </c>
      <c r="AF19" s="257" t="str">
        <f t="shared" si="7"/>
        <v xml:space="preserve"> sangat baik  dalam memahami gambar cerita</v>
      </c>
      <c r="AG19" s="258" t="str">
        <f t="shared" si="8"/>
        <v xml:space="preserve"> sangat baik  dalam memahami gambar cerita</v>
      </c>
      <c r="AH19" s="252" t="str">
        <f t="shared" si="9"/>
        <v>FIRLY sangat baik  dalam memahami gambar cerita</v>
      </c>
      <c r="AI19" s="153"/>
      <c r="AR19" s="469">
        <f t="shared" si="10"/>
        <v>88</v>
      </c>
    </row>
    <row r="20" spans="2:44" ht="63.75" customHeight="1">
      <c r="B20" s="142">
        <v>16</v>
      </c>
      <c r="C20" s="143" t="str">
        <f>SISWA!B21</f>
        <v>1718250040320</v>
      </c>
      <c r="D20" s="144" t="str">
        <f>SISWA!E21</f>
        <v>HANA</v>
      </c>
      <c r="E20" s="159">
        <v>85</v>
      </c>
      <c r="F20" s="160">
        <v>85</v>
      </c>
      <c r="G20" s="160"/>
      <c r="H20" s="160"/>
      <c r="I20" s="160">
        <v>85</v>
      </c>
      <c r="J20" s="159">
        <v>85</v>
      </c>
      <c r="K20" s="159"/>
      <c r="L20" s="159"/>
      <c r="M20" s="159"/>
      <c r="N20" s="159"/>
      <c r="O20" s="159"/>
      <c r="P20" s="159"/>
      <c r="Q20" s="159"/>
      <c r="R20" s="160"/>
      <c r="S20" s="160"/>
      <c r="T20" s="159"/>
      <c r="U20" s="354">
        <f t="shared" si="4"/>
        <v>85</v>
      </c>
      <c r="V20" s="355" t="str">
        <f>IF(U20&gt;KKM!$G$10,"A",IF(U20&gt;KKM!$H$10,"B",IF(U20&gt;=KKM!$I$10,"C","D")))</f>
        <v>B</v>
      </c>
      <c r="W20" s="356">
        <f t="shared" si="0"/>
        <v>85</v>
      </c>
      <c r="X20" s="361" t="str">
        <f>IF(W20&gt;KKM!$G$10," sangat baik ",IF(W20&gt;KKM!$H$10," baik ",IF(W20&gt;=KKM!$I$10," cukup baik "," perlu bimbingan ")))</f>
        <v xml:space="preserve"> baik </v>
      </c>
      <c r="Y20" s="357">
        <f t="shared" si="1"/>
        <v>85</v>
      </c>
      <c r="Z20" s="361" t="str">
        <f>IF(Y20&gt;KKM!$G$10," sangat baik ",IF(Y20&gt;KKM!$H$10," baik ",IF(Y20&gt;=KKM!$I$10," cukup baik "," perlu bimbingan ")))</f>
        <v xml:space="preserve"> baik </v>
      </c>
      <c r="AA20" s="353" t="str">
        <f t="shared" si="5"/>
        <v>HANA baik  dalam memahami gambar cerita</v>
      </c>
      <c r="AB20" s="256"/>
      <c r="AC20" s="257" t="str">
        <f t="shared" si="2"/>
        <v xml:space="preserve"> baik  dalam memahami gambar cerita</v>
      </c>
      <c r="AD20" s="257" t="str">
        <f t="shared" si="3"/>
        <v xml:space="preserve"> baik  dalam memahami gambar cerita</v>
      </c>
      <c r="AE20" s="257" t="str">
        <f t="shared" si="6"/>
        <v xml:space="preserve"> baik  dalam memahami gambar cerita, dan  baik  dalam memahami gambar cerita</v>
      </c>
      <c r="AF20" s="257" t="str">
        <f t="shared" si="7"/>
        <v xml:space="preserve"> baik  dalam memahami gambar cerita</v>
      </c>
      <c r="AG20" s="258" t="str">
        <f t="shared" si="8"/>
        <v xml:space="preserve"> baik  dalam memahami gambar cerita</v>
      </c>
      <c r="AH20" s="252" t="str">
        <f t="shared" si="9"/>
        <v>HANA baik  dalam memahami gambar cerita</v>
      </c>
      <c r="AI20" s="153"/>
      <c r="AR20" s="469">
        <f t="shared" si="10"/>
        <v>85</v>
      </c>
    </row>
    <row r="21" spans="2:44" ht="63.75" customHeight="1">
      <c r="B21" s="142">
        <v>17</v>
      </c>
      <c r="C21" s="143" t="str">
        <f>SISWA!B22</f>
        <v>1718250040321</v>
      </c>
      <c r="D21" s="144" t="str">
        <f>SISWA!E22</f>
        <v>MALLA</v>
      </c>
      <c r="E21" s="159">
        <v>95</v>
      </c>
      <c r="F21" s="160">
        <v>95</v>
      </c>
      <c r="G21" s="160"/>
      <c r="H21" s="160"/>
      <c r="I21" s="160">
        <v>95</v>
      </c>
      <c r="J21" s="159">
        <v>95</v>
      </c>
      <c r="K21" s="159"/>
      <c r="L21" s="159"/>
      <c r="M21" s="159"/>
      <c r="N21" s="159"/>
      <c r="O21" s="159"/>
      <c r="P21" s="159"/>
      <c r="Q21" s="159"/>
      <c r="R21" s="160"/>
      <c r="S21" s="160"/>
      <c r="T21" s="159"/>
      <c r="U21" s="354">
        <f t="shared" si="4"/>
        <v>95</v>
      </c>
      <c r="V21" s="355" t="str">
        <f>IF(U21&gt;KKM!$G$10,"A",IF(U21&gt;KKM!$H$10,"B",IF(U21&gt;=KKM!$I$10,"C","D")))</f>
        <v>A</v>
      </c>
      <c r="W21" s="356">
        <f t="shared" si="0"/>
        <v>95</v>
      </c>
      <c r="X21" s="361" t="str">
        <f>IF(W21&gt;KKM!$G$10," sangat baik ",IF(W21&gt;KKM!$H$10," baik ",IF(W21&gt;=KKM!$I$10," cukup baik "," perlu bimbingan ")))</f>
        <v xml:space="preserve"> sangat baik </v>
      </c>
      <c r="Y21" s="357">
        <f t="shared" si="1"/>
        <v>95</v>
      </c>
      <c r="Z21" s="361" t="str">
        <f>IF(Y21&gt;KKM!$G$10," sangat baik ",IF(Y21&gt;KKM!$H$10," baik ",IF(Y21&gt;=KKM!$I$10," cukup baik "," perlu bimbingan ")))</f>
        <v xml:space="preserve"> sangat baik </v>
      </c>
      <c r="AA21" s="353" t="str">
        <f t="shared" si="5"/>
        <v>MALLA sangat baik  dalam memahami gambar cerita</v>
      </c>
      <c r="AB21" s="256"/>
      <c r="AC21" s="257" t="str">
        <f t="shared" si="2"/>
        <v xml:space="preserve"> sangat baik  dalam memahami gambar cerita</v>
      </c>
      <c r="AD21" s="257" t="str">
        <f t="shared" si="3"/>
        <v xml:space="preserve"> sangat baik  dalam memahami gambar cerita</v>
      </c>
      <c r="AE21" s="257" t="str">
        <f t="shared" si="6"/>
        <v xml:space="preserve"> sangat baik  dalam memahami gambar cerita, dan  sangat baik  dalam memahami gambar cerita</v>
      </c>
      <c r="AF21" s="257" t="str">
        <f t="shared" si="7"/>
        <v xml:space="preserve"> sangat baik  dalam memahami gambar cerita</v>
      </c>
      <c r="AG21" s="258" t="str">
        <f t="shared" si="8"/>
        <v xml:space="preserve"> sangat baik  dalam memahami gambar cerita</v>
      </c>
      <c r="AH21" s="252" t="str">
        <f t="shared" si="9"/>
        <v>MALLA sangat baik  dalam memahami gambar cerita</v>
      </c>
      <c r="AI21" s="153"/>
      <c r="AR21" s="469">
        <f t="shared" si="10"/>
        <v>95</v>
      </c>
    </row>
    <row r="22" spans="2:44" ht="63.75" customHeight="1">
      <c r="B22" s="142">
        <v>18</v>
      </c>
      <c r="C22" s="143" t="str">
        <f>SISWA!B23</f>
        <v>1718250040322</v>
      </c>
      <c r="D22" s="144" t="str">
        <f>SISWA!E23</f>
        <v>INTAN</v>
      </c>
      <c r="E22" s="159">
        <v>92.5</v>
      </c>
      <c r="F22" s="160">
        <v>92.5</v>
      </c>
      <c r="G22" s="160"/>
      <c r="H22" s="160"/>
      <c r="I22" s="160">
        <v>92.5</v>
      </c>
      <c r="J22" s="159">
        <v>92.5</v>
      </c>
      <c r="K22" s="159"/>
      <c r="L22" s="159"/>
      <c r="M22" s="159"/>
      <c r="N22" s="159"/>
      <c r="O22" s="159"/>
      <c r="P22" s="159"/>
      <c r="Q22" s="159"/>
      <c r="R22" s="160"/>
      <c r="S22" s="160"/>
      <c r="T22" s="159"/>
      <c r="U22" s="354">
        <f t="shared" si="4"/>
        <v>93</v>
      </c>
      <c r="V22" s="355" t="str">
        <f>IF(U22&gt;KKM!$G$10,"A",IF(U22&gt;KKM!$H$10,"B",IF(U22&gt;=KKM!$I$10,"C","D")))</f>
        <v>A</v>
      </c>
      <c r="W22" s="356">
        <f t="shared" si="0"/>
        <v>92.5</v>
      </c>
      <c r="X22" s="361" t="str">
        <f>IF(W22&gt;KKM!$G$10," sangat baik ",IF(W22&gt;KKM!$H$10," baik ",IF(W22&gt;=KKM!$I$10," cukup baik "," perlu bimbingan ")))</f>
        <v xml:space="preserve"> sangat baik </v>
      </c>
      <c r="Y22" s="357">
        <f t="shared" si="1"/>
        <v>92.5</v>
      </c>
      <c r="Z22" s="361" t="str">
        <f>IF(Y22&gt;KKM!$G$10," sangat baik ",IF(Y22&gt;KKM!$H$10," baik ",IF(Y22&gt;=KKM!$I$10," cukup baik "," perlu bimbingan ")))</f>
        <v xml:space="preserve"> sangat baik </v>
      </c>
      <c r="AA22" s="353" t="str">
        <f t="shared" si="5"/>
        <v>INTAN sangat baik  dalam memahami gambar cerita</v>
      </c>
      <c r="AB22" s="256"/>
      <c r="AC22" s="257" t="str">
        <f t="shared" si="2"/>
        <v xml:space="preserve"> sangat baik  dalam memahami gambar cerita</v>
      </c>
      <c r="AD22" s="257" t="str">
        <f t="shared" si="3"/>
        <v xml:space="preserve"> sangat baik  dalam memahami gambar cerita</v>
      </c>
      <c r="AE22" s="257" t="str">
        <f t="shared" si="6"/>
        <v xml:space="preserve"> sangat baik  dalam memahami gambar cerita, dan  sangat baik  dalam memahami gambar cerita</v>
      </c>
      <c r="AF22" s="257" t="str">
        <f t="shared" si="7"/>
        <v xml:space="preserve"> sangat baik  dalam memahami gambar cerita</v>
      </c>
      <c r="AG22" s="258" t="str">
        <f t="shared" si="8"/>
        <v xml:space="preserve"> sangat baik  dalam memahami gambar cerita</v>
      </c>
      <c r="AH22" s="252" t="str">
        <f t="shared" si="9"/>
        <v>INTAN sangat baik  dalam memahami gambar cerita</v>
      </c>
      <c r="AI22" s="153"/>
      <c r="AR22" s="469">
        <f t="shared" si="10"/>
        <v>93</v>
      </c>
    </row>
    <row r="23" spans="2:44" ht="63.75" customHeight="1">
      <c r="B23" s="142">
        <v>19</v>
      </c>
      <c r="C23" s="143" t="str">
        <f>SISWA!B24</f>
        <v>1718250040323</v>
      </c>
      <c r="D23" s="144" t="str">
        <f>SISWA!E24</f>
        <v>JORDY</v>
      </c>
      <c r="E23" s="159">
        <v>87.5</v>
      </c>
      <c r="F23" s="160">
        <v>87.5</v>
      </c>
      <c r="G23" s="160"/>
      <c r="H23" s="160"/>
      <c r="I23" s="160">
        <v>87.5</v>
      </c>
      <c r="J23" s="159">
        <v>87.5</v>
      </c>
      <c r="K23" s="159"/>
      <c r="L23" s="159"/>
      <c r="M23" s="159"/>
      <c r="N23" s="159"/>
      <c r="O23" s="159"/>
      <c r="P23" s="159"/>
      <c r="Q23" s="159"/>
      <c r="R23" s="160"/>
      <c r="S23" s="160"/>
      <c r="T23" s="159"/>
      <c r="U23" s="354">
        <f t="shared" si="4"/>
        <v>88</v>
      </c>
      <c r="V23" s="355" t="str">
        <f>IF(U23&gt;KKM!$G$10,"A",IF(U23&gt;KKM!$H$10,"B",IF(U23&gt;=KKM!$I$10,"C","D")))</f>
        <v>A</v>
      </c>
      <c r="W23" s="356">
        <f t="shared" si="0"/>
        <v>87.5</v>
      </c>
      <c r="X23" s="361" t="str">
        <f>IF(W23&gt;KKM!$G$10," sangat baik ",IF(W23&gt;KKM!$H$10," baik ",IF(W23&gt;=KKM!$I$10," cukup baik "," perlu bimbingan ")))</f>
        <v xml:space="preserve"> sangat baik </v>
      </c>
      <c r="Y23" s="357">
        <f t="shared" si="1"/>
        <v>87.5</v>
      </c>
      <c r="Z23" s="361" t="str">
        <f>IF(Y23&gt;KKM!$G$10," sangat baik ",IF(Y23&gt;KKM!$H$10," baik ",IF(Y23&gt;=KKM!$I$10," cukup baik "," perlu bimbingan ")))</f>
        <v xml:space="preserve"> sangat baik </v>
      </c>
      <c r="AA23" s="353" t="str">
        <f t="shared" si="5"/>
        <v>JORDY sangat baik  dalam memahami gambar cerita</v>
      </c>
      <c r="AB23" s="256"/>
      <c r="AC23" s="257" t="str">
        <f t="shared" si="2"/>
        <v xml:space="preserve"> sangat baik  dalam memahami gambar cerita</v>
      </c>
      <c r="AD23" s="257" t="str">
        <f t="shared" si="3"/>
        <v xml:space="preserve"> sangat baik  dalam memahami gambar cerita</v>
      </c>
      <c r="AE23" s="257" t="str">
        <f t="shared" si="6"/>
        <v xml:space="preserve"> sangat baik  dalam memahami gambar cerita, dan  sangat baik  dalam memahami gambar cerita</v>
      </c>
      <c r="AF23" s="257" t="str">
        <f t="shared" si="7"/>
        <v xml:space="preserve"> sangat baik  dalam memahami gambar cerita</v>
      </c>
      <c r="AG23" s="258" t="str">
        <f t="shared" si="8"/>
        <v xml:space="preserve"> sangat baik  dalam memahami gambar cerita</v>
      </c>
      <c r="AH23" s="252" t="str">
        <f t="shared" si="9"/>
        <v>JORDY sangat baik  dalam memahami gambar cerita</v>
      </c>
      <c r="AI23" s="153"/>
      <c r="AR23" s="469">
        <f t="shared" si="10"/>
        <v>88</v>
      </c>
    </row>
    <row r="24" spans="2:44" ht="63.75" customHeight="1">
      <c r="B24" s="142">
        <v>20</v>
      </c>
      <c r="C24" s="143" t="str">
        <f>SISWA!B25</f>
        <v>1718250040324</v>
      </c>
      <c r="D24" s="144" t="str">
        <f>SISWA!E25</f>
        <v>KURNIA</v>
      </c>
      <c r="E24" s="159">
        <v>90</v>
      </c>
      <c r="F24" s="160">
        <v>90</v>
      </c>
      <c r="G24" s="160"/>
      <c r="H24" s="160"/>
      <c r="I24" s="160">
        <v>90</v>
      </c>
      <c r="J24" s="159">
        <v>90</v>
      </c>
      <c r="K24" s="159"/>
      <c r="L24" s="159"/>
      <c r="M24" s="159"/>
      <c r="N24" s="159"/>
      <c r="O24" s="159"/>
      <c r="P24" s="159"/>
      <c r="Q24" s="159"/>
      <c r="R24" s="160"/>
      <c r="S24" s="160"/>
      <c r="T24" s="159"/>
      <c r="U24" s="354">
        <f t="shared" si="4"/>
        <v>90</v>
      </c>
      <c r="V24" s="355" t="str">
        <f>IF(U24&gt;KKM!$G$10,"A",IF(U24&gt;KKM!$H$10,"B",IF(U24&gt;=KKM!$I$10,"C","D")))</f>
        <v>A</v>
      </c>
      <c r="W24" s="356">
        <f t="shared" si="0"/>
        <v>90</v>
      </c>
      <c r="X24" s="361" t="str">
        <f>IF(W24&gt;KKM!$G$10," sangat baik ",IF(W24&gt;KKM!$H$10," baik ",IF(W24&gt;=KKM!$I$10," cukup baik "," perlu bimbingan ")))</f>
        <v xml:space="preserve"> sangat baik </v>
      </c>
      <c r="Y24" s="357">
        <f t="shared" si="1"/>
        <v>90</v>
      </c>
      <c r="Z24" s="361" t="str">
        <f>IF(Y24&gt;KKM!$G$10," sangat baik ",IF(Y24&gt;KKM!$H$10," baik ",IF(Y24&gt;=KKM!$I$10," cukup baik "," perlu bimbingan ")))</f>
        <v xml:space="preserve"> sangat baik </v>
      </c>
      <c r="AA24" s="353" t="str">
        <f t="shared" si="5"/>
        <v>KURNIA sangat baik  dalam memahami gambar cerita</v>
      </c>
      <c r="AB24" s="256"/>
      <c r="AC24" s="257" t="str">
        <f t="shared" si="2"/>
        <v xml:space="preserve"> sangat baik  dalam memahami gambar cerita</v>
      </c>
      <c r="AD24" s="257" t="str">
        <f t="shared" si="3"/>
        <v xml:space="preserve"> sangat baik  dalam memahami gambar cerita</v>
      </c>
      <c r="AE24" s="257" t="str">
        <f t="shared" si="6"/>
        <v xml:space="preserve"> sangat baik  dalam memahami gambar cerita, dan  sangat baik  dalam memahami gambar cerita</v>
      </c>
      <c r="AF24" s="257" t="str">
        <f t="shared" si="7"/>
        <v xml:space="preserve"> sangat baik  dalam memahami gambar cerita</v>
      </c>
      <c r="AG24" s="258" t="str">
        <f t="shared" si="8"/>
        <v xml:space="preserve"> sangat baik  dalam memahami gambar cerita</v>
      </c>
      <c r="AH24" s="252" t="str">
        <f t="shared" si="9"/>
        <v>KURNIA sangat baik  dalam memahami gambar cerita</v>
      </c>
      <c r="AI24" s="153"/>
      <c r="AR24" s="469">
        <f t="shared" si="10"/>
        <v>90</v>
      </c>
    </row>
    <row r="25" spans="2:44" ht="63.75" customHeight="1">
      <c r="B25" s="142">
        <v>21</v>
      </c>
      <c r="C25" s="143" t="str">
        <f>SISWA!B26</f>
        <v>1718250040325</v>
      </c>
      <c r="D25" s="144" t="str">
        <f>SISWA!E26</f>
        <v>LATIZA</v>
      </c>
      <c r="E25" s="159">
        <v>97.5</v>
      </c>
      <c r="F25" s="160">
        <v>97.5</v>
      </c>
      <c r="G25" s="160"/>
      <c r="H25" s="160"/>
      <c r="I25" s="160">
        <v>97.5</v>
      </c>
      <c r="J25" s="159">
        <v>97.5</v>
      </c>
      <c r="K25" s="159"/>
      <c r="L25" s="159"/>
      <c r="M25" s="159"/>
      <c r="N25" s="159"/>
      <c r="O25" s="159"/>
      <c r="P25" s="159"/>
      <c r="Q25" s="159"/>
      <c r="R25" s="160"/>
      <c r="S25" s="160"/>
      <c r="T25" s="159"/>
      <c r="U25" s="354">
        <f t="shared" si="4"/>
        <v>98</v>
      </c>
      <c r="V25" s="355" t="str">
        <f>IF(U25&gt;KKM!$G$10,"A",IF(U25&gt;KKM!$H$10,"B",IF(U25&gt;=KKM!$I$10,"C","D")))</f>
        <v>A</v>
      </c>
      <c r="W25" s="356">
        <f t="shared" si="0"/>
        <v>97.5</v>
      </c>
      <c r="X25" s="361" t="str">
        <f>IF(W25&gt;KKM!$G$10," sangat baik ",IF(W25&gt;KKM!$H$10," baik ",IF(W25&gt;=KKM!$I$10," cukup baik "," perlu bimbingan ")))</f>
        <v xml:space="preserve"> sangat baik </v>
      </c>
      <c r="Y25" s="357">
        <f t="shared" si="1"/>
        <v>97.5</v>
      </c>
      <c r="Z25" s="361" t="str">
        <f>IF(Y25&gt;KKM!$G$10," sangat baik ",IF(Y25&gt;KKM!$H$10," baik ",IF(Y25&gt;=KKM!$I$10," cukup baik "," perlu bimbingan ")))</f>
        <v xml:space="preserve"> sangat baik </v>
      </c>
      <c r="AA25" s="353" t="str">
        <f t="shared" si="5"/>
        <v>LATIZA sangat baik  dalam memahami gambar cerita</v>
      </c>
      <c r="AB25" s="256"/>
      <c r="AC25" s="257" t="str">
        <f t="shared" si="2"/>
        <v xml:space="preserve"> sangat baik  dalam memahami gambar cerita</v>
      </c>
      <c r="AD25" s="257" t="str">
        <f t="shared" si="3"/>
        <v xml:space="preserve"> sangat baik  dalam memahami gambar cerita</v>
      </c>
      <c r="AE25" s="257" t="str">
        <f t="shared" si="6"/>
        <v xml:space="preserve"> sangat baik  dalam memahami gambar cerita, dan  sangat baik  dalam memahami gambar cerita</v>
      </c>
      <c r="AF25" s="257" t="str">
        <f t="shared" si="7"/>
        <v xml:space="preserve"> sangat baik  dalam memahami gambar cerita</v>
      </c>
      <c r="AG25" s="258" t="str">
        <f t="shared" si="8"/>
        <v xml:space="preserve"> sangat baik  dalam memahami gambar cerita</v>
      </c>
      <c r="AH25" s="252" t="str">
        <f t="shared" si="9"/>
        <v>LATIZA sangat baik  dalam memahami gambar cerita</v>
      </c>
      <c r="AI25" s="153"/>
      <c r="AR25" s="469">
        <f t="shared" si="10"/>
        <v>98</v>
      </c>
    </row>
    <row r="26" spans="2:44" ht="63.75" customHeight="1">
      <c r="B26" s="142">
        <v>22</v>
      </c>
      <c r="C26" s="143" t="str">
        <f>SISWA!B27</f>
        <v>1718250040326</v>
      </c>
      <c r="D26" s="144" t="str">
        <f>SISWA!E27</f>
        <v>RIZKY</v>
      </c>
      <c r="E26" s="159">
        <v>87.5</v>
      </c>
      <c r="F26" s="160">
        <v>87.5</v>
      </c>
      <c r="G26" s="160"/>
      <c r="H26" s="160"/>
      <c r="I26" s="160">
        <v>87.5</v>
      </c>
      <c r="J26" s="159">
        <v>87.5</v>
      </c>
      <c r="K26" s="159"/>
      <c r="L26" s="159"/>
      <c r="M26" s="159"/>
      <c r="N26" s="159"/>
      <c r="O26" s="159"/>
      <c r="P26" s="159"/>
      <c r="Q26" s="159"/>
      <c r="R26" s="160"/>
      <c r="S26" s="160"/>
      <c r="T26" s="159"/>
      <c r="U26" s="354">
        <f t="shared" si="4"/>
        <v>88</v>
      </c>
      <c r="V26" s="355" t="str">
        <f>IF(U26&gt;KKM!$G$10,"A",IF(U26&gt;KKM!$H$10,"B",IF(U26&gt;=KKM!$I$10,"C","D")))</f>
        <v>A</v>
      </c>
      <c r="W26" s="356">
        <f t="shared" si="0"/>
        <v>87.5</v>
      </c>
      <c r="X26" s="361" t="str">
        <f>IF(W26&gt;KKM!$G$10," sangat baik ",IF(W26&gt;KKM!$H$10," baik ",IF(W26&gt;=KKM!$I$10," cukup baik "," perlu bimbingan ")))</f>
        <v xml:space="preserve"> sangat baik </v>
      </c>
      <c r="Y26" s="357">
        <f t="shared" si="1"/>
        <v>87.5</v>
      </c>
      <c r="Z26" s="361" t="str">
        <f>IF(Y26&gt;KKM!$G$10," sangat baik ",IF(Y26&gt;KKM!$H$10," baik ",IF(Y26&gt;=KKM!$I$10," cukup baik "," perlu bimbingan ")))</f>
        <v xml:space="preserve"> sangat baik </v>
      </c>
      <c r="AA26" s="353" t="str">
        <f t="shared" si="5"/>
        <v>RIZKY sangat baik  dalam memahami gambar cerita</v>
      </c>
      <c r="AB26" s="256"/>
      <c r="AC26" s="257" t="str">
        <f t="shared" si="2"/>
        <v xml:space="preserve"> sangat baik  dalam memahami gambar cerita</v>
      </c>
      <c r="AD26" s="257" t="str">
        <f t="shared" si="3"/>
        <v xml:space="preserve"> sangat baik  dalam memahami gambar cerita</v>
      </c>
      <c r="AE26" s="257" t="str">
        <f t="shared" si="6"/>
        <v xml:space="preserve"> sangat baik  dalam memahami gambar cerita, dan  sangat baik  dalam memahami gambar cerita</v>
      </c>
      <c r="AF26" s="257" t="str">
        <f t="shared" si="7"/>
        <v xml:space="preserve"> sangat baik  dalam memahami gambar cerita</v>
      </c>
      <c r="AG26" s="258" t="str">
        <f t="shared" si="8"/>
        <v xml:space="preserve"> sangat baik  dalam memahami gambar cerita</v>
      </c>
      <c r="AH26" s="252" t="str">
        <f t="shared" si="9"/>
        <v>RIZKY sangat baik  dalam memahami gambar cerita</v>
      </c>
      <c r="AI26" s="153"/>
      <c r="AR26" s="469">
        <f t="shared" si="10"/>
        <v>88</v>
      </c>
    </row>
    <row r="27" spans="2:44" ht="63.75" customHeight="1">
      <c r="B27" s="142">
        <v>23</v>
      </c>
      <c r="C27" s="143" t="str">
        <f>SISWA!B28</f>
        <v>1718250040327</v>
      </c>
      <c r="D27" s="144" t="str">
        <f>SISWA!E28</f>
        <v>RAMADHANDANI</v>
      </c>
      <c r="E27" s="159">
        <v>87.5</v>
      </c>
      <c r="F27" s="160">
        <v>87.5</v>
      </c>
      <c r="G27" s="160"/>
      <c r="H27" s="160"/>
      <c r="I27" s="160">
        <v>87.5</v>
      </c>
      <c r="J27" s="159">
        <v>87.5</v>
      </c>
      <c r="K27" s="159"/>
      <c r="L27" s="159"/>
      <c r="M27" s="159"/>
      <c r="N27" s="159"/>
      <c r="O27" s="159"/>
      <c r="P27" s="159"/>
      <c r="Q27" s="159"/>
      <c r="R27" s="160"/>
      <c r="S27" s="160"/>
      <c r="T27" s="159"/>
      <c r="U27" s="354">
        <f t="shared" si="4"/>
        <v>88</v>
      </c>
      <c r="V27" s="355" t="str">
        <f>IF(U27&gt;KKM!$G$10,"A",IF(U27&gt;KKM!$H$10,"B",IF(U27&gt;=KKM!$I$10,"C","D")))</f>
        <v>A</v>
      </c>
      <c r="W27" s="356">
        <f t="shared" si="0"/>
        <v>87.5</v>
      </c>
      <c r="X27" s="361" t="str">
        <f>IF(W27&gt;KKM!$G$10," sangat baik ",IF(W27&gt;KKM!$H$10," baik ",IF(W27&gt;=KKM!$I$10," cukup baik "," perlu bimbingan ")))</f>
        <v xml:space="preserve"> sangat baik </v>
      </c>
      <c r="Y27" s="357">
        <f t="shared" si="1"/>
        <v>87.5</v>
      </c>
      <c r="Z27" s="361" t="str">
        <f>IF(Y27&gt;KKM!$G$10," sangat baik ",IF(Y27&gt;KKM!$H$10," baik ",IF(Y27&gt;=KKM!$I$10," cukup baik "," perlu bimbingan ")))</f>
        <v xml:space="preserve"> sangat baik </v>
      </c>
      <c r="AA27" s="353" t="str">
        <f t="shared" si="5"/>
        <v>RAMADHANDANI sangat baik  dalam memahami gambar cerita</v>
      </c>
      <c r="AB27" s="256"/>
      <c r="AC27" s="257" t="str">
        <f t="shared" si="2"/>
        <v xml:space="preserve"> sangat baik  dalam memahami gambar cerita</v>
      </c>
      <c r="AD27" s="257" t="str">
        <f t="shared" si="3"/>
        <v xml:space="preserve"> sangat baik  dalam memahami gambar cerita</v>
      </c>
      <c r="AE27" s="257" t="str">
        <f t="shared" si="6"/>
        <v xml:space="preserve"> sangat baik  dalam memahami gambar cerita, dan  sangat baik  dalam memahami gambar cerita</v>
      </c>
      <c r="AF27" s="257" t="str">
        <f t="shared" si="7"/>
        <v xml:space="preserve"> sangat baik  dalam memahami gambar cerita</v>
      </c>
      <c r="AG27" s="258" t="str">
        <f t="shared" si="8"/>
        <v xml:space="preserve"> sangat baik  dalam memahami gambar cerita</v>
      </c>
      <c r="AH27" s="252" t="str">
        <f t="shared" si="9"/>
        <v>RAMADHANDANI sangat baik  dalam memahami gambar cerita</v>
      </c>
      <c r="AI27" s="153"/>
      <c r="AR27" s="469">
        <f t="shared" si="10"/>
        <v>88</v>
      </c>
    </row>
    <row r="28" spans="2:44" ht="63.75" customHeight="1">
      <c r="B28" s="142">
        <v>24</v>
      </c>
      <c r="C28" s="143" t="str">
        <f>SISWA!B29</f>
        <v>1718250040328</v>
      </c>
      <c r="D28" s="144" t="str">
        <f>SISWA!E29</f>
        <v>SYAEPUL</v>
      </c>
      <c r="E28" s="159">
        <v>90</v>
      </c>
      <c r="F28" s="160">
        <v>90</v>
      </c>
      <c r="G28" s="160"/>
      <c r="H28" s="160"/>
      <c r="I28" s="160">
        <v>90</v>
      </c>
      <c r="J28" s="159">
        <v>90</v>
      </c>
      <c r="K28" s="159"/>
      <c r="L28" s="159"/>
      <c r="M28" s="159"/>
      <c r="N28" s="159"/>
      <c r="O28" s="159"/>
      <c r="P28" s="159"/>
      <c r="Q28" s="159"/>
      <c r="R28" s="160"/>
      <c r="S28" s="160"/>
      <c r="T28" s="159"/>
      <c r="U28" s="354">
        <f t="shared" si="4"/>
        <v>90</v>
      </c>
      <c r="V28" s="355" t="str">
        <f>IF(U28&gt;KKM!$G$10,"A",IF(U28&gt;KKM!$H$10,"B",IF(U28&gt;=KKM!$I$10,"C","D")))</f>
        <v>A</v>
      </c>
      <c r="W28" s="356">
        <f t="shared" si="0"/>
        <v>90</v>
      </c>
      <c r="X28" s="361" t="str">
        <f>IF(W28&gt;KKM!$G$10," sangat baik ",IF(W28&gt;KKM!$H$10," baik ",IF(W28&gt;=KKM!$I$10," cukup baik "," perlu bimbingan ")))</f>
        <v xml:space="preserve"> sangat baik </v>
      </c>
      <c r="Y28" s="357">
        <f t="shared" si="1"/>
        <v>90</v>
      </c>
      <c r="Z28" s="361" t="str">
        <f>IF(Y28&gt;KKM!$G$10," sangat baik ",IF(Y28&gt;KKM!$H$10," baik ",IF(Y28&gt;=KKM!$I$10," cukup baik "," perlu bimbingan ")))</f>
        <v xml:space="preserve"> sangat baik </v>
      </c>
      <c r="AA28" s="353" t="str">
        <f t="shared" si="5"/>
        <v>SYAEPUL sangat baik  dalam memahami gambar cerita</v>
      </c>
      <c r="AB28" s="256"/>
      <c r="AC28" s="257" t="str">
        <f t="shared" si="2"/>
        <v xml:space="preserve"> sangat baik  dalam memahami gambar cerita</v>
      </c>
      <c r="AD28" s="257" t="str">
        <f t="shared" si="3"/>
        <v xml:space="preserve"> sangat baik  dalam memahami gambar cerita</v>
      </c>
      <c r="AE28" s="257" t="str">
        <f t="shared" si="6"/>
        <v xml:space="preserve"> sangat baik  dalam memahami gambar cerita, dan  sangat baik  dalam memahami gambar cerita</v>
      </c>
      <c r="AF28" s="257" t="str">
        <f t="shared" si="7"/>
        <v xml:space="preserve"> sangat baik  dalam memahami gambar cerita</v>
      </c>
      <c r="AG28" s="258" t="str">
        <f t="shared" si="8"/>
        <v xml:space="preserve"> sangat baik  dalam memahami gambar cerita</v>
      </c>
      <c r="AH28" s="252" t="str">
        <f t="shared" si="9"/>
        <v>SYAEPUL sangat baik  dalam memahami gambar cerita</v>
      </c>
      <c r="AI28" s="153"/>
      <c r="AR28" s="469">
        <f t="shared" si="10"/>
        <v>90</v>
      </c>
    </row>
    <row r="29" spans="2:44" ht="63.75" customHeight="1">
      <c r="B29" s="142">
        <v>25</v>
      </c>
      <c r="C29" s="143" t="str">
        <f>SISWA!B30</f>
        <v>1718250040329</v>
      </c>
      <c r="D29" s="144" t="str">
        <f>SISWA!E30</f>
        <v>ALIF</v>
      </c>
      <c r="E29" s="159">
        <v>92.5</v>
      </c>
      <c r="F29" s="160">
        <v>92.5</v>
      </c>
      <c r="G29" s="160"/>
      <c r="H29" s="160"/>
      <c r="I29" s="160">
        <v>92.5</v>
      </c>
      <c r="J29" s="159">
        <v>92.5</v>
      </c>
      <c r="K29" s="159"/>
      <c r="L29" s="159"/>
      <c r="M29" s="159"/>
      <c r="N29" s="159"/>
      <c r="O29" s="159"/>
      <c r="P29" s="159"/>
      <c r="Q29" s="159"/>
      <c r="R29" s="160"/>
      <c r="S29" s="160"/>
      <c r="T29" s="159"/>
      <c r="U29" s="354">
        <f t="shared" si="4"/>
        <v>93</v>
      </c>
      <c r="V29" s="355" t="str">
        <f>IF(U29&gt;KKM!$G$10,"A",IF(U29&gt;KKM!$H$10,"B",IF(U29&gt;=KKM!$I$10,"C","D")))</f>
        <v>A</v>
      </c>
      <c r="W29" s="356">
        <f t="shared" si="0"/>
        <v>92.5</v>
      </c>
      <c r="X29" s="361" t="str">
        <f>IF(W29&gt;KKM!$G$10," sangat baik ",IF(W29&gt;KKM!$H$10," baik ",IF(W29&gt;=KKM!$I$10," cukup baik "," perlu bimbingan ")))</f>
        <v xml:space="preserve"> sangat baik </v>
      </c>
      <c r="Y29" s="357">
        <f t="shared" si="1"/>
        <v>92.5</v>
      </c>
      <c r="Z29" s="361" t="str">
        <f>IF(Y29&gt;KKM!$G$10," sangat baik ",IF(Y29&gt;KKM!$H$10," baik ",IF(Y29&gt;=KKM!$I$10," cukup baik "," perlu bimbingan ")))</f>
        <v xml:space="preserve"> sangat baik </v>
      </c>
      <c r="AA29" s="353" t="str">
        <f t="shared" si="5"/>
        <v>ALIF sangat baik  dalam memahami gambar cerita</v>
      </c>
      <c r="AB29" s="256"/>
      <c r="AC29" s="257" t="str">
        <f t="shared" si="2"/>
        <v xml:space="preserve"> sangat baik  dalam memahami gambar cerita</v>
      </c>
      <c r="AD29" s="257" t="str">
        <f t="shared" si="3"/>
        <v xml:space="preserve"> sangat baik  dalam memahami gambar cerita</v>
      </c>
      <c r="AE29" s="257" t="str">
        <f t="shared" si="6"/>
        <v xml:space="preserve"> sangat baik  dalam memahami gambar cerita, dan  sangat baik  dalam memahami gambar cerita</v>
      </c>
      <c r="AF29" s="257" t="str">
        <f t="shared" si="7"/>
        <v xml:space="preserve"> sangat baik  dalam memahami gambar cerita</v>
      </c>
      <c r="AG29" s="258" t="str">
        <f t="shared" si="8"/>
        <v xml:space="preserve"> sangat baik  dalam memahami gambar cerita</v>
      </c>
      <c r="AH29" s="252" t="str">
        <f t="shared" si="9"/>
        <v>ALIF sangat baik  dalam memahami gambar cerita</v>
      </c>
      <c r="AI29" s="153"/>
      <c r="AR29" s="469">
        <f t="shared" si="10"/>
        <v>93</v>
      </c>
    </row>
    <row r="30" spans="2:44" ht="63.75" customHeight="1">
      <c r="B30" s="142">
        <v>26</v>
      </c>
      <c r="C30" s="143" t="str">
        <f>SISWA!B31</f>
        <v>1718250040330</v>
      </c>
      <c r="D30" s="144" t="str">
        <f>SISWA!E31</f>
        <v>HIZKIEL</v>
      </c>
      <c r="E30" s="159">
        <v>87.5</v>
      </c>
      <c r="F30" s="160">
        <v>87.5</v>
      </c>
      <c r="G30" s="160"/>
      <c r="H30" s="160"/>
      <c r="I30" s="160">
        <v>87.5</v>
      </c>
      <c r="J30" s="159">
        <v>87.5</v>
      </c>
      <c r="K30" s="159"/>
      <c r="L30" s="159"/>
      <c r="M30" s="159"/>
      <c r="N30" s="159"/>
      <c r="O30" s="159"/>
      <c r="P30" s="159"/>
      <c r="Q30" s="159"/>
      <c r="R30" s="160"/>
      <c r="S30" s="160"/>
      <c r="T30" s="159"/>
      <c r="U30" s="354">
        <f t="shared" si="4"/>
        <v>88</v>
      </c>
      <c r="V30" s="355" t="str">
        <f>IF(U30&gt;KKM!$G$10,"A",IF(U30&gt;KKM!$H$10,"B",IF(U30&gt;=KKM!$I$10,"C","D")))</f>
        <v>A</v>
      </c>
      <c r="W30" s="356">
        <f t="shared" si="0"/>
        <v>87.5</v>
      </c>
      <c r="X30" s="361" t="str">
        <f>IF(W30&gt;KKM!$G$10," sangat baik ",IF(W30&gt;KKM!$H$10," baik ",IF(W30&gt;=KKM!$I$10," cukup baik "," perlu bimbingan ")))</f>
        <v xml:space="preserve"> sangat baik </v>
      </c>
      <c r="Y30" s="357">
        <f t="shared" si="1"/>
        <v>87.5</v>
      </c>
      <c r="Z30" s="361" t="str">
        <f>IF(Y30&gt;KKM!$G$10," sangat baik ",IF(Y30&gt;KKM!$H$10," baik ",IF(Y30&gt;=KKM!$I$10," cukup baik "," perlu bimbingan ")))</f>
        <v xml:space="preserve"> sangat baik </v>
      </c>
      <c r="AA30" s="353" t="str">
        <f t="shared" si="5"/>
        <v>HIZKIEL sangat baik  dalam memahami gambar cerita</v>
      </c>
      <c r="AB30" s="256"/>
      <c r="AC30" s="257" t="str">
        <f t="shared" si="2"/>
        <v xml:space="preserve"> sangat baik  dalam memahami gambar cerita</v>
      </c>
      <c r="AD30" s="257" t="str">
        <f t="shared" si="3"/>
        <v xml:space="preserve"> sangat baik  dalam memahami gambar cerita</v>
      </c>
      <c r="AE30" s="257" t="str">
        <f t="shared" si="6"/>
        <v xml:space="preserve"> sangat baik  dalam memahami gambar cerita, dan  sangat baik  dalam memahami gambar cerita</v>
      </c>
      <c r="AF30" s="257" t="str">
        <f t="shared" si="7"/>
        <v xml:space="preserve"> sangat baik  dalam memahami gambar cerita</v>
      </c>
      <c r="AG30" s="258" t="str">
        <f t="shared" si="8"/>
        <v xml:space="preserve"> sangat baik  dalam memahami gambar cerita</v>
      </c>
      <c r="AH30" s="252" t="str">
        <f t="shared" si="9"/>
        <v>HIZKIEL sangat baik  dalam memahami gambar cerita</v>
      </c>
      <c r="AI30" s="153"/>
      <c r="AR30" s="469">
        <f t="shared" si="10"/>
        <v>88</v>
      </c>
    </row>
    <row r="31" spans="2:44" ht="63.75" customHeight="1">
      <c r="B31" s="142">
        <v>27</v>
      </c>
      <c r="C31" s="143" t="str">
        <f>SISWA!B32</f>
        <v>1718250040331</v>
      </c>
      <c r="D31" s="144" t="str">
        <f>SISWA!E32</f>
        <v>LAEL</v>
      </c>
      <c r="E31" s="159">
        <v>97.5</v>
      </c>
      <c r="F31" s="160">
        <v>97.5</v>
      </c>
      <c r="G31" s="160"/>
      <c r="H31" s="160"/>
      <c r="I31" s="160">
        <v>97.5</v>
      </c>
      <c r="J31" s="159">
        <v>97.5</v>
      </c>
      <c r="K31" s="159"/>
      <c r="L31" s="159"/>
      <c r="M31" s="159"/>
      <c r="N31" s="159"/>
      <c r="O31" s="159"/>
      <c r="P31" s="159"/>
      <c r="Q31" s="159"/>
      <c r="R31" s="160"/>
      <c r="S31" s="160"/>
      <c r="T31" s="159"/>
      <c r="U31" s="354">
        <f t="shared" si="4"/>
        <v>98</v>
      </c>
      <c r="V31" s="355" t="str">
        <f>IF(U31&gt;KKM!$G$10,"A",IF(U31&gt;KKM!$H$10,"B",IF(U31&gt;=KKM!$I$10,"C","D")))</f>
        <v>A</v>
      </c>
      <c r="W31" s="356">
        <f t="shared" si="0"/>
        <v>97.5</v>
      </c>
      <c r="X31" s="361" t="str">
        <f>IF(W31&gt;KKM!$G$10," sangat baik ",IF(W31&gt;KKM!$H$10," baik ",IF(W31&gt;=KKM!$I$10," cukup baik "," perlu bimbingan ")))</f>
        <v xml:space="preserve"> sangat baik </v>
      </c>
      <c r="Y31" s="357">
        <f t="shared" si="1"/>
        <v>97.5</v>
      </c>
      <c r="Z31" s="361" t="str">
        <f>IF(Y31&gt;KKM!$G$10," sangat baik ",IF(Y31&gt;KKM!$H$10," baik ",IF(Y31&gt;=KKM!$I$10," cukup baik "," perlu bimbingan ")))</f>
        <v xml:space="preserve"> sangat baik </v>
      </c>
      <c r="AA31" s="353" t="str">
        <f t="shared" si="5"/>
        <v>LAEL sangat baik  dalam memahami gambar cerita</v>
      </c>
      <c r="AB31" s="256"/>
      <c r="AC31" s="257" t="str">
        <f t="shared" si="2"/>
        <v xml:space="preserve"> sangat baik  dalam memahami gambar cerita</v>
      </c>
      <c r="AD31" s="257" t="str">
        <f t="shared" si="3"/>
        <v xml:space="preserve"> sangat baik  dalam memahami gambar cerita</v>
      </c>
      <c r="AE31" s="257" t="str">
        <f t="shared" si="6"/>
        <v xml:space="preserve"> sangat baik  dalam memahami gambar cerita, dan  sangat baik  dalam memahami gambar cerita</v>
      </c>
      <c r="AF31" s="257" t="str">
        <f t="shared" si="7"/>
        <v xml:space="preserve"> sangat baik  dalam memahami gambar cerita</v>
      </c>
      <c r="AG31" s="258" t="str">
        <f t="shared" si="8"/>
        <v xml:space="preserve"> sangat baik  dalam memahami gambar cerita</v>
      </c>
      <c r="AH31" s="252" t="str">
        <f t="shared" si="9"/>
        <v>LAEL sangat baik  dalam memahami gambar cerita</v>
      </c>
      <c r="AI31" s="153"/>
      <c r="AR31" s="469">
        <f t="shared" si="10"/>
        <v>98</v>
      </c>
    </row>
    <row r="32" spans="2:44" ht="63.75" customHeight="1">
      <c r="B32" s="142">
        <v>28</v>
      </c>
      <c r="C32" s="143" t="str">
        <f>SISWA!B33</f>
        <v>1718250040332</v>
      </c>
      <c r="D32" s="144" t="str">
        <f>SISWA!E33</f>
        <v>NABIL</v>
      </c>
      <c r="E32" s="159">
        <v>87.5</v>
      </c>
      <c r="F32" s="160">
        <v>87.5</v>
      </c>
      <c r="G32" s="160"/>
      <c r="H32" s="160"/>
      <c r="I32" s="160">
        <v>87.5</v>
      </c>
      <c r="J32" s="159">
        <v>87.5</v>
      </c>
      <c r="K32" s="159"/>
      <c r="L32" s="159"/>
      <c r="M32" s="159"/>
      <c r="N32" s="159"/>
      <c r="O32" s="159"/>
      <c r="P32" s="159"/>
      <c r="Q32" s="159"/>
      <c r="R32" s="160"/>
      <c r="S32" s="160"/>
      <c r="T32" s="159"/>
      <c r="U32" s="354">
        <f t="shared" si="4"/>
        <v>88</v>
      </c>
      <c r="V32" s="355" t="str">
        <f>IF(U32&gt;KKM!$G$10,"A",IF(U32&gt;KKM!$H$10,"B",IF(U32&gt;=KKM!$I$10,"C","D")))</f>
        <v>A</v>
      </c>
      <c r="W32" s="356">
        <f t="shared" si="0"/>
        <v>87.5</v>
      </c>
      <c r="X32" s="361" t="str">
        <f>IF(W32&gt;KKM!$G$10," sangat baik ",IF(W32&gt;KKM!$H$10," baik ",IF(W32&gt;=KKM!$I$10," cukup baik "," perlu bimbingan ")))</f>
        <v xml:space="preserve"> sangat baik </v>
      </c>
      <c r="Y32" s="357">
        <f t="shared" si="1"/>
        <v>87.5</v>
      </c>
      <c r="Z32" s="361" t="str">
        <f>IF(Y32&gt;KKM!$G$10," sangat baik ",IF(Y32&gt;KKM!$H$10," baik ",IF(Y32&gt;=KKM!$I$10," cukup baik "," perlu bimbingan ")))</f>
        <v xml:space="preserve"> sangat baik </v>
      </c>
      <c r="AA32" s="353" t="str">
        <f t="shared" si="5"/>
        <v>NABIL sangat baik  dalam memahami gambar cerita</v>
      </c>
      <c r="AB32" s="256"/>
      <c r="AC32" s="257" t="str">
        <f t="shared" si="2"/>
        <v xml:space="preserve"> sangat baik  dalam memahami gambar cerita</v>
      </c>
      <c r="AD32" s="257" t="str">
        <f t="shared" si="3"/>
        <v xml:space="preserve"> sangat baik  dalam memahami gambar cerita</v>
      </c>
      <c r="AE32" s="257" t="str">
        <f t="shared" si="6"/>
        <v xml:space="preserve"> sangat baik  dalam memahami gambar cerita, dan  sangat baik  dalam memahami gambar cerita</v>
      </c>
      <c r="AF32" s="257" t="str">
        <f t="shared" si="7"/>
        <v xml:space="preserve"> sangat baik  dalam memahami gambar cerita</v>
      </c>
      <c r="AG32" s="258" t="str">
        <f t="shared" si="8"/>
        <v xml:space="preserve"> sangat baik  dalam memahami gambar cerita</v>
      </c>
      <c r="AH32" s="252" t="str">
        <f t="shared" si="9"/>
        <v>NABIL sangat baik  dalam memahami gambar cerita</v>
      </c>
      <c r="AI32" s="153"/>
      <c r="AR32" s="469">
        <f t="shared" si="10"/>
        <v>88</v>
      </c>
    </row>
    <row r="33" spans="2:44" ht="63.75" customHeight="1">
      <c r="B33" s="142">
        <v>29</v>
      </c>
      <c r="C33" s="143" t="str">
        <f>SISWA!B34</f>
        <v>1718250040333</v>
      </c>
      <c r="D33" s="144" t="str">
        <f>SISWA!E34</f>
        <v>RASYA</v>
      </c>
      <c r="E33" s="159">
        <v>85</v>
      </c>
      <c r="F33" s="160">
        <v>85</v>
      </c>
      <c r="G33" s="160"/>
      <c r="H33" s="160"/>
      <c r="I33" s="160">
        <v>85</v>
      </c>
      <c r="J33" s="159">
        <v>85</v>
      </c>
      <c r="K33" s="159"/>
      <c r="L33" s="159"/>
      <c r="M33" s="159"/>
      <c r="N33" s="159"/>
      <c r="O33" s="159"/>
      <c r="P33" s="159"/>
      <c r="Q33" s="159"/>
      <c r="R33" s="160"/>
      <c r="S33" s="160"/>
      <c r="T33" s="159"/>
      <c r="U33" s="354">
        <f t="shared" si="4"/>
        <v>85</v>
      </c>
      <c r="V33" s="355" t="str">
        <f>IF(U33&gt;KKM!$G$10,"A",IF(U33&gt;KKM!$H$10,"B",IF(U33&gt;=KKM!$I$10,"C","D")))</f>
        <v>B</v>
      </c>
      <c r="W33" s="356">
        <f t="shared" si="0"/>
        <v>85</v>
      </c>
      <c r="X33" s="361" t="str">
        <f>IF(W33&gt;KKM!$G$10," sangat baik ",IF(W33&gt;KKM!$H$10," baik ",IF(W33&gt;=KKM!$I$10," cukup baik "," perlu bimbingan ")))</f>
        <v xml:space="preserve"> baik </v>
      </c>
      <c r="Y33" s="357">
        <f t="shared" si="1"/>
        <v>85</v>
      </c>
      <c r="Z33" s="361" t="str">
        <f>IF(Y33&gt;KKM!$G$10," sangat baik ",IF(Y33&gt;KKM!$H$10," baik ",IF(Y33&gt;=KKM!$I$10," cukup baik "," perlu bimbingan ")))</f>
        <v xml:space="preserve"> baik </v>
      </c>
      <c r="AA33" s="353" t="str">
        <f t="shared" si="5"/>
        <v>RASYA baik  dalam memahami gambar cerita</v>
      </c>
      <c r="AB33" s="256"/>
      <c r="AC33" s="257" t="str">
        <f t="shared" si="2"/>
        <v xml:space="preserve"> baik  dalam memahami gambar cerita</v>
      </c>
      <c r="AD33" s="257" t="str">
        <f t="shared" si="3"/>
        <v xml:space="preserve"> baik  dalam memahami gambar cerita</v>
      </c>
      <c r="AE33" s="257" t="str">
        <f t="shared" si="6"/>
        <v xml:space="preserve"> baik  dalam memahami gambar cerita, dan  baik  dalam memahami gambar cerita</v>
      </c>
      <c r="AF33" s="257" t="str">
        <f t="shared" si="7"/>
        <v xml:space="preserve"> baik  dalam memahami gambar cerita</v>
      </c>
      <c r="AG33" s="258" t="str">
        <f t="shared" si="8"/>
        <v xml:space="preserve"> baik  dalam memahami gambar cerita</v>
      </c>
      <c r="AH33" s="252" t="str">
        <f t="shared" si="9"/>
        <v>RASYA baik  dalam memahami gambar cerita</v>
      </c>
      <c r="AI33" s="153"/>
      <c r="AR33" s="469">
        <f t="shared" si="10"/>
        <v>85</v>
      </c>
    </row>
    <row r="34" spans="2:44" ht="63.75" customHeight="1">
      <c r="B34" s="142">
        <v>30</v>
      </c>
      <c r="C34" s="143" t="str">
        <f>SISWA!B35</f>
        <v>1718250040334</v>
      </c>
      <c r="D34" s="144" t="str">
        <f>SISWA!E35</f>
        <v>RIZKI</v>
      </c>
      <c r="E34" s="159">
        <v>90</v>
      </c>
      <c r="F34" s="160">
        <v>90</v>
      </c>
      <c r="G34" s="160"/>
      <c r="H34" s="160"/>
      <c r="I34" s="160">
        <v>90</v>
      </c>
      <c r="J34" s="159">
        <v>90</v>
      </c>
      <c r="K34" s="159"/>
      <c r="L34" s="159"/>
      <c r="M34" s="159"/>
      <c r="N34" s="159"/>
      <c r="O34" s="159"/>
      <c r="P34" s="159"/>
      <c r="Q34" s="159"/>
      <c r="R34" s="160"/>
      <c r="S34" s="160"/>
      <c r="T34" s="159"/>
      <c r="U34" s="354">
        <f t="shared" si="4"/>
        <v>90</v>
      </c>
      <c r="V34" s="355" t="str">
        <f>IF(U34&gt;KKM!$G$10,"A",IF(U34&gt;KKM!$H$10,"B",IF(U34&gt;=KKM!$I$10,"C","D")))</f>
        <v>A</v>
      </c>
      <c r="W34" s="356">
        <f t="shared" si="0"/>
        <v>90</v>
      </c>
      <c r="X34" s="361" t="str">
        <f>IF(W34&gt;KKM!$G$10," sangat baik ",IF(W34&gt;KKM!$H$10," baik ",IF(W34&gt;=KKM!$I$10," cukup baik "," perlu bimbingan ")))</f>
        <v xml:space="preserve"> sangat baik </v>
      </c>
      <c r="Y34" s="357">
        <f t="shared" si="1"/>
        <v>90</v>
      </c>
      <c r="Z34" s="361" t="str">
        <f>IF(Y34&gt;KKM!$G$10," sangat baik ",IF(Y34&gt;KKM!$H$10," baik ",IF(Y34&gt;=KKM!$I$10," cukup baik "," perlu bimbingan ")))</f>
        <v xml:space="preserve"> sangat baik </v>
      </c>
      <c r="AA34" s="353" t="str">
        <f t="shared" si="5"/>
        <v>RIZKI sangat baik  dalam memahami gambar cerita</v>
      </c>
      <c r="AB34" s="256"/>
      <c r="AC34" s="257" t="str">
        <f t="shared" si="2"/>
        <v xml:space="preserve"> sangat baik  dalam memahami gambar cerita</v>
      </c>
      <c r="AD34" s="257" t="str">
        <f t="shared" si="3"/>
        <v xml:space="preserve"> sangat baik  dalam memahami gambar cerita</v>
      </c>
      <c r="AE34" s="257" t="str">
        <f t="shared" si="6"/>
        <v xml:space="preserve"> sangat baik  dalam memahami gambar cerita, dan  sangat baik  dalam memahami gambar cerita</v>
      </c>
      <c r="AF34" s="257" t="str">
        <f t="shared" si="7"/>
        <v xml:space="preserve"> sangat baik  dalam memahami gambar cerita</v>
      </c>
      <c r="AG34" s="258" t="str">
        <f t="shared" si="8"/>
        <v xml:space="preserve"> sangat baik  dalam memahami gambar cerita</v>
      </c>
      <c r="AH34" s="252" t="str">
        <f t="shared" si="9"/>
        <v>RIZKI sangat baik  dalam memahami gambar cerita</v>
      </c>
      <c r="AI34" s="153"/>
      <c r="AR34" s="469">
        <f t="shared" si="10"/>
        <v>90</v>
      </c>
    </row>
    <row r="35" spans="2:44" ht="63.75" customHeight="1">
      <c r="B35" s="142">
        <v>31</v>
      </c>
      <c r="C35" s="143" t="str">
        <f>SISWA!B36</f>
        <v>1718250040335</v>
      </c>
      <c r="D35" s="144" t="str">
        <f>SISWA!E36</f>
        <v>SATRIA</v>
      </c>
      <c r="E35" s="159">
        <v>97.5</v>
      </c>
      <c r="F35" s="160">
        <v>97.5</v>
      </c>
      <c r="G35" s="160"/>
      <c r="H35" s="160"/>
      <c r="I35" s="160">
        <v>97.5</v>
      </c>
      <c r="J35" s="159">
        <v>97.5</v>
      </c>
      <c r="K35" s="159"/>
      <c r="L35" s="159"/>
      <c r="M35" s="159"/>
      <c r="N35" s="159"/>
      <c r="O35" s="159"/>
      <c r="P35" s="159"/>
      <c r="Q35" s="159"/>
      <c r="R35" s="160"/>
      <c r="S35" s="160"/>
      <c r="T35" s="159"/>
      <c r="U35" s="354">
        <f t="shared" si="4"/>
        <v>98</v>
      </c>
      <c r="V35" s="355" t="str">
        <f>IF(U35&gt;KKM!$G$10,"A",IF(U35&gt;KKM!$H$10,"B",IF(U35&gt;=KKM!$I$10,"C","D")))</f>
        <v>A</v>
      </c>
      <c r="W35" s="356">
        <f t="shared" si="0"/>
        <v>97.5</v>
      </c>
      <c r="X35" s="361" t="str">
        <f>IF(W35&gt;KKM!$G$10," sangat baik ",IF(W35&gt;KKM!$H$10," baik ",IF(W35&gt;=KKM!$I$10," cukup baik "," perlu bimbingan ")))</f>
        <v xml:space="preserve"> sangat baik </v>
      </c>
      <c r="Y35" s="357">
        <f t="shared" si="1"/>
        <v>97.5</v>
      </c>
      <c r="Z35" s="361" t="str">
        <f>IF(Y35&gt;KKM!$G$10," sangat baik ",IF(Y35&gt;KKM!$H$10," baik ",IF(Y35&gt;=KKM!$I$10," cukup baik "," perlu bimbingan ")))</f>
        <v xml:space="preserve"> sangat baik </v>
      </c>
      <c r="AA35" s="353" t="str">
        <f t="shared" si="5"/>
        <v>SATRIA sangat baik  dalam memahami gambar cerita</v>
      </c>
      <c r="AB35" s="256"/>
      <c r="AC35" s="257" t="str">
        <f t="shared" si="2"/>
        <v xml:space="preserve"> sangat baik  dalam memahami gambar cerita</v>
      </c>
      <c r="AD35" s="257" t="str">
        <f t="shared" si="3"/>
        <v xml:space="preserve"> sangat baik  dalam memahami gambar cerita</v>
      </c>
      <c r="AE35" s="257" t="str">
        <f t="shared" si="6"/>
        <v xml:space="preserve"> sangat baik  dalam memahami gambar cerita, dan  sangat baik  dalam memahami gambar cerita</v>
      </c>
      <c r="AF35" s="257" t="str">
        <f t="shared" si="7"/>
        <v xml:space="preserve"> sangat baik  dalam memahami gambar cerita</v>
      </c>
      <c r="AG35" s="258" t="str">
        <f t="shared" si="8"/>
        <v xml:space="preserve"> sangat baik  dalam memahami gambar cerita</v>
      </c>
      <c r="AH35" s="252" t="str">
        <f t="shared" si="9"/>
        <v>SATRIA sangat baik  dalam memahami gambar cerita</v>
      </c>
      <c r="AI35" s="153"/>
      <c r="AR35" s="469">
        <f t="shared" si="10"/>
        <v>98</v>
      </c>
    </row>
    <row r="36" spans="2:44" ht="63.75" customHeight="1">
      <c r="B36" s="142">
        <v>32</v>
      </c>
      <c r="C36" s="143" t="str">
        <f>SISWA!B37</f>
        <v>1718250040336</v>
      </c>
      <c r="D36" s="144" t="str">
        <f>SISWA!E37</f>
        <v>NADIA</v>
      </c>
      <c r="E36" s="159">
        <v>97.5</v>
      </c>
      <c r="F36" s="160">
        <v>97.5</v>
      </c>
      <c r="G36" s="160"/>
      <c r="H36" s="160"/>
      <c r="I36" s="160">
        <v>97.5</v>
      </c>
      <c r="J36" s="159">
        <v>97.5</v>
      </c>
      <c r="K36" s="159"/>
      <c r="L36" s="159"/>
      <c r="M36" s="159"/>
      <c r="N36" s="159"/>
      <c r="O36" s="159"/>
      <c r="P36" s="159"/>
      <c r="Q36" s="159"/>
      <c r="R36" s="160"/>
      <c r="S36" s="160"/>
      <c r="T36" s="159"/>
      <c r="U36" s="354">
        <f t="shared" si="4"/>
        <v>98</v>
      </c>
      <c r="V36" s="355" t="str">
        <f>IF(U36&gt;KKM!$G$10,"A",IF(U36&gt;KKM!$H$10,"B",IF(U36&gt;=KKM!$I$10,"C","D")))</f>
        <v>A</v>
      </c>
      <c r="W36" s="356">
        <f t="shared" si="0"/>
        <v>97.5</v>
      </c>
      <c r="X36" s="361" t="str">
        <f>IF(W36&gt;KKM!$G$10," sangat baik ",IF(W36&gt;KKM!$H$10," baik ",IF(W36&gt;=KKM!$I$10," cukup baik "," perlu bimbingan ")))</f>
        <v xml:space="preserve"> sangat baik </v>
      </c>
      <c r="Y36" s="357">
        <f t="shared" si="1"/>
        <v>97.5</v>
      </c>
      <c r="Z36" s="361" t="str">
        <f>IF(Y36&gt;KKM!$G$10," sangat baik ",IF(Y36&gt;KKM!$H$10," baik ",IF(Y36&gt;=KKM!$I$10," cukup baik "," perlu bimbingan ")))</f>
        <v xml:space="preserve"> sangat baik </v>
      </c>
      <c r="AA36" s="353" t="str">
        <f t="shared" si="5"/>
        <v>NADIA sangat baik  dalam memahami gambar cerita</v>
      </c>
      <c r="AB36" s="256"/>
      <c r="AC36" s="257" t="str">
        <f t="shared" si="2"/>
        <v xml:space="preserve"> sangat baik  dalam memahami gambar cerita</v>
      </c>
      <c r="AD36" s="257" t="str">
        <f t="shared" si="3"/>
        <v xml:space="preserve"> sangat baik  dalam memahami gambar cerita</v>
      </c>
      <c r="AE36" s="257" t="str">
        <f t="shared" si="6"/>
        <v xml:space="preserve"> sangat baik  dalam memahami gambar cerita, dan  sangat baik  dalam memahami gambar cerita</v>
      </c>
      <c r="AF36" s="257" t="str">
        <f t="shared" si="7"/>
        <v xml:space="preserve"> sangat baik  dalam memahami gambar cerita</v>
      </c>
      <c r="AG36" s="258" t="str">
        <f t="shared" si="8"/>
        <v xml:space="preserve"> sangat baik  dalam memahami gambar cerita</v>
      </c>
      <c r="AH36" s="252" t="str">
        <f t="shared" si="9"/>
        <v>NADIA sangat baik  dalam memahami gambar cerita</v>
      </c>
      <c r="AI36" s="153"/>
      <c r="AR36" s="469">
        <f t="shared" si="10"/>
        <v>98</v>
      </c>
    </row>
    <row r="37" spans="2:44" ht="63.75" customHeight="1">
      <c r="B37" s="142">
        <v>33</v>
      </c>
      <c r="C37" s="143" t="str">
        <f>SISWA!B38</f>
        <v>1718250040337</v>
      </c>
      <c r="D37" s="144" t="str">
        <f>SISWA!E38</f>
        <v>NAFILA</v>
      </c>
      <c r="E37" s="159">
        <v>77.5</v>
      </c>
      <c r="F37" s="160">
        <v>77.5</v>
      </c>
      <c r="G37" s="160"/>
      <c r="H37" s="160"/>
      <c r="I37" s="160">
        <v>77.5</v>
      </c>
      <c r="J37" s="159">
        <v>77.5</v>
      </c>
      <c r="K37" s="159"/>
      <c r="L37" s="159"/>
      <c r="M37" s="159"/>
      <c r="N37" s="159"/>
      <c r="O37" s="159"/>
      <c r="P37" s="159"/>
      <c r="Q37" s="159"/>
      <c r="R37" s="160"/>
      <c r="S37" s="160"/>
      <c r="T37" s="159"/>
      <c r="U37" s="354">
        <f t="shared" si="4"/>
        <v>78</v>
      </c>
      <c r="V37" s="355" t="str">
        <f>IF(U37&gt;KKM!$G$10,"A",IF(U37&gt;KKM!$H$10,"B",IF(U37&gt;=KKM!$I$10,"C","D")))</f>
        <v>B</v>
      </c>
      <c r="W37" s="356">
        <f t="shared" si="0"/>
        <v>77.5</v>
      </c>
      <c r="X37" s="361" t="str">
        <f>IF(W37&gt;KKM!$G$10," sangat baik ",IF(W37&gt;KKM!$H$10," baik ",IF(W37&gt;=KKM!$I$10," cukup baik "," perlu bimbingan ")))</f>
        <v xml:space="preserve"> baik </v>
      </c>
      <c r="Y37" s="357">
        <f t="shared" si="1"/>
        <v>77.5</v>
      </c>
      <c r="Z37" s="361" t="str">
        <f>IF(Y37&gt;KKM!$G$10," sangat baik ",IF(Y37&gt;KKM!$H$10," baik ",IF(Y37&gt;=KKM!$I$10," cukup baik "," perlu bimbingan ")))</f>
        <v xml:space="preserve"> baik </v>
      </c>
      <c r="AA37" s="353" t="str">
        <f t="shared" si="5"/>
        <v>NAFILA baik  dalam memahami gambar cerita</v>
      </c>
      <c r="AB37" s="256"/>
      <c r="AC37" s="257" t="str">
        <f t="shared" si="2"/>
        <v xml:space="preserve"> baik  dalam memahami gambar cerita</v>
      </c>
      <c r="AD37" s="257" t="str">
        <f t="shared" si="3"/>
        <v xml:space="preserve"> baik  dalam memahami gambar cerita</v>
      </c>
      <c r="AE37" s="257" t="str">
        <f t="shared" si="6"/>
        <v xml:space="preserve"> baik  dalam memahami gambar cerita, dan  baik  dalam memahami gambar cerita</v>
      </c>
      <c r="AF37" s="257" t="str">
        <f t="shared" si="7"/>
        <v xml:space="preserve"> baik  dalam memahami gambar cerita</v>
      </c>
      <c r="AG37" s="258" t="str">
        <f t="shared" si="8"/>
        <v xml:space="preserve"> baik  dalam memahami gambar cerita</v>
      </c>
      <c r="AH37" s="252" t="str">
        <f t="shared" si="9"/>
        <v>NAFILA baik  dalam memahami gambar cerita</v>
      </c>
      <c r="AI37" s="153"/>
      <c r="AR37" s="469">
        <f t="shared" si="10"/>
        <v>78</v>
      </c>
    </row>
    <row r="38" spans="2:44" ht="63.75" customHeight="1">
      <c r="B38" s="142">
        <v>34</v>
      </c>
      <c r="C38" s="143" t="str">
        <f>SISWA!B39</f>
        <v>1718250040338</v>
      </c>
      <c r="D38" s="144" t="str">
        <f>SISWA!E39</f>
        <v>NAZZALA</v>
      </c>
      <c r="E38" s="159">
        <v>95</v>
      </c>
      <c r="F38" s="160">
        <v>95</v>
      </c>
      <c r="G38" s="160"/>
      <c r="H38" s="160"/>
      <c r="I38" s="160">
        <v>95</v>
      </c>
      <c r="J38" s="159">
        <v>95</v>
      </c>
      <c r="K38" s="159"/>
      <c r="L38" s="159"/>
      <c r="M38" s="159"/>
      <c r="N38" s="159"/>
      <c r="O38" s="159"/>
      <c r="P38" s="159"/>
      <c r="Q38" s="159"/>
      <c r="R38" s="160"/>
      <c r="S38" s="160"/>
      <c r="T38" s="159"/>
      <c r="U38" s="354">
        <f t="shared" si="4"/>
        <v>95</v>
      </c>
      <c r="V38" s="355" t="str">
        <f>IF(U38&gt;KKM!$G$10,"A",IF(U38&gt;KKM!$H$10,"B",IF(U38&gt;=KKM!$I$10,"C","D")))</f>
        <v>A</v>
      </c>
      <c r="W38" s="356">
        <f t="shared" si="0"/>
        <v>95</v>
      </c>
      <c r="X38" s="361" t="str">
        <f>IF(W38&gt;KKM!$G$10," sangat baik ",IF(W38&gt;KKM!$H$10," baik ",IF(W38&gt;=KKM!$I$10," cukup baik "," perlu bimbingan ")))</f>
        <v xml:space="preserve"> sangat baik </v>
      </c>
      <c r="Y38" s="357">
        <f t="shared" si="1"/>
        <v>95</v>
      </c>
      <c r="Z38" s="361" t="str">
        <f>IF(Y38&gt;KKM!$G$10," sangat baik ",IF(Y38&gt;KKM!$H$10," baik ",IF(Y38&gt;=KKM!$I$10," cukup baik "," perlu bimbingan ")))</f>
        <v xml:space="preserve"> sangat baik </v>
      </c>
      <c r="AA38" s="353" t="str">
        <f t="shared" si="5"/>
        <v>NAZZALA sangat baik  dalam memahami gambar cerita</v>
      </c>
      <c r="AB38" s="256"/>
      <c r="AC38" s="257" t="str">
        <f t="shared" si="2"/>
        <v xml:space="preserve"> sangat baik  dalam memahami gambar cerita</v>
      </c>
      <c r="AD38" s="257" t="str">
        <f t="shared" si="3"/>
        <v xml:space="preserve"> sangat baik  dalam memahami gambar cerita</v>
      </c>
      <c r="AE38" s="257" t="str">
        <f t="shared" si="6"/>
        <v xml:space="preserve"> sangat baik  dalam memahami gambar cerita, dan  sangat baik  dalam memahami gambar cerita</v>
      </c>
      <c r="AF38" s="257" t="str">
        <f t="shared" si="7"/>
        <v xml:space="preserve"> sangat baik  dalam memahami gambar cerita</v>
      </c>
      <c r="AG38" s="258" t="str">
        <f t="shared" si="8"/>
        <v xml:space="preserve"> sangat baik  dalam memahami gambar cerita</v>
      </c>
      <c r="AH38" s="252" t="str">
        <f t="shared" si="9"/>
        <v>NAZZALA sangat baik  dalam memahami gambar cerita</v>
      </c>
      <c r="AI38" s="153"/>
      <c r="AR38" s="469">
        <f t="shared" si="10"/>
        <v>95</v>
      </c>
    </row>
    <row r="39" spans="2:44" ht="63.75" customHeight="1">
      <c r="B39" s="142">
        <v>35</v>
      </c>
      <c r="C39" s="143" t="str">
        <f>SISWA!B40</f>
        <v>1718250040339</v>
      </c>
      <c r="D39" s="144" t="str">
        <f>SISWA!E40</f>
        <v>RAFAREL</v>
      </c>
      <c r="E39" s="159">
        <v>90</v>
      </c>
      <c r="F39" s="160">
        <v>90</v>
      </c>
      <c r="G39" s="160"/>
      <c r="H39" s="160"/>
      <c r="I39" s="160">
        <v>90</v>
      </c>
      <c r="J39" s="159">
        <v>90</v>
      </c>
      <c r="K39" s="159"/>
      <c r="L39" s="159"/>
      <c r="M39" s="159"/>
      <c r="N39" s="159"/>
      <c r="O39" s="159"/>
      <c r="P39" s="159"/>
      <c r="Q39" s="159"/>
      <c r="R39" s="160"/>
      <c r="S39" s="160"/>
      <c r="T39" s="159"/>
      <c r="U39" s="354">
        <f t="shared" si="4"/>
        <v>90</v>
      </c>
      <c r="V39" s="355" t="str">
        <f>IF(U39&gt;KKM!$G$10,"A",IF(U39&gt;KKM!$H$10,"B",IF(U39&gt;=KKM!$I$10,"C","D")))</f>
        <v>A</v>
      </c>
      <c r="W39" s="356">
        <f t="shared" si="0"/>
        <v>90</v>
      </c>
      <c r="X39" s="361" t="str">
        <f>IF(W39&gt;KKM!$G$10," sangat baik ",IF(W39&gt;KKM!$H$10," baik ",IF(W39&gt;=KKM!$I$10," cukup baik "," perlu bimbingan ")))</f>
        <v xml:space="preserve"> sangat baik </v>
      </c>
      <c r="Y39" s="357">
        <f t="shared" si="1"/>
        <v>90</v>
      </c>
      <c r="Z39" s="361" t="str">
        <f>IF(Y39&gt;KKM!$G$10," sangat baik ",IF(Y39&gt;KKM!$H$10," baik ",IF(Y39&gt;=KKM!$I$10," cukup baik "," perlu bimbingan ")))</f>
        <v xml:space="preserve"> sangat baik </v>
      </c>
      <c r="AA39" s="353" t="str">
        <f t="shared" si="5"/>
        <v>RAFAREL sangat baik  dalam memahami gambar cerita</v>
      </c>
      <c r="AB39" s="256"/>
      <c r="AC39" s="257" t="str">
        <f t="shared" si="2"/>
        <v xml:space="preserve"> sangat baik  dalam memahami gambar cerita</v>
      </c>
      <c r="AD39" s="257" t="str">
        <f t="shared" si="3"/>
        <v xml:space="preserve"> sangat baik  dalam memahami gambar cerita</v>
      </c>
      <c r="AE39" s="257" t="str">
        <f t="shared" si="6"/>
        <v xml:space="preserve"> sangat baik  dalam memahami gambar cerita, dan  sangat baik  dalam memahami gambar cerita</v>
      </c>
      <c r="AF39" s="257" t="str">
        <f t="shared" si="7"/>
        <v xml:space="preserve"> sangat baik  dalam memahami gambar cerita</v>
      </c>
      <c r="AG39" s="258" t="str">
        <f t="shared" si="8"/>
        <v xml:space="preserve"> sangat baik  dalam memahami gambar cerita</v>
      </c>
      <c r="AH39" s="252" t="str">
        <f t="shared" si="9"/>
        <v>RAFAREL sangat baik  dalam memahami gambar cerita</v>
      </c>
      <c r="AI39" s="153"/>
      <c r="AR39" s="469">
        <f t="shared" si="10"/>
        <v>90</v>
      </c>
    </row>
    <row r="40" spans="2:44" ht="63.75" customHeight="1">
      <c r="B40" s="142">
        <v>36</v>
      </c>
      <c r="C40" s="143" t="str">
        <f>SISWA!B41</f>
        <v>1718250040340</v>
      </c>
      <c r="D40" s="144" t="str">
        <f>SISWA!E41</f>
        <v>RAKHA</v>
      </c>
      <c r="E40" s="159">
        <v>97.5</v>
      </c>
      <c r="F40" s="160">
        <v>97.5</v>
      </c>
      <c r="G40" s="160"/>
      <c r="H40" s="160"/>
      <c r="I40" s="160">
        <v>97.5</v>
      </c>
      <c r="J40" s="159">
        <v>97.5</v>
      </c>
      <c r="K40" s="159"/>
      <c r="L40" s="159"/>
      <c r="M40" s="159"/>
      <c r="N40" s="159"/>
      <c r="O40" s="159"/>
      <c r="P40" s="159"/>
      <c r="Q40" s="159"/>
      <c r="R40" s="160"/>
      <c r="S40" s="160"/>
      <c r="T40" s="159"/>
      <c r="U40" s="354">
        <f t="shared" si="4"/>
        <v>98</v>
      </c>
      <c r="V40" s="355" t="str">
        <f>IF(U40&gt;KKM!$G$10,"A",IF(U40&gt;KKM!$H$10,"B",IF(U40&gt;=KKM!$I$10,"C","D")))</f>
        <v>A</v>
      </c>
      <c r="W40" s="356">
        <f t="shared" si="0"/>
        <v>97.5</v>
      </c>
      <c r="X40" s="361" t="str">
        <f>IF(W40&gt;KKM!$G$10," sangat baik ",IF(W40&gt;KKM!$H$10," baik ",IF(W40&gt;=KKM!$I$10," cukup baik "," perlu bimbingan ")))</f>
        <v xml:space="preserve"> sangat baik </v>
      </c>
      <c r="Y40" s="357">
        <f t="shared" si="1"/>
        <v>97.5</v>
      </c>
      <c r="Z40" s="361" t="str">
        <f>IF(Y40&gt;KKM!$G$10," sangat baik ",IF(Y40&gt;KKM!$H$10," baik ",IF(Y40&gt;=KKM!$I$10," cukup baik "," perlu bimbingan ")))</f>
        <v xml:space="preserve"> sangat baik </v>
      </c>
      <c r="AA40" s="353" t="str">
        <f t="shared" si="5"/>
        <v>RAKHA sangat baik  dalam memahami gambar cerita</v>
      </c>
      <c r="AB40" s="256"/>
      <c r="AC40" s="257" t="str">
        <f t="shared" si="2"/>
        <v xml:space="preserve"> sangat baik  dalam memahami gambar cerita</v>
      </c>
      <c r="AD40" s="257" t="str">
        <f t="shared" si="3"/>
        <v xml:space="preserve"> sangat baik  dalam memahami gambar cerita</v>
      </c>
      <c r="AE40" s="257" t="str">
        <f t="shared" si="6"/>
        <v xml:space="preserve"> sangat baik  dalam memahami gambar cerita, dan  sangat baik  dalam memahami gambar cerita</v>
      </c>
      <c r="AF40" s="257" t="str">
        <f t="shared" si="7"/>
        <v xml:space="preserve"> sangat baik  dalam memahami gambar cerita</v>
      </c>
      <c r="AG40" s="258" t="str">
        <f t="shared" si="8"/>
        <v xml:space="preserve"> sangat baik  dalam memahami gambar cerita</v>
      </c>
      <c r="AH40" s="252" t="str">
        <f t="shared" si="9"/>
        <v>RAKHA sangat baik  dalam memahami gambar cerita</v>
      </c>
      <c r="AI40" s="153"/>
      <c r="AR40" s="469">
        <f t="shared" si="10"/>
        <v>98</v>
      </c>
    </row>
    <row r="41" spans="2:44" ht="63.75" customHeight="1">
      <c r="B41" s="142">
        <v>37</v>
      </c>
      <c r="C41" s="143" t="str">
        <f>SISWA!B42</f>
        <v>1718250040341</v>
      </c>
      <c r="D41" s="144" t="str">
        <f>SISWA!E42</f>
        <v>RYU</v>
      </c>
      <c r="E41" s="159">
        <v>85</v>
      </c>
      <c r="F41" s="160">
        <v>85</v>
      </c>
      <c r="G41" s="160"/>
      <c r="H41" s="160"/>
      <c r="I41" s="160">
        <v>85</v>
      </c>
      <c r="J41" s="159">
        <v>85</v>
      </c>
      <c r="K41" s="159"/>
      <c r="L41" s="159"/>
      <c r="M41" s="159"/>
      <c r="N41" s="159"/>
      <c r="O41" s="159"/>
      <c r="P41" s="159"/>
      <c r="Q41" s="159"/>
      <c r="R41" s="160"/>
      <c r="S41" s="160"/>
      <c r="T41" s="159"/>
      <c r="U41" s="354">
        <f t="shared" si="4"/>
        <v>85</v>
      </c>
      <c r="V41" s="355" t="str">
        <f>IF(U41&gt;KKM!$G$10,"A",IF(U41&gt;KKM!$H$10,"B",IF(U41&gt;=KKM!$I$10,"C","D")))</f>
        <v>B</v>
      </c>
      <c r="W41" s="356">
        <f t="shared" si="0"/>
        <v>85</v>
      </c>
      <c r="X41" s="361" t="str">
        <f>IF(W41&gt;KKM!$G$10," sangat baik ",IF(W41&gt;KKM!$H$10," baik ",IF(W41&gt;=KKM!$I$10," cukup baik "," perlu bimbingan ")))</f>
        <v xml:space="preserve"> baik </v>
      </c>
      <c r="Y41" s="357">
        <f t="shared" si="1"/>
        <v>85</v>
      </c>
      <c r="Z41" s="361" t="str">
        <f>IF(Y41&gt;KKM!$G$10," sangat baik ",IF(Y41&gt;KKM!$H$10," baik ",IF(Y41&gt;=KKM!$I$10," cukup baik "," perlu bimbingan ")))</f>
        <v xml:space="preserve"> baik </v>
      </c>
      <c r="AA41" s="353" t="str">
        <f t="shared" si="5"/>
        <v>RYU baik  dalam memahami gambar cerita</v>
      </c>
      <c r="AB41" s="256"/>
      <c r="AC41" s="257" t="str">
        <f t="shared" si="2"/>
        <v xml:space="preserve"> baik  dalam memahami gambar cerita</v>
      </c>
      <c r="AD41" s="257" t="str">
        <f t="shared" si="3"/>
        <v xml:space="preserve"> baik  dalam memahami gambar cerita</v>
      </c>
      <c r="AE41" s="257" t="str">
        <f t="shared" si="6"/>
        <v xml:space="preserve"> baik  dalam memahami gambar cerita, dan  baik  dalam memahami gambar cerita</v>
      </c>
      <c r="AF41" s="257" t="str">
        <f t="shared" si="7"/>
        <v xml:space="preserve"> baik  dalam memahami gambar cerita</v>
      </c>
      <c r="AG41" s="258" t="str">
        <f t="shared" si="8"/>
        <v xml:space="preserve"> baik  dalam memahami gambar cerita</v>
      </c>
      <c r="AH41" s="252" t="str">
        <f t="shared" si="9"/>
        <v>RYU baik  dalam memahami gambar cerita</v>
      </c>
      <c r="AI41" s="153"/>
      <c r="AR41" s="469">
        <f t="shared" si="10"/>
        <v>85</v>
      </c>
    </row>
    <row r="42" spans="2:44" ht="63.75" customHeight="1">
      <c r="B42" s="142">
        <v>38</v>
      </c>
      <c r="C42" s="143" t="str">
        <f>SISWA!B43</f>
        <v>1718250040342</v>
      </c>
      <c r="D42" s="144" t="str">
        <f>SISWA!E43</f>
        <v>SAEPUL</v>
      </c>
      <c r="E42" s="159">
        <v>87.5</v>
      </c>
      <c r="F42" s="160">
        <v>87.5</v>
      </c>
      <c r="G42" s="160"/>
      <c r="H42" s="160"/>
      <c r="I42" s="160">
        <v>87.5</v>
      </c>
      <c r="J42" s="159">
        <v>87.5</v>
      </c>
      <c r="K42" s="159"/>
      <c r="L42" s="159"/>
      <c r="M42" s="159"/>
      <c r="N42" s="159"/>
      <c r="O42" s="159"/>
      <c r="P42" s="159"/>
      <c r="Q42" s="159"/>
      <c r="R42" s="160"/>
      <c r="S42" s="160"/>
      <c r="T42" s="159"/>
      <c r="U42" s="354">
        <f t="shared" si="4"/>
        <v>88</v>
      </c>
      <c r="V42" s="355" t="str">
        <f>IF(U42&gt;KKM!$G$10,"A",IF(U42&gt;KKM!$H$10,"B",IF(U42&gt;=KKM!$I$10,"C","D")))</f>
        <v>A</v>
      </c>
      <c r="W42" s="356">
        <f t="shared" si="0"/>
        <v>87.5</v>
      </c>
      <c r="X42" s="361" t="str">
        <f>IF(W42&gt;KKM!$G$10," sangat baik ",IF(W42&gt;KKM!$H$10," baik ",IF(W42&gt;=KKM!$I$10," cukup baik "," perlu bimbingan ")))</f>
        <v xml:space="preserve"> sangat baik </v>
      </c>
      <c r="Y42" s="357">
        <f t="shared" si="1"/>
        <v>87.5</v>
      </c>
      <c r="Z42" s="361" t="str">
        <f>IF(Y42&gt;KKM!$G$10," sangat baik ",IF(Y42&gt;KKM!$H$10," baik ",IF(Y42&gt;=KKM!$I$10," cukup baik "," perlu bimbingan ")))</f>
        <v xml:space="preserve"> sangat baik </v>
      </c>
      <c r="AA42" s="353" t="str">
        <f t="shared" si="5"/>
        <v>SAEPUL sangat baik  dalam memahami gambar cerita</v>
      </c>
      <c r="AB42" s="256"/>
      <c r="AC42" s="257" t="str">
        <f t="shared" si="2"/>
        <v xml:space="preserve"> sangat baik  dalam memahami gambar cerita</v>
      </c>
      <c r="AD42" s="257" t="str">
        <f t="shared" si="3"/>
        <v xml:space="preserve"> sangat baik  dalam memahami gambar cerita</v>
      </c>
      <c r="AE42" s="257" t="str">
        <f t="shared" si="6"/>
        <v xml:space="preserve"> sangat baik  dalam memahami gambar cerita, dan  sangat baik  dalam memahami gambar cerita</v>
      </c>
      <c r="AF42" s="257" t="str">
        <f t="shared" si="7"/>
        <v xml:space="preserve"> sangat baik  dalam memahami gambar cerita</v>
      </c>
      <c r="AG42" s="258" t="str">
        <f t="shared" si="8"/>
        <v xml:space="preserve"> sangat baik  dalam memahami gambar cerita</v>
      </c>
      <c r="AH42" s="252" t="str">
        <f t="shared" si="9"/>
        <v>SAEPUL sangat baik  dalam memahami gambar cerita</v>
      </c>
      <c r="AI42" s="153"/>
      <c r="AR42" s="469">
        <f t="shared" si="10"/>
        <v>88</v>
      </c>
    </row>
    <row r="43" spans="2:44" ht="63.75" customHeight="1">
      <c r="B43" s="142">
        <v>39</v>
      </c>
      <c r="C43" s="143" t="str">
        <f>SISWA!B44</f>
        <v>1718250040343</v>
      </c>
      <c r="D43" s="144" t="str">
        <f>SISWA!E44</f>
        <v>SALMA</v>
      </c>
      <c r="E43" s="159">
        <v>80</v>
      </c>
      <c r="F43" s="160">
        <v>80</v>
      </c>
      <c r="G43" s="160"/>
      <c r="H43" s="160"/>
      <c r="I43" s="160">
        <v>80</v>
      </c>
      <c r="J43" s="159">
        <v>80</v>
      </c>
      <c r="K43" s="159"/>
      <c r="L43" s="159"/>
      <c r="M43" s="159"/>
      <c r="N43" s="159"/>
      <c r="O43" s="159"/>
      <c r="P43" s="159"/>
      <c r="Q43" s="159"/>
      <c r="R43" s="160"/>
      <c r="S43" s="160"/>
      <c r="T43" s="159"/>
      <c r="U43" s="354">
        <f t="shared" si="4"/>
        <v>80</v>
      </c>
      <c r="V43" s="355" t="str">
        <f>IF(U43&gt;KKM!$G$10,"A",IF(U43&gt;KKM!$H$10,"B",IF(U43&gt;=KKM!$I$10,"C","D")))</f>
        <v>B</v>
      </c>
      <c r="W43" s="356">
        <f t="shared" si="0"/>
        <v>80</v>
      </c>
      <c r="X43" s="361" t="str">
        <f>IF(W43&gt;KKM!$G$10," sangat baik ",IF(W43&gt;KKM!$H$10," baik ",IF(W43&gt;=KKM!$I$10," cukup baik "," perlu bimbingan ")))</f>
        <v xml:space="preserve"> baik </v>
      </c>
      <c r="Y43" s="357">
        <f t="shared" si="1"/>
        <v>80</v>
      </c>
      <c r="Z43" s="361" t="str">
        <f>IF(Y43&gt;KKM!$G$10," sangat baik ",IF(Y43&gt;KKM!$H$10," baik ",IF(Y43&gt;=KKM!$I$10," cukup baik "," perlu bimbingan ")))</f>
        <v xml:space="preserve"> baik </v>
      </c>
      <c r="AA43" s="353" t="str">
        <f t="shared" si="5"/>
        <v>SALMA baik  dalam memahami gambar cerita</v>
      </c>
      <c r="AB43" s="256"/>
      <c r="AC43" s="257" t="str">
        <f t="shared" si="2"/>
        <v xml:space="preserve"> baik  dalam memahami gambar cerita</v>
      </c>
      <c r="AD43" s="257" t="str">
        <f t="shared" si="3"/>
        <v xml:space="preserve"> baik  dalam memahami gambar cerita</v>
      </c>
      <c r="AE43" s="257" t="str">
        <f t="shared" si="6"/>
        <v xml:space="preserve"> baik  dalam memahami gambar cerita, dan  baik  dalam memahami gambar cerita</v>
      </c>
      <c r="AF43" s="257" t="str">
        <f t="shared" si="7"/>
        <v xml:space="preserve"> baik  dalam memahami gambar cerita</v>
      </c>
      <c r="AG43" s="258" t="str">
        <f t="shared" si="8"/>
        <v xml:space="preserve"> baik  dalam memahami gambar cerita</v>
      </c>
      <c r="AH43" s="252" t="str">
        <f t="shared" si="9"/>
        <v>SALMA baik  dalam memahami gambar cerita</v>
      </c>
      <c r="AI43" s="153"/>
      <c r="AR43" s="469">
        <f t="shared" si="10"/>
        <v>80</v>
      </c>
    </row>
    <row r="44" spans="2:44" ht="63.75" customHeight="1">
      <c r="B44" s="142">
        <v>40</v>
      </c>
      <c r="C44" s="143" t="str">
        <f>SISWA!B45</f>
        <v>1718250040344</v>
      </c>
      <c r="D44" s="144" t="str">
        <f>SISWA!E45</f>
        <v>SYAKILA</v>
      </c>
      <c r="E44" s="159">
        <v>90</v>
      </c>
      <c r="F44" s="160">
        <v>90</v>
      </c>
      <c r="G44" s="160"/>
      <c r="H44" s="160"/>
      <c r="I44" s="160">
        <v>90</v>
      </c>
      <c r="J44" s="159">
        <v>90</v>
      </c>
      <c r="K44" s="159"/>
      <c r="L44" s="159"/>
      <c r="M44" s="159"/>
      <c r="N44" s="159"/>
      <c r="O44" s="159"/>
      <c r="P44" s="159"/>
      <c r="Q44" s="159"/>
      <c r="R44" s="160"/>
      <c r="S44" s="160"/>
      <c r="T44" s="159"/>
      <c r="U44" s="354">
        <f t="shared" si="4"/>
        <v>90</v>
      </c>
      <c r="V44" s="355" t="str">
        <f>IF(U44&gt;KKM!$G$10,"A",IF(U44&gt;KKM!$H$10,"B",IF(U44&gt;=KKM!$I$10,"C","D")))</f>
        <v>A</v>
      </c>
      <c r="W44" s="356">
        <f t="shared" si="0"/>
        <v>90</v>
      </c>
      <c r="X44" s="361" t="str">
        <f>IF(W44&gt;KKM!$G$10," sangat baik ",IF(W44&gt;KKM!$H$10," baik ",IF(W44&gt;=KKM!$I$10," cukup baik "," perlu bimbingan ")))</f>
        <v xml:space="preserve"> sangat baik </v>
      </c>
      <c r="Y44" s="357">
        <f t="shared" si="1"/>
        <v>90</v>
      </c>
      <c r="Z44" s="361" t="str">
        <f>IF(Y44&gt;KKM!$G$10," sangat baik ",IF(Y44&gt;KKM!$H$10," baik ",IF(Y44&gt;=KKM!$I$10," cukup baik "," perlu bimbingan ")))</f>
        <v xml:space="preserve"> sangat baik </v>
      </c>
      <c r="AA44" s="353" t="str">
        <f t="shared" si="5"/>
        <v>SYAKILA sangat baik  dalam memahami gambar cerita</v>
      </c>
      <c r="AB44" s="256"/>
      <c r="AC44" s="257" t="str">
        <f t="shared" si="2"/>
        <v xml:space="preserve"> sangat baik  dalam memahami gambar cerita</v>
      </c>
      <c r="AD44" s="257" t="str">
        <f t="shared" si="3"/>
        <v xml:space="preserve"> sangat baik  dalam memahami gambar cerita</v>
      </c>
      <c r="AE44" s="257" t="str">
        <f t="shared" si="6"/>
        <v xml:space="preserve"> sangat baik  dalam memahami gambar cerita, dan  sangat baik  dalam memahami gambar cerita</v>
      </c>
      <c r="AF44" s="257" t="str">
        <f t="shared" si="7"/>
        <v xml:space="preserve"> sangat baik  dalam memahami gambar cerita</v>
      </c>
      <c r="AG44" s="258" t="str">
        <f t="shared" si="8"/>
        <v xml:space="preserve"> sangat baik  dalam memahami gambar cerita</v>
      </c>
      <c r="AH44" s="252" t="str">
        <f t="shared" si="9"/>
        <v>SYAKILA sangat baik  dalam memahami gambar cerita</v>
      </c>
      <c r="AI44" s="153"/>
      <c r="AR44" s="469">
        <f t="shared" si="10"/>
        <v>90</v>
      </c>
    </row>
    <row r="45" spans="2:44" ht="63.75" customHeight="1">
      <c r="B45" s="142">
        <v>41</v>
      </c>
      <c r="C45" s="143" t="str">
        <f>SISWA!B46</f>
        <v>1718250040345</v>
      </c>
      <c r="D45" s="144" t="str">
        <f>SISWA!E46</f>
        <v>SYIFA</v>
      </c>
      <c r="E45" s="159">
        <v>85</v>
      </c>
      <c r="F45" s="160">
        <v>85</v>
      </c>
      <c r="G45" s="160"/>
      <c r="H45" s="160"/>
      <c r="I45" s="160">
        <v>85</v>
      </c>
      <c r="J45" s="159">
        <v>85</v>
      </c>
      <c r="K45" s="159"/>
      <c r="L45" s="159"/>
      <c r="M45" s="159"/>
      <c r="N45" s="159"/>
      <c r="O45" s="159"/>
      <c r="P45" s="159"/>
      <c r="Q45" s="159"/>
      <c r="R45" s="160"/>
      <c r="S45" s="160"/>
      <c r="T45" s="159"/>
      <c r="U45" s="354">
        <f t="shared" si="4"/>
        <v>85</v>
      </c>
      <c r="V45" s="355" t="str">
        <f>IF(U45&gt;KKM!$G$10,"A",IF(U45&gt;KKM!$H$10,"B",IF(U45&gt;=KKM!$I$10,"C","D")))</f>
        <v>B</v>
      </c>
      <c r="W45" s="356">
        <f t="shared" si="0"/>
        <v>85</v>
      </c>
      <c r="X45" s="361" t="str">
        <f>IF(W45&gt;KKM!$G$10," sangat baik ",IF(W45&gt;KKM!$H$10," baik ",IF(W45&gt;=KKM!$I$10," cukup baik "," perlu bimbingan ")))</f>
        <v xml:space="preserve"> baik </v>
      </c>
      <c r="Y45" s="357">
        <f t="shared" si="1"/>
        <v>85</v>
      </c>
      <c r="Z45" s="361" t="str">
        <f>IF(Y45&gt;KKM!$G$10," sangat baik ",IF(Y45&gt;KKM!$H$10," baik ",IF(Y45&gt;=KKM!$I$10," cukup baik "," perlu bimbingan ")))</f>
        <v xml:space="preserve"> baik </v>
      </c>
      <c r="AA45" s="353" t="str">
        <f t="shared" si="5"/>
        <v>SYIFA baik  dalam memahami gambar cerita</v>
      </c>
      <c r="AB45" s="256"/>
      <c r="AC45" s="257" t="str">
        <f t="shared" si="2"/>
        <v xml:space="preserve"> baik  dalam memahami gambar cerita</v>
      </c>
      <c r="AD45" s="257" t="str">
        <f t="shared" si="3"/>
        <v xml:space="preserve"> baik  dalam memahami gambar cerita</v>
      </c>
      <c r="AE45" s="257" t="str">
        <f t="shared" si="6"/>
        <v xml:space="preserve"> baik  dalam memahami gambar cerita, dan  baik  dalam memahami gambar cerita</v>
      </c>
      <c r="AF45" s="257" t="str">
        <f t="shared" si="7"/>
        <v xml:space="preserve"> baik  dalam memahami gambar cerita</v>
      </c>
      <c r="AG45" s="258" t="str">
        <f t="shared" si="8"/>
        <v xml:space="preserve"> baik  dalam memahami gambar cerita</v>
      </c>
      <c r="AH45" s="252" t="str">
        <f t="shared" si="9"/>
        <v>SYIFA baik  dalam memahami gambar cerita</v>
      </c>
      <c r="AI45" s="153"/>
      <c r="AR45" s="469">
        <f t="shared" si="10"/>
        <v>85</v>
      </c>
    </row>
    <row r="46" spans="2:44" ht="63.75" customHeight="1">
      <c r="B46" s="142">
        <v>42</v>
      </c>
      <c r="C46" s="143" t="str">
        <f>SISWA!B47</f>
        <v>1718250040346</v>
      </c>
      <c r="D46" s="144" t="str">
        <f>SISWA!E47</f>
        <v>WAFDAN</v>
      </c>
      <c r="E46" s="159">
        <v>92.5</v>
      </c>
      <c r="F46" s="160">
        <v>92.5</v>
      </c>
      <c r="G46" s="160"/>
      <c r="H46" s="160"/>
      <c r="I46" s="160">
        <v>92.5</v>
      </c>
      <c r="J46" s="159">
        <v>92.5</v>
      </c>
      <c r="K46" s="159"/>
      <c r="L46" s="159"/>
      <c r="M46" s="159"/>
      <c r="N46" s="159"/>
      <c r="O46" s="159"/>
      <c r="P46" s="159"/>
      <c r="Q46" s="159"/>
      <c r="R46" s="160"/>
      <c r="S46" s="160"/>
      <c r="T46" s="159"/>
      <c r="U46" s="354">
        <f t="shared" si="4"/>
        <v>93</v>
      </c>
      <c r="V46" s="355" t="str">
        <f>IF(U46&gt;KKM!$G$10,"A",IF(U46&gt;KKM!$H$10,"B",IF(U46&gt;=KKM!$I$10,"C","D")))</f>
        <v>A</v>
      </c>
      <c r="W46" s="356">
        <f t="shared" si="0"/>
        <v>92.5</v>
      </c>
      <c r="X46" s="361" t="str">
        <f>IF(W46&gt;KKM!$G$10," sangat baik ",IF(W46&gt;KKM!$H$10," baik ",IF(W46&gt;=KKM!$I$10," cukup baik "," perlu bimbingan ")))</f>
        <v xml:space="preserve"> sangat baik </v>
      </c>
      <c r="Y46" s="357">
        <f t="shared" si="1"/>
        <v>92.5</v>
      </c>
      <c r="Z46" s="361" t="str">
        <f>IF(Y46&gt;KKM!$G$10," sangat baik ",IF(Y46&gt;KKM!$H$10," baik ",IF(Y46&gt;=KKM!$I$10," cukup baik "," perlu bimbingan ")))</f>
        <v xml:space="preserve"> sangat baik </v>
      </c>
      <c r="AA46" s="353" t="str">
        <f t="shared" si="5"/>
        <v>WAFDAN sangat baik  dalam memahami gambar cerita</v>
      </c>
      <c r="AB46" s="256"/>
      <c r="AC46" s="257" t="str">
        <f t="shared" si="2"/>
        <v xml:space="preserve"> sangat baik  dalam memahami gambar cerita</v>
      </c>
      <c r="AD46" s="257" t="str">
        <f t="shared" si="3"/>
        <v xml:space="preserve"> sangat baik  dalam memahami gambar cerita</v>
      </c>
      <c r="AE46" s="257" t="str">
        <f t="shared" si="6"/>
        <v xml:space="preserve"> sangat baik  dalam memahami gambar cerita, dan  sangat baik  dalam memahami gambar cerita</v>
      </c>
      <c r="AF46" s="257" t="str">
        <f t="shared" si="7"/>
        <v xml:space="preserve"> sangat baik  dalam memahami gambar cerita</v>
      </c>
      <c r="AG46" s="258" t="str">
        <f t="shared" si="8"/>
        <v xml:space="preserve"> sangat baik  dalam memahami gambar cerita</v>
      </c>
      <c r="AH46" s="252" t="str">
        <f t="shared" si="9"/>
        <v>WAFDAN sangat baik  dalam memahami gambar cerita</v>
      </c>
      <c r="AI46" s="153"/>
      <c r="AR46" s="469">
        <f t="shared" si="10"/>
        <v>93</v>
      </c>
    </row>
    <row r="47" spans="2:44" ht="63.75" customHeight="1">
      <c r="B47" s="142">
        <v>43</v>
      </c>
      <c r="C47" s="143" t="str">
        <f>SISWA!B48</f>
        <v>1718250040347</v>
      </c>
      <c r="D47" s="144" t="str">
        <f>SISWA!E48</f>
        <v>ZEVA</v>
      </c>
      <c r="E47" s="159">
        <v>92.5</v>
      </c>
      <c r="F47" s="160">
        <v>92.5</v>
      </c>
      <c r="G47" s="160"/>
      <c r="H47" s="160"/>
      <c r="I47" s="160">
        <v>92.5</v>
      </c>
      <c r="J47" s="159">
        <v>92.5</v>
      </c>
      <c r="K47" s="159"/>
      <c r="L47" s="159"/>
      <c r="M47" s="159"/>
      <c r="N47" s="159"/>
      <c r="O47" s="159"/>
      <c r="P47" s="159"/>
      <c r="Q47" s="159"/>
      <c r="R47" s="160"/>
      <c r="S47" s="160"/>
      <c r="T47" s="159"/>
      <c r="U47" s="354">
        <f t="shared" si="4"/>
        <v>93</v>
      </c>
      <c r="V47" s="355" t="str">
        <f>IF(U47&gt;KKM!$G$10,"A",IF(U47&gt;KKM!$H$10,"B",IF(U47&gt;=KKM!$I$10,"C","D")))</f>
        <v>A</v>
      </c>
      <c r="W47" s="356">
        <f t="shared" si="0"/>
        <v>92.5</v>
      </c>
      <c r="X47" s="361" t="str">
        <f>IF(W47&gt;KKM!$G$10," sangat baik ",IF(W47&gt;KKM!$H$10," baik ",IF(W47&gt;=KKM!$I$10," cukup baik "," perlu bimbingan ")))</f>
        <v xml:space="preserve"> sangat baik </v>
      </c>
      <c r="Y47" s="357">
        <f t="shared" si="1"/>
        <v>92.5</v>
      </c>
      <c r="Z47" s="361" t="str">
        <f>IF(Y47&gt;KKM!$G$10," sangat baik ",IF(Y47&gt;KKM!$H$10," baik ",IF(Y47&gt;=KKM!$I$10," cukup baik "," perlu bimbingan ")))</f>
        <v xml:space="preserve"> sangat baik </v>
      </c>
      <c r="AA47" s="353" t="str">
        <f t="shared" si="5"/>
        <v>ZEVA sangat baik  dalam memahami gambar cerita</v>
      </c>
      <c r="AB47" s="256"/>
      <c r="AC47" s="257" t="str">
        <f t="shared" si="2"/>
        <v xml:space="preserve"> sangat baik  dalam memahami gambar cerita</v>
      </c>
      <c r="AD47" s="257" t="str">
        <f t="shared" si="3"/>
        <v xml:space="preserve"> sangat baik  dalam memahami gambar cerita</v>
      </c>
      <c r="AE47" s="257" t="str">
        <f t="shared" si="6"/>
        <v xml:space="preserve"> sangat baik  dalam memahami gambar cerita, dan  sangat baik  dalam memahami gambar cerita</v>
      </c>
      <c r="AF47" s="257" t="str">
        <f t="shared" si="7"/>
        <v xml:space="preserve"> sangat baik  dalam memahami gambar cerita</v>
      </c>
      <c r="AG47" s="258" t="str">
        <f t="shared" si="8"/>
        <v xml:space="preserve"> sangat baik  dalam memahami gambar cerita</v>
      </c>
      <c r="AH47" s="252" t="str">
        <f t="shared" si="9"/>
        <v>ZEVA sangat baik  dalam memahami gambar cerita</v>
      </c>
      <c r="AI47" s="153"/>
      <c r="AR47" s="469">
        <f t="shared" si="10"/>
        <v>93</v>
      </c>
    </row>
    <row r="48" spans="2:44" ht="63.75" customHeight="1">
      <c r="B48" s="142">
        <v>44</v>
      </c>
      <c r="C48" s="143">
        <f>SISWA!B49</f>
        <v>0</v>
      </c>
      <c r="D48" s="144">
        <f>SISWA!E49</f>
        <v>0</v>
      </c>
      <c r="E48" s="159"/>
      <c r="F48" s="160"/>
      <c r="G48" s="160"/>
      <c r="H48" s="160"/>
      <c r="I48" s="160"/>
      <c r="J48" s="159"/>
      <c r="K48" s="159"/>
      <c r="L48" s="159"/>
      <c r="M48" s="159"/>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53"/>
      <c r="AR48" s="469" t="str">
        <f t="shared" si="10"/>
        <v/>
      </c>
    </row>
    <row r="49" spans="2:44" ht="63.75" customHeight="1">
      <c r="B49" s="142">
        <v>45</v>
      </c>
      <c r="C49" s="143">
        <f>SISWA!B50</f>
        <v>0</v>
      </c>
      <c r="D49" s="144">
        <f>SISWA!E50</f>
        <v>0</v>
      </c>
      <c r="E49" s="159"/>
      <c r="F49" s="160"/>
      <c r="G49" s="160"/>
      <c r="H49" s="160"/>
      <c r="I49" s="160"/>
      <c r="J49" s="159"/>
      <c r="K49" s="159"/>
      <c r="L49" s="159"/>
      <c r="M49" s="159"/>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53"/>
      <c r="AR49" s="469" t="str">
        <f t="shared" si="10"/>
        <v/>
      </c>
    </row>
    <row r="50" spans="2:44" ht="63.75" customHeight="1">
      <c r="B50" s="142">
        <v>46</v>
      </c>
      <c r="C50" s="143">
        <f>SISWA!B51</f>
        <v>0</v>
      </c>
      <c r="D50" s="144">
        <f>SISWA!E51</f>
        <v>0</v>
      </c>
      <c r="E50" s="159"/>
      <c r="F50" s="160"/>
      <c r="G50" s="160"/>
      <c r="H50" s="160"/>
      <c r="I50" s="160"/>
      <c r="J50" s="159"/>
      <c r="K50" s="159"/>
      <c r="L50" s="159"/>
      <c r="M50" s="159"/>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53"/>
      <c r="AR50" s="469" t="str">
        <f t="shared" si="10"/>
        <v/>
      </c>
    </row>
    <row r="51" spans="2:44" ht="63.75" customHeight="1">
      <c r="B51" s="142">
        <v>47</v>
      </c>
      <c r="C51" s="143">
        <f>SISWA!B52</f>
        <v>0</v>
      </c>
      <c r="D51" s="144">
        <f>SISWA!E52</f>
        <v>0</v>
      </c>
      <c r="E51" s="159"/>
      <c r="F51" s="160"/>
      <c r="G51" s="160"/>
      <c r="H51" s="160"/>
      <c r="I51" s="160"/>
      <c r="J51" s="159"/>
      <c r="K51" s="159"/>
      <c r="L51" s="159"/>
      <c r="M51" s="159"/>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53"/>
      <c r="AR51" s="469" t="str">
        <f t="shared" si="10"/>
        <v/>
      </c>
    </row>
    <row r="52" spans="2:44" ht="63.75" customHeight="1">
      <c r="B52" s="142">
        <v>48</v>
      </c>
      <c r="C52" s="143">
        <f>SISWA!B53</f>
        <v>0</v>
      </c>
      <c r="D52" s="144">
        <f>SISWA!E53</f>
        <v>0</v>
      </c>
      <c r="E52" s="159"/>
      <c r="F52" s="160"/>
      <c r="G52" s="160"/>
      <c r="H52" s="160"/>
      <c r="I52" s="160"/>
      <c r="J52" s="159"/>
      <c r="K52" s="159"/>
      <c r="L52" s="159"/>
      <c r="M52" s="159"/>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53"/>
      <c r="AR52" s="469" t="str">
        <f t="shared" si="10"/>
        <v/>
      </c>
    </row>
    <row r="53" spans="2:44" ht="63.75" customHeight="1">
      <c r="B53" s="142">
        <v>49</v>
      </c>
      <c r="C53" s="143">
        <f>SISWA!B54</f>
        <v>0</v>
      </c>
      <c r="D53" s="144">
        <f>SISWA!E54</f>
        <v>0</v>
      </c>
      <c r="E53" s="159"/>
      <c r="F53" s="160"/>
      <c r="G53" s="160"/>
      <c r="H53" s="160"/>
      <c r="I53" s="160"/>
      <c r="J53" s="159"/>
      <c r="K53" s="159"/>
      <c r="L53" s="159"/>
      <c r="M53" s="159"/>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53"/>
      <c r="AR53" s="469" t="str">
        <f t="shared" si="10"/>
        <v/>
      </c>
    </row>
    <row r="54" spans="2:44" ht="63.75" customHeight="1">
      <c r="B54" s="142">
        <v>50</v>
      </c>
      <c r="C54" s="143">
        <f>SISWA!B55</f>
        <v>0</v>
      </c>
      <c r="D54" s="144">
        <f>SISWA!E55</f>
        <v>0</v>
      </c>
      <c r="E54" s="159"/>
      <c r="F54" s="160"/>
      <c r="G54" s="160"/>
      <c r="H54" s="160"/>
      <c r="I54" s="160"/>
      <c r="J54" s="159"/>
      <c r="K54" s="159"/>
      <c r="L54" s="159"/>
      <c r="M54" s="159"/>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53"/>
      <c r="AR54" s="469" t="str">
        <f t="shared" si="10"/>
        <v/>
      </c>
    </row>
    <row r="55" spans="2:44" ht="15.75">
      <c r="B55" s="154"/>
      <c r="C55" s="154"/>
      <c r="D55" s="154"/>
      <c r="E55" s="145"/>
      <c r="F55" s="146"/>
      <c r="G55" s="146"/>
      <c r="H55" s="146"/>
      <c r="I55" s="146"/>
      <c r="J55" s="145"/>
      <c r="K55" s="145"/>
      <c r="L55" s="145"/>
      <c r="M55" s="145"/>
      <c r="N55" s="145"/>
      <c r="O55" s="145"/>
      <c r="P55" s="145"/>
      <c r="Q55" s="145"/>
      <c r="R55" s="146"/>
      <c r="S55" s="146"/>
      <c r="T55" s="145"/>
      <c r="U55" s="147"/>
      <c r="V55" s="148"/>
      <c r="W55" s="149"/>
      <c r="X55" s="149"/>
      <c r="Y55" s="149"/>
      <c r="Z55" s="149"/>
      <c r="AA55" s="150"/>
      <c r="AB55" s="151"/>
      <c r="AC55" s="152"/>
      <c r="AD55" s="155"/>
      <c r="AE55" s="155"/>
      <c r="AF55" s="155"/>
      <c r="AG55" s="155"/>
      <c r="AH55" s="155"/>
      <c r="AI55" s="153"/>
    </row>
  </sheetData>
  <sheetProtection password="C70C" sheet="1" objects="1" scenarios="1"/>
  <mergeCells count="11">
    <mergeCell ref="AA2:AA4"/>
    <mergeCell ref="W3:X3"/>
    <mergeCell ref="Y3:Z3"/>
    <mergeCell ref="B1:Z1"/>
    <mergeCell ref="B2:B4"/>
    <mergeCell ref="C2:C4"/>
    <mergeCell ref="D2:D4"/>
    <mergeCell ref="E2:T2"/>
    <mergeCell ref="U2:U4"/>
    <mergeCell ref="V2:V4"/>
    <mergeCell ref="W2:Z2"/>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CO55"/>
  <sheetViews>
    <sheetView zoomScale="85" zoomScaleNormal="85"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507" customWidth="1"/>
    <col min="2" max="2" width="4.42578125" style="137" customWidth="1"/>
    <col min="3" max="3" width="6.42578125" style="137" customWidth="1"/>
    <col min="4" max="4" width="28.7109375" style="137" customWidth="1"/>
    <col min="5" max="13" width="6.7109375" style="137" customWidth="1"/>
    <col min="14" max="19" width="6.7109375" style="137" hidden="1" customWidth="1"/>
    <col min="20" max="20" width="6.7109375" style="137" customWidth="1"/>
    <col min="21" max="22" width="4.7109375" style="137" customWidth="1"/>
    <col min="23" max="23" width="5.140625" style="137" customWidth="1"/>
    <col min="24" max="24" width="10.5703125" style="137" customWidth="1"/>
    <col min="25" max="25" width="5.140625" style="137" customWidth="1"/>
    <col min="26" max="26" width="11.42578125" style="137" customWidth="1"/>
    <col min="27" max="27" width="84.42578125" style="137" customWidth="1"/>
    <col min="28" max="28" width="29.85546875" style="137" customWidth="1"/>
    <col min="29" max="34" width="10.7109375" style="137" hidden="1" customWidth="1"/>
    <col min="35" max="41" width="9.140625" style="137" hidden="1" customWidth="1"/>
    <col min="42" max="43" width="9.140625" style="137" customWidth="1"/>
    <col min="44" max="45" width="9.140625" style="137" hidden="1" customWidth="1"/>
    <col min="46" max="47" width="9.140625" style="137" customWidth="1"/>
    <col min="48" max="55" width="5" style="137" hidden="1" customWidth="1"/>
    <col min="56" max="57" width="0" style="137" hidden="1" customWidth="1"/>
    <col min="58" max="71" width="10.7109375" style="137" hidden="1" customWidth="1"/>
    <col min="72" max="93" width="0" style="137" hidden="1" customWidth="1"/>
    <col min="94" max="16384" width="9.140625" style="137" hidden="1"/>
  </cols>
  <sheetData>
    <row r="1" spans="1:45" s="510" customFormat="1" ht="45.75" customHeight="1">
      <c r="B1" s="685" t="s">
        <v>130</v>
      </c>
      <c r="C1" s="685"/>
      <c r="D1" s="685"/>
      <c r="E1" s="685"/>
      <c r="F1" s="685"/>
      <c r="G1" s="685"/>
      <c r="H1" s="685"/>
      <c r="I1" s="685"/>
      <c r="J1" s="685"/>
      <c r="K1" s="685"/>
      <c r="L1" s="685"/>
      <c r="M1" s="685"/>
      <c r="N1" s="685"/>
      <c r="O1" s="685"/>
      <c r="P1" s="685"/>
      <c r="Q1" s="685"/>
      <c r="R1" s="685"/>
      <c r="S1" s="685"/>
      <c r="T1" s="685"/>
      <c r="U1" s="685"/>
      <c r="V1" s="685"/>
      <c r="W1" s="685"/>
      <c r="X1" s="685"/>
      <c r="Y1" s="685"/>
      <c r="Z1" s="685"/>
    </row>
    <row r="2" spans="1:45"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S2" s="502">
        <f>DEPAN!$E$23</f>
        <v>43</v>
      </c>
    </row>
    <row r="3" spans="1:45" ht="94.5" customHeight="1">
      <c r="B3" s="716"/>
      <c r="C3" s="717"/>
      <c r="D3" s="718"/>
      <c r="E3" s="408" t="str">
        <f>'KI-KD'!$C103</f>
        <v xml:space="preserve">memahami kombinasi pola gerak dominan (bertumpu, bergantung, keseimbangan, berpindah/lokomotor, tolakan, putaran, ayunan, melayang, dan mendarat) untuk membentuk keterampilan dasar senam menggunakan alat
</v>
      </c>
      <c r="F3" s="408" t="str">
        <f>'KI-KD'!$C104</f>
        <v>memahami penggunaan kombinasi gerak dasar langkah dan ayunan lengan mengikuti irama (ketukan) tanpa/dengan musik dalam aktivitas gerak berirama</v>
      </c>
      <c r="G3" s="408" t="str">
        <f>'KI-KD'!$C105</f>
        <v>memahami salah satu gaya renang dengan koordinasi yang baik pada jarak tertentu</v>
      </c>
      <c r="H3" s="408" t="str">
        <f>'KI-KD'!$C106</f>
        <v>mempraktikkan salah satu gaya renang dengan koordinasi yang baik pada jarak tertentu</v>
      </c>
      <c r="I3" s="408" t="str">
        <f>'KI-KD'!$C107</f>
        <v xml:space="preserve">memahami bahaya merokok, minuman keras, dan narkotika, zat-zat aditif (NAPZA) dan obat berbahaya lainnya terhadap kesehatan tubuh
</v>
      </c>
      <c r="J3" s="408" t="e">
        <f>'KI-KD'!#REF!</f>
        <v>#REF!</v>
      </c>
      <c r="K3" s="408">
        <f>'KI-KD'!$C109</f>
        <v>0</v>
      </c>
      <c r="L3" s="408">
        <f>'KI-KD'!$C108</f>
        <v>0</v>
      </c>
      <c r="M3" s="408">
        <f>'KI-KD'!$C111</f>
        <v>0</v>
      </c>
      <c r="N3" s="408">
        <f>'KI-KD'!$C111</f>
        <v>0</v>
      </c>
      <c r="O3" s="408">
        <f>'KI-KD'!$C111</f>
        <v>0</v>
      </c>
      <c r="P3" s="408">
        <f>'KI-KD'!$C111</f>
        <v>0</v>
      </c>
      <c r="Q3" s="408">
        <f>'KI-KD'!$C111</f>
        <v>0</v>
      </c>
      <c r="R3" s="408">
        <f>'KI-KD'!$C111</f>
        <v>0</v>
      </c>
      <c r="S3" s="408">
        <f>'KI-KD'!$C111</f>
        <v>0</v>
      </c>
      <c r="T3" s="408">
        <f>'KI-KD'!$C112</f>
        <v>0</v>
      </c>
      <c r="U3" s="720"/>
      <c r="V3" s="721"/>
      <c r="W3" s="712" t="s">
        <v>267</v>
      </c>
      <c r="X3" s="713"/>
      <c r="Y3" s="714" t="s">
        <v>268</v>
      </c>
      <c r="Z3" s="715"/>
      <c r="AA3" s="679"/>
      <c r="AB3" s="2"/>
      <c r="AC3" s="2"/>
      <c r="AD3" s="2"/>
      <c r="AE3" s="2"/>
      <c r="AF3" s="2"/>
      <c r="AG3" s="2"/>
      <c r="AH3" s="253"/>
      <c r="AS3" s="469">
        <f>AS4-AS5</f>
        <v>43</v>
      </c>
    </row>
    <row r="4" spans="1:45" s="141" customFormat="1" ht="25.5" customHeight="1">
      <c r="A4" s="509"/>
      <c r="B4" s="716"/>
      <c r="C4" s="717"/>
      <c r="D4" s="718"/>
      <c r="E4" s="140" t="str">
        <f>'KI-KD'!$B103</f>
        <v>3.6</v>
      </c>
      <c r="F4" s="140" t="str">
        <f>'KI-KD'!$B104</f>
        <v>3.7</v>
      </c>
      <c r="G4" s="140" t="str">
        <f>'KI-KD'!$B105</f>
        <v>3.8</v>
      </c>
      <c r="H4" s="140" t="str">
        <f>'KI-KD'!$B106</f>
        <v>3.9</v>
      </c>
      <c r="I4" s="140" t="str">
        <f>'KI-KD'!$B107</f>
        <v>3.10</v>
      </c>
      <c r="J4" s="140" t="e">
        <f>'KI-KD'!#REF!</f>
        <v>#REF!</v>
      </c>
      <c r="K4" s="140">
        <f>'KI-KD'!$B109</f>
        <v>0</v>
      </c>
      <c r="L4" s="140">
        <f>'KI-KD'!$B108</f>
        <v>0</v>
      </c>
      <c r="M4" s="140">
        <f>'KI-KD'!$B111</f>
        <v>0</v>
      </c>
      <c r="N4" s="140">
        <f>'KI-KD'!$B111</f>
        <v>0</v>
      </c>
      <c r="O4" s="140">
        <f>'KI-KD'!$B111</f>
        <v>0</v>
      </c>
      <c r="P4" s="140">
        <f>'KI-KD'!$B111</f>
        <v>0</v>
      </c>
      <c r="Q4" s="140">
        <f>'KI-KD'!$B111</f>
        <v>0</v>
      </c>
      <c r="R4" s="140">
        <f>'KI-KD'!$B111</f>
        <v>0</v>
      </c>
      <c r="S4" s="140">
        <f>'KI-KD'!$B111</f>
        <v>0</v>
      </c>
      <c r="T4" s="140">
        <f>'KI-KD'!$B112</f>
        <v>0</v>
      </c>
      <c r="U4" s="720"/>
      <c r="V4" s="721"/>
      <c r="W4" s="248" t="s">
        <v>269</v>
      </c>
      <c r="X4" s="249" t="s">
        <v>3</v>
      </c>
      <c r="Y4" s="250" t="s">
        <v>269</v>
      </c>
      <c r="Z4" s="251" t="s">
        <v>3</v>
      </c>
      <c r="AA4" s="680"/>
      <c r="AB4" s="2"/>
      <c r="AC4" s="254" t="s">
        <v>270</v>
      </c>
      <c r="AD4" s="254" t="s">
        <v>271</v>
      </c>
      <c r="AE4" s="254" t="s">
        <v>272</v>
      </c>
      <c r="AF4" s="254" t="s">
        <v>273</v>
      </c>
      <c r="AG4" s="255" t="s">
        <v>266</v>
      </c>
      <c r="AH4" s="252"/>
      <c r="AS4" s="141">
        <v>50</v>
      </c>
    </row>
    <row r="5" spans="1:45" ht="63" customHeight="1">
      <c r="B5" s="142">
        <v>1</v>
      </c>
      <c r="C5" s="143" t="str">
        <f>SISWA!B6</f>
        <v>1718250040305</v>
      </c>
      <c r="D5" s="144" t="str">
        <f>SISWA!E6</f>
        <v>YAHYA</v>
      </c>
      <c r="E5" s="159">
        <v>89.285714285714292</v>
      </c>
      <c r="F5" s="159">
        <v>89.285714285714292</v>
      </c>
      <c r="G5" s="160">
        <v>89.285714285714292</v>
      </c>
      <c r="H5" s="159">
        <v>89.285714285714292</v>
      </c>
      <c r="I5" s="160">
        <v>89.285714285714292</v>
      </c>
      <c r="J5" s="573"/>
      <c r="K5" s="573"/>
      <c r="L5" s="160"/>
      <c r="M5" s="573"/>
      <c r="N5" s="574"/>
      <c r="O5" s="574"/>
      <c r="P5" s="574"/>
      <c r="Q5" s="574"/>
      <c r="R5" s="573"/>
      <c r="S5" s="573"/>
      <c r="T5" s="574"/>
      <c r="U5" s="354">
        <f>ROUND((AVERAGE(E5:T5)),0)</f>
        <v>89</v>
      </c>
      <c r="V5" s="355" t="str">
        <f>IF(U5&gt;KKM!$G$10,"A",IF(U5&gt;KKM!$H$10,"B",IF(U5&gt;=KKM!$I$10,"C","D")))</f>
        <v>A</v>
      </c>
      <c r="W5" s="356">
        <f t="shared" ref="W5:W54" si="0">MAX(E5:T5)</f>
        <v>89.285714285714292</v>
      </c>
      <c r="X5" s="361" t="str">
        <f>IF(W5&gt;KKM!$G$10," sangat baik ",IF(W5&gt;KKM!$H$10," baik ",IF(W5&gt;=KKM!$I$10," cukup baik "," perlu bimbingan ")))</f>
        <v xml:space="preserve"> sangat baik </v>
      </c>
      <c r="Y5" s="357">
        <f t="shared" ref="Y5:Y54" si="1">MIN(E5:T5)</f>
        <v>89.285714285714292</v>
      </c>
      <c r="Z5" s="361" t="str">
        <f>IF(Y5&gt;KKM!$G$10," sangat baik ",IF(Y5&gt;KKM!$H$10," baik ",IF(Y5&gt;=KKM!$I$10," cukup baik "," perlu bimbingan ")))</f>
        <v xml:space="preserve"> sangat baik </v>
      </c>
      <c r="AA5" s="353" t="str">
        <f>IFERROR(AH5," ")</f>
        <v xml:space="preserve">YAHYA sangat baik  dalam memahami kombinasi pola gerak dominan (bertumpu, bergantung, keseimbangan, berpindah/lokomotor, tolakan, putaran, ayunan, melayang, dan mendarat) untuk membentuk keterampilan dasar senam menggunakan alat
</v>
      </c>
      <c r="AB5" s="256"/>
      <c r="AC5" s="257" t="str">
        <f t="shared" ref="AC5:AC54" si="2">X5&amp;" dalam "&amp;INDEX($E$3:$T$3,MATCH(W5,$E5:$T5,0))</f>
        <v xml:space="preserve"> sangat baik  dalam memahami kombinasi pola gerak dominan (bertumpu, bergantung, keseimbangan, berpindah/lokomotor, tolakan, putaran, ayunan, melayang, dan mendarat) untuk membentuk keterampilan dasar senam menggunakan alat
</v>
      </c>
      <c r="AD5" s="257" t="str">
        <f t="shared" ref="AD5:AD54" si="3">Z5&amp;" dalam "&amp;INDEX($E$3:$T$3,MATCH(Y5,$E5:$T5,0))</f>
        <v xml:space="preserve"> sangat baik  dalam memahami kombinasi pola gerak dominan (bertumpu, bergantung, keseimbangan, berpindah/lokomotor, tolakan, putaran, ayunan, melayang, dan mendarat) untuk membentuk keterampilan dasar senam menggunakan alat
</v>
      </c>
      <c r="AE5" s="257" t="str">
        <f>AC5&amp;", dan "&amp;AD5</f>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5" s="257" t="str">
        <f>IF(AC5=AD5,AC5," ")</f>
        <v xml:space="preserve"> sangat baik  dalam memahami kombinasi pola gerak dominan (bertumpu, bergantung, keseimbangan, berpindah/lokomotor, tolakan, putaran, ayunan, melayang, dan mendarat) untuk membentuk keterampilan dasar senam menggunakan alat
</v>
      </c>
      <c r="AG5" s="258" t="str">
        <f>IF(AF5=" ",AE5,AF5)</f>
        <v xml:space="preserve"> sangat baik  dalam memahami kombinasi pola gerak dominan (bertumpu, bergantung, keseimbangan, berpindah/lokomotor, tolakan, putaran, ayunan, melayang, dan mendarat) untuk membentuk keterampilan dasar senam menggunakan alat
</v>
      </c>
      <c r="AH5" s="252" t="str">
        <f>CONCATENATE(D5,AG5)</f>
        <v xml:space="preserve">YAHYA sangat baik  dalam memahami kombinasi pola gerak dominan (bertumpu, bergantung, keseimbangan, berpindah/lokomotor, tolakan, putaran, ayunan, melayang, dan mendarat) untuk membentuk keterampilan dasar senam menggunakan alat
</v>
      </c>
      <c r="AI5" s="153"/>
      <c r="AR5" s="469">
        <f>IFERROR(U5,"")</f>
        <v>89</v>
      </c>
      <c r="AS5" s="469">
        <f>COUNTBLANK(AR5:AR54)</f>
        <v>7</v>
      </c>
    </row>
    <row r="6" spans="1:45" ht="63" customHeight="1">
      <c r="B6" s="142">
        <v>2</v>
      </c>
      <c r="C6" s="143" t="str">
        <f>SISWA!B7</f>
        <v>1718250040306</v>
      </c>
      <c r="D6" s="144" t="str">
        <f>SISWA!E7</f>
        <v>ADHWA</v>
      </c>
      <c r="E6" s="159">
        <v>89.142857142857139</v>
      </c>
      <c r="F6" s="159">
        <v>89.142857142857139</v>
      </c>
      <c r="G6" s="160">
        <v>89.142857142857139</v>
      </c>
      <c r="H6" s="159">
        <v>89.142857142857139</v>
      </c>
      <c r="I6" s="160">
        <v>89.142857142857139</v>
      </c>
      <c r="J6" s="160"/>
      <c r="K6" s="160"/>
      <c r="L6" s="160"/>
      <c r="M6" s="160"/>
      <c r="N6" s="159"/>
      <c r="O6" s="159"/>
      <c r="P6" s="159"/>
      <c r="Q6" s="159"/>
      <c r="R6" s="160"/>
      <c r="S6" s="160"/>
      <c r="T6" s="159"/>
      <c r="U6" s="354">
        <f t="shared" ref="U6:U54" si="4">ROUND((AVERAGE(E6:T6)),0)</f>
        <v>89</v>
      </c>
      <c r="V6" s="355" t="str">
        <f>IF(U6&gt;KKM!$G$10,"A",IF(U6&gt;KKM!$H$10,"B",IF(U6&gt;=KKM!$I$10,"C","D")))</f>
        <v>A</v>
      </c>
      <c r="W6" s="356">
        <f t="shared" si="0"/>
        <v>89.142857142857139</v>
      </c>
      <c r="X6" s="361" t="str">
        <f>IF(W6&gt;KKM!$G$10," sangat baik ",IF(W6&gt;KKM!$H$10," baik ",IF(W6&gt;=KKM!$I$10," cukup baik "," perlu bimbingan ")))</f>
        <v xml:space="preserve"> sangat baik </v>
      </c>
      <c r="Y6" s="357">
        <f t="shared" si="1"/>
        <v>89.142857142857139</v>
      </c>
      <c r="Z6" s="361" t="str">
        <f>IF(Y6&gt;KKM!$G$10," sangat baik ",IF(Y6&gt;KKM!$H$10," baik ",IF(Y6&gt;=KKM!$I$10," cukup baik "," perlu bimbingan ")))</f>
        <v xml:space="preserve"> sangat baik </v>
      </c>
      <c r="AA6" s="353" t="str">
        <f t="shared" ref="AA6:AA54" si="5">IFERROR(AH6," ")</f>
        <v xml:space="preserve">ADHWA sangat baik  dalam memahami kombinasi pola gerak dominan (bertumpu, bergantung, keseimbangan, berpindah/lokomotor, tolakan, putaran, ayunan, melayang, dan mendarat) untuk membentuk keterampilan dasar senam menggunakan alat
</v>
      </c>
      <c r="AB6" s="256"/>
      <c r="AC6" s="257" t="str">
        <f t="shared" si="2"/>
        <v xml:space="preserve"> sangat baik  dalam memahami kombinasi pola gerak dominan (bertumpu, bergantung, keseimbangan, berpindah/lokomotor, tolakan, putaran, ayunan, melayang, dan mendarat) untuk membentuk keterampilan dasar senam menggunakan alat
</v>
      </c>
      <c r="AD6" s="257" t="str">
        <f t="shared" si="3"/>
        <v xml:space="preserve"> sangat baik  dalam memahami kombinasi pola gerak dominan (bertumpu, bergantung, keseimbangan, berpindah/lokomotor, tolakan, putaran, ayunan, melayang, dan mendarat) untuk membentuk keterampilan dasar senam menggunakan alat
</v>
      </c>
      <c r="AE6" s="257" t="str">
        <f t="shared" ref="AE6:AE54" si="6">AC6&amp;", dan "&amp;AD6</f>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6" s="257" t="str">
        <f t="shared" ref="AF6:AF54" si="7">IF(AC6=AD6,AC6," ")</f>
        <v xml:space="preserve"> sangat baik  dalam memahami kombinasi pola gerak dominan (bertumpu, bergantung, keseimbangan, berpindah/lokomotor, tolakan, putaran, ayunan, melayang, dan mendarat) untuk membentuk keterampilan dasar senam menggunakan alat
</v>
      </c>
      <c r="AG6" s="258" t="str">
        <f t="shared" ref="AG6:AG54" si="8">IF(AF6=" ",AE6,AF6)</f>
        <v xml:space="preserve"> sangat baik  dalam memahami kombinasi pola gerak dominan (bertumpu, bergantung, keseimbangan, berpindah/lokomotor, tolakan, putaran, ayunan, melayang, dan mendarat) untuk membentuk keterampilan dasar senam menggunakan alat
</v>
      </c>
      <c r="AH6" s="252" t="str">
        <f t="shared" ref="AH6:AH54" si="9">CONCATENATE(D6,AG6)</f>
        <v xml:space="preserve">ADHWA sangat baik  dalam memahami kombinasi pola gerak dominan (bertumpu, bergantung, keseimbangan, berpindah/lokomotor, tolakan, putaran, ayunan, melayang, dan mendarat) untuk membentuk keterampilan dasar senam menggunakan alat
</v>
      </c>
      <c r="AI6" s="153"/>
      <c r="AR6" s="469">
        <f t="shared" ref="AR6:AR54" si="10">IFERROR(U6,"")</f>
        <v>89</v>
      </c>
      <c r="AS6" s="503">
        <f>IFERROR(AS3/AS2,"0%")</f>
        <v>1</v>
      </c>
    </row>
    <row r="7" spans="1:45" ht="63" customHeight="1">
      <c r="B7" s="142">
        <v>3</v>
      </c>
      <c r="C7" s="143" t="str">
        <f>SISWA!B8</f>
        <v xml:space="preserve"> 1718250040307</v>
      </c>
      <c r="D7" s="144" t="str">
        <f>SISWA!E8</f>
        <v>ANDHIKA</v>
      </c>
      <c r="E7" s="159">
        <v>85.142857142857139</v>
      </c>
      <c r="F7" s="159">
        <v>85.142857142857139</v>
      </c>
      <c r="G7" s="160">
        <v>85.142857142857139</v>
      </c>
      <c r="H7" s="160">
        <v>85.142857142857139</v>
      </c>
      <c r="I7" s="160">
        <v>85.142857142857139</v>
      </c>
      <c r="J7" s="160"/>
      <c r="K7" s="160"/>
      <c r="L7" s="160"/>
      <c r="M7" s="160"/>
      <c r="N7" s="159"/>
      <c r="O7" s="159"/>
      <c r="P7" s="159"/>
      <c r="Q7" s="159"/>
      <c r="R7" s="160"/>
      <c r="S7" s="160"/>
      <c r="T7" s="159"/>
      <c r="U7" s="354">
        <f t="shared" si="4"/>
        <v>85</v>
      </c>
      <c r="V7" s="355" t="str">
        <f>IF(U7&gt;KKM!$G$10,"A",IF(U7&gt;KKM!$H$10,"B",IF(U7&gt;=KKM!$I$10,"C","D")))</f>
        <v>B</v>
      </c>
      <c r="W7" s="356">
        <f t="shared" si="0"/>
        <v>85.142857142857139</v>
      </c>
      <c r="X7" s="361" t="str">
        <f>IF(W7&gt;KKM!$G$10," sangat baik ",IF(W7&gt;KKM!$H$10," baik ",IF(W7&gt;=KKM!$I$10," cukup baik "," perlu bimbingan ")))</f>
        <v xml:space="preserve"> baik </v>
      </c>
      <c r="Y7" s="357">
        <f t="shared" si="1"/>
        <v>85.142857142857139</v>
      </c>
      <c r="Z7" s="361" t="str">
        <f>IF(Y7&gt;KKM!$G$10," sangat baik ",IF(Y7&gt;KKM!$H$10," baik ",IF(Y7&gt;=KKM!$I$10," cukup baik "," perlu bimbingan ")))</f>
        <v xml:space="preserve"> baik </v>
      </c>
      <c r="AA7" s="353" t="str">
        <f t="shared" si="5"/>
        <v xml:space="preserve">ANDHIKA baik  dalam memahami kombinasi pola gerak dominan (bertumpu, bergantung, keseimbangan, berpindah/lokomotor, tolakan, putaran, ayunan, melayang, dan mendarat) untuk membentuk keterampilan dasar senam menggunakan alat
</v>
      </c>
      <c r="AB7" s="256"/>
      <c r="AC7" s="257" t="str">
        <f t="shared" si="2"/>
        <v xml:space="preserve"> baik  dalam memahami kombinasi pola gerak dominan (bertumpu, bergantung, keseimbangan, berpindah/lokomotor, tolakan, putaran, ayunan, melayang, dan mendarat) untuk membentuk keterampilan dasar senam menggunakan alat
</v>
      </c>
      <c r="AD7" s="257" t="str">
        <f t="shared" si="3"/>
        <v xml:space="preserve"> baik  dalam memahami kombinasi pola gerak dominan (bertumpu, bergantung, keseimbangan, berpindah/lokomotor, tolakan, putaran, ayunan, melayang, dan mendarat) untuk membentuk keterampilan dasar senam menggunakan alat
</v>
      </c>
      <c r="AE7"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7" s="257" t="str">
        <f t="shared" si="7"/>
        <v xml:space="preserve"> baik  dalam memahami kombinasi pola gerak dominan (bertumpu, bergantung, keseimbangan, berpindah/lokomotor, tolakan, putaran, ayunan, melayang, dan mendarat) untuk membentuk keterampilan dasar senam menggunakan alat
</v>
      </c>
      <c r="AG7" s="258" t="str">
        <f t="shared" si="8"/>
        <v xml:space="preserve"> baik  dalam memahami kombinasi pola gerak dominan (bertumpu, bergantung, keseimbangan, berpindah/lokomotor, tolakan, putaran, ayunan, melayang, dan mendarat) untuk membentuk keterampilan dasar senam menggunakan alat
</v>
      </c>
      <c r="AH7" s="252" t="str">
        <f t="shared" si="9"/>
        <v xml:space="preserve">ANDHIKA baik  dalam memahami kombinasi pola gerak dominan (bertumpu, bergantung, keseimbangan, berpindah/lokomotor, tolakan, putaran, ayunan, melayang, dan mendarat) untuk membentuk keterampilan dasar senam menggunakan alat
</v>
      </c>
      <c r="AI7" s="153"/>
      <c r="AR7" s="469">
        <f t="shared" si="10"/>
        <v>85</v>
      </c>
    </row>
    <row r="8" spans="1:45" ht="63" customHeight="1">
      <c r="B8" s="142">
        <v>4</v>
      </c>
      <c r="C8" s="143" t="str">
        <f>SISWA!B9</f>
        <v xml:space="preserve"> 1718250040308</v>
      </c>
      <c r="D8" s="144" t="str">
        <f>SISWA!E9</f>
        <v>ANGGARA</v>
      </c>
      <c r="E8" s="159">
        <v>86.142857142857139</v>
      </c>
      <c r="F8" s="159">
        <v>86.142857142857139</v>
      </c>
      <c r="G8" s="160">
        <v>86.142857142857139</v>
      </c>
      <c r="H8" s="160">
        <v>86.142857142857139</v>
      </c>
      <c r="I8" s="160">
        <v>86.142857142857139</v>
      </c>
      <c r="J8" s="160"/>
      <c r="K8" s="160"/>
      <c r="L8" s="160"/>
      <c r="M8" s="160"/>
      <c r="N8" s="159"/>
      <c r="O8" s="159"/>
      <c r="P8" s="159"/>
      <c r="Q8" s="159"/>
      <c r="R8" s="160"/>
      <c r="S8" s="160"/>
      <c r="T8" s="159"/>
      <c r="U8" s="354">
        <f t="shared" si="4"/>
        <v>86</v>
      </c>
      <c r="V8" s="355" t="str">
        <f>IF(U8&gt;KKM!$G$10,"A",IF(U8&gt;KKM!$H$10,"B",IF(U8&gt;=KKM!$I$10,"C","D")))</f>
        <v>B</v>
      </c>
      <c r="W8" s="356">
        <f t="shared" si="0"/>
        <v>86.142857142857139</v>
      </c>
      <c r="X8" s="361" t="str">
        <f>IF(W8&gt;KKM!$G$10," sangat baik ",IF(W8&gt;KKM!$H$10," baik ",IF(W8&gt;=KKM!$I$10," cukup baik "," perlu bimbingan ")))</f>
        <v xml:space="preserve"> baik </v>
      </c>
      <c r="Y8" s="357">
        <f t="shared" si="1"/>
        <v>86.142857142857139</v>
      </c>
      <c r="Z8" s="361" t="str">
        <f>IF(Y8&gt;KKM!$G$10," sangat baik ",IF(Y8&gt;KKM!$H$10," baik ",IF(Y8&gt;=KKM!$I$10," cukup baik "," perlu bimbingan ")))</f>
        <v xml:space="preserve"> baik </v>
      </c>
      <c r="AA8" s="353" t="str">
        <f t="shared" si="5"/>
        <v xml:space="preserve">ANGGARA baik  dalam memahami kombinasi pola gerak dominan (bertumpu, bergantung, keseimbangan, berpindah/lokomotor, tolakan, putaran, ayunan, melayang, dan mendarat) untuk membentuk keterampilan dasar senam menggunakan alat
</v>
      </c>
      <c r="AB8" s="256"/>
      <c r="AC8" s="257" t="str">
        <f t="shared" si="2"/>
        <v xml:space="preserve"> baik  dalam memahami kombinasi pola gerak dominan (bertumpu, bergantung, keseimbangan, berpindah/lokomotor, tolakan, putaran, ayunan, melayang, dan mendarat) untuk membentuk keterampilan dasar senam menggunakan alat
</v>
      </c>
      <c r="AD8" s="257" t="str">
        <f t="shared" si="3"/>
        <v xml:space="preserve"> baik  dalam memahami kombinasi pola gerak dominan (bertumpu, bergantung, keseimbangan, berpindah/lokomotor, tolakan, putaran, ayunan, melayang, dan mendarat) untuk membentuk keterampilan dasar senam menggunakan alat
</v>
      </c>
      <c r="AE8"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8" s="257" t="str">
        <f t="shared" si="7"/>
        <v xml:space="preserve"> baik  dalam memahami kombinasi pola gerak dominan (bertumpu, bergantung, keseimbangan, berpindah/lokomotor, tolakan, putaran, ayunan, melayang, dan mendarat) untuk membentuk keterampilan dasar senam menggunakan alat
</v>
      </c>
      <c r="AG8" s="258" t="str">
        <f t="shared" si="8"/>
        <v xml:space="preserve"> baik  dalam memahami kombinasi pola gerak dominan (bertumpu, bergantung, keseimbangan, berpindah/lokomotor, tolakan, putaran, ayunan, melayang, dan mendarat) untuk membentuk keterampilan dasar senam menggunakan alat
</v>
      </c>
      <c r="AH8" s="252" t="str">
        <f t="shared" si="9"/>
        <v xml:space="preserve">ANGGARA baik  dalam memahami kombinasi pola gerak dominan (bertumpu, bergantung, keseimbangan, berpindah/lokomotor, tolakan, putaran, ayunan, melayang, dan mendarat) untuk membentuk keterampilan dasar senam menggunakan alat
</v>
      </c>
      <c r="AI8" s="153"/>
      <c r="AR8" s="469">
        <f t="shared" si="10"/>
        <v>86</v>
      </c>
    </row>
    <row r="9" spans="1:45" ht="63" customHeight="1">
      <c r="B9" s="142">
        <v>5</v>
      </c>
      <c r="C9" s="143" t="str">
        <f>SISWA!B10</f>
        <v>1718250040309</v>
      </c>
      <c r="D9" s="144" t="str">
        <f>SISWA!E10</f>
        <v>ARIA</v>
      </c>
      <c r="E9" s="159">
        <v>88.142857142857139</v>
      </c>
      <c r="F9" s="159">
        <v>88.142857142857139</v>
      </c>
      <c r="G9" s="160">
        <v>88.142857142857139</v>
      </c>
      <c r="H9" s="160">
        <v>88.142857142857139</v>
      </c>
      <c r="I9" s="160">
        <v>88.142857142857139</v>
      </c>
      <c r="J9" s="160"/>
      <c r="K9" s="160"/>
      <c r="L9" s="160"/>
      <c r="M9" s="160"/>
      <c r="N9" s="159"/>
      <c r="O9" s="159"/>
      <c r="P9" s="159"/>
      <c r="Q9" s="159"/>
      <c r="R9" s="160"/>
      <c r="S9" s="160"/>
      <c r="T9" s="159"/>
      <c r="U9" s="354">
        <f t="shared" si="4"/>
        <v>88</v>
      </c>
      <c r="V9" s="355" t="str">
        <f>IF(U9&gt;KKM!$G$10,"A",IF(U9&gt;KKM!$H$10,"B",IF(U9&gt;=KKM!$I$10,"C","D")))</f>
        <v>A</v>
      </c>
      <c r="W9" s="356">
        <f t="shared" si="0"/>
        <v>88.142857142857139</v>
      </c>
      <c r="X9" s="361" t="str">
        <f>IF(W9&gt;KKM!$G$10," sangat baik ",IF(W9&gt;KKM!$H$10," baik ",IF(W9&gt;=KKM!$I$10," cukup baik "," perlu bimbingan ")))</f>
        <v xml:space="preserve"> sangat baik </v>
      </c>
      <c r="Y9" s="357">
        <f t="shared" si="1"/>
        <v>88.142857142857139</v>
      </c>
      <c r="Z9" s="361" t="str">
        <f>IF(Y9&gt;KKM!$G$10," sangat baik ",IF(Y9&gt;KKM!$H$10," baik ",IF(Y9&gt;=KKM!$I$10," cukup baik "," perlu bimbingan ")))</f>
        <v xml:space="preserve"> sangat baik </v>
      </c>
      <c r="AA9" s="353" t="str">
        <f t="shared" si="5"/>
        <v xml:space="preserve">ARIA sangat baik  dalam memahami kombinasi pola gerak dominan (bertumpu, bergantung, keseimbangan, berpindah/lokomotor, tolakan, putaran, ayunan, melayang, dan mendarat) untuk membentuk keterampilan dasar senam menggunakan alat
</v>
      </c>
      <c r="AB9" s="256"/>
      <c r="AC9" s="257" t="str">
        <f t="shared" si="2"/>
        <v xml:space="preserve"> sangat baik  dalam memahami kombinasi pola gerak dominan (bertumpu, bergantung, keseimbangan, berpindah/lokomotor, tolakan, putaran, ayunan, melayang, dan mendarat) untuk membentuk keterampilan dasar senam menggunakan alat
</v>
      </c>
      <c r="AD9" s="257" t="str">
        <f t="shared" si="3"/>
        <v xml:space="preserve"> sangat baik  dalam memahami kombinasi pola gerak dominan (bertumpu, bergantung, keseimbangan, berpindah/lokomotor, tolakan, putaran, ayunan, melayang, dan mendarat) untuk membentuk keterampilan dasar senam menggunakan alat
</v>
      </c>
      <c r="AE9" s="257" t="str">
        <f t="shared" si="6"/>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9" s="257" t="str">
        <f t="shared" si="7"/>
        <v xml:space="preserve"> sangat baik  dalam memahami kombinasi pola gerak dominan (bertumpu, bergantung, keseimbangan, berpindah/lokomotor, tolakan, putaran, ayunan, melayang, dan mendarat) untuk membentuk keterampilan dasar senam menggunakan alat
</v>
      </c>
      <c r="AG9" s="258" t="str">
        <f t="shared" si="8"/>
        <v xml:space="preserve"> sangat baik  dalam memahami kombinasi pola gerak dominan (bertumpu, bergantung, keseimbangan, berpindah/lokomotor, tolakan, putaran, ayunan, melayang, dan mendarat) untuk membentuk keterampilan dasar senam menggunakan alat
</v>
      </c>
      <c r="AH9" s="252" t="str">
        <f t="shared" si="9"/>
        <v xml:space="preserve">ARIA sangat baik  dalam memahami kombinasi pola gerak dominan (bertumpu, bergantung, keseimbangan, berpindah/lokomotor, tolakan, putaran, ayunan, melayang, dan mendarat) untuk membentuk keterampilan dasar senam menggunakan alat
</v>
      </c>
      <c r="AI9" s="153"/>
      <c r="AR9" s="469">
        <f t="shared" si="10"/>
        <v>88</v>
      </c>
    </row>
    <row r="10" spans="1:45" ht="63" customHeight="1">
      <c r="B10" s="142">
        <v>6</v>
      </c>
      <c r="C10" s="143" t="str">
        <f>SISWA!B11</f>
        <v>1718250040310</v>
      </c>
      <c r="D10" s="144" t="str">
        <f>SISWA!E11</f>
        <v>CAHAYA</v>
      </c>
      <c r="E10" s="159">
        <v>83.571428571428569</v>
      </c>
      <c r="F10" s="159">
        <v>83.571428571428569</v>
      </c>
      <c r="G10" s="160">
        <v>83.571428571428569</v>
      </c>
      <c r="H10" s="160">
        <v>83.571428571428569</v>
      </c>
      <c r="I10" s="160">
        <v>83.571428571428569</v>
      </c>
      <c r="J10" s="160"/>
      <c r="K10" s="160"/>
      <c r="L10" s="160"/>
      <c r="M10" s="160"/>
      <c r="N10" s="159"/>
      <c r="O10" s="159"/>
      <c r="P10" s="159"/>
      <c r="Q10" s="159"/>
      <c r="R10" s="160"/>
      <c r="S10" s="160"/>
      <c r="T10" s="159"/>
      <c r="U10" s="354">
        <f t="shared" si="4"/>
        <v>84</v>
      </c>
      <c r="V10" s="355" t="str">
        <f>IF(U10&gt;KKM!$G$10,"A",IF(U10&gt;KKM!$H$10,"B",IF(U10&gt;=KKM!$I$10,"C","D")))</f>
        <v>B</v>
      </c>
      <c r="W10" s="356">
        <f t="shared" si="0"/>
        <v>83.571428571428569</v>
      </c>
      <c r="X10" s="361" t="str">
        <f>IF(W10&gt;KKM!$G$10," sangat baik ",IF(W10&gt;KKM!$H$10," baik ",IF(W10&gt;=KKM!$I$10," cukup baik "," perlu bimbingan ")))</f>
        <v xml:space="preserve"> baik </v>
      </c>
      <c r="Y10" s="357">
        <f t="shared" si="1"/>
        <v>83.571428571428569</v>
      </c>
      <c r="Z10" s="361" t="str">
        <f>IF(Y10&gt;KKM!$G$10," sangat baik ",IF(Y10&gt;KKM!$H$10," baik ",IF(Y10&gt;=KKM!$I$10," cukup baik "," perlu bimbingan ")))</f>
        <v xml:space="preserve"> baik </v>
      </c>
      <c r="AA10" s="353" t="str">
        <f t="shared" si="5"/>
        <v xml:space="preserve">CAHAYA baik  dalam memahami kombinasi pola gerak dominan (bertumpu, bergantung, keseimbangan, berpindah/lokomotor, tolakan, putaran, ayunan, melayang, dan mendarat) untuk membentuk keterampilan dasar senam menggunakan alat
</v>
      </c>
      <c r="AB10" s="256"/>
      <c r="AC10" s="257" t="str">
        <f t="shared" si="2"/>
        <v xml:space="preserve"> baik  dalam memahami kombinasi pola gerak dominan (bertumpu, bergantung, keseimbangan, berpindah/lokomotor, tolakan, putaran, ayunan, melayang, dan mendarat) untuk membentuk keterampilan dasar senam menggunakan alat
</v>
      </c>
      <c r="AD10" s="257" t="str">
        <f t="shared" si="3"/>
        <v xml:space="preserve"> baik  dalam memahami kombinasi pola gerak dominan (bertumpu, bergantung, keseimbangan, berpindah/lokomotor, tolakan, putaran, ayunan, melayang, dan mendarat) untuk membentuk keterampilan dasar senam menggunakan alat
</v>
      </c>
      <c r="AE10"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10" s="257" t="str">
        <f t="shared" si="7"/>
        <v xml:space="preserve"> baik  dalam memahami kombinasi pola gerak dominan (bertumpu, bergantung, keseimbangan, berpindah/lokomotor, tolakan, putaran, ayunan, melayang, dan mendarat) untuk membentuk keterampilan dasar senam menggunakan alat
</v>
      </c>
      <c r="AG10" s="258" t="str">
        <f t="shared" si="8"/>
        <v xml:space="preserve"> baik  dalam memahami kombinasi pola gerak dominan (bertumpu, bergantung, keseimbangan, berpindah/lokomotor, tolakan, putaran, ayunan, melayang, dan mendarat) untuk membentuk keterampilan dasar senam menggunakan alat
</v>
      </c>
      <c r="AH10" s="252" t="str">
        <f t="shared" si="9"/>
        <v xml:space="preserve">CAHAYA baik  dalam memahami kombinasi pola gerak dominan (bertumpu, bergantung, keseimbangan, berpindah/lokomotor, tolakan, putaran, ayunan, melayang, dan mendarat) untuk membentuk keterampilan dasar senam menggunakan alat
</v>
      </c>
      <c r="AI10" s="153"/>
      <c r="AR10" s="469">
        <f t="shared" si="10"/>
        <v>84</v>
      </c>
    </row>
    <row r="11" spans="1:45" ht="63" customHeight="1">
      <c r="B11" s="142">
        <v>7</v>
      </c>
      <c r="C11" s="143" t="str">
        <f>SISWA!B12</f>
        <v>1718250040311</v>
      </c>
      <c r="D11" s="144" t="str">
        <f>SISWA!E12</f>
        <v>CALISTA</v>
      </c>
      <c r="E11" s="159">
        <v>79</v>
      </c>
      <c r="F11" s="159">
        <v>79</v>
      </c>
      <c r="G11" s="160">
        <v>79</v>
      </c>
      <c r="H11" s="160">
        <v>79</v>
      </c>
      <c r="I11" s="160">
        <v>79</v>
      </c>
      <c r="J11" s="160"/>
      <c r="K11" s="160"/>
      <c r="L11" s="160"/>
      <c r="M11" s="160"/>
      <c r="N11" s="159"/>
      <c r="O11" s="159"/>
      <c r="P11" s="159"/>
      <c r="Q11" s="159"/>
      <c r="R11" s="160"/>
      <c r="S11" s="160"/>
      <c r="T11" s="159"/>
      <c r="U11" s="354">
        <f t="shared" si="4"/>
        <v>79</v>
      </c>
      <c r="V11" s="355" t="str">
        <f>IF(U11&gt;KKM!$G$10,"A",IF(U11&gt;KKM!$H$10,"B",IF(U11&gt;=KKM!$I$10,"C","D")))</f>
        <v>B</v>
      </c>
      <c r="W11" s="356">
        <f t="shared" si="0"/>
        <v>79</v>
      </c>
      <c r="X11" s="361" t="str">
        <f>IF(W11&gt;KKM!$G$10," sangat baik ",IF(W11&gt;KKM!$H$10," baik ",IF(W11&gt;=KKM!$I$10," cukup baik "," perlu bimbingan ")))</f>
        <v xml:space="preserve"> baik </v>
      </c>
      <c r="Y11" s="357">
        <f t="shared" si="1"/>
        <v>79</v>
      </c>
      <c r="Z11" s="361" t="str">
        <f>IF(Y11&gt;KKM!$G$10," sangat baik ",IF(Y11&gt;KKM!$H$10," baik ",IF(Y11&gt;=KKM!$I$10," cukup baik "," perlu bimbingan ")))</f>
        <v xml:space="preserve"> baik </v>
      </c>
      <c r="AA11" s="353" t="str">
        <f t="shared" si="5"/>
        <v xml:space="preserve">CALISTA baik  dalam memahami kombinasi pola gerak dominan (bertumpu, bergantung, keseimbangan, berpindah/lokomotor, tolakan, putaran, ayunan, melayang, dan mendarat) untuk membentuk keterampilan dasar senam menggunakan alat
</v>
      </c>
      <c r="AB11" s="256"/>
      <c r="AC11" s="257" t="str">
        <f t="shared" si="2"/>
        <v xml:space="preserve"> baik  dalam memahami kombinasi pola gerak dominan (bertumpu, bergantung, keseimbangan, berpindah/lokomotor, tolakan, putaran, ayunan, melayang, dan mendarat) untuk membentuk keterampilan dasar senam menggunakan alat
</v>
      </c>
      <c r="AD11" s="257" t="str">
        <f t="shared" si="3"/>
        <v xml:space="preserve"> baik  dalam memahami kombinasi pola gerak dominan (bertumpu, bergantung, keseimbangan, berpindah/lokomotor, tolakan, putaran, ayunan, melayang, dan mendarat) untuk membentuk keterampilan dasar senam menggunakan alat
</v>
      </c>
      <c r="AE11"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11" s="257" t="str">
        <f t="shared" si="7"/>
        <v xml:space="preserve"> baik  dalam memahami kombinasi pola gerak dominan (bertumpu, bergantung, keseimbangan, berpindah/lokomotor, tolakan, putaran, ayunan, melayang, dan mendarat) untuk membentuk keterampilan dasar senam menggunakan alat
</v>
      </c>
      <c r="AG11" s="258" t="str">
        <f t="shared" si="8"/>
        <v xml:space="preserve"> baik  dalam memahami kombinasi pola gerak dominan (bertumpu, bergantung, keseimbangan, berpindah/lokomotor, tolakan, putaran, ayunan, melayang, dan mendarat) untuk membentuk keterampilan dasar senam menggunakan alat
</v>
      </c>
      <c r="AH11" s="252" t="str">
        <f t="shared" si="9"/>
        <v xml:space="preserve">CALISTA baik  dalam memahami kombinasi pola gerak dominan (bertumpu, bergantung, keseimbangan, berpindah/lokomotor, tolakan, putaran, ayunan, melayang, dan mendarat) untuk membentuk keterampilan dasar senam menggunakan alat
</v>
      </c>
      <c r="AI11" s="153"/>
      <c r="AR11" s="469">
        <f t="shared" si="10"/>
        <v>79</v>
      </c>
    </row>
    <row r="12" spans="1:45" ht="63" customHeight="1">
      <c r="B12" s="142">
        <v>8</v>
      </c>
      <c r="C12" s="143" t="str">
        <f>SISWA!B13</f>
        <v>1718250040312</v>
      </c>
      <c r="D12" s="144" t="str">
        <f>SISWA!E13</f>
        <v>CARISSA</v>
      </c>
      <c r="E12" s="159">
        <v>84.428571428571431</v>
      </c>
      <c r="F12" s="159">
        <v>84.428571428571431</v>
      </c>
      <c r="G12" s="160">
        <v>84.428571428571431</v>
      </c>
      <c r="H12" s="160">
        <v>84.428571428571431</v>
      </c>
      <c r="I12" s="160">
        <v>84.428571428571431</v>
      </c>
      <c r="J12" s="160"/>
      <c r="K12" s="160"/>
      <c r="L12" s="160"/>
      <c r="M12" s="160"/>
      <c r="N12" s="159"/>
      <c r="O12" s="159"/>
      <c r="P12" s="159"/>
      <c r="Q12" s="159"/>
      <c r="R12" s="160"/>
      <c r="S12" s="160"/>
      <c r="T12" s="159"/>
      <c r="U12" s="354">
        <f t="shared" si="4"/>
        <v>84</v>
      </c>
      <c r="V12" s="355" t="str">
        <f>IF(U12&gt;KKM!$G$10,"A",IF(U12&gt;KKM!$H$10,"B",IF(U12&gt;=KKM!$I$10,"C","D")))</f>
        <v>B</v>
      </c>
      <c r="W12" s="356">
        <f t="shared" si="0"/>
        <v>84.428571428571431</v>
      </c>
      <c r="X12" s="361" t="str">
        <f>IF(W12&gt;KKM!$G$10," sangat baik ",IF(W12&gt;KKM!$H$10," baik ",IF(W12&gt;=KKM!$I$10," cukup baik "," perlu bimbingan ")))</f>
        <v xml:space="preserve"> baik </v>
      </c>
      <c r="Y12" s="357">
        <f t="shared" si="1"/>
        <v>84.428571428571431</v>
      </c>
      <c r="Z12" s="361" t="str">
        <f>IF(Y12&gt;KKM!$G$10," sangat baik ",IF(Y12&gt;KKM!$H$10," baik ",IF(Y12&gt;=KKM!$I$10," cukup baik "," perlu bimbingan ")))</f>
        <v xml:space="preserve"> baik </v>
      </c>
      <c r="AA12" s="353" t="str">
        <f t="shared" si="5"/>
        <v xml:space="preserve">CARISSA baik  dalam memahami kombinasi pola gerak dominan (bertumpu, bergantung, keseimbangan, berpindah/lokomotor, tolakan, putaran, ayunan, melayang, dan mendarat) untuk membentuk keterampilan dasar senam menggunakan alat
</v>
      </c>
      <c r="AB12" s="256"/>
      <c r="AC12" s="257" t="str">
        <f t="shared" si="2"/>
        <v xml:space="preserve"> baik  dalam memahami kombinasi pola gerak dominan (bertumpu, bergantung, keseimbangan, berpindah/lokomotor, tolakan, putaran, ayunan, melayang, dan mendarat) untuk membentuk keterampilan dasar senam menggunakan alat
</v>
      </c>
      <c r="AD12" s="257" t="str">
        <f t="shared" si="3"/>
        <v xml:space="preserve"> baik  dalam memahami kombinasi pola gerak dominan (bertumpu, bergantung, keseimbangan, berpindah/lokomotor, tolakan, putaran, ayunan, melayang, dan mendarat) untuk membentuk keterampilan dasar senam menggunakan alat
</v>
      </c>
      <c r="AE12"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12" s="257" t="str">
        <f t="shared" si="7"/>
        <v xml:space="preserve"> baik  dalam memahami kombinasi pola gerak dominan (bertumpu, bergantung, keseimbangan, berpindah/lokomotor, tolakan, putaran, ayunan, melayang, dan mendarat) untuk membentuk keterampilan dasar senam menggunakan alat
</v>
      </c>
      <c r="AG12" s="258" t="str">
        <f t="shared" si="8"/>
        <v xml:space="preserve"> baik  dalam memahami kombinasi pola gerak dominan (bertumpu, bergantung, keseimbangan, berpindah/lokomotor, tolakan, putaran, ayunan, melayang, dan mendarat) untuk membentuk keterampilan dasar senam menggunakan alat
</v>
      </c>
      <c r="AH12" s="252" t="str">
        <f t="shared" si="9"/>
        <v xml:space="preserve">CARISSA baik  dalam memahami kombinasi pola gerak dominan (bertumpu, bergantung, keseimbangan, berpindah/lokomotor, tolakan, putaran, ayunan, melayang, dan mendarat) untuk membentuk keterampilan dasar senam menggunakan alat
</v>
      </c>
      <c r="AI12" s="153"/>
      <c r="AR12" s="469">
        <f t="shared" si="10"/>
        <v>84</v>
      </c>
    </row>
    <row r="13" spans="1:45" ht="63" customHeight="1">
      <c r="B13" s="142">
        <v>9</v>
      </c>
      <c r="C13" s="143" t="str">
        <f>SISWA!B14</f>
        <v>1718250040313</v>
      </c>
      <c r="D13" s="144" t="str">
        <f>SISWA!E14</f>
        <v>CHAIDAR</v>
      </c>
      <c r="E13" s="159">
        <v>83.714285714285708</v>
      </c>
      <c r="F13" s="159">
        <v>83.714285714285708</v>
      </c>
      <c r="G13" s="160">
        <v>83.714285714285708</v>
      </c>
      <c r="H13" s="160">
        <v>83.714285714285708</v>
      </c>
      <c r="I13" s="160">
        <v>83.714285714285708</v>
      </c>
      <c r="J13" s="160"/>
      <c r="K13" s="160"/>
      <c r="L13" s="160"/>
      <c r="M13" s="160"/>
      <c r="N13" s="159"/>
      <c r="O13" s="159"/>
      <c r="P13" s="159"/>
      <c r="Q13" s="159"/>
      <c r="R13" s="160"/>
      <c r="S13" s="160"/>
      <c r="T13" s="159"/>
      <c r="U13" s="354">
        <f t="shared" si="4"/>
        <v>84</v>
      </c>
      <c r="V13" s="355" t="str">
        <f>IF(U13&gt;KKM!$G$10,"A",IF(U13&gt;KKM!$H$10,"B",IF(U13&gt;=KKM!$I$10,"C","D")))</f>
        <v>B</v>
      </c>
      <c r="W13" s="356">
        <f t="shared" si="0"/>
        <v>83.714285714285708</v>
      </c>
      <c r="X13" s="361" t="str">
        <f>IF(W13&gt;KKM!$G$10," sangat baik ",IF(W13&gt;KKM!$H$10," baik ",IF(W13&gt;=KKM!$I$10," cukup baik "," perlu bimbingan ")))</f>
        <v xml:space="preserve"> baik </v>
      </c>
      <c r="Y13" s="357">
        <f t="shared" si="1"/>
        <v>83.714285714285708</v>
      </c>
      <c r="Z13" s="361" t="str">
        <f>IF(Y13&gt;KKM!$G$10," sangat baik ",IF(Y13&gt;KKM!$H$10," baik ",IF(Y13&gt;=KKM!$I$10," cukup baik "," perlu bimbingan ")))</f>
        <v xml:space="preserve"> baik </v>
      </c>
      <c r="AA13" s="353" t="str">
        <f t="shared" si="5"/>
        <v xml:space="preserve">CHAIDAR baik  dalam memahami kombinasi pola gerak dominan (bertumpu, bergantung, keseimbangan, berpindah/lokomotor, tolakan, putaran, ayunan, melayang, dan mendarat) untuk membentuk keterampilan dasar senam menggunakan alat
</v>
      </c>
      <c r="AB13" s="256"/>
      <c r="AC13" s="257" t="str">
        <f t="shared" si="2"/>
        <v xml:space="preserve"> baik  dalam memahami kombinasi pola gerak dominan (bertumpu, bergantung, keseimbangan, berpindah/lokomotor, tolakan, putaran, ayunan, melayang, dan mendarat) untuk membentuk keterampilan dasar senam menggunakan alat
</v>
      </c>
      <c r="AD13" s="257" t="str">
        <f t="shared" si="3"/>
        <v xml:space="preserve"> baik  dalam memahami kombinasi pola gerak dominan (bertumpu, bergantung, keseimbangan, berpindah/lokomotor, tolakan, putaran, ayunan, melayang, dan mendarat) untuk membentuk keterampilan dasar senam menggunakan alat
</v>
      </c>
      <c r="AE13"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13" s="257" t="str">
        <f t="shared" si="7"/>
        <v xml:space="preserve"> baik  dalam memahami kombinasi pola gerak dominan (bertumpu, bergantung, keseimbangan, berpindah/lokomotor, tolakan, putaran, ayunan, melayang, dan mendarat) untuk membentuk keterampilan dasar senam menggunakan alat
</v>
      </c>
      <c r="AG13" s="258" t="str">
        <f t="shared" si="8"/>
        <v xml:space="preserve"> baik  dalam memahami kombinasi pola gerak dominan (bertumpu, bergantung, keseimbangan, berpindah/lokomotor, tolakan, putaran, ayunan, melayang, dan mendarat) untuk membentuk keterampilan dasar senam menggunakan alat
</v>
      </c>
      <c r="AH13" s="252" t="str">
        <f t="shared" si="9"/>
        <v xml:space="preserve">CHAIDAR baik  dalam memahami kombinasi pola gerak dominan (bertumpu, bergantung, keseimbangan, berpindah/lokomotor, tolakan, putaran, ayunan, melayang, dan mendarat) untuk membentuk keterampilan dasar senam menggunakan alat
</v>
      </c>
      <c r="AI13" s="153"/>
      <c r="AR13" s="469">
        <f t="shared" si="10"/>
        <v>84</v>
      </c>
    </row>
    <row r="14" spans="1:45" ht="63" customHeight="1">
      <c r="B14" s="142">
        <v>10</v>
      </c>
      <c r="C14" s="143" t="str">
        <f>SISWA!B15</f>
        <v>1718250040314</v>
      </c>
      <c r="D14" s="144" t="str">
        <f>SISWA!E15</f>
        <v>DAVKA</v>
      </c>
      <c r="E14" s="159">
        <v>85.571428571428569</v>
      </c>
      <c r="F14" s="159">
        <v>85.571428571428569</v>
      </c>
      <c r="G14" s="160">
        <v>85.571428571428569</v>
      </c>
      <c r="H14" s="160">
        <v>85.571428571428569</v>
      </c>
      <c r="I14" s="160">
        <v>85.571428571428569</v>
      </c>
      <c r="J14" s="160"/>
      <c r="K14" s="160"/>
      <c r="L14" s="160"/>
      <c r="M14" s="160"/>
      <c r="N14" s="159"/>
      <c r="O14" s="159"/>
      <c r="P14" s="159"/>
      <c r="Q14" s="159"/>
      <c r="R14" s="160"/>
      <c r="S14" s="160"/>
      <c r="T14" s="159"/>
      <c r="U14" s="354">
        <f t="shared" si="4"/>
        <v>86</v>
      </c>
      <c r="V14" s="355" t="str">
        <f>IF(U14&gt;KKM!$G$10,"A",IF(U14&gt;KKM!$H$10,"B",IF(U14&gt;=KKM!$I$10,"C","D")))</f>
        <v>B</v>
      </c>
      <c r="W14" s="356">
        <f t="shared" si="0"/>
        <v>85.571428571428569</v>
      </c>
      <c r="X14" s="361" t="str">
        <f>IF(W14&gt;KKM!$G$10," sangat baik ",IF(W14&gt;KKM!$H$10," baik ",IF(W14&gt;=KKM!$I$10," cukup baik "," perlu bimbingan ")))</f>
        <v xml:space="preserve"> baik </v>
      </c>
      <c r="Y14" s="357">
        <f t="shared" si="1"/>
        <v>85.571428571428569</v>
      </c>
      <c r="Z14" s="361" t="str">
        <f>IF(Y14&gt;KKM!$G$10," sangat baik ",IF(Y14&gt;KKM!$H$10," baik ",IF(Y14&gt;=KKM!$I$10," cukup baik "," perlu bimbingan ")))</f>
        <v xml:space="preserve"> baik </v>
      </c>
      <c r="AA14" s="353" t="str">
        <f t="shared" si="5"/>
        <v xml:space="preserve">DAVKA baik  dalam memahami kombinasi pola gerak dominan (bertumpu, bergantung, keseimbangan, berpindah/lokomotor, tolakan, putaran, ayunan, melayang, dan mendarat) untuk membentuk keterampilan dasar senam menggunakan alat
</v>
      </c>
      <c r="AB14" s="256"/>
      <c r="AC14" s="257" t="str">
        <f t="shared" si="2"/>
        <v xml:space="preserve"> baik  dalam memahami kombinasi pola gerak dominan (bertumpu, bergantung, keseimbangan, berpindah/lokomotor, tolakan, putaran, ayunan, melayang, dan mendarat) untuk membentuk keterampilan dasar senam menggunakan alat
</v>
      </c>
      <c r="AD14" s="257" t="str">
        <f t="shared" si="3"/>
        <v xml:space="preserve"> baik  dalam memahami kombinasi pola gerak dominan (bertumpu, bergantung, keseimbangan, berpindah/lokomotor, tolakan, putaran, ayunan, melayang, dan mendarat) untuk membentuk keterampilan dasar senam menggunakan alat
</v>
      </c>
      <c r="AE14"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14" s="257" t="str">
        <f t="shared" si="7"/>
        <v xml:space="preserve"> baik  dalam memahami kombinasi pola gerak dominan (bertumpu, bergantung, keseimbangan, berpindah/lokomotor, tolakan, putaran, ayunan, melayang, dan mendarat) untuk membentuk keterampilan dasar senam menggunakan alat
</v>
      </c>
      <c r="AG14" s="258" t="str">
        <f t="shared" si="8"/>
        <v xml:space="preserve"> baik  dalam memahami kombinasi pola gerak dominan (bertumpu, bergantung, keseimbangan, berpindah/lokomotor, tolakan, putaran, ayunan, melayang, dan mendarat) untuk membentuk keterampilan dasar senam menggunakan alat
</v>
      </c>
      <c r="AH14" s="252" t="str">
        <f t="shared" si="9"/>
        <v xml:space="preserve">DAVKA baik  dalam memahami kombinasi pola gerak dominan (bertumpu, bergantung, keseimbangan, berpindah/lokomotor, tolakan, putaran, ayunan, melayang, dan mendarat) untuk membentuk keterampilan dasar senam menggunakan alat
</v>
      </c>
      <c r="AI14" s="153"/>
      <c r="AR14" s="469">
        <f t="shared" si="10"/>
        <v>86</v>
      </c>
    </row>
    <row r="15" spans="1:45" ht="63" customHeight="1">
      <c r="B15" s="142">
        <v>11</v>
      </c>
      <c r="C15" s="143" t="str">
        <f>SISWA!B16</f>
        <v>1718250040315</v>
      </c>
      <c r="D15" s="144" t="str">
        <f>SISWA!E16</f>
        <v>DZIBRIL</v>
      </c>
      <c r="E15" s="159">
        <v>84</v>
      </c>
      <c r="F15" s="159">
        <v>84</v>
      </c>
      <c r="G15" s="160">
        <v>84</v>
      </c>
      <c r="H15" s="160">
        <v>84</v>
      </c>
      <c r="I15" s="160">
        <v>84</v>
      </c>
      <c r="J15" s="160"/>
      <c r="K15" s="160"/>
      <c r="L15" s="160"/>
      <c r="M15" s="160"/>
      <c r="N15" s="159"/>
      <c r="O15" s="159"/>
      <c r="P15" s="159"/>
      <c r="Q15" s="159"/>
      <c r="R15" s="160"/>
      <c r="S15" s="160"/>
      <c r="T15" s="159"/>
      <c r="U15" s="354">
        <f t="shared" si="4"/>
        <v>84</v>
      </c>
      <c r="V15" s="355" t="str">
        <f>IF(U15&gt;KKM!$G$10,"A",IF(U15&gt;KKM!$H$10,"B",IF(U15&gt;=KKM!$I$10,"C","D")))</f>
        <v>B</v>
      </c>
      <c r="W15" s="356">
        <f t="shared" si="0"/>
        <v>84</v>
      </c>
      <c r="X15" s="361" t="str">
        <f>IF(W15&gt;KKM!$G$10," sangat baik ",IF(W15&gt;KKM!$H$10," baik ",IF(W15&gt;=KKM!$I$10," cukup baik "," perlu bimbingan ")))</f>
        <v xml:space="preserve"> baik </v>
      </c>
      <c r="Y15" s="357">
        <f t="shared" si="1"/>
        <v>84</v>
      </c>
      <c r="Z15" s="361" t="str">
        <f>IF(Y15&gt;KKM!$G$10," sangat baik ",IF(Y15&gt;KKM!$H$10," baik ",IF(Y15&gt;=KKM!$I$10," cukup baik "," perlu bimbingan ")))</f>
        <v xml:space="preserve"> baik </v>
      </c>
      <c r="AA15" s="353" t="str">
        <f t="shared" si="5"/>
        <v xml:space="preserve">DZIBRIL baik  dalam memahami kombinasi pola gerak dominan (bertumpu, bergantung, keseimbangan, berpindah/lokomotor, tolakan, putaran, ayunan, melayang, dan mendarat) untuk membentuk keterampilan dasar senam menggunakan alat
</v>
      </c>
      <c r="AB15" s="256"/>
      <c r="AC15" s="257" t="str">
        <f t="shared" si="2"/>
        <v xml:space="preserve"> baik  dalam memahami kombinasi pola gerak dominan (bertumpu, bergantung, keseimbangan, berpindah/lokomotor, tolakan, putaran, ayunan, melayang, dan mendarat) untuk membentuk keterampilan dasar senam menggunakan alat
</v>
      </c>
      <c r="AD15" s="257" t="str">
        <f t="shared" si="3"/>
        <v xml:space="preserve"> baik  dalam memahami kombinasi pola gerak dominan (bertumpu, bergantung, keseimbangan, berpindah/lokomotor, tolakan, putaran, ayunan, melayang, dan mendarat) untuk membentuk keterampilan dasar senam menggunakan alat
</v>
      </c>
      <c r="AE15"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15" s="257" t="str">
        <f t="shared" si="7"/>
        <v xml:space="preserve"> baik  dalam memahami kombinasi pola gerak dominan (bertumpu, bergantung, keseimbangan, berpindah/lokomotor, tolakan, putaran, ayunan, melayang, dan mendarat) untuk membentuk keterampilan dasar senam menggunakan alat
</v>
      </c>
      <c r="AG15" s="258" t="str">
        <f t="shared" si="8"/>
        <v xml:space="preserve"> baik  dalam memahami kombinasi pola gerak dominan (bertumpu, bergantung, keseimbangan, berpindah/lokomotor, tolakan, putaran, ayunan, melayang, dan mendarat) untuk membentuk keterampilan dasar senam menggunakan alat
</v>
      </c>
      <c r="AH15" s="252" t="str">
        <f t="shared" si="9"/>
        <v xml:space="preserve">DZIBRIL baik  dalam memahami kombinasi pola gerak dominan (bertumpu, bergantung, keseimbangan, berpindah/lokomotor, tolakan, putaran, ayunan, melayang, dan mendarat) untuk membentuk keterampilan dasar senam menggunakan alat
</v>
      </c>
      <c r="AI15" s="153"/>
      <c r="AR15" s="469">
        <f t="shared" si="10"/>
        <v>84</v>
      </c>
    </row>
    <row r="16" spans="1:45" ht="63" customHeight="1">
      <c r="B16" s="142">
        <v>12</v>
      </c>
      <c r="C16" s="143" t="str">
        <f>SISWA!B17</f>
        <v>1718250040316</v>
      </c>
      <c r="D16" s="144" t="str">
        <f>SISWA!E17</f>
        <v>ERICHA</v>
      </c>
      <c r="E16" s="159">
        <v>89.285714285714292</v>
      </c>
      <c r="F16" s="159">
        <v>89.285714285714292</v>
      </c>
      <c r="G16" s="160">
        <v>89.285714285714292</v>
      </c>
      <c r="H16" s="160">
        <v>89.285714285714292</v>
      </c>
      <c r="I16" s="160">
        <v>89.285714285714292</v>
      </c>
      <c r="J16" s="160"/>
      <c r="K16" s="160"/>
      <c r="L16" s="160"/>
      <c r="M16" s="160"/>
      <c r="N16" s="159"/>
      <c r="O16" s="159"/>
      <c r="P16" s="159"/>
      <c r="Q16" s="159"/>
      <c r="R16" s="160"/>
      <c r="S16" s="160"/>
      <c r="T16" s="159"/>
      <c r="U16" s="354">
        <f t="shared" si="4"/>
        <v>89</v>
      </c>
      <c r="V16" s="355" t="str">
        <f>IF(U16&gt;KKM!$G$10,"A",IF(U16&gt;KKM!$H$10,"B",IF(U16&gt;=KKM!$I$10,"C","D")))</f>
        <v>A</v>
      </c>
      <c r="W16" s="356">
        <f t="shared" si="0"/>
        <v>89.285714285714292</v>
      </c>
      <c r="X16" s="361" t="str">
        <f>IF(W16&gt;KKM!$G$10," sangat baik ",IF(W16&gt;KKM!$H$10," baik ",IF(W16&gt;=KKM!$I$10," cukup baik "," perlu bimbingan ")))</f>
        <v xml:space="preserve"> sangat baik </v>
      </c>
      <c r="Y16" s="357">
        <f t="shared" si="1"/>
        <v>89.285714285714292</v>
      </c>
      <c r="Z16" s="361" t="str">
        <f>IF(Y16&gt;KKM!$G$10," sangat baik ",IF(Y16&gt;KKM!$H$10," baik ",IF(Y16&gt;=KKM!$I$10," cukup baik "," perlu bimbingan ")))</f>
        <v xml:space="preserve"> sangat baik </v>
      </c>
      <c r="AA16" s="353" t="str">
        <f t="shared" si="5"/>
        <v xml:space="preserve">ERICHA sangat baik  dalam memahami kombinasi pola gerak dominan (bertumpu, bergantung, keseimbangan, berpindah/lokomotor, tolakan, putaran, ayunan, melayang, dan mendarat) untuk membentuk keterampilan dasar senam menggunakan alat
</v>
      </c>
      <c r="AB16" s="256"/>
      <c r="AC16" s="257" t="str">
        <f t="shared" si="2"/>
        <v xml:space="preserve"> sangat baik  dalam memahami kombinasi pola gerak dominan (bertumpu, bergantung, keseimbangan, berpindah/lokomotor, tolakan, putaran, ayunan, melayang, dan mendarat) untuk membentuk keterampilan dasar senam menggunakan alat
</v>
      </c>
      <c r="AD16" s="257" t="str">
        <f t="shared" si="3"/>
        <v xml:space="preserve"> sangat baik  dalam memahami kombinasi pola gerak dominan (bertumpu, bergantung, keseimbangan, berpindah/lokomotor, tolakan, putaran, ayunan, melayang, dan mendarat) untuk membentuk keterampilan dasar senam menggunakan alat
</v>
      </c>
      <c r="AE16" s="257" t="str">
        <f t="shared" si="6"/>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16" s="257" t="str">
        <f t="shared" si="7"/>
        <v xml:space="preserve"> sangat baik  dalam memahami kombinasi pola gerak dominan (bertumpu, bergantung, keseimbangan, berpindah/lokomotor, tolakan, putaran, ayunan, melayang, dan mendarat) untuk membentuk keterampilan dasar senam menggunakan alat
</v>
      </c>
      <c r="AG16" s="258" t="str">
        <f t="shared" si="8"/>
        <v xml:space="preserve"> sangat baik  dalam memahami kombinasi pola gerak dominan (bertumpu, bergantung, keseimbangan, berpindah/lokomotor, tolakan, putaran, ayunan, melayang, dan mendarat) untuk membentuk keterampilan dasar senam menggunakan alat
</v>
      </c>
      <c r="AH16" s="252" t="str">
        <f t="shared" si="9"/>
        <v xml:space="preserve">ERICHA sangat baik  dalam memahami kombinasi pola gerak dominan (bertumpu, bergantung, keseimbangan, berpindah/lokomotor, tolakan, putaran, ayunan, melayang, dan mendarat) untuk membentuk keterampilan dasar senam menggunakan alat
</v>
      </c>
      <c r="AI16" s="153"/>
      <c r="AR16" s="469">
        <f t="shared" si="10"/>
        <v>89</v>
      </c>
    </row>
    <row r="17" spans="2:44" ht="63" customHeight="1">
      <c r="B17" s="142">
        <v>13</v>
      </c>
      <c r="C17" s="143" t="str">
        <f>SISWA!B18</f>
        <v>1718250040317</v>
      </c>
      <c r="D17" s="144" t="str">
        <f>SISWA!E18</f>
        <v>HISYAM</v>
      </c>
      <c r="E17" s="159">
        <v>78.571428571428569</v>
      </c>
      <c r="F17" s="159">
        <v>78.571428571428569</v>
      </c>
      <c r="G17" s="160">
        <v>78.571428571428569</v>
      </c>
      <c r="H17" s="160">
        <v>78.571428571428569</v>
      </c>
      <c r="I17" s="160">
        <v>78.571428571428569</v>
      </c>
      <c r="J17" s="160"/>
      <c r="K17" s="160"/>
      <c r="L17" s="160"/>
      <c r="M17" s="160"/>
      <c r="N17" s="159"/>
      <c r="O17" s="159"/>
      <c r="P17" s="159"/>
      <c r="Q17" s="159"/>
      <c r="R17" s="160"/>
      <c r="S17" s="160"/>
      <c r="T17" s="159"/>
      <c r="U17" s="354">
        <f t="shared" si="4"/>
        <v>79</v>
      </c>
      <c r="V17" s="355" t="str">
        <f>IF(U17&gt;KKM!$G$10,"A",IF(U17&gt;KKM!$H$10,"B",IF(U17&gt;=KKM!$I$10,"C","D")))</f>
        <v>B</v>
      </c>
      <c r="W17" s="356">
        <f t="shared" si="0"/>
        <v>78.571428571428569</v>
      </c>
      <c r="X17" s="361" t="str">
        <f>IF(W17&gt;KKM!$G$10," sangat baik ",IF(W17&gt;KKM!$H$10," baik ",IF(W17&gt;=KKM!$I$10," cukup baik "," perlu bimbingan ")))</f>
        <v xml:space="preserve"> baik </v>
      </c>
      <c r="Y17" s="357">
        <f t="shared" si="1"/>
        <v>78.571428571428569</v>
      </c>
      <c r="Z17" s="361" t="str">
        <f>IF(Y17&gt;KKM!$G$10," sangat baik ",IF(Y17&gt;KKM!$H$10," baik ",IF(Y17&gt;=KKM!$I$10," cukup baik "," perlu bimbingan ")))</f>
        <v xml:space="preserve"> baik </v>
      </c>
      <c r="AA17" s="353" t="str">
        <f t="shared" si="5"/>
        <v xml:space="preserve">HISYAM baik  dalam memahami kombinasi pola gerak dominan (bertumpu, bergantung, keseimbangan, berpindah/lokomotor, tolakan, putaran, ayunan, melayang, dan mendarat) untuk membentuk keterampilan dasar senam menggunakan alat
</v>
      </c>
      <c r="AB17" s="256"/>
      <c r="AC17" s="257" t="str">
        <f t="shared" si="2"/>
        <v xml:space="preserve"> baik  dalam memahami kombinasi pola gerak dominan (bertumpu, bergantung, keseimbangan, berpindah/lokomotor, tolakan, putaran, ayunan, melayang, dan mendarat) untuk membentuk keterampilan dasar senam menggunakan alat
</v>
      </c>
      <c r="AD17" s="257" t="str">
        <f t="shared" si="3"/>
        <v xml:space="preserve"> baik  dalam memahami kombinasi pola gerak dominan (bertumpu, bergantung, keseimbangan, berpindah/lokomotor, tolakan, putaran, ayunan, melayang, dan mendarat) untuk membentuk keterampilan dasar senam menggunakan alat
</v>
      </c>
      <c r="AE17"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17" s="257" t="str">
        <f t="shared" si="7"/>
        <v xml:space="preserve"> baik  dalam memahami kombinasi pola gerak dominan (bertumpu, bergantung, keseimbangan, berpindah/lokomotor, tolakan, putaran, ayunan, melayang, dan mendarat) untuk membentuk keterampilan dasar senam menggunakan alat
</v>
      </c>
      <c r="AG17" s="258" t="str">
        <f t="shared" si="8"/>
        <v xml:space="preserve"> baik  dalam memahami kombinasi pola gerak dominan (bertumpu, bergantung, keseimbangan, berpindah/lokomotor, tolakan, putaran, ayunan, melayang, dan mendarat) untuk membentuk keterampilan dasar senam menggunakan alat
</v>
      </c>
      <c r="AH17" s="252" t="str">
        <f t="shared" si="9"/>
        <v xml:space="preserve">HISYAM baik  dalam memahami kombinasi pola gerak dominan (bertumpu, bergantung, keseimbangan, berpindah/lokomotor, tolakan, putaran, ayunan, melayang, dan mendarat) untuk membentuk keterampilan dasar senam menggunakan alat
</v>
      </c>
      <c r="AI17" s="153"/>
      <c r="AR17" s="469">
        <f t="shared" si="10"/>
        <v>79</v>
      </c>
    </row>
    <row r="18" spans="2:44" ht="63" customHeight="1">
      <c r="B18" s="142">
        <v>14</v>
      </c>
      <c r="C18" s="143" t="str">
        <f>SISWA!B19</f>
        <v>1718250040318</v>
      </c>
      <c r="D18" s="144" t="str">
        <f>SISWA!E19</f>
        <v>FAUZI</v>
      </c>
      <c r="E18" s="159">
        <v>90</v>
      </c>
      <c r="F18" s="159">
        <v>90</v>
      </c>
      <c r="G18" s="160">
        <v>90</v>
      </c>
      <c r="H18" s="160">
        <v>90</v>
      </c>
      <c r="I18" s="160">
        <v>90</v>
      </c>
      <c r="J18" s="160"/>
      <c r="K18" s="160"/>
      <c r="L18" s="160"/>
      <c r="M18" s="160"/>
      <c r="N18" s="159"/>
      <c r="O18" s="159"/>
      <c r="P18" s="159"/>
      <c r="Q18" s="159"/>
      <c r="R18" s="160"/>
      <c r="S18" s="160"/>
      <c r="T18" s="159"/>
      <c r="U18" s="354">
        <f t="shared" si="4"/>
        <v>90</v>
      </c>
      <c r="V18" s="355" t="str">
        <f>IF(U18&gt;KKM!$G$10,"A",IF(U18&gt;KKM!$H$10,"B",IF(U18&gt;=KKM!$I$10,"C","D")))</f>
        <v>A</v>
      </c>
      <c r="W18" s="356">
        <f t="shared" si="0"/>
        <v>90</v>
      </c>
      <c r="X18" s="361" t="str">
        <f>IF(W18&gt;KKM!$G$10," sangat baik ",IF(W18&gt;KKM!$H$10," baik ",IF(W18&gt;=KKM!$I$10," cukup baik "," perlu bimbingan ")))</f>
        <v xml:space="preserve"> sangat baik </v>
      </c>
      <c r="Y18" s="357">
        <f t="shared" si="1"/>
        <v>90</v>
      </c>
      <c r="Z18" s="361" t="str">
        <f>IF(Y18&gt;KKM!$G$10," sangat baik ",IF(Y18&gt;KKM!$H$10," baik ",IF(Y18&gt;=KKM!$I$10," cukup baik "," perlu bimbingan ")))</f>
        <v xml:space="preserve"> sangat baik </v>
      </c>
      <c r="AA18" s="353" t="str">
        <f t="shared" si="5"/>
        <v xml:space="preserve">FAUZI sangat baik  dalam memahami kombinasi pola gerak dominan (bertumpu, bergantung, keseimbangan, berpindah/lokomotor, tolakan, putaran, ayunan, melayang, dan mendarat) untuk membentuk keterampilan dasar senam menggunakan alat
</v>
      </c>
      <c r="AB18" s="256"/>
      <c r="AC18" s="257" t="str">
        <f t="shared" si="2"/>
        <v xml:space="preserve"> sangat baik  dalam memahami kombinasi pola gerak dominan (bertumpu, bergantung, keseimbangan, berpindah/lokomotor, tolakan, putaran, ayunan, melayang, dan mendarat) untuk membentuk keterampilan dasar senam menggunakan alat
</v>
      </c>
      <c r="AD18" s="257" t="str">
        <f t="shared" si="3"/>
        <v xml:space="preserve"> sangat baik  dalam memahami kombinasi pola gerak dominan (bertumpu, bergantung, keseimbangan, berpindah/lokomotor, tolakan, putaran, ayunan, melayang, dan mendarat) untuk membentuk keterampilan dasar senam menggunakan alat
</v>
      </c>
      <c r="AE18" s="257" t="str">
        <f t="shared" si="6"/>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18" s="257" t="str">
        <f t="shared" si="7"/>
        <v xml:space="preserve"> sangat baik  dalam memahami kombinasi pola gerak dominan (bertumpu, bergantung, keseimbangan, berpindah/lokomotor, tolakan, putaran, ayunan, melayang, dan mendarat) untuk membentuk keterampilan dasar senam menggunakan alat
</v>
      </c>
      <c r="AG18" s="258" t="str">
        <f t="shared" si="8"/>
        <v xml:space="preserve"> sangat baik  dalam memahami kombinasi pola gerak dominan (bertumpu, bergantung, keseimbangan, berpindah/lokomotor, tolakan, putaran, ayunan, melayang, dan mendarat) untuk membentuk keterampilan dasar senam menggunakan alat
</v>
      </c>
      <c r="AH18" s="252" t="str">
        <f t="shared" si="9"/>
        <v xml:space="preserve">FAUZI sangat baik  dalam memahami kombinasi pola gerak dominan (bertumpu, bergantung, keseimbangan, berpindah/lokomotor, tolakan, putaran, ayunan, melayang, dan mendarat) untuk membentuk keterampilan dasar senam menggunakan alat
</v>
      </c>
      <c r="AI18" s="153"/>
      <c r="AR18" s="469">
        <f t="shared" si="10"/>
        <v>90</v>
      </c>
    </row>
    <row r="19" spans="2:44" ht="63" customHeight="1">
      <c r="B19" s="142">
        <v>15</v>
      </c>
      <c r="C19" s="143" t="str">
        <f>SISWA!B20</f>
        <v>1718250040319</v>
      </c>
      <c r="D19" s="144" t="str">
        <f>SISWA!E20</f>
        <v>FIRLY</v>
      </c>
      <c r="E19" s="159">
        <v>86.142857142857139</v>
      </c>
      <c r="F19" s="159">
        <v>86.142857142857139</v>
      </c>
      <c r="G19" s="160">
        <v>86.142857142857139</v>
      </c>
      <c r="H19" s="160">
        <v>86.142857142857139</v>
      </c>
      <c r="I19" s="160">
        <v>86.142857142857139</v>
      </c>
      <c r="J19" s="160"/>
      <c r="K19" s="160"/>
      <c r="L19" s="160"/>
      <c r="M19" s="160"/>
      <c r="N19" s="159"/>
      <c r="O19" s="159"/>
      <c r="P19" s="159"/>
      <c r="Q19" s="159"/>
      <c r="R19" s="160"/>
      <c r="S19" s="160"/>
      <c r="T19" s="159"/>
      <c r="U19" s="354">
        <f t="shared" si="4"/>
        <v>86</v>
      </c>
      <c r="V19" s="355" t="str">
        <f>IF(U19&gt;KKM!$G$10,"A",IF(U19&gt;KKM!$H$10,"B",IF(U19&gt;=KKM!$I$10,"C","D")))</f>
        <v>B</v>
      </c>
      <c r="W19" s="356">
        <f t="shared" si="0"/>
        <v>86.142857142857139</v>
      </c>
      <c r="X19" s="361" t="str">
        <f>IF(W19&gt;KKM!$G$10," sangat baik ",IF(W19&gt;KKM!$H$10," baik ",IF(W19&gt;=KKM!$I$10," cukup baik "," perlu bimbingan ")))</f>
        <v xml:space="preserve"> baik </v>
      </c>
      <c r="Y19" s="357">
        <f t="shared" si="1"/>
        <v>86.142857142857139</v>
      </c>
      <c r="Z19" s="361" t="str">
        <f>IF(Y19&gt;KKM!$G$10," sangat baik ",IF(Y19&gt;KKM!$H$10," baik ",IF(Y19&gt;=KKM!$I$10," cukup baik "," perlu bimbingan ")))</f>
        <v xml:space="preserve"> baik </v>
      </c>
      <c r="AA19" s="353" t="str">
        <f t="shared" si="5"/>
        <v xml:space="preserve">FIRLY baik  dalam memahami kombinasi pola gerak dominan (bertumpu, bergantung, keseimbangan, berpindah/lokomotor, tolakan, putaran, ayunan, melayang, dan mendarat) untuk membentuk keterampilan dasar senam menggunakan alat
</v>
      </c>
      <c r="AB19" s="256"/>
      <c r="AC19" s="257" t="str">
        <f t="shared" si="2"/>
        <v xml:space="preserve"> baik  dalam memahami kombinasi pola gerak dominan (bertumpu, bergantung, keseimbangan, berpindah/lokomotor, tolakan, putaran, ayunan, melayang, dan mendarat) untuk membentuk keterampilan dasar senam menggunakan alat
</v>
      </c>
      <c r="AD19" s="257" t="str">
        <f t="shared" si="3"/>
        <v xml:space="preserve"> baik  dalam memahami kombinasi pola gerak dominan (bertumpu, bergantung, keseimbangan, berpindah/lokomotor, tolakan, putaran, ayunan, melayang, dan mendarat) untuk membentuk keterampilan dasar senam menggunakan alat
</v>
      </c>
      <c r="AE19"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19" s="257" t="str">
        <f t="shared" si="7"/>
        <v xml:space="preserve"> baik  dalam memahami kombinasi pola gerak dominan (bertumpu, bergantung, keseimbangan, berpindah/lokomotor, tolakan, putaran, ayunan, melayang, dan mendarat) untuk membentuk keterampilan dasar senam menggunakan alat
</v>
      </c>
      <c r="AG19" s="258" t="str">
        <f t="shared" si="8"/>
        <v xml:space="preserve"> baik  dalam memahami kombinasi pola gerak dominan (bertumpu, bergantung, keseimbangan, berpindah/lokomotor, tolakan, putaran, ayunan, melayang, dan mendarat) untuk membentuk keterampilan dasar senam menggunakan alat
</v>
      </c>
      <c r="AH19" s="252" t="str">
        <f t="shared" si="9"/>
        <v xml:space="preserve">FIRLY baik  dalam memahami kombinasi pola gerak dominan (bertumpu, bergantung, keseimbangan, berpindah/lokomotor, tolakan, putaran, ayunan, melayang, dan mendarat) untuk membentuk keterampilan dasar senam menggunakan alat
</v>
      </c>
      <c r="AI19" s="153"/>
      <c r="AR19" s="469">
        <f t="shared" si="10"/>
        <v>86</v>
      </c>
    </row>
    <row r="20" spans="2:44" ht="63" customHeight="1">
      <c r="B20" s="142">
        <v>16</v>
      </c>
      <c r="C20" s="143" t="str">
        <f>SISWA!B21</f>
        <v>1718250040320</v>
      </c>
      <c r="D20" s="144" t="str">
        <f>SISWA!E21</f>
        <v>HANA</v>
      </c>
      <c r="E20" s="159">
        <v>80</v>
      </c>
      <c r="F20" s="159">
        <v>80</v>
      </c>
      <c r="G20" s="160">
        <v>80</v>
      </c>
      <c r="H20" s="160">
        <v>80</v>
      </c>
      <c r="I20" s="160">
        <v>80</v>
      </c>
      <c r="J20" s="160"/>
      <c r="K20" s="160"/>
      <c r="L20" s="160"/>
      <c r="M20" s="160"/>
      <c r="N20" s="159"/>
      <c r="O20" s="159"/>
      <c r="P20" s="159"/>
      <c r="Q20" s="159"/>
      <c r="R20" s="160"/>
      <c r="S20" s="160"/>
      <c r="T20" s="159"/>
      <c r="U20" s="354">
        <f t="shared" si="4"/>
        <v>80</v>
      </c>
      <c r="V20" s="355" t="str">
        <f>IF(U20&gt;KKM!$G$10,"A",IF(U20&gt;KKM!$H$10,"B",IF(U20&gt;=KKM!$I$10,"C","D")))</f>
        <v>B</v>
      </c>
      <c r="W20" s="356">
        <f t="shared" si="0"/>
        <v>80</v>
      </c>
      <c r="X20" s="361" t="str">
        <f>IF(W20&gt;KKM!$G$10," sangat baik ",IF(W20&gt;KKM!$H$10," baik ",IF(W20&gt;=KKM!$I$10," cukup baik "," perlu bimbingan ")))</f>
        <v xml:space="preserve"> baik </v>
      </c>
      <c r="Y20" s="357">
        <f t="shared" si="1"/>
        <v>80</v>
      </c>
      <c r="Z20" s="361" t="str">
        <f>IF(Y20&gt;KKM!$G$10," sangat baik ",IF(Y20&gt;KKM!$H$10," baik ",IF(Y20&gt;=KKM!$I$10," cukup baik "," perlu bimbingan ")))</f>
        <v xml:space="preserve"> baik </v>
      </c>
      <c r="AA20" s="353" t="str">
        <f t="shared" si="5"/>
        <v xml:space="preserve">HANA baik  dalam memahami kombinasi pola gerak dominan (bertumpu, bergantung, keseimbangan, berpindah/lokomotor, tolakan, putaran, ayunan, melayang, dan mendarat) untuk membentuk keterampilan dasar senam menggunakan alat
</v>
      </c>
      <c r="AB20" s="256"/>
      <c r="AC20" s="257" t="str">
        <f t="shared" si="2"/>
        <v xml:space="preserve"> baik  dalam memahami kombinasi pola gerak dominan (bertumpu, bergantung, keseimbangan, berpindah/lokomotor, tolakan, putaran, ayunan, melayang, dan mendarat) untuk membentuk keterampilan dasar senam menggunakan alat
</v>
      </c>
      <c r="AD20" s="257" t="str">
        <f t="shared" si="3"/>
        <v xml:space="preserve"> baik  dalam memahami kombinasi pola gerak dominan (bertumpu, bergantung, keseimbangan, berpindah/lokomotor, tolakan, putaran, ayunan, melayang, dan mendarat) untuk membentuk keterampilan dasar senam menggunakan alat
</v>
      </c>
      <c r="AE20"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20" s="257" t="str">
        <f t="shared" si="7"/>
        <v xml:space="preserve"> baik  dalam memahami kombinasi pola gerak dominan (bertumpu, bergantung, keseimbangan, berpindah/lokomotor, tolakan, putaran, ayunan, melayang, dan mendarat) untuk membentuk keterampilan dasar senam menggunakan alat
</v>
      </c>
      <c r="AG20" s="258" t="str">
        <f t="shared" si="8"/>
        <v xml:space="preserve"> baik  dalam memahami kombinasi pola gerak dominan (bertumpu, bergantung, keseimbangan, berpindah/lokomotor, tolakan, putaran, ayunan, melayang, dan mendarat) untuk membentuk keterampilan dasar senam menggunakan alat
</v>
      </c>
      <c r="AH20" s="252" t="str">
        <f t="shared" si="9"/>
        <v xml:space="preserve">HANA baik  dalam memahami kombinasi pola gerak dominan (bertumpu, bergantung, keseimbangan, berpindah/lokomotor, tolakan, putaran, ayunan, melayang, dan mendarat) untuk membentuk keterampilan dasar senam menggunakan alat
</v>
      </c>
      <c r="AI20" s="153"/>
      <c r="AR20" s="469">
        <f t="shared" si="10"/>
        <v>80</v>
      </c>
    </row>
    <row r="21" spans="2:44" ht="63" customHeight="1">
      <c r="B21" s="142">
        <v>17</v>
      </c>
      <c r="C21" s="143" t="str">
        <f>SISWA!B22</f>
        <v>1718250040321</v>
      </c>
      <c r="D21" s="144" t="str">
        <f>SISWA!E22</f>
        <v>MALLA</v>
      </c>
      <c r="E21" s="159">
        <v>86.285714285714292</v>
      </c>
      <c r="F21" s="159">
        <v>86.285714285714292</v>
      </c>
      <c r="G21" s="160">
        <v>86.285714285714292</v>
      </c>
      <c r="H21" s="160">
        <v>86.285714285714292</v>
      </c>
      <c r="I21" s="160">
        <v>86.285714285714292</v>
      </c>
      <c r="J21" s="160"/>
      <c r="K21" s="160"/>
      <c r="L21" s="160"/>
      <c r="M21" s="160"/>
      <c r="N21" s="159"/>
      <c r="O21" s="159"/>
      <c r="P21" s="159"/>
      <c r="Q21" s="159"/>
      <c r="R21" s="160"/>
      <c r="S21" s="160"/>
      <c r="T21" s="159"/>
      <c r="U21" s="354">
        <f t="shared" si="4"/>
        <v>86</v>
      </c>
      <c r="V21" s="355" t="str">
        <f>IF(U21&gt;KKM!$G$10,"A",IF(U21&gt;KKM!$H$10,"B",IF(U21&gt;=KKM!$I$10,"C","D")))</f>
        <v>B</v>
      </c>
      <c r="W21" s="356">
        <f t="shared" si="0"/>
        <v>86.285714285714292</v>
      </c>
      <c r="X21" s="361" t="str">
        <f>IF(W21&gt;KKM!$G$10," sangat baik ",IF(W21&gt;KKM!$H$10," baik ",IF(W21&gt;=KKM!$I$10," cukup baik "," perlu bimbingan ")))</f>
        <v xml:space="preserve"> baik </v>
      </c>
      <c r="Y21" s="357">
        <f t="shared" si="1"/>
        <v>86.285714285714292</v>
      </c>
      <c r="Z21" s="361" t="str">
        <f>IF(Y21&gt;KKM!$G$10," sangat baik ",IF(Y21&gt;KKM!$H$10," baik ",IF(Y21&gt;=KKM!$I$10," cukup baik "," perlu bimbingan ")))</f>
        <v xml:space="preserve"> baik </v>
      </c>
      <c r="AA21" s="353" t="str">
        <f t="shared" si="5"/>
        <v xml:space="preserve">MALLA baik  dalam memahami kombinasi pola gerak dominan (bertumpu, bergantung, keseimbangan, berpindah/lokomotor, tolakan, putaran, ayunan, melayang, dan mendarat) untuk membentuk keterampilan dasar senam menggunakan alat
</v>
      </c>
      <c r="AB21" s="256"/>
      <c r="AC21" s="257" t="str">
        <f t="shared" si="2"/>
        <v xml:space="preserve"> baik  dalam memahami kombinasi pola gerak dominan (bertumpu, bergantung, keseimbangan, berpindah/lokomotor, tolakan, putaran, ayunan, melayang, dan mendarat) untuk membentuk keterampilan dasar senam menggunakan alat
</v>
      </c>
      <c r="AD21" s="257" t="str">
        <f t="shared" si="3"/>
        <v xml:space="preserve"> baik  dalam memahami kombinasi pola gerak dominan (bertumpu, bergantung, keseimbangan, berpindah/lokomotor, tolakan, putaran, ayunan, melayang, dan mendarat) untuk membentuk keterampilan dasar senam menggunakan alat
</v>
      </c>
      <c r="AE21"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21" s="257" t="str">
        <f t="shared" si="7"/>
        <v xml:space="preserve"> baik  dalam memahami kombinasi pola gerak dominan (bertumpu, bergantung, keseimbangan, berpindah/lokomotor, tolakan, putaran, ayunan, melayang, dan mendarat) untuk membentuk keterampilan dasar senam menggunakan alat
</v>
      </c>
      <c r="AG21" s="258" t="str">
        <f t="shared" si="8"/>
        <v xml:space="preserve"> baik  dalam memahami kombinasi pola gerak dominan (bertumpu, bergantung, keseimbangan, berpindah/lokomotor, tolakan, putaran, ayunan, melayang, dan mendarat) untuk membentuk keterampilan dasar senam menggunakan alat
</v>
      </c>
      <c r="AH21" s="252" t="str">
        <f t="shared" si="9"/>
        <v xml:space="preserve">MALLA baik  dalam memahami kombinasi pola gerak dominan (bertumpu, bergantung, keseimbangan, berpindah/lokomotor, tolakan, putaran, ayunan, melayang, dan mendarat) untuk membentuk keterampilan dasar senam menggunakan alat
</v>
      </c>
      <c r="AI21" s="153"/>
      <c r="AR21" s="469">
        <f t="shared" si="10"/>
        <v>86</v>
      </c>
    </row>
    <row r="22" spans="2:44" ht="63" customHeight="1">
      <c r="B22" s="142">
        <v>18</v>
      </c>
      <c r="C22" s="143" t="str">
        <f>SISWA!B23</f>
        <v>1718250040322</v>
      </c>
      <c r="D22" s="144" t="str">
        <f>SISWA!E23</f>
        <v>INTAN</v>
      </c>
      <c r="E22" s="159">
        <v>81.714285714285708</v>
      </c>
      <c r="F22" s="159">
        <v>81.714285714285708</v>
      </c>
      <c r="G22" s="160">
        <v>81.714285714285708</v>
      </c>
      <c r="H22" s="160">
        <v>81.714285714285708</v>
      </c>
      <c r="I22" s="160">
        <v>81.714285714285708</v>
      </c>
      <c r="J22" s="160"/>
      <c r="K22" s="160"/>
      <c r="L22" s="160"/>
      <c r="M22" s="160"/>
      <c r="N22" s="159"/>
      <c r="O22" s="159"/>
      <c r="P22" s="159"/>
      <c r="Q22" s="159"/>
      <c r="R22" s="160"/>
      <c r="S22" s="160"/>
      <c r="T22" s="159"/>
      <c r="U22" s="354">
        <f t="shared" si="4"/>
        <v>82</v>
      </c>
      <c r="V22" s="355" t="str">
        <f>IF(U22&gt;KKM!$G$10,"A",IF(U22&gt;KKM!$H$10,"B",IF(U22&gt;=KKM!$I$10,"C","D")))</f>
        <v>B</v>
      </c>
      <c r="W22" s="356">
        <f t="shared" si="0"/>
        <v>81.714285714285708</v>
      </c>
      <c r="X22" s="361" t="str">
        <f>IF(W22&gt;KKM!$G$10," sangat baik ",IF(W22&gt;KKM!$H$10," baik ",IF(W22&gt;=KKM!$I$10," cukup baik "," perlu bimbingan ")))</f>
        <v xml:space="preserve"> baik </v>
      </c>
      <c r="Y22" s="357">
        <f t="shared" si="1"/>
        <v>81.714285714285708</v>
      </c>
      <c r="Z22" s="361" t="str">
        <f>IF(Y22&gt;KKM!$G$10," sangat baik ",IF(Y22&gt;KKM!$H$10," baik ",IF(Y22&gt;=KKM!$I$10," cukup baik "," perlu bimbingan ")))</f>
        <v xml:space="preserve"> baik </v>
      </c>
      <c r="AA22" s="353" t="str">
        <f t="shared" si="5"/>
        <v xml:space="preserve">INTAN baik  dalam memahami kombinasi pola gerak dominan (bertumpu, bergantung, keseimbangan, berpindah/lokomotor, tolakan, putaran, ayunan, melayang, dan mendarat) untuk membentuk keterampilan dasar senam menggunakan alat
</v>
      </c>
      <c r="AB22" s="256"/>
      <c r="AC22" s="257" t="str">
        <f t="shared" si="2"/>
        <v xml:space="preserve"> baik  dalam memahami kombinasi pola gerak dominan (bertumpu, bergantung, keseimbangan, berpindah/lokomotor, tolakan, putaran, ayunan, melayang, dan mendarat) untuk membentuk keterampilan dasar senam menggunakan alat
</v>
      </c>
      <c r="AD22" s="257" t="str">
        <f t="shared" si="3"/>
        <v xml:space="preserve"> baik  dalam memahami kombinasi pola gerak dominan (bertumpu, bergantung, keseimbangan, berpindah/lokomotor, tolakan, putaran, ayunan, melayang, dan mendarat) untuk membentuk keterampilan dasar senam menggunakan alat
</v>
      </c>
      <c r="AE22"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22" s="257" t="str">
        <f t="shared" si="7"/>
        <v xml:space="preserve"> baik  dalam memahami kombinasi pola gerak dominan (bertumpu, bergantung, keseimbangan, berpindah/lokomotor, tolakan, putaran, ayunan, melayang, dan mendarat) untuk membentuk keterampilan dasar senam menggunakan alat
</v>
      </c>
      <c r="AG22" s="258" t="str">
        <f t="shared" si="8"/>
        <v xml:space="preserve"> baik  dalam memahami kombinasi pola gerak dominan (bertumpu, bergantung, keseimbangan, berpindah/lokomotor, tolakan, putaran, ayunan, melayang, dan mendarat) untuk membentuk keterampilan dasar senam menggunakan alat
</v>
      </c>
      <c r="AH22" s="252" t="str">
        <f t="shared" si="9"/>
        <v xml:space="preserve">INTAN baik  dalam memahami kombinasi pola gerak dominan (bertumpu, bergantung, keseimbangan, berpindah/lokomotor, tolakan, putaran, ayunan, melayang, dan mendarat) untuk membentuk keterampilan dasar senam menggunakan alat
</v>
      </c>
      <c r="AI22" s="153"/>
      <c r="AR22" s="469">
        <f t="shared" si="10"/>
        <v>82</v>
      </c>
    </row>
    <row r="23" spans="2:44" ht="63" customHeight="1">
      <c r="B23" s="142">
        <v>19</v>
      </c>
      <c r="C23" s="143" t="str">
        <f>SISWA!B24</f>
        <v>1718250040323</v>
      </c>
      <c r="D23" s="144" t="str">
        <f>SISWA!E24</f>
        <v>JORDY</v>
      </c>
      <c r="E23" s="159">
        <v>84.857142857142861</v>
      </c>
      <c r="F23" s="159">
        <v>84.857142857142861</v>
      </c>
      <c r="G23" s="160">
        <v>84.857142857142861</v>
      </c>
      <c r="H23" s="160">
        <v>84.857142857142861</v>
      </c>
      <c r="I23" s="160">
        <v>84.857142857142861</v>
      </c>
      <c r="J23" s="160"/>
      <c r="K23" s="160"/>
      <c r="L23" s="160"/>
      <c r="M23" s="160"/>
      <c r="N23" s="159"/>
      <c r="O23" s="159"/>
      <c r="P23" s="159"/>
      <c r="Q23" s="159"/>
      <c r="R23" s="160"/>
      <c r="S23" s="160"/>
      <c r="T23" s="159"/>
      <c r="U23" s="354">
        <f t="shared" si="4"/>
        <v>85</v>
      </c>
      <c r="V23" s="355" t="str">
        <f>IF(U23&gt;KKM!$G$10,"A",IF(U23&gt;KKM!$H$10,"B",IF(U23&gt;=KKM!$I$10,"C","D")))</f>
        <v>B</v>
      </c>
      <c r="W23" s="356">
        <f t="shared" si="0"/>
        <v>84.857142857142861</v>
      </c>
      <c r="X23" s="361" t="str">
        <f>IF(W23&gt;KKM!$G$10," sangat baik ",IF(W23&gt;KKM!$H$10," baik ",IF(W23&gt;=KKM!$I$10," cukup baik "," perlu bimbingan ")))</f>
        <v xml:space="preserve"> baik </v>
      </c>
      <c r="Y23" s="357">
        <f t="shared" si="1"/>
        <v>84.857142857142861</v>
      </c>
      <c r="Z23" s="361" t="str">
        <f>IF(Y23&gt;KKM!$G$10," sangat baik ",IF(Y23&gt;KKM!$H$10," baik ",IF(Y23&gt;=KKM!$I$10," cukup baik "," perlu bimbingan ")))</f>
        <v xml:space="preserve"> baik </v>
      </c>
      <c r="AA23" s="353" t="str">
        <f t="shared" si="5"/>
        <v xml:space="preserve">JORDY baik  dalam memahami kombinasi pola gerak dominan (bertumpu, bergantung, keseimbangan, berpindah/lokomotor, tolakan, putaran, ayunan, melayang, dan mendarat) untuk membentuk keterampilan dasar senam menggunakan alat
</v>
      </c>
      <c r="AB23" s="256"/>
      <c r="AC23" s="257" t="str">
        <f t="shared" si="2"/>
        <v xml:space="preserve"> baik  dalam memahami kombinasi pola gerak dominan (bertumpu, bergantung, keseimbangan, berpindah/lokomotor, tolakan, putaran, ayunan, melayang, dan mendarat) untuk membentuk keterampilan dasar senam menggunakan alat
</v>
      </c>
      <c r="AD23" s="257" t="str">
        <f t="shared" si="3"/>
        <v xml:space="preserve"> baik  dalam memahami kombinasi pola gerak dominan (bertumpu, bergantung, keseimbangan, berpindah/lokomotor, tolakan, putaran, ayunan, melayang, dan mendarat) untuk membentuk keterampilan dasar senam menggunakan alat
</v>
      </c>
      <c r="AE23"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23" s="257" t="str">
        <f t="shared" si="7"/>
        <v xml:space="preserve"> baik  dalam memahami kombinasi pola gerak dominan (bertumpu, bergantung, keseimbangan, berpindah/lokomotor, tolakan, putaran, ayunan, melayang, dan mendarat) untuk membentuk keterampilan dasar senam menggunakan alat
</v>
      </c>
      <c r="AG23" s="258" t="str">
        <f t="shared" si="8"/>
        <v xml:space="preserve"> baik  dalam memahami kombinasi pola gerak dominan (bertumpu, bergantung, keseimbangan, berpindah/lokomotor, tolakan, putaran, ayunan, melayang, dan mendarat) untuk membentuk keterampilan dasar senam menggunakan alat
</v>
      </c>
      <c r="AH23" s="252" t="str">
        <f t="shared" si="9"/>
        <v xml:space="preserve">JORDY baik  dalam memahami kombinasi pola gerak dominan (bertumpu, bergantung, keseimbangan, berpindah/lokomotor, tolakan, putaran, ayunan, melayang, dan mendarat) untuk membentuk keterampilan dasar senam menggunakan alat
</v>
      </c>
      <c r="AI23" s="153"/>
      <c r="AR23" s="469">
        <f t="shared" si="10"/>
        <v>85</v>
      </c>
    </row>
    <row r="24" spans="2:44" ht="63" customHeight="1">
      <c r="B24" s="142">
        <v>20</v>
      </c>
      <c r="C24" s="143" t="str">
        <f>SISWA!B25</f>
        <v>1718250040324</v>
      </c>
      <c r="D24" s="144" t="str">
        <f>SISWA!E25</f>
        <v>KURNIA</v>
      </c>
      <c r="E24" s="159">
        <v>85.714285714285708</v>
      </c>
      <c r="F24" s="159">
        <v>85.714285714285708</v>
      </c>
      <c r="G24" s="160">
        <v>85.714285714285708</v>
      </c>
      <c r="H24" s="160">
        <v>85.714285714285708</v>
      </c>
      <c r="I24" s="160">
        <v>85.714285714285708</v>
      </c>
      <c r="J24" s="160"/>
      <c r="K24" s="160"/>
      <c r="L24" s="160"/>
      <c r="M24" s="160"/>
      <c r="N24" s="159"/>
      <c r="O24" s="159"/>
      <c r="P24" s="159"/>
      <c r="Q24" s="159"/>
      <c r="R24" s="160"/>
      <c r="S24" s="160"/>
      <c r="T24" s="159"/>
      <c r="U24" s="354">
        <f t="shared" si="4"/>
        <v>86</v>
      </c>
      <c r="V24" s="355" t="str">
        <f>IF(U24&gt;KKM!$G$10,"A",IF(U24&gt;KKM!$H$10,"B",IF(U24&gt;=KKM!$I$10,"C","D")))</f>
        <v>B</v>
      </c>
      <c r="W24" s="356">
        <f t="shared" si="0"/>
        <v>85.714285714285708</v>
      </c>
      <c r="X24" s="361" t="str">
        <f>IF(W24&gt;KKM!$G$10," sangat baik ",IF(W24&gt;KKM!$H$10," baik ",IF(W24&gt;=KKM!$I$10," cukup baik "," perlu bimbingan ")))</f>
        <v xml:space="preserve"> baik </v>
      </c>
      <c r="Y24" s="357">
        <f t="shared" si="1"/>
        <v>85.714285714285708</v>
      </c>
      <c r="Z24" s="361" t="str">
        <f>IF(Y24&gt;KKM!$G$10," sangat baik ",IF(Y24&gt;KKM!$H$10," baik ",IF(Y24&gt;=KKM!$I$10," cukup baik "," perlu bimbingan ")))</f>
        <v xml:space="preserve"> baik </v>
      </c>
      <c r="AA24" s="353" t="str">
        <f t="shared" si="5"/>
        <v xml:space="preserve">KURNIA baik  dalam memahami kombinasi pola gerak dominan (bertumpu, bergantung, keseimbangan, berpindah/lokomotor, tolakan, putaran, ayunan, melayang, dan mendarat) untuk membentuk keterampilan dasar senam menggunakan alat
</v>
      </c>
      <c r="AB24" s="256"/>
      <c r="AC24" s="257" t="str">
        <f t="shared" si="2"/>
        <v xml:space="preserve"> baik  dalam memahami kombinasi pola gerak dominan (bertumpu, bergantung, keseimbangan, berpindah/lokomotor, tolakan, putaran, ayunan, melayang, dan mendarat) untuk membentuk keterampilan dasar senam menggunakan alat
</v>
      </c>
      <c r="AD24" s="257" t="str">
        <f t="shared" si="3"/>
        <v xml:space="preserve"> baik  dalam memahami kombinasi pola gerak dominan (bertumpu, bergantung, keseimbangan, berpindah/lokomotor, tolakan, putaran, ayunan, melayang, dan mendarat) untuk membentuk keterampilan dasar senam menggunakan alat
</v>
      </c>
      <c r="AE24"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24" s="257" t="str">
        <f t="shared" si="7"/>
        <v xml:space="preserve"> baik  dalam memahami kombinasi pola gerak dominan (bertumpu, bergantung, keseimbangan, berpindah/lokomotor, tolakan, putaran, ayunan, melayang, dan mendarat) untuk membentuk keterampilan dasar senam menggunakan alat
</v>
      </c>
      <c r="AG24" s="258" t="str">
        <f t="shared" si="8"/>
        <v xml:space="preserve"> baik  dalam memahami kombinasi pola gerak dominan (bertumpu, bergantung, keseimbangan, berpindah/lokomotor, tolakan, putaran, ayunan, melayang, dan mendarat) untuk membentuk keterampilan dasar senam menggunakan alat
</v>
      </c>
      <c r="AH24" s="252" t="str">
        <f t="shared" si="9"/>
        <v xml:space="preserve">KURNIA baik  dalam memahami kombinasi pola gerak dominan (bertumpu, bergantung, keseimbangan, berpindah/lokomotor, tolakan, putaran, ayunan, melayang, dan mendarat) untuk membentuk keterampilan dasar senam menggunakan alat
</v>
      </c>
      <c r="AI24" s="153"/>
      <c r="AR24" s="469">
        <f t="shared" si="10"/>
        <v>86</v>
      </c>
    </row>
    <row r="25" spans="2:44" ht="63" customHeight="1">
      <c r="B25" s="142">
        <v>21</v>
      </c>
      <c r="C25" s="143" t="str">
        <f>SISWA!B26</f>
        <v>1718250040325</v>
      </c>
      <c r="D25" s="144" t="str">
        <f>SISWA!E26</f>
        <v>LATIZA</v>
      </c>
      <c r="E25" s="159">
        <v>90.571428571428569</v>
      </c>
      <c r="F25" s="159">
        <v>90.571428571428569</v>
      </c>
      <c r="G25" s="160">
        <v>90.571428571428569</v>
      </c>
      <c r="H25" s="160">
        <v>90.571428571428569</v>
      </c>
      <c r="I25" s="160">
        <v>90.571428571428569</v>
      </c>
      <c r="J25" s="160"/>
      <c r="K25" s="160"/>
      <c r="L25" s="160"/>
      <c r="M25" s="160"/>
      <c r="N25" s="159"/>
      <c r="O25" s="159"/>
      <c r="P25" s="159"/>
      <c r="Q25" s="159"/>
      <c r="R25" s="160"/>
      <c r="S25" s="160"/>
      <c r="T25" s="159"/>
      <c r="U25" s="354">
        <f t="shared" si="4"/>
        <v>91</v>
      </c>
      <c r="V25" s="355" t="str">
        <f>IF(U25&gt;KKM!$G$10,"A",IF(U25&gt;KKM!$H$10,"B",IF(U25&gt;=KKM!$I$10,"C","D")))</f>
        <v>A</v>
      </c>
      <c r="W25" s="356">
        <f t="shared" si="0"/>
        <v>90.571428571428569</v>
      </c>
      <c r="X25" s="361" t="str">
        <f>IF(W25&gt;KKM!$G$10," sangat baik ",IF(W25&gt;KKM!$H$10," baik ",IF(W25&gt;=KKM!$I$10," cukup baik "," perlu bimbingan ")))</f>
        <v xml:space="preserve"> sangat baik </v>
      </c>
      <c r="Y25" s="357">
        <f t="shared" si="1"/>
        <v>90.571428571428569</v>
      </c>
      <c r="Z25" s="361" t="str">
        <f>IF(Y25&gt;KKM!$G$10," sangat baik ",IF(Y25&gt;KKM!$H$10," baik ",IF(Y25&gt;=KKM!$I$10," cukup baik "," perlu bimbingan ")))</f>
        <v xml:space="preserve"> sangat baik </v>
      </c>
      <c r="AA25" s="353" t="str">
        <f t="shared" si="5"/>
        <v xml:space="preserve">LATIZA sangat baik  dalam memahami kombinasi pola gerak dominan (bertumpu, bergantung, keseimbangan, berpindah/lokomotor, tolakan, putaran, ayunan, melayang, dan mendarat) untuk membentuk keterampilan dasar senam menggunakan alat
</v>
      </c>
      <c r="AB25" s="256"/>
      <c r="AC25" s="257" t="str">
        <f t="shared" si="2"/>
        <v xml:space="preserve"> sangat baik  dalam memahami kombinasi pola gerak dominan (bertumpu, bergantung, keseimbangan, berpindah/lokomotor, tolakan, putaran, ayunan, melayang, dan mendarat) untuk membentuk keterampilan dasar senam menggunakan alat
</v>
      </c>
      <c r="AD25" s="257" t="str">
        <f t="shared" si="3"/>
        <v xml:space="preserve"> sangat baik  dalam memahami kombinasi pola gerak dominan (bertumpu, bergantung, keseimbangan, berpindah/lokomotor, tolakan, putaran, ayunan, melayang, dan mendarat) untuk membentuk keterampilan dasar senam menggunakan alat
</v>
      </c>
      <c r="AE25" s="257" t="str">
        <f t="shared" si="6"/>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25" s="257" t="str">
        <f t="shared" si="7"/>
        <v xml:space="preserve"> sangat baik  dalam memahami kombinasi pola gerak dominan (bertumpu, bergantung, keseimbangan, berpindah/lokomotor, tolakan, putaran, ayunan, melayang, dan mendarat) untuk membentuk keterampilan dasar senam menggunakan alat
</v>
      </c>
      <c r="AG25" s="258" t="str">
        <f t="shared" si="8"/>
        <v xml:space="preserve"> sangat baik  dalam memahami kombinasi pola gerak dominan (bertumpu, bergantung, keseimbangan, berpindah/lokomotor, tolakan, putaran, ayunan, melayang, dan mendarat) untuk membentuk keterampilan dasar senam menggunakan alat
</v>
      </c>
      <c r="AH25" s="252" t="str">
        <f t="shared" si="9"/>
        <v xml:space="preserve">LATIZA sangat baik  dalam memahami kombinasi pola gerak dominan (bertumpu, bergantung, keseimbangan, berpindah/lokomotor, tolakan, putaran, ayunan, melayang, dan mendarat) untuk membentuk keterampilan dasar senam menggunakan alat
</v>
      </c>
      <c r="AI25" s="153"/>
      <c r="AR25" s="469">
        <f t="shared" si="10"/>
        <v>91</v>
      </c>
    </row>
    <row r="26" spans="2:44" ht="63" customHeight="1">
      <c r="B26" s="142">
        <v>22</v>
      </c>
      <c r="C26" s="143" t="str">
        <f>SISWA!B27</f>
        <v>1718250040326</v>
      </c>
      <c r="D26" s="144" t="str">
        <f>SISWA!E27</f>
        <v>RIZKY</v>
      </c>
      <c r="E26" s="159">
        <v>85.285714285714292</v>
      </c>
      <c r="F26" s="159">
        <v>85.285714285714292</v>
      </c>
      <c r="G26" s="160">
        <v>85.285714285714292</v>
      </c>
      <c r="H26" s="160">
        <v>85.285714285714292</v>
      </c>
      <c r="I26" s="160">
        <v>85.285714285714292</v>
      </c>
      <c r="J26" s="160"/>
      <c r="K26" s="160"/>
      <c r="L26" s="160"/>
      <c r="M26" s="160"/>
      <c r="N26" s="159"/>
      <c r="O26" s="159"/>
      <c r="P26" s="159"/>
      <c r="Q26" s="159"/>
      <c r="R26" s="160"/>
      <c r="S26" s="160"/>
      <c r="T26" s="159"/>
      <c r="U26" s="354">
        <f t="shared" si="4"/>
        <v>85</v>
      </c>
      <c r="V26" s="355" t="str">
        <f>IF(U26&gt;KKM!$G$10,"A",IF(U26&gt;KKM!$H$10,"B",IF(U26&gt;=KKM!$I$10,"C","D")))</f>
        <v>B</v>
      </c>
      <c r="W26" s="356">
        <f t="shared" si="0"/>
        <v>85.285714285714292</v>
      </c>
      <c r="X26" s="361" t="str">
        <f>IF(W26&gt;KKM!$G$10," sangat baik ",IF(W26&gt;KKM!$H$10," baik ",IF(W26&gt;=KKM!$I$10," cukup baik "," perlu bimbingan ")))</f>
        <v xml:space="preserve"> baik </v>
      </c>
      <c r="Y26" s="357">
        <f t="shared" si="1"/>
        <v>85.285714285714292</v>
      </c>
      <c r="Z26" s="361" t="str">
        <f>IF(Y26&gt;KKM!$G$10," sangat baik ",IF(Y26&gt;KKM!$H$10," baik ",IF(Y26&gt;=KKM!$I$10," cukup baik "," perlu bimbingan ")))</f>
        <v xml:space="preserve"> baik </v>
      </c>
      <c r="AA26" s="353" t="str">
        <f t="shared" si="5"/>
        <v xml:space="preserve">RIZKY baik  dalam memahami kombinasi pola gerak dominan (bertumpu, bergantung, keseimbangan, berpindah/lokomotor, tolakan, putaran, ayunan, melayang, dan mendarat) untuk membentuk keterampilan dasar senam menggunakan alat
</v>
      </c>
      <c r="AB26" s="256"/>
      <c r="AC26" s="257" t="str">
        <f t="shared" si="2"/>
        <v xml:space="preserve"> baik  dalam memahami kombinasi pola gerak dominan (bertumpu, bergantung, keseimbangan, berpindah/lokomotor, tolakan, putaran, ayunan, melayang, dan mendarat) untuk membentuk keterampilan dasar senam menggunakan alat
</v>
      </c>
      <c r="AD26" s="257" t="str">
        <f t="shared" si="3"/>
        <v xml:space="preserve"> baik  dalam memahami kombinasi pola gerak dominan (bertumpu, bergantung, keseimbangan, berpindah/lokomotor, tolakan, putaran, ayunan, melayang, dan mendarat) untuk membentuk keterampilan dasar senam menggunakan alat
</v>
      </c>
      <c r="AE26"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26" s="257" t="str">
        <f t="shared" si="7"/>
        <v xml:space="preserve"> baik  dalam memahami kombinasi pola gerak dominan (bertumpu, bergantung, keseimbangan, berpindah/lokomotor, tolakan, putaran, ayunan, melayang, dan mendarat) untuk membentuk keterampilan dasar senam menggunakan alat
</v>
      </c>
      <c r="AG26" s="258" t="str">
        <f t="shared" si="8"/>
        <v xml:space="preserve"> baik  dalam memahami kombinasi pola gerak dominan (bertumpu, bergantung, keseimbangan, berpindah/lokomotor, tolakan, putaran, ayunan, melayang, dan mendarat) untuk membentuk keterampilan dasar senam menggunakan alat
</v>
      </c>
      <c r="AH26" s="252" t="str">
        <f t="shared" si="9"/>
        <v xml:space="preserve">RIZKY baik  dalam memahami kombinasi pola gerak dominan (bertumpu, bergantung, keseimbangan, berpindah/lokomotor, tolakan, putaran, ayunan, melayang, dan mendarat) untuk membentuk keterampilan dasar senam menggunakan alat
</v>
      </c>
      <c r="AI26" s="153"/>
      <c r="AR26" s="469">
        <f t="shared" si="10"/>
        <v>85</v>
      </c>
    </row>
    <row r="27" spans="2:44" ht="63" customHeight="1">
      <c r="B27" s="142">
        <v>23</v>
      </c>
      <c r="C27" s="143" t="str">
        <f>SISWA!B28</f>
        <v>1718250040327</v>
      </c>
      <c r="D27" s="144" t="str">
        <f>SISWA!E28</f>
        <v>RAMADHANDANI</v>
      </c>
      <c r="E27" s="159">
        <v>87</v>
      </c>
      <c r="F27" s="159">
        <v>87</v>
      </c>
      <c r="G27" s="160">
        <v>87</v>
      </c>
      <c r="H27" s="160">
        <v>87</v>
      </c>
      <c r="I27" s="160">
        <v>87</v>
      </c>
      <c r="J27" s="160"/>
      <c r="K27" s="160"/>
      <c r="L27" s="160"/>
      <c r="M27" s="160"/>
      <c r="N27" s="159"/>
      <c r="O27" s="159"/>
      <c r="P27" s="159"/>
      <c r="Q27" s="159"/>
      <c r="R27" s="160"/>
      <c r="S27" s="160"/>
      <c r="T27" s="159"/>
      <c r="U27" s="354">
        <f t="shared" si="4"/>
        <v>87</v>
      </c>
      <c r="V27" s="355" t="str">
        <f>IF(U27&gt;KKM!$G$10,"A",IF(U27&gt;KKM!$H$10,"B",IF(U27&gt;=KKM!$I$10,"C","D")))</f>
        <v>B</v>
      </c>
      <c r="W27" s="356">
        <f t="shared" si="0"/>
        <v>87</v>
      </c>
      <c r="X27" s="361" t="str">
        <f>IF(W27&gt;KKM!$G$10," sangat baik ",IF(W27&gt;KKM!$H$10," baik ",IF(W27&gt;=KKM!$I$10," cukup baik "," perlu bimbingan ")))</f>
        <v xml:space="preserve"> baik </v>
      </c>
      <c r="Y27" s="357">
        <f t="shared" si="1"/>
        <v>87</v>
      </c>
      <c r="Z27" s="361" t="str">
        <f>IF(Y27&gt;KKM!$G$10," sangat baik ",IF(Y27&gt;KKM!$H$10," baik ",IF(Y27&gt;=KKM!$I$10," cukup baik "," perlu bimbingan ")))</f>
        <v xml:space="preserve"> baik </v>
      </c>
      <c r="AA27" s="353" t="str">
        <f t="shared" si="5"/>
        <v xml:space="preserve">RAMADHANDANI baik  dalam memahami kombinasi pola gerak dominan (bertumpu, bergantung, keseimbangan, berpindah/lokomotor, tolakan, putaran, ayunan, melayang, dan mendarat) untuk membentuk keterampilan dasar senam menggunakan alat
</v>
      </c>
      <c r="AB27" s="256"/>
      <c r="AC27" s="257" t="str">
        <f t="shared" si="2"/>
        <v xml:space="preserve"> baik  dalam memahami kombinasi pola gerak dominan (bertumpu, bergantung, keseimbangan, berpindah/lokomotor, tolakan, putaran, ayunan, melayang, dan mendarat) untuk membentuk keterampilan dasar senam menggunakan alat
</v>
      </c>
      <c r="AD27" s="257" t="str">
        <f t="shared" si="3"/>
        <v xml:space="preserve"> baik  dalam memahami kombinasi pola gerak dominan (bertumpu, bergantung, keseimbangan, berpindah/lokomotor, tolakan, putaran, ayunan, melayang, dan mendarat) untuk membentuk keterampilan dasar senam menggunakan alat
</v>
      </c>
      <c r="AE27"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27" s="257" t="str">
        <f t="shared" si="7"/>
        <v xml:space="preserve"> baik  dalam memahami kombinasi pola gerak dominan (bertumpu, bergantung, keseimbangan, berpindah/lokomotor, tolakan, putaran, ayunan, melayang, dan mendarat) untuk membentuk keterampilan dasar senam menggunakan alat
</v>
      </c>
      <c r="AG27" s="258" t="str">
        <f t="shared" si="8"/>
        <v xml:space="preserve"> baik  dalam memahami kombinasi pola gerak dominan (bertumpu, bergantung, keseimbangan, berpindah/lokomotor, tolakan, putaran, ayunan, melayang, dan mendarat) untuk membentuk keterampilan dasar senam menggunakan alat
</v>
      </c>
      <c r="AH27" s="252" t="str">
        <f t="shared" si="9"/>
        <v xml:space="preserve">RAMADHANDANI baik  dalam memahami kombinasi pola gerak dominan (bertumpu, bergantung, keseimbangan, berpindah/lokomotor, tolakan, putaran, ayunan, melayang, dan mendarat) untuk membentuk keterampilan dasar senam menggunakan alat
</v>
      </c>
      <c r="AI27" s="153"/>
      <c r="AR27" s="469">
        <f t="shared" si="10"/>
        <v>87</v>
      </c>
    </row>
    <row r="28" spans="2:44" ht="63" customHeight="1">
      <c r="B28" s="142">
        <v>24</v>
      </c>
      <c r="C28" s="143" t="str">
        <f>SISWA!B29</f>
        <v>1718250040328</v>
      </c>
      <c r="D28" s="144" t="str">
        <f>SISWA!E29</f>
        <v>SYAEPUL</v>
      </c>
      <c r="E28" s="159">
        <v>83.571428571428569</v>
      </c>
      <c r="F28" s="159">
        <v>83.571428571428569</v>
      </c>
      <c r="G28" s="160">
        <v>83.571428571428569</v>
      </c>
      <c r="H28" s="160">
        <v>83.571428571428569</v>
      </c>
      <c r="I28" s="160">
        <v>83.571428571428569</v>
      </c>
      <c r="J28" s="160"/>
      <c r="K28" s="160"/>
      <c r="L28" s="160"/>
      <c r="M28" s="160"/>
      <c r="N28" s="159"/>
      <c r="O28" s="159"/>
      <c r="P28" s="159"/>
      <c r="Q28" s="159"/>
      <c r="R28" s="160"/>
      <c r="S28" s="160"/>
      <c r="T28" s="159"/>
      <c r="U28" s="354">
        <f t="shared" si="4"/>
        <v>84</v>
      </c>
      <c r="V28" s="355" t="str">
        <f>IF(U28&gt;KKM!$G$10,"A",IF(U28&gt;KKM!$H$10,"B",IF(U28&gt;=KKM!$I$10,"C","D")))</f>
        <v>B</v>
      </c>
      <c r="W28" s="356">
        <f t="shared" si="0"/>
        <v>83.571428571428569</v>
      </c>
      <c r="X28" s="361" t="str">
        <f>IF(W28&gt;KKM!$G$10," sangat baik ",IF(W28&gt;KKM!$H$10," baik ",IF(W28&gt;=KKM!$I$10," cukup baik "," perlu bimbingan ")))</f>
        <v xml:space="preserve"> baik </v>
      </c>
      <c r="Y28" s="357">
        <f t="shared" si="1"/>
        <v>83.571428571428569</v>
      </c>
      <c r="Z28" s="361" t="str">
        <f>IF(Y28&gt;KKM!$G$10," sangat baik ",IF(Y28&gt;KKM!$H$10," baik ",IF(Y28&gt;=KKM!$I$10," cukup baik "," perlu bimbingan ")))</f>
        <v xml:space="preserve"> baik </v>
      </c>
      <c r="AA28" s="353" t="str">
        <f t="shared" si="5"/>
        <v xml:space="preserve">SYAEPUL baik  dalam memahami kombinasi pola gerak dominan (bertumpu, bergantung, keseimbangan, berpindah/lokomotor, tolakan, putaran, ayunan, melayang, dan mendarat) untuk membentuk keterampilan dasar senam menggunakan alat
</v>
      </c>
      <c r="AB28" s="256"/>
      <c r="AC28" s="257" t="str">
        <f t="shared" si="2"/>
        <v xml:space="preserve"> baik  dalam memahami kombinasi pola gerak dominan (bertumpu, bergantung, keseimbangan, berpindah/lokomotor, tolakan, putaran, ayunan, melayang, dan mendarat) untuk membentuk keterampilan dasar senam menggunakan alat
</v>
      </c>
      <c r="AD28" s="257" t="str">
        <f t="shared" si="3"/>
        <v xml:space="preserve"> baik  dalam memahami kombinasi pola gerak dominan (bertumpu, bergantung, keseimbangan, berpindah/lokomotor, tolakan, putaran, ayunan, melayang, dan mendarat) untuk membentuk keterampilan dasar senam menggunakan alat
</v>
      </c>
      <c r="AE28"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28" s="257" t="str">
        <f t="shared" si="7"/>
        <v xml:space="preserve"> baik  dalam memahami kombinasi pola gerak dominan (bertumpu, bergantung, keseimbangan, berpindah/lokomotor, tolakan, putaran, ayunan, melayang, dan mendarat) untuk membentuk keterampilan dasar senam menggunakan alat
</v>
      </c>
      <c r="AG28" s="258" t="str">
        <f t="shared" si="8"/>
        <v xml:space="preserve"> baik  dalam memahami kombinasi pola gerak dominan (bertumpu, bergantung, keseimbangan, berpindah/lokomotor, tolakan, putaran, ayunan, melayang, dan mendarat) untuk membentuk keterampilan dasar senam menggunakan alat
</v>
      </c>
      <c r="AH28" s="252" t="str">
        <f t="shared" si="9"/>
        <v xml:space="preserve">SYAEPUL baik  dalam memahami kombinasi pola gerak dominan (bertumpu, bergantung, keseimbangan, berpindah/lokomotor, tolakan, putaran, ayunan, melayang, dan mendarat) untuk membentuk keterampilan dasar senam menggunakan alat
</v>
      </c>
      <c r="AI28" s="153"/>
      <c r="AR28" s="469">
        <f t="shared" si="10"/>
        <v>84</v>
      </c>
    </row>
    <row r="29" spans="2:44" ht="63" customHeight="1">
      <c r="B29" s="142">
        <v>25</v>
      </c>
      <c r="C29" s="143" t="str">
        <f>SISWA!B30</f>
        <v>1718250040329</v>
      </c>
      <c r="D29" s="144" t="str">
        <f>SISWA!E30</f>
        <v>ALIF</v>
      </c>
      <c r="E29" s="159">
        <v>87.428571428571431</v>
      </c>
      <c r="F29" s="159">
        <v>87.428571428571431</v>
      </c>
      <c r="G29" s="160">
        <v>87.428571428571431</v>
      </c>
      <c r="H29" s="160">
        <v>87.428571428571431</v>
      </c>
      <c r="I29" s="160">
        <v>87.428571428571431</v>
      </c>
      <c r="J29" s="160"/>
      <c r="K29" s="160"/>
      <c r="L29" s="160"/>
      <c r="M29" s="160"/>
      <c r="N29" s="159"/>
      <c r="O29" s="159"/>
      <c r="P29" s="159"/>
      <c r="Q29" s="159"/>
      <c r="R29" s="160"/>
      <c r="S29" s="160"/>
      <c r="T29" s="159"/>
      <c r="U29" s="354">
        <f t="shared" si="4"/>
        <v>87</v>
      </c>
      <c r="V29" s="355" t="str">
        <f>IF(U29&gt;KKM!$G$10,"A",IF(U29&gt;KKM!$H$10,"B",IF(U29&gt;=KKM!$I$10,"C","D")))</f>
        <v>B</v>
      </c>
      <c r="W29" s="356">
        <f t="shared" si="0"/>
        <v>87.428571428571431</v>
      </c>
      <c r="X29" s="361" t="str">
        <f>IF(W29&gt;KKM!$G$10," sangat baik ",IF(W29&gt;KKM!$H$10," baik ",IF(W29&gt;=KKM!$I$10," cukup baik "," perlu bimbingan ")))</f>
        <v xml:space="preserve"> sangat baik </v>
      </c>
      <c r="Y29" s="357">
        <f t="shared" si="1"/>
        <v>87.428571428571431</v>
      </c>
      <c r="Z29" s="361" t="str">
        <f>IF(Y29&gt;KKM!$G$10," sangat baik ",IF(Y29&gt;KKM!$H$10," baik ",IF(Y29&gt;=KKM!$I$10," cukup baik "," perlu bimbingan ")))</f>
        <v xml:space="preserve"> sangat baik </v>
      </c>
      <c r="AA29" s="353" t="str">
        <f t="shared" si="5"/>
        <v xml:space="preserve">ALIF sangat baik  dalam memahami kombinasi pola gerak dominan (bertumpu, bergantung, keseimbangan, berpindah/lokomotor, tolakan, putaran, ayunan, melayang, dan mendarat) untuk membentuk keterampilan dasar senam menggunakan alat
</v>
      </c>
      <c r="AB29" s="256"/>
      <c r="AC29" s="257" t="str">
        <f t="shared" si="2"/>
        <v xml:space="preserve"> sangat baik  dalam memahami kombinasi pola gerak dominan (bertumpu, bergantung, keseimbangan, berpindah/lokomotor, tolakan, putaran, ayunan, melayang, dan mendarat) untuk membentuk keterampilan dasar senam menggunakan alat
</v>
      </c>
      <c r="AD29" s="257" t="str">
        <f t="shared" si="3"/>
        <v xml:space="preserve"> sangat baik  dalam memahami kombinasi pola gerak dominan (bertumpu, bergantung, keseimbangan, berpindah/lokomotor, tolakan, putaran, ayunan, melayang, dan mendarat) untuk membentuk keterampilan dasar senam menggunakan alat
</v>
      </c>
      <c r="AE29" s="257" t="str">
        <f t="shared" si="6"/>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29" s="257" t="str">
        <f t="shared" si="7"/>
        <v xml:space="preserve"> sangat baik  dalam memahami kombinasi pola gerak dominan (bertumpu, bergantung, keseimbangan, berpindah/lokomotor, tolakan, putaran, ayunan, melayang, dan mendarat) untuk membentuk keterampilan dasar senam menggunakan alat
</v>
      </c>
      <c r="AG29" s="258" t="str">
        <f t="shared" si="8"/>
        <v xml:space="preserve"> sangat baik  dalam memahami kombinasi pola gerak dominan (bertumpu, bergantung, keseimbangan, berpindah/lokomotor, tolakan, putaran, ayunan, melayang, dan mendarat) untuk membentuk keterampilan dasar senam menggunakan alat
</v>
      </c>
      <c r="AH29" s="252" t="str">
        <f t="shared" si="9"/>
        <v xml:space="preserve">ALIF sangat baik  dalam memahami kombinasi pola gerak dominan (bertumpu, bergantung, keseimbangan, berpindah/lokomotor, tolakan, putaran, ayunan, melayang, dan mendarat) untuk membentuk keterampilan dasar senam menggunakan alat
</v>
      </c>
      <c r="AI29" s="153"/>
      <c r="AR29" s="469">
        <f t="shared" si="10"/>
        <v>87</v>
      </c>
    </row>
    <row r="30" spans="2:44" ht="63" customHeight="1">
      <c r="B30" s="142">
        <v>26</v>
      </c>
      <c r="C30" s="143" t="str">
        <f>SISWA!B31</f>
        <v>1718250040330</v>
      </c>
      <c r="D30" s="144" t="str">
        <f>SISWA!E31</f>
        <v>HIZKIEL</v>
      </c>
      <c r="E30" s="159">
        <v>88</v>
      </c>
      <c r="F30" s="159">
        <v>88</v>
      </c>
      <c r="G30" s="160">
        <v>88</v>
      </c>
      <c r="H30" s="160">
        <v>88</v>
      </c>
      <c r="I30" s="160">
        <v>88</v>
      </c>
      <c r="J30" s="160"/>
      <c r="K30" s="160"/>
      <c r="L30" s="160"/>
      <c r="M30" s="160"/>
      <c r="N30" s="159"/>
      <c r="O30" s="159"/>
      <c r="P30" s="159"/>
      <c r="Q30" s="159"/>
      <c r="R30" s="160"/>
      <c r="S30" s="160"/>
      <c r="T30" s="159"/>
      <c r="U30" s="354">
        <f t="shared" si="4"/>
        <v>88</v>
      </c>
      <c r="V30" s="355" t="str">
        <f>IF(U30&gt;KKM!$G$10,"A",IF(U30&gt;KKM!$H$10,"B",IF(U30&gt;=KKM!$I$10,"C","D")))</f>
        <v>A</v>
      </c>
      <c r="W30" s="356">
        <f t="shared" si="0"/>
        <v>88</v>
      </c>
      <c r="X30" s="361" t="str">
        <f>IF(W30&gt;KKM!$G$10," sangat baik ",IF(W30&gt;KKM!$H$10," baik ",IF(W30&gt;=KKM!$I$10," cukup baik "," perlu bimbingan ")))</f>
        <v xml:space="preserve"> sangat baik </v>
      </c>
      <c r="Y30" s="357">
        <f t="shared" si="1"/>
        <v>88</v>
      </c>
      <c r="Z30" s="361" t="str">
        <f>IF(Y30&gt;KKM!$G$10," sangat baik ",IF(Y30&gt;KKM!$H$10," baik ",IF(Y30&gt;=KKM!$I$10," cukup baik "," perlu bimbingan ")))</f>
        <v xml:space="preserve"> sangat baik </v>
      </c>
      <c r="AA30" s="353" t="str">
        <f t="shared" si="5"/>
        <v xml:space="preserve">HIZKIEL sangat baik  dalam memahami kombinasi pola gerak dominan (bertumpu, bergantung, keseimbangan, berpindah/lokomotor, tolakan, putaran, ayunan, melayang, dan mendarat) untuk membentuk keterampilan dasar senam menggunakan alat
</v>
      </c>
      <c r="AB30" s="256"/>
      <c r="AC30" s="257" t="str">
        <f t="shared" si="2"/>
        <v xml:space="preserve"> sangat baik  dalam memahami kombinasi pola gerak dominan (bertumpu, bergantung, keseimbangan, berpindah/lokomotor, tolakan, putaran, ayunan, melayang, dan mendarat) untuk membentuk keterampilan dasar senam menggunakan alat
</v>
      </c>
      <c r="AD30" s="257" t="str">
        <f t="shared" si="3"/>
        <v xml:space="preserve"> sangat baik  dalam memahami kombinasi pola gerak dominan (bertumpu, bergantung, keseimbangan, berpindah/lokomotor, tolakan, putaran, ayunan, melayang, dan mendarat) untuk membentuk keterampilan dasar senam menggunakan alat
</v>
      </c>
      <c r="AE30" s="257" t="str">
        <f t="shared" si="6"/>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30" s="257" t="str">
        <f t="shared" si="7"/>
        <v xml:space="preserve"> sangat baik  dalam memahami kombinasi pola gerak dominan (bertumpu, bergantung, keseimbangan, berpindah/lokomotor, tolakan, putaran, ayunan, melayang, dan mendarat) untuk membentuk keterampilan dasar senam menggunakan alat
</v>
      </c>
      <c r="AG30" s="258" t="str">
        <f t="shared" si="8"/>
        <v xml:space="preserve"> sangat baik  dalam memahami kombinasi pola gerak dominan (bertumpu, bergantung, keseimbangan, berpindah/lokomotor, tolakan, putaran, ayunan, melayang, dan mendarat) untuk membentuk keterampilan dasar senam menggunakan alat
</v>
      </c>
      <c r="AH30" s="252" t="str">
        <f t="shared" si="9"/>
        <v xml:space="preserve">HIZKIEL sangat baik  dalam memahami kombinasi pola gerak dominan (bertumpu, bergantung, keseimbangan, berpindah/lokomotor, tolakan, putaran, ayunan, melayang, dan mendarat) untuk membentuk keterampilan dasar senam menggunakan alat
</v>
      </c>
      <c r="AI30" s="153"/>
      <c r="AR30" s="469">
        <f t="shared" si="10"/>
        <v>88</v>
      </c>
    </row>
    <row r="31" spans="2:44" ht="63" customHeight="1">
      <c r="B31" s="142">
        <v>27</v>
      </c>
      <c r="C31" s="143" t="str">
        <f>SISWA!B32</f>
        <v>1718250040331</v>
      </c>
      <c r="D31" s="144" t="str">
        <f>SISWA!E32</f>
        <v>LAEL</v>
      </c>
      <c r="E31" s="159">
        <v>86</v>
      </c>
      <c r="F31" s="159">
        <v>86</v>
      </c>
      <c r="G31" s="160">
        <v>86</v>
      </c>
      <c r="H31" s="160">
        <v>86</v>
      </c>
      <c r="I31" s="160">
        <v>86</v>
      </c>
      <c r="J31" s="160"/>
      <c r="K31" s="160"/>
      <c r="L31" s="160"/>
      <c r="M31" s="160"/>
      <c r="N31" s="159"/>
      <c r="O31" s="159"/>
      <c r="P31" s="159"/>
      <c r="Q31" s="159"/>
      <c r="R31" s="160"/>
      <c r="S31" s="160"/>
      <c r="T31" s="159"/>
      <c r="U31" s="354">
        <f t="shared" si="4"/>
        <v>86</v>
      </c>
      <c r="V31" s="355" t="str">
        <f>IF(U31&gt;KKM!$G$10,"A",IF(U31&gt;KKM!$H$10,"B",IF(U31&gt;=KKM!$I$10,"C","D")))</f>
        <v>B</v>
      </c>
      <c r="W31" s="356">
        <f t="shared" si="0"/>
        <v>86</v>
      </c>
      <c r="X31" s="361" t="str">
        <f>IF(W31&gt;KKM!$G$10," sangat baik ",IF(W31&gt;KKM!$H$10," baik ",IF(W31&gt;=KKM!$I$10," cukup baik "," perlu bimbingan ")))</f>
        <v xml:space="preserve"> baik </v>
      </c>
      <c r="Y31" s="357">
        <f t="shared" si="1"/>
        <v>86</v>
      </c>
      <c r="Z31" s="361" t="str">
        <f>IF(Y31&gt;KKM!$G$10," sangat baik ",IF(Y31&gt;KKM!$H$10," baik ",IF(Y31&gt;=KKM!$I$10," cukup baik "," perlu bimbingan ")))</f>
        <v xml:space="preserve"> baik </v>
      </c>
      <c r="AA31" s="353" t="str">
        <f t="shared" si="5"/>
        <v xml:space="preserve">LAEL baik  dalam memahami kombinasi pola gerak dominan (bertumpu, bergantung, keseimbangan, berpindah/lokomotor, tolakan, putaran, ayunan, melayang, dan mendarat) untuk membentuk keterampilan dasar senam menggunakan alat
</v>
      </c>
      <c r="AB31" s="256"/>
      <c r="AC31" s="257" t="str">
        <f t="shared" si="2"/>
        <v xml:space="preserve"> baik  dalam memahami kombinasi pola gerak dominan (bertumpu, bergantung, keseimbangan, berpindah/lokomotor, tolakan, putaran, ayunan, melayang, dan mendarat) untuk membentuk keterampilan dasar senam menggunakan alat
</v>
      </c>
      <c r="AD31" s="257" t="str">
        <f t="shared" si="3"/>
        <v xml:space="preserve"> baik  dalam memahami kombinasi pola gerak dominan (bertumpu, bergantung, keseimbangan, berpindah/lokomotor, tolakan, putaran, ayunan, melayang, dan mendarat) untuk membentuk keterampilan dasar senam menggunakan alat
</v>
      </c>
      <c r="AE31"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31" s="257" t="str">
        <f t="shared" si="7"/>
        <v xml:space="preserve"> baik  dalam memahami kombinasi pola gerak dominan (bertumpu, bergantung, keseimbangan, berpindah/lokomotor, tolakan, putaran, ayunan, melayang, dan mendarat) untuk membentuk keterampilan dasar senam menggunakan alat
</v>
      </c>
      <c r="AG31" s="258" t="str">
        <f t="shared" si="8"/>
        <v xml:space="preserve"> baik  dalam memahami kombinasi pola gerak dominan (bertumpu, bergantung, keseimbangan, berpindah/lokomotor, tolakan, putaran, ayunan, melayang, dan mendarat) untuk membentuk keterampilan dasar senam menggunakan alat
</v>
      </c>
      <c r="AH31" s="252" t="str">
        <f t="shared" si="9"/>
        <v xml:space="preserve">LAEL baik  dalam memahami kombinasi pola gerak dominan (bertumpu, bergantung, keseimbangan, berpindah/lokomotor, tolakan, putaran, ayunan, melayang, dan mendarat) untuk membentuk keterampilan dasar senam menggunakan alat
</v>
      </c>
      <c r="AI31" s="153"/>
      <c r="AR31" s="469">
        <f t="shared" si="10"/>
        <v>86</v>
      </c>
    </row>
    <row r="32" spans="2:44" ht="63" customHeight="1">
      <c r="B32" s="142">
        <v>28</v>
      </c>
      <c r="C32" s="143" t="str">
        <f>SISWA!B33</f>
        <v>1718250040332</v>
      </c>
      <c r="D32" s="144" t="str">
        <f>SISWA!E33</f>
        <v>NABIL</v>
      </c>
      <c r="E32" s="159">
        <v>84.857142857142861</v>
      </c>
      <c r="F32" s="159">
        <v>84.857142857142861</v>
      </c>
      <c r="G32" s="160">
        <v>84.857142857142861</v>
      </c>
      <c r="H32" s="160">
        <v>84.857142857142861</v>
      </c>
      <c r="I32" s="160">
        <v>84.857142857142861</v>
      </c>
      <c r="J32" s="160"/>
      <c r="K32" s="160"/>
      <c r="L32" s="160"/>
      <c r="M32" s="160"/>
      <c r="N32" s="159"/>
      <c r="O32" s="159"/>
      <c r="P32" s="159"/>
      <c r="Q32" s="159"/>
      <c r="R32" s="160"/>
      <c r="S32" s="160"/>
      <c r="T32" s="159"/>
      <c r="U32" s="354">
        <f t="shared" si="4"/>
        <v>85</v>
      </c>
      <c r="V32" s="355" t="str">
        <f>IF(U32&gt;KKM!$G$10,"A",IF(U32&gt;KKM!$H$10,"B",IF(U32&gt;=KKM!$I$10,"C","D")))</f>
        <v>B</v>
      </c>
      <c r="W32" s="356">
        <f t="shared" si="0"/>
        <v>84.857142857142861</v>
      </c>
      <c r="X32" s="361" t="str">
        <f>IF(W32&gt;KKM!$G$10," sangat baik ",IF(W32&gt;KKM!$H$10," baik ",IF(W32&gt;=KKM!$I$10," cukup baik "," perlu bimbingan ")))</f>
        <v xml:space="preserve"> baik </v>
      </c>
      <c r="Y32" s="357">
        <f t="shared" si="1"/>
        <v>84.857142857142861</v>
      </c>
      <c r="Z32" s="361" t="str">
        <f>IF(Y32&gt;KKM!$G$10," sangat baik ",IF(Y32&gt;KKM!$H$10," baik ",IF(Y32&gt;=KKM!$I$10," cukup baik "," perlu bimbingan ")))</f>
        <v xml:space="preserve"> baik </v>
      </c>
      <c r="AA32" s="353" t="str">
        <f t="shared" si="5"/>
        <v xml:space="preserve">NABIL baik  dalam memahami kombinasi pola gerak dominan (bertumpu, bergantung, keseimbangan, berpindah/lokomotor, tolakan, putaran, ayunan, melayang, dan mendarat) untuk membentuk keterampilan dasar senam menggunakan alat
</v>
      </c>
      <c r="AB32" s="256"/>
      <c r="AC32" s="257" t="str">
        <f t="shared" si="2"/>
        <v xml:space="preserve"> baik  dalam memahami kombinasi pola gerak dominan (bertumpu, bergantung, keseimbangan, berpindah/lokomotor, tolakan, putaran, ayunan, melayang, dan mendarat) untuk membentuk keterampilan dasar senam menggunakan alat
</v>
      </c>
      <c r="AD32" s="257" t="str">
        <f t="shared" si="3"/>
        <v xml:space="preserve"> baik  dalam memahami kombinasi pola gerak dominan (bertumpu, bergantung, keseimbangan, berpindah/lokomotor, tolakan, putaran, ayunan, melayang, dan mendarat) untuk membentuk keterampilan dasar senam menggunakan alat
</v>
      </c>
      <c r="AE32"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32" s="257" t="str">
        <f t="shared" si="7"/>
        <v xml:space="preserve"> baik  dalam memahami kombinasi pola gerak dominan (bertumpu, bergantung, keseimbangan, berpindah/lokomotor, tolakan, putaran, ayunan, melayang, dan mendarat) untuk membentuk keterampilan dasar senam menggunakan alat
</v>
      </c>
      <c r="AG32" s="258" t="str">
        <f t="shared" si="8"/>
        <v xml:space="preserve"> baik  dalam memahami kombinasi pola gerak dominan (bertumpu, bergantung, keseimbangan, berpindah/lokomotor, tolakan, putaran, ayunan, melayang, dan mendarat) untuk membentuk keterampilan dasar senam menggunakan alat
</v>
      </c>
      <c r="AH32" s="252" t="str">
        <f t="shared" si="9"/>
        <v xml:space="preserve">NABIL baik  dalam memahami kombinasi pola gerak dominan (bertumpu, bergantung, keseimbangan, berpindah/lokomotor, tolakan, putaran, ayunan, melayang, dan mendarat) untuk membentuk keterampilan dasar senam menggunakan alat
</v>
      </c>
      <c r="AI32" s="153"/>
      <c r="AR32" s="469">
        <f t="shared" si="10"/>
        <v>85</v>
      </c>
    </row>
    <row r="33" spans="2:44" ht="63" customHeight="1">
      <c r="B33" s="142">
        <v>29</v>
      </c>
      <c r="C33" s="143" t="str">
        <f>SISWA!B34</f>
        <v>1718250040333</v>
      </c>
      <c r="D33" s="144" t="str">
        <f>SISWA!E34</f>
        <v>RASYA</v>
      </c>
      <c r="E33" s="159">
        <v>86.285714285714292</v>
      </c>
      <c r="F33" s="159">
        <v>86.285714285714292</v>
      </c>
      <c r="G33" s="160">
        <v>86.285714285714292</v>
      </c>
      <c r="H33" s="160">
        <v>86.285714285714292</v>
      </c>
      <c r="I33" s="160">
        <v>86.285714285714292</v>
      </c>
      <c r="J33" s="160"/>
      <c r="K33" s="160"/>
      <c r="L33" s="160"/>
      <c r="M33" s="160"/>
      <c r="N33" s="159"/>
      <c r="O33" s="159"/>
      <c r="P33" s="159"/>
      <c r="Q33" s="159"/>
      <c r="R33" s="160"/>
      <c r="S33" s="160"/>
      <c r="T33" s="159"/>
      <c r="U33" s="354">
        <f t="shared" si="4"/>
        <v>86</v>
      </c>
      <c r="V33" s="355" t="str">
        <f>IF(U33&gt;KKM!$G$10,"A",IF(U33&gt;KKM!$H$10,"B",IF(U33&gt;=KKM!$I$10,"C","D")))</f>
        <v>B</v>
      </c>
      <c r="W33" s="356">
        <f t="shared" si="0"/>
        <v>86.285714285714292</v>
      </c>
      <c r="X33" s="361" t="str">
        <f>IF(W33&gt;KKM!$G$10," sangat baik ",IF(W33&gt;KKM!$H$10," baik ",IF(W33&gt;=KKM!$I$10," cukup baik "," perlu bimbingan ")))</f>
        <v xml:space="preserve"> baik </v>
      </c>
      <c r="Y33" s="357">
        <f t="shared" si="1"/>
        <v>86.285714285714292</v>
      </c>
      <c r="Z33" s="361" t="str">
        <f>IF(Y33&gt;KKM!$G$10," sangat baik ",IF(Y33&gt;KKM!$H$10," baik ",IF(Y33&gt;=KKM!$I$10," cukup baik "," perlu bimbingan ")))</f>
        <v xml:space="preserve"> baik </v>
      </c>
      <c r="AA33" s="353" t="str">
        <f t="shared" si="5"/>
        <v xml:space="preserve">RASYA baik  dalam memahami kombinasi pola gerak dominan (bertumpu, bergantung, keseimbangan, berpindah/lokomotor, tolakan, putaran, ayunan, melayang, dan mendarat) untuk membentuk keterampilan dasar senam menggunakan alat
</v>
      </c>
      <c r="AB33" s="256"/>
      <c r="AC33" s="257" t="str">
        <f t="shared" si="2"/>
        <v xml:space="preserve"> baik  dalam memahami kombinasi pola gerak dominan (bertumpu, bergantung, keseimbangan, berpindah/lokomotor, tolakan, putaran, ayunan, melayang, dan mendarat) untuk membentuk keterampilan dasar senam menggunakan alat
</v>
      </c>
      <c r="AD33" s="257" t="str">
        <f t="shared" si="3"/>
        <v xml:space="preserve"> baik  dalam memahami kombinasi pola gerak dominan (bertumpu, bergantung, keseimbangan, berpindah/lokomotor, tolakan, putaran, ayunan, melayang, dan mendarat) untuk membentuk keterampilan dasar senam menggunakan alat
</v>
      </c>
      <c r="AE33"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33" s="257" t="str">
        <f t="shared" si="7"/>
        <v xml:space="preserve"> baik  dalam memahami kombinasi pola gerak dominan (bertumpu, bergantung, keseimbangan, berpindah/lokomotor, tolakan, putaran, ayunan, melayang, dan mendarat) untuk membentuk keterampilan dasar senam menggunakan alat
</v>
      </c>
      <c r="AG33" s="258" t="str">
        <f t="shared" si="8"/>
        <v xml:space="preserve"> baik  dalam memahami kombinasi pola gerak dominan (bertumpu, bergantung, keseimbangan, berpindah/lokomotor, tolakan, putaran, ayunan, melayang, dan mendarat) untuk membentuk keterampilan dasar senam menggunakan alat
</v>
      </c>
      <c r="AH33" s="252" t="str">
        <f t="shared" si="9"/>
        <v xml:space="preserve">RASYA baik  dalam memahami kombinasi pola gerak dominan (bertumpu, bergantung, keseimbangan, berpindah/lokomotor, tolakan, putaran, ayunan, melayang, dan mendarat) untuk membentuk keterampilan dasar senam menggunakan alat
</v>
      </c>
      <c r="AI33" s="153"/>
      <c r="AR33" s="469">
        <f t="shared" si="10"/>
        <v>86</v>
      </c>
    </row>
    <row r="34" spans="2:44" ht="63" customHeight="1">
      <c r="B34" s="142">
        <v>30</v>
      </c>
      <c r="C34" s="143" t="str">
        <f>SISWA!B35</f>
        <v>1718250040334</v>
      </c>
      <c r="D34" s="144" t="str">
        <f>SISWA!E35</f>
        <v>RIZKI</v>
      </c>
      <c r="E34" s="159">
        <v>89</v>
      </c>
      <c r="F34" s="159">
        <v>89</v>
      </c>
      <c r="G34" s="160">
        <v>89</v>
      </c>
      <c r="H34" s="160">
        <v>89</v>
      </c>
      <c r="I34" s="160">
        <v>89</v>
      </c>
      <c r="J34" s="160"/>
      <c r="K34" s="160"/>
      <c r="L34" s="160"/>
      <c r="M34" s="160"/>
      <c r="N34" s="159"/>
      <c r="O34" s="159"/>
      <c r="P34" s="159"/>
      <c r="Q34" s="159"/>
      <c r="R34" s="160"/>
      <c r="S34" s="160"/>
      <c r="T34" s="159"/>
      <c r="U34" s="354">
        <f t="shared" si="4"/>
        <v>89</v>
      </c>
      <c r="V34" s="355" t="str">
        <f>IF(U34&gt;KKM!$G$10,"A",IF(U34&gt;KKM!$H$10,"B",IF(U34&gt;=KKM!$I$10,"C","D")))</f>
        <v>A</v>
      </c>
      <c r="W34" s="356">
        <f t="shared" si="0"/>
        <v>89</v>
      </c>
      <c r="X34" s="361" t="str">
        <f>IF(W34&gt;KKM!$G$10," sangat baik ",IF(W34&gt;KKM!$H$10," baik ",IF(W34&gt;=KKM!$I$10," cukup baik "," perlu bimbingan ")))</f>
        <v xml:space="preserve"> sangat baik </v>
      </c>
      <c r="Y34" s="357">
        <f t="shared" si="1"/>
        <v>89</v>
      </c>
      <c r="Z34" s="361" t="str">
        <f>IF(Y34&gt;KKM!$G$10," sangat baik ",IF(Y34&gt;KKM!$H$10," baik ",IF(Y34&gt;=KKM!$I$10," cukup baik "," perlu bimbingan ")))</f>
        <v xml:space="preserve"> sangat baik </v>
      </c>
      <c r="AA34" s="353" t="str">
        <f t="shared" si="5"/>
        <v xml:space="preserve">RIZKI sangat baik  dalam memahami kombinasi pola gerak dominan (bertumpu, bergantung, keseimbangan, berpindah/lokomotor, tolakan, putaran, ayunan, melayang, dan mendarat) untuk membentuk keterampilan dasar senam menggunakan alat
</v>
      </c>
      <c r="AB34" s="256"/>
      <c r="AC34" s="257" t="str">
        <f t="shared" si="2"/>
        <v xml:space="preserve"> sangat baik  dalam memahami kombinasi pola gerak dominan (bertumpu, bergantung, keseimbangan, berpindah/lokomotor, tolakan, putaran, ayunan, melayang, dan mendarat) untuk membentuk keterampilan dasar senam menggunakan alat
</v>
      </c>
      <c r="AD34" s="257" t="str">
        <f t="shared" si="3"/>
        <v xml:space="preserve"> sangat baik  dalam memahami kombinasi pola gerak dominan (bertumpu, bergantung, keseimbangan, berpindah/lokomotor, tolakan, putaran, ayunan, melayang, dan mendarat) untuk membentuk keterampilan dasar senam menggunakan alat
</v>
      </c>
      <c r="AE34" s="257" t="str">
        <f t="shared" si="6"/>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34" s="257" t="str">
        <f t="shared" si="7"/>
        <v xml:space="preserve"> sangat baik  dalam memahami kombinasi pola gerak dominan (bertumpu, bergantung, keseimbangan, berpindah/lokomotor, tolakan, putaran, ayunan, melayang, dan mendarat) untuk membentuk keterampilan dasar senam menggunakan alat
</v>
      </c>
      <c r="AG34" s="258" t="str">
        <f t="shared" si="8"/>
        <v xml:space="preserve"> sangat baik  dalam memahami kombinasi pola gerak dominan (bertumpu, bergantung, keseimbangan, berpindah/lokomotor, tolakan, putaran, ayunan, melayang, dan mendarat) untuk membentuk keterampilan dasar senam menggunakan alat
</v>
      </c>
      <c r="AH34" s="252" t="str">
        <f t="shared" si="9"/>
        <v xml:space="preserve">RIZKI sangat baik  dalam memahami kombinasi pola gerak dominan (bertumpu, bergantung, keseimbangan, berpindah/lokomotor, tolakan, putaran, ayunan, melayang, dan mendarat) untuk membentuk keterampilan dasar senam menggunakan alat
</v>
      </c>
      <c r="AI34" s="153"/>
      <c r="AR34" s="469">
        <f t="shared" si="10"/>
        <v>89</v>
      </c>
    </row>
    <row r="35" spans="2:44" ht="63" customHeight="1">
      <c r="B35" s="142">
        <v>31</v>
      </c>
      <c r="C35" s="143" t="str">
        <f>SISWA!B36</f>
        <v>1718250040335</v>
      </c>
      <c r="D35" s="144" t="str">
        <f>SISWA!E36</f>
        <v>SATRIA</v>
      </c>
      <c r="E35" s="159">
        <v>88.571428571428569</v>
      </c>
      <c r="F35" s="159">
        <v>88.571428571428569</v>
      </c>
      <c r="G35" s="160">
        <v>88.571428571428569</v>
      </c>
      <c r="H35" s="160">
        <v>88.571428571428569</v>
      </c>
      <c r="I35" s="160">
        <v>88.571428571428569</v>
      </c>
      <c r="J35" s="160"/>
      <c r="K35" s="160"/>
      <c r="L35" s="160"/>
      <c r="M35" s="160"/>
      <c r="N35" s="159"/>
      <c r="O35" s="159"/>
      <c r="P35" s="159"/>
      <c r="Q35" s="159"/>
      <c r="R35" s="160"/>
      <c r="S35" s="160"/>
      <c r="T35" s="159"/>
      <c r="U35" s="354">
        <f t="shared" si="4"/>
        <v>89</v>
      </c>
      <c r="V35" s="355" t="str">
        <f>IF(U35&gt;KKM!$G$10,"A",IF(U35&gt;KKM!$H$10,"B",IF(U35&gt;=KKM!$I$10,"C","D")))</f>
        <v>A</v>
      </c>
      <c r="W35" s="356">
        <f t="shared" si="0"/>
        <v>88.571428571428569</v>
      </c>
      <c r="X35" s="361" t="str">
        <f>IF(W35&gt;KKM!$G$10," sangat baik ",IF(W35&gt;KKM!$H$10," baik ",IF(W35&gt;=KKM!$I$10," cukup baik "," perlu bimbingan ")))</f>
        <v xml:space="preserve"> sangat baik </v>
      </c>
      <c r="Y35" s="357">
        <f t="shared" si="1"/>
        <v>88.571428571428569</v>
      </c>
      <c r="Z35" s="361" t="str">
        <f>IF(Y35&gt;KKM!$G$10," sangat baik ",IF(Y35&gt;KKM!$H$10," baik ",IF(Y35&gt;=KKM!$I$10," cukup baik "," perlu bimbingan ")))</f>
        <v xml:space="preserve"> sangat baik </v>
      </c>
      <c r="AA35" s="353" t="str">
        <f t="shared" si="5"/>
        <v xml:space="preserve">SATRIA sangat baik  dalam memahami kombinasi pola gerak dominan (bertumpu, bergantung, keseimbangan, berpindah/lokomotor, tolakan, putaran, ayunan, melayang, dan mendarat) untuk membentuk keterampilan dasar senam menggunakan alat
</v>
      </c>
      <c r="AB35" s="256"/>
      <c r="AC35" s="257" t="str">
        <f t="shared" si="2"/>
        <v xml:space="preserve"> sangat baik  dalam memahami kombinasi pola gerak dominan (bertumpu, bergantung, keseimbangan, berpindah/lokomotor, tolakan, putaran, ayunan, melayang, dan mendarat) untuk membentuk keterampilan dasar senam menggunakan alat
</v>
      </c>
      <c r="AD35" s="257" t="str">
        <f t="shared" si="3"/>
        <v xml:space="preserve"> sangat baik  dalam memahami kombinasi pola gerak dominan (bertumpu, bergantung, keseimbangan, berpindah/lokomotor, tolakan, putaran, ayunan, melayang, dan mendarat) untuk membentuk keterampilan dasar senam menggunakan alat
</v>
      </c>
      <c r="AE35" s="257" t="str">
        <f t="shared" si="6"/>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35" s="257" t="str">
        <f t="shared" si="7"/>
        <v xml:space="preserve"> sangat baik  dalam memahami kombinasi pola gerak dominan (bertumpu, bergantung, keseimbangan, berpindah/lokomotor, tolakan, putaran, ayunan, melayang, dan mendarat) untuk membentuk keterampilan dasar senam menggunakan alat
</v>
      </c>
      <c r="AG35" s="258" t="str">
        <f t="shared" si="8"/>
        <v xml:space="preserve"> sangat baik  dalam memahami kombinasi pola gerak dominan (bertumpu, bergantung, keseimbangan, berpindah/lokomotor, tolakan, putaran, ayunan, melayang, dan mendarat) untuk membentuk keterampilan dasar senam menggunakan alat
</v>
      </c>
      <c r="AH35" s="252" t="str">
        <f t="shared" si="9"/>
        <v xml:space="preserve">SATRIA sangat baik  dalam memahami kombinasi pola gerak dominan (bertumpu, bergantung, keseimbangan, berpindah/lokomotor, tolakan, putaran, ayunan, melayang, dan mendarat) untuk membentuk keterampilan dasar senam menggunakan alat
</v>
      </c>
      <c r="AI35" s="153"/>
      <c r="AR35" s="469">
        <f t="shared" si="10"/>
        <v>89</v>
      </c>
    </row>
    <row r="36" spans="2:44" ht="63" customHeight="1">
      <c r="B36" s="142">
        <v>32</v>
      </c>
      <c r="C36" s="143" t="str">
        <f>SISWA!B37</f>
        <v>1718250040336</v>
      </c>
      <c r="D36" s="144" t="str">
        <f>SISWA!E37</f>
        <v>NADIA</v>
      </c>
      <c r="E36" s="159">
        <v>87.857142857142861</v>
      </c>
      <c r="F36" s="159">
        <v>87.857142857142861</v>
      </c>
      <c r="G36" s="160">
        <v>87.857142857142861</v>
      </c>
      <c r="H36" s="160">
        <v>87.857142857142861</v>
      </c>
      <c r="I36" s="160">
        <v>87.857142857142861</v>
      </c>
      <c r="J36" s="160"/>
      <c r="K36" s="160"/>
      <c r="L36" s="160"/>
      <c r="M36" s="160"/>
      <c r="N36" s="159"/>
      <c r="O36" s="159"/>
      <c r="P36" s="159"/>
      <c r="Q36" s="159"/>
      <c r="R36" s="160"/>
      <c r="S36" s="160"/>
      <c r="T36" s="159"/>
      <c r="U36" s="354">
        <f t="shared" si="4"/>
        <v>88</v>
      </c>
      <c r="V36" s="355" t="str">
        <f>IF(U36&gt;KKM!$G$10,"A",IF(U36&gt;KKM!$H$10,"B",IF(U36&gt;=KKM!$I$10,"C","D")))</f>
        <v>A</v>
      </c>
      <c r="W36" s="356">
        <f t="shared" si="0"/>
        <v>87.857142857142861</v>
      </c>
      <c r="X36" s="361" t="str">
        <f>IF(W36&gt;KKM!$G$10," sangat baik ",IF(W36&gt;KKM!$H$10," baik ",IF(W36&gt;=KKM!$I$10," cukup baik "," perlu bimbingan ")))</f>
        <v xml:space="preserve"> sangat baik </v>
      </c>
      <c r="Y36" s="357">
        <f t="shared" si="1"/>
        <v>87.857142857142861</v>
      </c>
      <c r="Z36" s="361" t="str">
        <f>IF(Y36&gt;KKM!$G$10," sangat baik ",IF(Y36&gt;KKM!$H$10," baik ",IF(Y36&gt;=KKM!$I$10," cukup baik "," perlu bimbingan ")))</f>
        <v xml:space="preserve"> sangat baik </v>
      </c>
      <c r="AA36" s="353" t="str">
        <f t="shared" si="5"/>
        <v xml:space="preserve">NADIA sangat baik  dalam memahami kombinasi pola gerak dominan (bertumpu, bergantung, keseimbangan, berpindah/lokomotor, tolakan, putaran, ayunan, melayang, dan mendarat) untuk membentuk keterampilan dasar senam menggunakan alat
</v>
      </c>
      <c r="AB36" s="256"/>
      <c r="AC36" s="257" t="str">
        <f t="shared" si="2"/>
        <v xml:space="preserve"> sangat baik  dalam memahami kombinasi pola gerak dominan (bertumpu, bergantung, keseimbangan, berpindah/lokomotor, tolakan, putaran, ayunan, melayang, dan mendarat) untuk membentuk keterampilan dasar senam menggunakan alat
</v>
      </c>
      <c r="AD36" s="257" t="str">
        <f t="shared" si="3"/>
        <v xml:space="preserve"> sangat baik  dalam memahami kombinasi pola gerak dominan (bertumpu, bergantung, keseimbangan, berpindah/lokomotor, tolakan, putaran, ayunan, melayang, dan mendarat) untuk membentuk keterampilan dasar senam menggunakan alat
</v>
      </c>
      <c r="AE36" s="257" t="str">
        <f t="shared" si="6"/>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36" s="257" t="str">
        <f t="shared" si="7"/>
        <v xml:space="preserve"> sangat baik  dalam memahami kombinasi pola gerak dominan (bertumpu, bergantung, keseimbangan, berpindah/lokomotor, tolakan, putaran, ayunan, melayang, dan mendarat) untuk membentuk keterampilan dasar senam menggunakan alat
</v>
      </c>
      <c r="AG36" s="258" t="str">
        <f t="shared" si="8"/>
        <v xml:space="preserve"> sangat baik  dalam memahami kombinasi pola gerak dominan (bertumpu, bergantung, keseimbangan, berpindah/lokomotor, tolakan, putaran, ayunan, melayang, dan mendarat) untuk membentuk keterampilan dasar senam menggunakan alat
</v>
      </c>
      <c r="AH36" s="252" t="str">
        <f t="shared" si="9"/>
        <v xml:space="preserve">NADIA sangat baik  dalam memahami kombinasi pola gerak dominan (bertumpu, bergantung, keseimbangan, berpindah/lokomotor, tolakan, putaran, ayunan, melayang, dan mendarat) untuk membentuk keterampilan dasar senam menggunakan alat
</v>
      </c>
      <c r="AI36" s="153"/>
      <c r="AR36" s="469">
        <f t="shared" si="10"/>
        <v>88</v>
      </c>
    </row>
    <row r="37" spans="2:44" ht="63" customHeight="1">
      <c r="B37" s="142">
        <v>33</v>
      </c>
      <c r="C37" s="143" t="str">
        <f>SISWA!B38</f>
        <v>1718250040337</v>
      </c>
      <c r="D37" s="144" t="str">
        <f>SISWA!E38</f>
        <v>NAFILA</v>
      </c>
      <c r="E37" s="159">
        <v>81.285714285714292</v>
      </c>
      <c r="F37" s="159">
        <v>81.285714285714292</v>
      </c>
      <c r="G37" s="160">
        <v>81.285714285714292</v>
      </c>
      <c r="H37" s="160">
        <v>81.285714285714292</v>
      </c>
      <c r="I37" s="160">
        <v>81.285714285714292</v>
      </c>
      <c r="J37" s="160"/>
      <c r="K37" s="160"/>
      <c r="L37" s="160"/>
      <c r="M37" s="160"/>
      <c r="N37" s="159"/>
      <c r="O37" s="159"/>
      <c r="P37" s="159"/>
      <c r="Q37" s="159"/>
      <c r="R37" s="160"/>
      <c r="S37" s="160"/>
      <c r="T37" s="159"/>
      <c r="U37" s="354">
        <f t="shared" si="4"/>
        <v>81</v>
      </c>
      <c r="V37" s="355" t="str">
        <f>IF(U37&gt;KKM!$G$10,"A",IF(U37&gt;KKM!$H$10,"B",IF(U37&gt;=KKM!$I$10,"C","D")))</f>
        <v>B</v>
      </c>
      <c r="W37" s="356">
        <f t="shared" si="0"/>
        <v>81.285714285714292</v>
      </c>
      <c r="X37" s="361" t="str">
        <f>IF(W37&gt;KKM!$G$10," sangat baik ",IF(W37&gt;KKM!$H$10," baik ",IF(W37&gt;=KKM!$I$10," cukup baik "," perlu bimbingan ")))</f>
        <v xml:space="preserve"> baik </v>
      </c>
      <c r="Y37" s="357">
        <f t="shared" si="1"/>
        <v>81.285714285714292</v>
      </c>
      <c r="Z37" s="361" t="str">
        <f>IF(Y37&gt;KKM!$G$10," sangat baik ",IF(Y37&gt;KKM!$H$10," baik ",IF(Y37&gt;=KKM!$I$10," cukup baik "," perlu bimbingan ")))</f>
        <v xml:space="preserve"> baik </v>
      </c>
      <c r="AA37" s="353" t="str">
        <f t="shared" si="5"/>
        <v xml:space="preserve">NAFILA baik  dalam memahami kombinasi pola gerak dominan (bertumpu, bergantung, keseimbangan, berpindah/lokomotor, tolakan, putaran, ayunan, melayang, dan mendarat) untuk membentuk keterampilan dasar senam menggunakan alat
</v>
      </c>
      <c r="AB37" s="256"/>
      <c r="AC37" s="257" t="str">
        <f t="shared" si="2"/>
        <v xml:space="preserve"> baik  dalam memahami kombinasi pola gerak dominan (bertumpu, bergantung, keseimbangan, berpindah/lokomotor, tolakan, putaran, ayunan, melayang, dan mendarat) untuk membentuk keterampilan dasar senam menggunakan alat
</v>
      </c>
      <c r="AD37" s="257" t="str">
        <f t="shared" si="3"/>
        <v xml:space="preserve"> baik  dalam memahami kombinasi pola gerak dominan (bertumpu, bergantung, keseimbangan, berpindah/lokomotor, tolakan, putaran, ayunan, melayang, dan mendarat) untuk membentuk keterampilan dasar senam menggunakan alat
</v>
      </c>
      <c r="AE37"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37" s="257" t="str">
        <f t="shared" si="7"/>
        <v xml:space="preserve"> baik  dalam memahami kombinasi pola gerak dominan (bertumpu, bergantung, keseimbangan, berpindah/lokomotor, tolakan, putaran, ayunan, melayang, dan mendarat) untuk membentuk keterampilan dasar senam menggunakan alat
</v>
      </c>
      <c r="AG37" s="258" t="str">
        <f t="shared" si="8"/>
        <v xml:space="preserve"> baik  dalam memahami kombinasi pola gerak dominan (bertumpu, bergantung, keseimbangan, berpindah/lokomotor, tolakan, putaran, ayunan, melayang, dan mendarat) untuk membentuk keterampilan dasar senam menggunakan alat
</v>
      </c>
      <c r="AH37" s="252" t="str">
        <f t="shared" si="9"/>
        <v xml:space="preserve">NAFILA baik  dalam memahami kombinasi pola gerak dominan (bertumpu, bergantung, keseimbangan, berpindah/lokomotor, tolakan, putaran, ayunan, melayang, dan mendarat) untuk membentuk keterampilan dasar senam menggunakan alat
</v>
      </c>
      <c r="AI37" s="153"/>
      <c r="AR37" s="469">
        <f t="shared" si="10"/>
        <v>81</v>
      </c>
    </row>
    <row r="38" spans="2:44" ht="63" customHeight="1">
      <c r="B38" s="142">
        <v>34</v>
      </c>
      <c r="C38" s="143" t="str">
        <f>SISWA!B39</f>
        <v>1718250040338</v>
      </c>
      <c r="D38" s="144" t="str">
        <f>SISWA!E39</f>
        <v>NAZZALA</v>
      </c>
      <c r="E38" s="159">
        <v>89.142857142857139</v>
      </c>
      <c r="F38" s="159">
        <v>89.142857142857139</v>
      </c>
      <c r="G38" s="160">
        <v>89.142857142857139</v>
      </c>
      <c r="H38" s="160">
        <v>89.142857142857139</v>
      </c>
      <c r="I38" s="160">
        <v>89.142857142857139</v>
      </c>
      <c r="J38" s="160"/>
      <c r="K38" s="160"/>
      <c r="L38" s="160"/>
      <c r="M38" s="160"/>
      <c r="N38" s="159"/>
      <c r="O38" s="159"/>
      <c r="P38" s="159"/>
      <c r="Q38" s="159"/>
      <c r="R38" s="160"/>
      <c r="S38" s="160"/>
      <c r="T38" s="159"/>
      <c r="U38" s="354">
        <f t="shared" si="4"/>
        <v>89</v>
      </c>
      <c r="V38" s="355" t="str">
        <f>IF(U38&gt;KKM!$G$10,"A",IF(U38&gt;KKM!$H$10,"B",IF(U38&gt;=KKM!$I$10,"C","D")))</f>
        <v>A</v>
      </c>
      <c r="W38" s="356">
        <f t="shared" si="0"/>
        <v>89.142857142857139</v>
      </c>
      <c r="X38" s="361" t="str">
        <f>IF(W38&gt;KKM!$G$10," sangat baik ",IF(W38&gt;KKM!$H$10," baik ",IF(W38&gt;=KKM!$I$10," cukup baik "," perlu bimbingan ")))</f>
        <v xml:space="preserve"> sangat baik </v>
      </c>
      <c r="Y38" s="357">
        <f t="shared" si="1"/>
        <v>89.142857142857139</v>
      </c>
      <c r="Z38" s="361" t="str">
        <f>IF(Y38&gt;KKM!$G$10," sangat baik ",IF(Y38&gt;KKM!$H$10," baik ",IF(Y38&gt;=KKM!$I$10," cukup baik "," perlu bimbingan ")))</f>
        <v xml:space="preserve"> sangat baik </v>
      </c>
      <c r="AA38" s="353" t="str">
        <f t="shared" si="5"/>
        <v xml:space="preserve">NAZZALA sangat baik  dalam memahami kombinasi pola gerak dominan (bertumpu, bergantung, keseimbangan, berpindah/lokomotor, tolakan, putaran, ayunan, melayang, dan mendarat) untuk membentuk keterampilan dasar senam menggunakan alat
</v>
      </c>
      <c r="AB38" s="256"/>
      <c r="AC38" s="257" t="str">
        <f t="shared" si="2"/>
        <v xml:space="preserve"> sangat baik  dalam memahami kombinasi pola gerak dominan (bertumpu, bergantung, keseimbangan, berpindah/lokomotor, tolakan, putaran, ayunan, melayang, dan mendarat) untuk membentuk keterampilan dasar senam menggunakan alat
</v>
      </c>
      <c r="AD38" s="257" t="str">
        <f t="shared" si="3"/>
        <v xml:space="preserve"> sangat baik  dalam memahami kombinasi pola gerak dominan (bertumpu, bergantung, keseimbangan, berpindah/lokomotor, tolakan, putaran, ayunan, melayang, dan mendarat) untuk membentuk keterampilan dasar senam menggunakan alat
</v>
      </c>
      <c r="AE38" s="257" t="str">
        <f t="shared" si="6"/>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38" s="257" t="str">
        <f t="shared" si="7"/>
        <v xml:space="preserve"> sangat baik  dalam memahami kombinasi pola gerak dominan (bertumpu, bergantung, keseimbangan, berpindah/lokomotor, tolakan, putaran, ayunan, melayang, dan mendarat) untuk membentuk keterampilan dasar senam menggunakan alat
</v>
      </c>
      <c r="AG38" s="258" t="str">
        <f t="shared" si="8"/>
        <v xml:space="preserve"> sangat baik  dalam memahami kombinasi pola gerak dominan (bertumpu, bergantung, keseimbangan, berpindah/lokomotor, tolakan, putaran, ayunan, melayang, dan mendarat) untuk membentuk keterampilan dasar senam menggunakan alat
</v>
      </c>
      <c r="AH38" s="252" t="str">
        <f t="shared" si="9"/>
        <v xml:space="preserve">NAZZALA sangat baik  dalam memahami kombinasi pola gerak dominan (bertumpu, bergantung, keseimbangan, berpindah/lokomotor, tolakan, putaran, ayunan, melayang, dan mendarat) untuk membentuk keterampilan dasar senam menggunakan alat
</v>
      </c>
      <c r="AI38" s="153"/>
      <c r="AR38" s="469">
        <f t="shared" si="10"/>
        <v>89</v>
      </c>
    </row>
    <row r="39" spans="2:44" ht="63" customHeight="1">
      <c r="B39" s="142">
        <v>35</v>
      </c>
      <c r="C39" s="143" t="str">
        <f>SISWA!B40</f>
        <v>1718250040339</v>
      </c>
      <c r="D39" s="144" t="str">
        <f>SISWA!E40</f>
        <v>RAFAREL</v>
      </c>
      <c r="E39" s="159">
        <v>85.571428571428569</v>
      </c>
      <c r="F39" s="159">
        <v>85.571428571428569</v>
      </c>
      <c r="G39" s="160">
        <v>85.571428571428569</v>
      </c>
      <c r="H39" s="160">
        <v>85.571428571428569</v>
      </c>
      <c r="I39" s="160">
        <v>85.571428571428569</v>
      </c>
      <c r="J39" s="160"/>
      <c r="K39" s="160"/>
      <c r="L39" s="160"/>
      <c r="M39" s="160"/>
      <c r="N39" s="159"/>
      <c r="O39" s="159"/>
      <c r="P39" s="159"/>
      <c r="Q39" s="159"/>
      <c r="R39" s="160"/>
      <c r="S39" s="160"/>
      <c r="T39" s="159"/>
      <c r="U39" s="354">
        <f t="shared" si="4"/>
        <v>86</v>
      </c>
      <c r="V39" s="355" t="str">
        <f>IF(U39&gt;KKM!$G$10,"A",IF(U39&gt;KKM!$H$10,"B",IF(U39&gt;=KKM!$I$10,"C","D")))</f>
        <v>B</v>
      </c>
      <c r="W39" s="356">
        <f t="shared" si="0"/>
        <v>85.571428571428569</v>
      </c>
      <c r="X39" s="361" t="str">
        <f>IF(W39&gt;KKM!$G$10," sangat baik ",IF(W39&gt;KKM!$H$10," baik ",IF(W39&gt;=KKM!$I$10," cukup baik "," perlu bimbingan ")))</f>
        <v xml:space="preserve"> baik </v>
      </c>
      <c r="Y39" s="357">
        <f t="shared" si="1"/>
        <v>85.571428571428569</v>
      </c>
      <c r="Z39" s="361" t="str">
        <f>IF(Y39&gt;KKM!$G$10," sangat baik ",IF(Y39&gt;KKM!$H$10," baik ",IF(Y39&gt;=KKM!$I$10," cukup baik "," perlu bimbingan ")))</f>
        <v xml:space="preserve"> baik </v>
      </c>
      <c r="AA39" s="353" t="str">
        <f t="shared" si="5"/>
        <v xml:space="preserve">RAFAREL baik  dalam memahami kombinasi pola gerak dominan (bertumpu, bergantung, keseimbangan, berpindah/lokomotor, tolakan, putaran, ayunan, melayang, dan mendarat) untuk membentuk keterampilan dasar senam menggunakan alat
</v>
      </c>
      <c r="AB39" s="256"/>
      <c r="AC39" s="257" t="str">
        <f t="shared" si="2"/>
        <v xml:space="preserve"> baik  dalam memahami kombinasi pola gerak dominan (bertumpu, bergantung, keseimbangan, berpindah/lokomotor, tolakan, putaran, ayunan, melayang, dan mendarat) untuk membentuk keterampilan dasar senam menggunakan alat
</v>
      </c>
      <c r="AD39" s="257" t="str">
        <f t="shared" si="3"/>
        <v xml:space="preserve"> baik  dalam memahami kombinasi pola gerak dominan (bertumpu, bergantung, keseimbangan, berpindah/lokomotor, tolakan, putaran, ayunan, melayang, dan mendarat) untuk membentuk keterampilan dasar senam menggunakan alat
</v>
      </c>
      <c r="AE39"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39" s="257" t="str">
        <f t="shared" si="7"/>
        <v xml:space="preserve"> baik  dalam memahami kombinasi pola gerak dominan (bertumpu, bergantung, keseimbangan, berpindah/lokomotor, tolakan, putaran, ayunan, melayang, dan mendarat) untuk membentuk keterampilan dasar senam menggunakan alat
</v>
      </c>
      <c r="AG39" s="258" t="str">
        <f t="shared" si="8"/>
        <v xml:space="preserve"> baik  dalam memahami kombinasi pola gerak dominan (bertumpu, bergantung, keseimbangan, berpindah/lokomotor, tolakan, putaran, ayunan, melayang, dan mendarat) untuk membentuk keterampilan dasar senam menggunakan alat
</v>
      </c>
      <c r="AH39" s="252" t="str">
        <f t="shared" si="9"/>
        <v xml:space="preserve">RAFAREL baik  dalam memahami kombinasi pola gerak dominan (bertumpu, bergantung, keseimbangan, berpindah/lokomotor, tolakan, putaran, ayunan, melayang, dan mendarat) untuk membentuk keterampilan dasar senam menggunakan alat
</v>
      </c>
      <c r="AI39" s="153"/>
      <c r="AR39" s="469">
        <f t="shared" si="10"/>
        <v>86</v>
      </c>
    </row>
    <row r="40" spans="2:44" ht="63" customHeight="1">
      <c r="B40" s="142">
        <v>36</v>
      </c>
      <c r="C40" s="143" t="str">
        <f>SISWA!B41</f>
        <v>1718250040340</v>
      </c>
      <c r="D40" s="144" t="str">
        <f>SISWA!E41</f>
        <v>RAKHA</v>
      </c>
      <c r="E40" s="159">
        <v>87.285714285714292</v>
      </c>
      <c r="F40" s="159">
        <v>87.285714285714292</v>
      </c>
      <c r="G40" s="160">
        <v>87.285714285714292</v>
      </c>
      <c r="H40" s="160">
        <v>87.285714285714292</v>
      </c>
      <c r="I40" s="160">
        <v>87.285714285714292</v>
      </c>
      <c r="J40" s="160"/>
      <c r="K40" s="160"/>
      <c r="L40" s="160"/>
      <c r="M40" s="160"/>
      <c r="N40" s="159"/>
      <c r="O40" s="159"/>
      <c r="P40" s="159"/>
      <c r="Q40" s="159"/>
      <c r="R40" s="160"/>
      <c r="S40" s="160"/>
      <c r="T40" s="159"/>
      <c r="U40" s="354">
        <f t="shared" si="4"/>
        <v>87</v>
      </c>
      <c r="V40" s="355" t="str">
        <f>IF(U40&gt;KKM!$G$10,"A",IF(U40&gt;KKM!$H$10,"B",IF(U40&gt;=KKM!$I$10,"C","D")))</f>
        <v>B</v>
      </c>
      <c r="W40" s="356">
        <f t="shared" si="0"/>
        <v>87.285714285714292</v>
      </c>
      <c r="X40" s="361" t="str">
        <f>IF(W40&gt;KKM!$G$10," sangat baik ",IF(W40&gt;KKM!$H$10," baik ",IF(W40&gt;=KKM!$I$10," cukup baik "," perlu bimbingan ")))</f>
        <v xml:space="preserve"> sangat baik </v>
      </c>
      <c r="Y40" s="357">
        <f t="shared" si="1"/>
        <v>87.285714285714292</v>
      </c>
      <c r="Z40" s="361" t="str">
        <f>IF(Y40&gt;KKM!$G$10," sangat baik ",IF(Y40&gt;KKM!$H$10," baik ",IF(Y40&gt;=KKM!$I$10," cukup baik "," perlu bimbingan ")))</f>
        <v xml:space="preserve"> sangat baik </v>
      </c>
      <c r="AA40" s="353" t="str">
        <f t="shared" si="5"/>
        <v xml:space="preserve">RAKHA sangat baik  dalam memahami kombinasi pola gerak dominan (bertumpu, bergantung, keseimbangan, berpindah/lokomotor, tolakan, putaran, ayunan, melayang, dan mendarat) untuk membentuk keterampilan dasar senam menggunakan alat
</v>
      </c>
      <c r="AB40" s="256"/>
      <c r="AC40" s="257" t="str">
        <f t="shared" si="2"/>
        <v xml:space="preserve"> sangat baik  dalam memahami kombinasi pola gerak dominan (bertumpu, bergantung, keseimbangan, berpindah/lokomotor, tolakan, putaran, ayunan, melayang, dan mendarat) untuk membentuk keterampilan dasar senam menggunakan alat
</v>
      </c>
      <c r="AD40" s="257" t="str">
        <f t="shared" si="3"/>
        <v xml:space="preserve"> sangat baik  dalam memahami kombinasi pola gerak dominan (bertumpu, bergantung, keseimbangan, berpindah/lokomotor, tolakan, putaran, ayunan, melayang, dan mendarat) untuk membentuk keterampilan dasar senam menggunakan alat
</v>
      </c>
      <c r="AE40" s="257" t="str">
        <f t="shared" si="6"/>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40" s="257" t="str">
        <f t="shared" si="7"/>
        <v xml:space="preserve"> sangat baik  dalam memahami kombinasi pola gerak dominan (bertumpu, bergantung, keseimbangan, berpindah/lokomotor, tolakan, putaran, ayunan, melayang, dan mendarat) untuk membentuk keterampilan dasar senam menggunakan alat
</v>
      </c>
      <c r="AG40" s="258" t="str">
        <f t="shared" si="8"/>
        <v xml:space="preserve"> sangat baik  dalam memahami kombinasi pola gerak dominan (bertumpu, bergantung, keseimbangan, berpindah/lokomotor, tolakan, putaran, ayunan, melayang, dan mendarat) untuk membentuk keterampilan dasar senam menggunakan alat
</v>
      </c>
      <c r="AH40" s="252" t="str">
        <f t="shared" si="9"/>
        <v xml:space="preserve">RAKHA sangat baik  dalam memahami kombinasi pola gerak dominan (bertumpu, bergantung, keseimbangan, berpindah/lokomotor, tolakan, putaran, ayunan, melayang, dan mendarat) untuk membentuk keterampilan dasar senam menggunakan alat
</v>
      </c>
      <c r="AI40" s="153"/>
      <c r="AR40" s="469">
        <f t="shared" si="10"/>
        <v>87</v>
      </c>
    </row>
    <row r="41" spans="2:44" ht="63" customHeight="1">
      <c r="B41" s="142">
        <v>37</v>
      </c>
      <c r="C41" s="143" t="str">
        <f>SISWA!B42</f>
        <v>1718250040341</v>
      </c>
      <c r="D41" s="144" t="str">
        <f>SISWA!E42</f>
        <v>RYU</v>
      </c>
      <c r="E41" s="159">
        <v>84.714285714285708</v>
      </c>
      <c r="F41" s="159">
        <v>84.714285714285708</v>
      </c>
      <c r="G41" s="160">
        <v>84.714285714285708</v>
      </c>
      <c r="H41" s="160">
        <v>84.714285714285708</v>
      </c>
      <c r="I41" s="160">
        <v>84.714285714285708</v>
      </c>
      <c r="J41" s="160"/>
      <c r="K41" s="160"/>
      <c r="L41" s="160"/>
      <c r="M41" s="160"/>
      <c r="N41" s="159"/>
      <c r="O41" s="159"/>
      <c r="P41" s="159"/>
      <c r="Q41" s="159"/>
      <c r="R41" s="160"/>
      <c r="S41" s="160"/>
      <c r="T41" s="159"/>
      <c r="U41" s="354">
        <f t="shared" si="4"/>
        <v>85</v>
      </c>
      <c r="V41" s="355" t="str">
        <f>IF(U41&gt;KKM!$G$10,"A",IF(U41&gt;KKM!$H$10,"B",IF(U41&gt;=KKM!$I$10,"C","D")))</f>
        <v>B</v>
      </c>
      <c r="W41" s="356">
        <f t="shared" si="0"/>
        <v>84.714285714285708</v>
      </c>
      <c r="X41" s="361" t="str">
        <f>IF(W41&gt;KKM!$G$10," sangat baik ",IF(W41&gt;KKM!$H$10," baik ",IF(W41&gt;=KKM!$I$10," cukup baik "," perlu bimbingan ")))</f>
        <v xml:space="preserve"> baik </v>
      </c>
      <c r="Y41" s="357">
        <f t="shared" si="1"/>
        <v>84.714285714285708</v>
      </c>
      <c r="Z41" s="361" t="str">
        <f>IF(Y41&gt;KKM!$G$10," sangat baik ",IF(Y41&gt;KKM!$H$10," baik ",IF(Y41&gt;=KKM!$I$10," cukup baik "," perlu bimbingan ")))</f>
        <v xml:space="preserve"> baik </v>
      </c>
      <c r="AA41" s="353" t="str">
        <f t="shared" si="5"/>
        <v xml:space="preserve">RYU baik  dalam memahami kombinasi pola gerak dominan (bertumpu, bergantung, keseimbangan, berpindah/lokomotor, tolakan, putaran, ayunan, melayang, dan mendarat) untuk membentuk keterampilan dasar senam menggunakan alat
</v>
      </c>
      <c r="AB41" s="256"/>
      <c r="AC41" s="257" t="str">
        <f t="shared" si="2"/>
        <v xml:space="preserve"> baik  dalam memahami kombinasi pola gerak dominan (bertumpu, bergantung, keseimbangan, berpindah/lokomotor, tolakan, putaran, ayunan, melayang, dan mendarat) untuk membentuk keterampilan dasar senam menggunakan alat
</v>
      </c>
      <c r="AD41" s="257" t="str">
        <f t="shared" si="3"/>
        <v xml:space="preserve"> baik  dalam memahami kombinasi pola gerak dominan (bertumpu, bergantung, keseimbangan, berpindah/lokomotor, tolakan, putaran, ayunan, melayang, dan mendarat) untuk membentuk keterampilan dasar senam menggunakan alat
</v>
      </c>
      <c r="AE41"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41" s="257" t="str">
        <f t="shared" si="7"/>
        <v xml:space="preserve"> baik  dalam memahami kombinasi pola gerak dominan (bertumpu, bergantung, keseimbangan, berpindah/lokomotor, tolakan, putaran, ayunan, melayang, dan mendarat) untuk membentuk keterampilan dasar senam menggunakan alat
</v>
      </c>
      <c r="AG41" s="258" t="str">
        <f t="shared" si="8"/>
        <v xml:space="preserve"> baik  dalam memahami kombinasi pola gerak dominan (bertumpu, bergantung, keseimbangan, berpindah/lokomotor, tolakan, putaran, ayunan, melayang, dan mendarat) untuk membentuk keterampilan dasar senam menggunakan alat
</v>
      </c>
      <c r="AH41" s="252" t="str">
        <f t="shared" si="9"/>
        <v xml:space="preserve">RYU baik  dalam memahami kombinasi pola gerak dominan (bertumpu, bergantung, keseimbangan, berpindah/lokomotor, tolakan, putaran, ayunan, melayang, dan mendarat) untuk membentuk keterampilan dasar senam menggunakan alat
</v>
      </c>
      <c r="AI41" s="153"/>
      <c r="AR41" s="469">
        <f t="shared" si="10"/>
        <v>85</v>
      </c>
    </row>
    <row r="42" spans="2:44" ht="63" customHeight="1">
      <c r="B42" s="142">
        <v>38</v>
      </c>
      <c r="C42" s="143" t="str">
        <f>SISWA!B43</f>
        <v>1718250040342</v>
      </c>
      <c r="D42" s="144" t="str">
        <f>SISWA!E43</f>
        <v>SAEPUL</v>
      </c>
      <c r="E42" s="159">
        <v>89</v>
      </c>
      <c r="F42" s="159">
        <v>89</v>
      </c>
      <c r="G42" s="160">
        <v>89</v>
      </c>
      <c r="H42" s="160">
        <v>89</v>
      </c>
      <c r="I42" s="160">
        <v>89</v>
      </c>
      <c r="J42" s="160"/>
      <c r="K42" s="160"/>
      <c r="L42" s="160"/>
      <c r="M42" s="160"/>
      <c r="N42" s="159"/>
      <c r="O42" s="159"/>
      <c r="P42" s="159"/>
      <c r="Q42" s="159"/>
      <c r="R42" s="160"/>
      <c r="S42" s="160"/>
      <c r="T42" s="159"/>
      <c r="U42" s="354">
        <f t="shared" si="4"/>
        <v>89</v>
      </c>
      <c r="V42" s="355" t="str">
        <f>IF(U42&gt;KKM!$G$10,"A",IF(U42&gt;KKM!$H$10,"B",IF(U42&gt;=KKM!$I$10,"C","D")))</f>
        <v>A</v>
      </c>
      <c r="W42" s="356">
        <f t="shared" si="0"/>
        <v>89</v>
      </c>
      <c r="X42" s="361" t="str">
        <f>IF(W42&gt;KKM!$G$10," sangat baik ",IF(W42&gt;KKM!$H$10," baik ",IF(W42&gt;=KKM!$I$10," cukup baik "," perlu bimbingan ")))</f>
        <v xml:space="preserve"> sangat baik </v>
      </c>
      <c r="Y42" s="357">
        <f t="shared" si="1"/>
        <v>89</v>
      </c>
      <c r="Z42" s="361" t="str">
        <f>IF(Y42&gt;KKM!$G$10," sangat baik ",IF(Y42&gt;KKM!$H$10," baik ",IF(Y42&gt;=KKM!$I$10," cukup baik "," perlu bimbingan ")))</f>
        <v xml:space="preserve"> sangat baik </v>
      </c>
      <c r="AA42" s="353" t="str">
        <f t="shared" si="5"/>
        <v xml:space="preserve">SAEPUL sangat baik  dalam memahami kombinasi pola gerak dominan (bertumpu, bergantung, keseimbangan, berpindah/lokomotor, tolakan, putaran, ayunan, melayang, dan mendarat) untuk membentuk keterampilan dasar senam menggunakan alat
</v>
      </c>
      <c r="AB42" s="256"/>
      <c r="AC42" s="257" t="str">
        <f t="shared" si="2"/>
        <v xml:space="preserve"> sangat baik  dalam memahami kombinasi pola gerak dominan (bertumpu, bergantung, keseimbangan, berpindah/lokomotor, tolakan, putaran, ayunan, melayang, dan mendarat) untuk membentuk keterampilan dasar senam menggunakan alat
</v>
      </c>
      <c r="AD42" s="257" t="str">
        <f t="shared" si="3"/>
        <v xml:space="preserve"> sangat baik  dalam memahami kombinasi pola gerak dominan (bertumpu, bergantung, keseimbangan, berpindah/lokomotor, tolakan, putaran, ayunan, melayang, dan mendarat) untuk membentuk keterampilan dasar senam menggunakan alat
</v>
      </c>
      <c r="AE42" s="257" t="str">
        <f t="shared" si="6"/>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42" s="257" t="str">
        <f t="shared" si="7"/>
        <v xml:space="preserve"> sangat baik  dalam memahami kombinasi pola gerak dominan (bertumpu, bergantung, keseimbangan, berpindah/lokomotor, tolakan, putaran, ayunan, melayang, dan mendarat) untuk membentuk keterampilan dasar senam menggunakan alat
</v>
      </c>
      <c r="AG42" s="258" t="str">
        <f t="shared" si="8"/>
        <v xml:space="preserve"> sangat baik  dalam memahami kombinasi pola gerak dominan (bertumpu, bergantung, keseimbangan, berpindah/lokomotor, tolakan, putaran, ayunan, melayang, dan mendarat) untuk membentuk keterampilan dasar senam menggunakan alat
</v>
      </c>
      <c r="AH42" s="252" t="str">
        <f t="shared" si="9"/>
        <v xml:space="preserve">SAEPUL sangat baik  dalam memahami kombinasi pola gerak dominan (bertumpu, bergantung, keseimbangan, berpindah/lokomotor, tolakan, putaran, ayunan, melayang, dan mendarat) untuk membentuk keterampilan dasar senam menggunakan alat
</v>
      </c>
      <c r="AI42" s="153"/>
      <c r="AR42" s="469">
        <f t="shared" si="10"/>
        <v>89</v>
      </c>
    </row>
    <row r="43" spans="2:44" ht="63" customHeight="1">
      <c r="B43" s="142">
        <v>39</v>
      </c>
      <c r="C43" s="143" t="str">
        <f>SISWA!B44</f>
        <v>1718250040343</v>
      </c>
      <c r="D43" s="144" t="str">
        <f>SISWA!E44</f>
        <v>SALMA</v>
      </c>
      <c r="E43" s="159">
        <v>83.857142857142861</v>
      </c>
      <c r="F43" s="159">
        <v>83.857142857142861</v>
      </c>
      <c r="G43" s="160">
        <v>83.857142857142861</v>
      </c>
      <c r="H43" s="160">
        <v>83.857142857142861</v>
      </c>
      <c r="I43" s="160">
        <v>83.857142857142861</v>
      </c>
      <c r="J43" s="160"/>
      <c r="K43" s="160"/>
      <c r="L43" s="160"/>
      <c r="M43" s="160"/>
      <c r="N43" s="159"/>
      <c r="O43" s="159"/>
      <c r="P43" s="159"/>
      <c r="Q43" s="159"/>
      <c r="R43" s="160"/>
      <c r="S43" s="160"/>
      <c r="T43" s="159"/>
      <c r="U43" s="354">
        <f t="shared" si="4"/>
        <v>84</v>
      </c>
      <c r="V43" s="355" t="str">
        <f>IF(U43&gt;KKM!$G$10,"A",IF(U43&gt;KKM!$H$10,"B",IF(U43&gt;=KKM!$I$10,"C","D")))</f>
        <v>B</v>
      </c>
      <c r="W43" s="356">
        <f t="shared" si="0"/>
        <v>83.857142857142861</v>
      </c>
      <c r="X43" s="361" t="str">
        <f>IF(W43&gt;KKM!$G$10," sangat baik ",IF(W43&gt;KKM!$H$10," baik ",IF(W43&gt;=KKM!$I$10," cukup baik "," perlu bimbingan ")))</f>
        <v xml:space="preserve"> baik </v>
      </c>
      <c r="Y43" s="357">
        <f t="shared" si="1"/>
        <v>83.857142857142861</v>
      </c>
      <c r="Z43" s="361" t="str">
        <f>IF(Y43&gt;KKM!$G$10," sangat baik ",IF(Y43&gt;KKM!$H$10," baik ",IF(Y43&gt;=KKM!$I$10," cukup baik "," perlu bimbingan ")))</f>
        <v xml:space="preserve"> baik </v>
      </c>
      <c r="AA43" s="353" t="str">
        <f t="shared" si="5"/>
        <v xml:space="preserve">SALMA baik  dalam memahami kombinasi pola gerak dominan (bertumpu, bergantung, keseimbangan, berpindah/lokomotor, tolakan, putaran, ayunan, melayang, dan mendarat) untuk membentuk keterampilan dasar senam menggunakan alat
</v>
      </c>
      <c r="AB43" s="256"/>
      <c r="AC43" s="257" t="str">
        <f t="shared" si="2"/>
        <v xml:space="preserve"> baik  dalam memahami kombinasi pola gerak dominan (bertumpu, bergantung, keseimbangan, berpindah/lokomotor, tolakan, putaran, ayunan, melayang, dan mendarat) untuk membentuk keterampilan dasar senam menggunakan alat
</v>
      </c>
      <c r="AD43" s="257" t="str">
        <f t="shared" si="3"/>
        <v xml:space="preserve"> baik  dalam memahami kombinasi pola gerak dominan (bertumpu, bergantung, keseimbangan, berpindah/lokomotor, tolakan, putaran, ayunan, melayang, dan mendarat) untuk membentuk keterampilan dasar senam menggunakan alat
</v>
      </c>
      <c r="AE43"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43" s="257" t="str">
        <f t="shared" si="7"/>
        <v xml:space="preserve"> baik  dalam memahami kombinasi pola gerak dominan (bertumpu, bergantung, keseimbangan, berpindah/lokomotor, tolakan, putaran, ayunan, melayang, dan mendarat) untuk membentuk keterampilan dasar senam menggunakan alat
</v>
      </c>
      <c r="AG43" s="258" t="str">
        <f t="shared" si="8"/>
        <v xml:space="preserve"> baik  dalam memahami kombinasi pola gerak dominan (bertumpu, bergantung, keseimbangan, berpindah/lokomotor, tolakan, putaran, ayunan, melayang, dan mendarat) untuk membentuk keterampilan dasar senam menggunakan alat
</v>
      </c>
      <c r="AH43" s="252" t="str">
        <f t="shared" si="9"/>
        <v xml:space="preserve">SALMA baik  dalam memahami kombinasi pola gerak dominan (bertumpu, bergantung, keseimbangan, berpindah/lokomotor, tolakan, putaran, ayunan, melayang, dan mendarat) untuk membentuk keterampilan dasar senam menggunakan alat
</v>
      </c>
      <c r="AI43" s="153"/>
      <c r="AR43" s="469">
        <f t="shared" si="10"/>
        <v>84</v>
      </c>
    </row>
    <row r="44" spans="2:44" ht="63" customHeight="1">
      <c r="B44" s="142">
        <v>40</v>
      </c>
      <c r="C44" s="143" t="str">
        <f>SISWA!B45</f>
        <v>1718250040344</v>
      </c>
      <c r="D44" s="144" t="str">
        <f>SISWA!E45</f>
        <v>SYAKILA</v>
      </c>
      <c r="E44" s="159">
        <v>86.714285714285708</v>
      </c>
      <c r="F44" s="159">
        <v>86.714285714285708</v>
      </c>
      <c r="G44" s="160">
        <v>86.714285714285708</v>
      </c>
      <c r="H44" s="160">
        <v>86.714285714285708</v>
      </c>
      <c r="I44" s="160">
        <v>86.714285714285708</v>
      </c>
      <c r="J44" s="160"/>
      <c r="K44" s="160"/>
      <c r="L44" s="160"/>
      <c r="M44" s="160"/>
      <c r="N44" s="159"/>
      <c r="O44" s="159"/>
      <c r="P44" s="159"/>
      <c r="Q44" s="159"/>
      <c r="R44" s="160"/>
      <c r="S44" s="160"/>
      <c r="T44" s="159"/>
      <c r="U44" s="354">
        <f t="shared" si="4"/>
        <v>87</v>
      </c>
      <c r="V44" s="355" t="str">
        <f>IF(U44&gt;KKM!$G$10,"A",IF(U44&gt;KKM!$H$10,"B",IF(U44&gt;=KKM!$I$10,"C","D")))</f>
        <v>B</v>
      </c>
      <c r="W44" s="356">
        <f t="shared" si="0"/>
        <v>86.714285714285708</v>
      </c>
      <c r="X44" s="361" t="str">
        <f>IF(W44&gt;KKM!$G$10," sangat baik ",IF(W44&gt;KKM!$H$10," baik ",IF(W44&gt;=KKM!$I$10," cukup baik "," perlu bimbingan ")))</f>
        <v xml:space="preserve"> baik </v>
      </c>
      <c r="Y44" s="357">
        <f t="shared" si="1"/>
        <v>86.714285714285708</v>
      </c>
      <c r="Z44" s="361" t="str">
        <f>IF(Y44&gt;KKM!$G$10," sangat baik ",IF(Y44&gt;KKM!$H$10," baik ",IF(Y44&gt;=KKM!$I$10," cukup baik "," perlu bimbingan ")))</f>
        <v xml:space="preserve"> baik </v>
      </c>
      <c r="AA44" s="353" t="str">
        <f t="shared" si="5"/>
        <v xml:space="preserve">SYAKILA baik  dalam memahami kombinasi pola gerak dominan (bertumpu, bergantung, keseimbangan, berpindah/lokomotor, tolakan, putaran, ayunan, melayang, dan mendarat) untuk membentuk keterampilan dasar senam menggunakan alat
</v>
      </c>
      <c r="AB44" s="256"/>
      <c r="AC44" s="257" t="str">
        <f t="shared" si="2"/>
        <v xml:space="preserve"> baik  dalam memahami kombinasi pola gerak dominan (bertumpu, bergantung, keseimbangan, berpindah/lokomotor, tolakan, putaran, ayunan, melayang, dan mendarat) untuk membentuk keterampilan dasar senam menggunakan alat
</v>
      </c>
      <c r="AD44" s="257" t="str">
        <f t="shared" si="3"/>
        <v xml:space="preserve"> baik  dalam memahami kombinasi pola gerak dominan (bertumpu, bergantung, keseimbangan, berpindah/lokomotor, tolakan, putaran, ayunan, melayang, dan mendarat) untuk membentuk keterampilan dasar senam menggunakan alat
</v>
      </c>
      <c r="AE44"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44" s="257" t="str">
        <f t="shared" si="7"/>
        <v xml:space="preserve"> baik  dalam memahami kombinasi pola gerak dominan (bertumpu, bergantung, keseimbangan, berpindah/lokomotor, tolakan, putaran, ayunan, melayang, dan mendarat) untuk membentuk keterampilan dasar senam menggunakan alat
</v>
      </c>
      <c r="AG44" s="258" t="str">
        <f t="shared" si="8"/>
        <v xml:space="preserve"> baik  dalam memahami kombinasi pola gerak dominan (bertumpu, bergantung, keseimbangan, berpindah/lokomotor, tolakan, putaran, ayunan, melayang, dan mendarat) untuk membentuk keterampilan dasar senam menggunakan alat
</v>
      </c>
      <c r="AH44" s="252" t="str">
        <f t="shared" si="9"/>
        <v xml:space="preserve">SYAKILA baik  dalam memahami kombinasi pola gerak dominan (bertumpu, bergantung, keseimbangan, berpindah/lokomotor, tolakan, putaran, ayunan, melayang, dan mendarat) untuk membentuk keterampilan dasar senam menggunakan alat
</v>
      </c>
      <c r="AI44" s="153"/>
      <c r="AR44" s="469">
        <f t="shared" si="10"/>
        <v>87</v>
      </c>
    </row>
    <row r="45" spans="2:44" ht="63" customHeight="1">
      <c r="B45" s="142">
        <v>41</v>
      </c>
      <c r="C45" s="143" t="str">
        <f>SISWA!B46</f>
        <v>1718250040345</v>
      </c>
      <c r="D45" s="144" t="str">
        <f>SISWA!E46</f>
        <v>SYIFA</v>
      </c>
      <c r="E45" s="159">
        <v>85.714285714285708</v>
      </c>
      <c r="F45" s="160">
        <v>85.714285714285708</v>
      </c>
      <c r="G45" s="160">
        <v>85.714285714285708</v>
      </c>
      <c r="H45" s="160">
        <v>85.714285714285708</v>
      </c>
      <c r="I45" s="160">
        <v>85.714285714285708</v>
      </c>
      <c r="J45" s="160"/>
      <c r="K45" s="160"/>
      <c r="L45" s="160"/>
      <c r="M45" s="160"/>
      <c r="N45" s="159"/>
      <c r="O45" s="159"/>
      <c r="P45" s="159"/>
      <c r="Q45" s="159"/>
      <c r="R45" s="160"/>
      <c r="S45" s="160"/>
      <c r="T45" s="159"/>
      <c r="U45" s="354">
        <f t="shared" si="4"/>
        <v>86</v>
      </c>
      <c r="V45" s="355" t="str">
        <f>IF(U45&gt;KKM!$G$10,"A",IF(U45&gt;KKM!$H$10,"B",IF(U45&gt;=KKM!$I$10,"C","D")))</f>
        <v>B</v>
      </c>
      <c r="W45" s="356">
        <f t="shared" si="0"/>
        <v>85.714285714285708</v>
      </c>
      <c r="X45" s="361" t="str">
        <f>IF(W45&gt;KKM!$G$10," sangat baik ",IF(W45&gt;KKM!$H$10," baik ",IF(W45&gt;=KKM!$I$10," cukup baik "," perlu bimbingan ")))</f>
        <v xml:space="preserve"> baik </v>
      </c>
      <c r="Y45" s="357">
        <f t="shared" si="1"/>
        <v>85.714285714285708</v>
      </c>
      <c r="Z45" s="361" t="str">
        <f>IF(Y45&gt;KKM!$G$10," sangat baik ",IF(Y45&gt;KKM!$H$10," baik ",IF(Y45&gt;=KKM!$I$10," cukup baik "," perlu bimbingan ")))</f>
        <v xml:space="preserve"> baik </v>
      </c>
      <c r="AA45" s="353" t="str">
        <f t="shared" si="5"/>
        <v xml:space="preserve">SYIFA baik  dalam memahami kombinasi pola gerak dominan (bertumpu, bergantung, keseimbangan, berpindah/lokomotor, tolakan, putaran, ayunan, melayang, dan mendarat) untuk membentuk keterampilan dasar senam menggunakan alat
</v>
      </c>
      <c r="AB45" s="256"/>
      <c r="AC45" s="257" t="str">
        <f t="shared" si="2"/>
        <v xml:space="preserve"> baik  dalam memahami kombinasi pola gerak dominan (bertumpu, bergantung, keseimbangan, berpindah/lokomotor, tolakan, putaran, ayunan, melayang, dan mendarat) untuk membentuk keterampilan dasar senam menggunakan alat
</v>
      </c>
      <c r="AD45" s="257" t="str">
        <f t="shared" si="3"/>
        <v xml:space="preserve"> baik  dalam memahami kombinasi pola gerak dominan (bertumpu, bergantung, keseimbangan, berpindah/lokomotor, tolakan, putaran, ayunan, melayang, dan mendarat) untuk membentuk keterampilan dasar senam menggunakan alat
</v>
      </c>
      <c r="AE45" s="257" t="str">
        <f t="shared" si="6"/>
        <v xml:space="preserve"> baik  dalam memahami kombinasi pola gerak dominan (bertumpu, bergantung, keseimbangan, berpindah/lokomotor, tolakan, putaran, ayunan, melayang, dan mendarat) untuk membentuk keterampilan dasar senam menggunakan alat
, dan  baik  dalam memahami kombinasi pola gerak dominan (bertumpu, bergantung, keseimbangan, berpindah/lokomotor, tolakan, putaran, ayunan, melayang, dan mendarat) untuk membentuk keterampilan dasar senam menggunakan alat
</v>
      </c>
      <c r="AF45" s="257" t="str">
        <f t="shared" si="7"/>
        <v xml:space="preserve"> baik  dalam memahami kombinasi pola gerak dominan (bertumpu, bergantung, keseimbangan, berpindah/lokomotor, tolakan, putaran, ayunan, melayang, dan mendarat) untuk membentuk keterampilan dasar senam menggunakan alat
</v>
      </c>
      <c r="AG45" s="258" t="str">
        <f t="shared" si="8"/>
        <v xml:space="preserve"> baik  dalam memahami kombinasi pola gerak dominan (bertumpu, bergantung, keseimbangan, berpindah/lokomotor, tolakan, putaran, ayunan, melayang, dan mendarat) untuk membentuk keterampilan dasar senam menggunakan alat
</v>
      </c>
      <c r="AH45" s="252" t="str">
        <f t="shared" si="9"/>
        <v xml:space="preserve">SYIFA baik  dalam memahami kombinasi pola gerak dominan (bertumpu, bergantung, keseimbangan, berpindah/lokomotor, tolakan, putaran, ayunan, melayang, dan mendarat) untuk membentuk keterampilan dasar senam menggunakan alat
</v>
      </c>
      <c r="AI45" s="153"/>
      <c r="AR45" s="469">
        <f t="shared" si="10"/>
        <v>86</v>
      </c>
    </row>
    <row r="46" spans="2:44" ht="63" customHeight="1">
      <c r="B46" s="142">
        <v>42</v>
      </c>
      <c r="C46" s="143" t="str">
        <f>SISWA!B47</f>
        <v>1718250040346</v>
      </c>
      <c r="D46" s="144" t="str">
        <f>SISWA!E47</f>
        <v>WAFDAN</v>
      </c>
      <c r="E46" s="159">
        <v>88.714285714285708</v>
      </c>
      <c r="F46" s="160">
        <v>88.714285714285708</v>
      </c>
      <c r="G46" s="160">
        <v>88.714285714285708</v>
      </c>
      <c r="H46" s="160">
        <v>88.714285714285708</v>
      </c>
      <c r="I46" s="160">
        <v>88.714285714285708</v>
      </c>
      <c r="J46" s="160"/>
      <c r="K46" s="160"/>
      <c r="L46" s="160"/>
      <c r="M46" s="160"/>
      <c r="N46" s="159"/>
      <c r="O46" s="159"/>
      <c r="P46" s="159"/>
      <c r="Q46" s="159"/>
      <c r="R46" s="160"/>
      <c r="S46" s="160"/>
      <c r="T46" s="159"/>
      <c r="U46" s="354">
        <f t="shared" si="4"/>
        <v>89</v>
      </c>
      <c r="V46" s="355" t="str">
        <f>IF(U46&gt;KKM!$G$10,"A",IF(U46&gt;KKM!$H$10,"B",IF(U46&gt;=KKM!$I$10,"C","D")))</f>
        <v>A</v>
      </c>
      <c r="W46" s="356">
        <f t="shared" si="0"/>
        <v>88.714285714285708</v>
      </c>
      <c r="X46" s="361" t="str">
        <f>IF(W46&gt;KKM!$G$10," sangat baik ",IF(W46&gt;KKM!$H$10," baik ",IF(W46&gt;=KKM!$I$10," cukup baik "," perlu bimbingan ")))</f>
        <v xml:space="preserve"> sangat baik </v>
      </c>
      <c r="Y46" s="357">
        <f t="shared" si="1"/>
        <v>88.714285714285708</v>
      </c>
      <c r="Z46" s="361" t="str">
        <f>IF(Y46&gt;KKM!$G$10," sangat baik ",IF(Y46&gt;KKM!$H$10," baik ",IF(Y46&gt;=KKM!$I$10," cukup baik "," perlu bimbingan ")))</f>
        <v xml:space="preserve"> sangat baik </v>
      </c>
      <c r="AA46" s="353" t="str">
        <f t="shared" si="5"/>
        <v xml:space="preserve">WAFDAN sangat baik  dalam memahami kombinasi pola gerak dominan (bertumpu, bergantung, keseimbangan, berpindah/lokomotor, tolakan, putaran, ayunan, melayang, dan mendarat) untuk membentuk keterampilan dasar senam menggunakan alat
</v>
      </c>
      <c r="AB46" s="256"/>
      <c r="AC46" s="257" t="str">
        <f t="shared" si="2"/>
        <v xml:space="preserve"> sangat baik  dalam memahami kombinasi pola gerak dominan (bertumpu, bergantung, keseimbangan, berpindah/lokomotor, tolakan, putaran, ayunan, melayang, dan mendarat) untuk membentuk keterampilan dasar senam menggunakan alat
</v>
      </c>
      <c r="AD46" s="257" t="str">
        <f t="shared" si="3"/>
        <v xml:space="preserve"> sangat baik  dalam memahami kombinasi pola gerak dominan (bertumpu, bergantung, keseimbangan, berpindah/lokomotor, tolakan, putaran, ayunan, melayang, dan mendarat) untuk membentuk keterampilan dasar senam menggunakan alat
</v>
      </c>
      <c r="AE46" s="257" t="str">
        <f t="shared" si="6"/>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46" s="257" t="str">
        <f t="shared" si="7"/>
        <v xml:space="preserve"> sangat baik  dalam memahami kombinasi pola gerak dominan (bertumpu, bergantung, keseimbangan, berpindah/lokomotor, tolakan, putaran, ayunan, melayang, dan mendarat) untuk membentuk keterampilan dasar senam menggunakan alat
</v>
      </c>
      <c r="AG46" s="258" t="str">
        <f t="shared" si="8"/>
        <v xml:space="preserve"> sangat baik  dalam memahami kombinasi pola gerak dominan (bertumpu, bergantung, keseimbangan, berpindah/lokomotor, tolakan, putaran, ayunan, melayang, dan mendarat) untuk membentuk keterampilan dasar senam menggunakan alat
</v>
      </c>
      <c r="AH46" s="252" t="str">
        <f t="shared" si="9"/>
        <v xml:space="preserve">WAFDAN sangat baik  dalam memahami kombinasi pola gerak dominan (bertumpu, bergantung, keseimbangan, berpindah/lokomotor, tolakan, putaran, ayunan, melayang, dan mendarat) untuk membentuk keterampilan dasar senam menggunakan alat
</v>
      </c>
      <c r="AI46" s="153"/>
      <c r="AR46" s="469">
        <f t="shared" si="10"/>
        <v>89</v>
      </c>
    </row>
    <row r="47" spans="2:44" ht="63" customHeight="1">
      <c r="B47" s="142">
        <v>43</v>
      </c>
      <c r="C47" s="143" t="str">
        <f>SISWA!B48</f>
        <v>1718250040347</v>
      </c>
      <c r="D47" s="144" t="str">
        <f>SISWA!E48</f>
        <v>ZEVA</v>
      </c>
      <c r="E47" s="159">
        <v>92.714285714285708</v>
      </c>
      <c r="F47" s="160">
        <v>92.714285714285708</v>
      </c>
      <c r="G47" s="160">
        <v>92.714285714285708</v>
      </c>
      <c r="H47" s="160">
        <v>92.714285714285708</v>
      </c>
      <c r="I47" s="160">
        <v>92.714285714285708</v>
      </c>
      <c r="J47" s="160"/>
      <c r="K47" s="160"/>
      <c r="L47" s="160"/>
      <c r="M47" s="160"/>
      <c r="N47" s="159"/>
      <c r="O47" s="159"/>
      <c r="P47" s="159"/>
      <c r="Q47" s="159"/>
      <c r="R47" s="160"/>
      <c r="S47" s="160"/>
      <c r="T47" s="159"/>
      <c r="U47" s="354">
        <f t="shared" si="4"/>
        <v>93</v>
      </c>
      <c r="V47" s="355" t="str">
        <f>IF(U47&gt;KKM!$G$10,"A",IF(U47&gt;KKM!$H$10,"B",IF(U47&gt;=KKM!$I$10,"C","D")))</f>
        <v>A</v>
      </c>
      <c r="W47" s="356">
        <f t="shared" si="0"/>
        <v>92.714285714285708</v>
      </c>
      <c r="X47" s="361" t="str">
        <f>IF(W47&gt;KKM!$G$10," sangat baik ",IF(W47&gt;KKM!$H$10," baik ",IF(W47&gt;=KKM!$I$10," cukup baik "," perlu bimbingan ")))</f>
        <v xml:space="preserve"> sangat baik </v>
      </c>
      <c r="Y47" s="357">
        <f t="shared" si="1"/>
        <v>92.714285714285708</v>
      </c>
      <c r="Z47" s="361" t="str">
        <f>IF(Y47&gt;KKM!$G$10," sangat baik ",IF(Y47&gt;KKM!$H$10," baik ",IF(Y47&gt;=KKM!$I$10," cukup baik "," perlu bimbingan ")))</f>
        <v xml:space="preserve"> sangat baik </v>
      </c>
      <c r="AA47" s="353" t="str">
        <f t="shared" si="5"/>
        <v xml:space="preserve">ZEVA sangat baik  dalam memahami kombinasi pola gerak dominan (bertumpu, bergantung, keseimbangan, berpindah/lokomotor, tolakan, putaran, ayunan, melayang, dan mendarat) untuk membentuk keterampilan dasar senam menggunakan alat
</v>
      </c>
      <c r="AB47" s="256"/>
      <c r="AC47" s="257" t="str">
        <f t="shared" si="2"/>
        <v xml:space="preserve"> sangat baik  dalam memahami kombinasi pola gerak dominan (bertumpu, bergantung, keseimbangan, berpindah/lokomotor, tolakan, putaran, ayunan, melayang, dan mendarat) untuk membentuk keterampilan dasar senam menggunakan alat
</v>
      </c>
      <c r="AD47" s="257" t="str">
        <f t="shared" si="3"/>
        <v xml:space="preserve"> sangat baik  dalam memahami kombinasi pola gerak dominan (bertumpu, bergantung, keseimbangan, berpindah/lokomotor, tolakan, putaran, ayunan, melayang, dan mendarat) untuk membentuk keterampilan dasar senam menggunakan alat
</v>
      </c>
      <c r="AE47" s="257" t="str">
        <f t="shared" si="6"/>
        <v xml:space="preserve"> sangat baik  dalam memahami kombinasi pola gerak dominan (bertumpu, bergantung, keseimbangan, berpindah/lokomotor, tolakan, putaran, ayunan, melayang, dan mendarat) untuk membentuk keterampilan dasar senam menggunakan alat
, dan  sangat baik  dalam memahami kombinasi pola gerak dominan (bertumpu, bergantung, keseimbangan, berpindah/lokomotor, tolakan, putaran, ayunan, melayang, dan mendarat) untuk membentuk keterampilan dasar senam menggunakan alat
</v>
      </c>
      <c r="AF47" s="257" t="str">
        <f t="shared" si="7"/>
        <v xml:space="preserve"> sangat baik  dalam memahami kombinasi pola gerak dominan (bertumpu, bergantung, keseimbangan, berpindah/lokomotor, tolakan, putaran, ayunan, melayang, dan mendarat) untuk membentuk keterampilan dasar senam menggunakan alat
</v>
      </c>
      <c r="AG47" s="258" t="str">
        <f t="shared" si="8"/>
        <v xml:space="preserve"> sangat baik  dalam memahami kombinasi pola gerak dominan (bertumpu, bergantung, keseimbangan, berpindah/lokomotor, tolakan, putaran, ayunan, melayang, dan mendarat) untuk membentuk keterampilan dasar senam menggunakan alat
</v>
      </c>
      <c r="AH47" s="252" t="str">
        <f t="shared" si="9"/>
        <v xml:space="preserve">ZEVA sangat baik  dalam memahami kombinasi pola gerak dominan (bertumpu, bergantung, keseimbangan, berpindah/lokomotor, tolakan, putaran, ayunan, melayang, dan mendarat) untuk membentuk keterampilan dasar senam menggunakan alat
</v>
      </c>
      <c r="AI47" s="153"/>
      <c r="AR47" s="469">
        <f t="shared" si="10"/>
        <v>93</v>
      </c>
    </row>
    <row r="48" spans="2:44" ht="63" customHeight="1">
      <c r="B48" s="142">
        <v>44</v>
      </c>
      <c r="C48" s="143">
        <f>SISWA!B49</f>
        <v>0</v>
      </c>
      <c r="D48" s="144">
        <f>SISWA!E49</f>
        <v>0</v>
      </c>
      <c r="E48" s="159"/>
      <c r="F48" s="160"/>
      <c r="G48" s="160"/>
      <c r="H48" s="160"/>
      <c r="I48" s="160"/>
      <c r="J48" s="160"/>
      <c r="K48" s="160"/>
      <c r="L48" s="160"/>
      <c r="M48" s="160"/>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53"/>
      <c r="AR48" s="469" t="str">
        <f t="shared" si="10"/>
        <v/>
      </c>
    </row>
    <row r="49" spans="2:44" ht="63" customHeight="1">
      <c r="B49" s="142">
        <v>45</v>
      </c>
      <c r="C49" s="143">
        <f>SISWA!B50</f>
        <v>0</v>
      </c>
      <c r="D49" s="144">
        <f>SISWA!E50</f>
        <v>0</v>
      </c>
      <c r="E49" s="159"/>
      <c r="F49" s="160"/>
      <c r="G49" s="160"/>
      <c r="H49" s="160"/>
      <c r="I49" s="160"/>
      <c r="J49" s="160"/>
      <c r="K49" s="160"/>
      <c r="L49" s="160"/>
      <c r="M49" s="160"/>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53"/>
      <c r="AR49" s="469" t="str">
        <f t="shared" si="10"/>
        <v/>
      </c>
    </row>
    <row r="50" spans="2:44" ht="63" customHeight="1">
      <c r="B50" s="142">
        <v>46</v>
      </c>
      <c r="C50" s="143">
        <f>SISWA!B51</f>
        <v>0</v>
      </c>
      <c r="D50" s="144">
        <f>SISWA!E51</f>
        <v>0</v>
      </c>
      <c r="E50" s="159"/>
      <c r="F50" s="160"/>
      <c r="G50" s="160"/>
      <c r="H50" s="160"/>
      <c r="I50" s="160"/>
      <c r="J50" s="160"/>
      <c r="K50" s="160"/>
      <c r="L50" s="160"/>
      <c r="M50" s="160"/>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53"/>
      <c r="AR50" s="469" t="str">
        <f t="shared" si="10"/>
        <v/>
      </c>
    </row>
    <row r="51" spans="2:44" ht="63" customHeight="1">
      <c r="B51" s="142">
        <v>47</v>
      </c>
      <c r="C51" s="143">
        <f>SISWA!B52</f>
        <v>0</v>
      </c>
      <c r="D51" s="144">
        <f>SISWA!E52</f>
        <v>0</v>
      </c>
      <c r="E51" s="159"/>
      <c r="F51" s="160"/>
      <c r="G51" s="160"/>
      <c r="H51" s="160"/>
      <c r="I51" s="160"/>
      <c r="J51" s="160"/>
      <c r="K51" s="160"/>
      <c r="L51" s="160"/>
      <c r="M51" s="160"/>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53"/>
      <c r="AR51" s="469" t="str">
        <f t="shared" si="10"/>
        <v/>
      </c>
    </row>
    <row r="52" spans="2:44" ht="63" customHeight="1">
      <c r="B52" s="142">
        <v>48</v>
      </c>
      <c r="C52" s="143">
        <f>SISWA!B53</f>
        <v>0</v>
      </c>
      <c r="D52" s="144">
        <f>SISWA!E53</f>
        <v>0</v>
      </c>
      <c r="E52" s="159"/>
      <c r="F52" s="160"/>
      <c r="G52" s="160"/>
      <c r="H52" s="160"/>
      <c r="I52" s="160"/>
      <c r="J52" s="160"/>
      <c r="K52" s="160"/>
      <c r="L52" s="160"/>
      <c r="M52" s="160"/>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53"/>
      <c r="AR52" s="469" t="str">
        <f t="shared" si="10"/>
        <v/>
      </c>
    </row>
    <row r="53" spans="2:44" ht="63" customHeight="1">
      <c r="B53" s="142">
        <v>49</v>
      </c>
      <c r="C53" s="143">
        <f>SISWA!B54</f>
        <v>0</v>
      </c>
      <c r="D53" s="144">
        <f>SISWA!E54</f>
        <v>0</v>
      </c>
      <c r="E53" s="159"/>
      <c r="F53" s="160"/>
      <c r="G53" s="160"/>
      <c r="H53" s="160"/>
      <c r="I53" s="160"/>
      <c r="J53" s="160"/>
      <c r="K53" s="160"/>
      <c r="L53" s="160"/>
      <c r="M53" s="160"/>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53"/>
      <c r="AR53" s="469" t="str">
        <f t="shared" si="10"/>
        <v/>
      </c>
    </row>
    <row r="54" spans="2:44" ht="63" customHeight="1">
      <c r="B54" s="142">
        <v>50</v>
      </c>
      <c r="C54" s="143">
        <f>SISWA!B55</f>
        <v>0</v>
      </c>
      <c r="D54" s="144">
        <f>SISWA!E55</f>
        <v>0</v>
      </c>
      <c r="E54" s="159"/>
      <c r="F54" s="160"/>
      <c r="G54" s="160"/>
      <c r="H54" s="160"/>
      <c r="I54" s="160"/>
      <c r="J54" s="160"/>
      <c r="K54" s="160"/>
      <c r="L54" s="160"/>
      <c r="M54" s="160"/>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53"/>
      <c r="AR54" s="469" t="str">
        <f t="shared" si="10"/>
        <v/>
      </c>
    </row>
    <row r="55" spans="2:44" ht="15.75">
      <c r="B55" s="154"/>
      <c r="C55" s="154"/>
      <c r="D55" s="154"/>
      <c r="E55" s="145"/>
      <c r="F55" s="146"/>
      <c r="G55" s="146"/>
      <c r="H55" s="146"/>
      <c r="I55" s="146"/>
      <c r="J55" s="146"/>
      <c r="K55" s="146"/>
      <c r="L55" s="146"/>
      <c r="M55" s="146"/>
      <c r="N55" s="145"/>
      <c r="O55" s="145"/>
      <c r="P55" s="145"/>
      <c r="Q55" s="145"/>
      <c r="R55" s="146"/>
      <c r="S55" s="146"/>
      <c r="T55" s="145"/>
      <c r="U55" s="147"/>
      <c r="V55" s="148"/>
      <c r="W55" s="149"/>
      <c r="X55" s="149"/>
      <c r="Y55" s="149"/>
      <c r="Z55" s="149"/>
      <c r="AA55" s="150"/>
      <c r="AB55" s="151"/>
      <c r="AC55" s="152"/>
      <c r="AD55" s="155"/>
      <c r="AE55" s="155"/>
      <c r="AF55" s="155"/>
      <c r="AG55" s="155"/>
      <c r="AH55" s="155"/>
      <c r="AI55" s="153"/>
    </row>
  </sheetData>
  <mergeCells count="11">
    <mergeCell ref="AA2:AA4"/>
    <mergeCell ref="W3:X3"/>
    <mergeCell ref="Y3:Z3"/>
    <mergeCell ref="B1:Z1"/>
    <mergeCell ref="B2:B4"/>
    <mergeCell ref="C2:C4"/>
    <mergeCell ref="D2:D4"/>
    <mergeCell ref="E2:T2"/>
    <mergeCell ref="U2:U4"/>
    <mergeCell ref="V2:V4"/>
    <mergeCell ref="W2:Z2"/>
  </mergeCell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P55"/>
  <sheetViews>
    <sheetView zoomScale="85" zoomScaleNormal="85"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507" customWidth="1"/>
    <col min="2" max="2" width="4.42578125" style="137" customWidth="1"/>
    <col min="3" max="3" width="6.42578125" style="137" customWidth="1"/>
    <col min="4" max="4" width="28.7109375" style="137" customWidth="1"/>
    <col min="5" max="9" width="6.7109375" style="137" customWidth="1"/>
    <col min="10" max="19" width="6.7109375" style="137" hidden="1" customWidth="1"/>
    <col min="20" max="20" width="6.7109375" style="137" customWidth="1"/>
    <col min="21" max="22" width="4.7109375" style="137" customWidth="1"/>
    <col min="23" max="23" width="5.140625" style="137" customWidth="1"/>
    <col min="24" max="24" width="10.7109375" style="137" customWidth="1"/>
    <col min="25" max="25" width="5.140625" style="137" customWidth="1"/>
    <col min="26" max="26" width="11" style="137" customWidth="1"/>
    <col min="27" max="27" width="84.42578125" style="137" customWidth="1"/>
    <col min="28" max="28" width="29.85546875" style="137" customWidth="1"/>
    <col min="29" max="34" width="10.7109375" style="137" hidden="1" customWidth="1"/>
    <col min="35" max="44" width="0" style="137" hidden="1" customWidth="1"/>
    <col min="45" max="45" width="9.140625" style="137" customWidth="1"/>
    <col min="46" max="46" width="6.28515625" style="137" customWidth="1"/>
    <col min="47" max="49" width="9.140625" style="137" hidden="1" customWidth="1"/>
    <col min="50" max="50" width="9.140625" style="137" customWidth="1"/>
    <col min="51" max="58" width="5" style="137" hidden="1" customWidth="1"/>
    <col min="59" max="60" width="0" style="137" hidden="1" customWidth="1"/>
    <col min="61" max="74" width="10.7109375" style="137" hidden="1" customWidth="1"/>
    <col min="75" max="94" width="0" style="137" hidden="1" customWidth="1"/>
    <col min="95" max="16384" width="9.140625" style="137" hidden="1"/>
  </cols>
  <sheetData>
    <row r="1" spans="1:49" s="510" customFormat="1" ht="45.75" customHeight="1">
      <c r="B1" s="685" t="str">
        <f>KKM!X7&amp;" (PENGETAHUAN)"</f>
        <v>BAHASA dan SASTRA SUNDA (PENGETAHUAN)</v>
      </c>
      <c r="C1" s="685"/>
      <c r="D1" s="685"/>
      <c r="E1" s="685"/>
      <c r="F1" s="685"/>
      <c r="G1" s="685"/>
      <c r="H1" s="685"/>
      <c r="I1" s="685"/>
      <c r="J1" s="685"/>
      <c r="K1" s="685"/>
      <c r="L1" s="685"/>
      <c r="M1" s="685"/>
      <c r="N1" s="685"/>
      <c r="O1" s="685"/>
      <c r="P1" s="685"/>
      <c r="Q1" s="685"/>
      <c r="R1" s="685"/>
      <c r="S1" s="685"/>
      <c r="T1" s="685"/>
      <c r="U1" s="685"/>
      <c r="V1" s="685"/>
      <c r="W1" s="685"/>
      <c r="X1" s="685"/>
      <c r="Y1" s="685"/>
      <c r="Z1" s="685"/>
    </row>
    <row r="2" spans="1:49"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V2" s="502">
        <f>DEPAN!$E$23</f>
        <v>43</v>
      </c>
      <c r="AW2" s="502"/>
    </row>
    <row r="3" spans="1:49" ht="94.5" customHeight="1">
      <c r="B3" s="716"/>
      <c r="C3" s="717"/>
      <c r="D3" s="718"/>
      <c r="E3" s="408" t="str">
        <f>'KI-KD'!$C117</f>
        <v>memahami teks kawih tentang bangga sebagai bangsa Indonesia</v>
      </c>
      <c r="F3" s="408" t="str">
        <f>'KI-KD'!$C118</f>
        <v>memahami teks sajak tentang menjaga kelestarian lingkungan melalui membaca nyaring dan membaca dalam hati</v>
      </c>
      <c r="G3" s="408" t="str">
        <f>'KI-KD'!$C119</f>
        <v>memahami teks eksposisi sederhana tentang makanan sehat dan bergizi (makanan tradisional Sunda</v>
      </c>
      <c r="H3" s="408">
        <f>'KI-KD'!$C120</f>
        <v>0</v>
      </c>
      <c r="I3" s="408">
        <f>'KI-KD'!$C121</f>
        <v>0</v>
      </c>
      <c r="J3" s="409"/>
      <c r="K3" s="409"/>
      <c r="L3" s="259"/>
      <c r="M3" s="259"/>
      <c r="N3" s="157"/>
      <c r="O3" s="157"/>
      <c r="P3" s="157"/>
      <c r="Q3" s="157"/>
      <c r="R3" s="157"/>
      <c r="S3" s="157"/>
      <c r="T3" s="157"/>
      <c r="U3" s="720"/>
      <c r="V3" s="721"/>
      <c r="W3" s="712" t="s">
        <v>267</v>
      </c>
      <c r="X3" s="713"/>
      <c r="Y3" s="714" t="s">
        <v>268</v>
      </c>
      <c r="Z3" s="715"/>
      <c r="AA3" s="679"/>
      <c r="AB3" s="2"/>
      <c r="AC3" s="2"/>
      <c r="AD3" s="2"/>
      <c r="AE3" s="2"/>
      <c r="AF3" s="2"/>
      <c r="AG3" s="2"/>
      <c r="AH3" s="253"/>
      <c r="AV3" s="469">
        <f>AV4-AV5</f>
        <v>43</v>
      </c>
      <c r="AW3" s="469"/>
    </row>
    <row r="4" spans="1:49" s="141" customFormat="1" ht="25.5" customHeight="1">
      <c r="A4" s="509"/>
      <c r="B4" s="716"/>
      <c r="C4" s="717"/>
      <c r="D4" s="718"/>
      <c r="E4" s="140" t="str">
        <f>'KI-KD'!$B117</f>
        <v>3.5</v>
      </c>
      <c r="F4" s="140" t="str">
        <f>'KI-KD'!$B118</f>
        <v>3.6</v>
      </c>
      <c r="G4" s="140" t="str">
        <f>'KI-KD'!$B119</f>
        <v>3.7</v>
      </c>
      <c r="H4" s="140">
        <f>'KI-KD'!$B120</f>
        <v>0</v>
      </c>
      <c r="I4" s="140">
        <f>'KI-KD'!$B121</f>
        <v>0</v>
      </c>
      <c r="J4" s="140"/>
      <c r="K4" s="140"/>
      <c r="L4" s="158"/>
      <c r="M4" s="158"/>
      <c r="N4" s="158"/>
      <c r="O4" s="158"/>
      <c r="P4" s="158"/>
      <c r="Q4" s="158"/>
      <c r="R4" s="158"/>
      <c r="S4" s="158"/>
      <c r="T4" s="158"/>
      <c r="U4" s="720"/>
      <c r="V4" s="721"/>
      <c r="W4" s="248" t="s">
        <v>269</v>
      </c>
      <c r="X4" s="249" t="s">
        <v>3</v>
      </c>
      <c r="Y4" s="250" t="s">
        <v>269</v>
      </c>
      <c r="Z4" s="251" t="s">
        <v>3</v>
      </c>
      <c r="AA4" s="680"/>
      <c r="AB4" s="2"/>
      <c r="AC4" s="254" t="s">
        <v>270</v>
      </c>
      <c r="AD4" s="254" t="s">
        <v>271</v>
      </c>
      <c r="AE4" s="254" t="s">
        <v>272</v>
      </c>
      <c r="AF4" s="254" t="s">
        <v>273</v>
      </c>
      <c r="AG4" s="255" t="s">
        <v>266</v>
      </c>
      <c r="AH4" s="252"/>
      <c r="AV4" s="141">
        <v>50</v>
      </c>
    </row>
    <row r="5" spans="1:49" ht="63" customHeight="1">
      <c r="B5" s="142">
        <v>1</v>
      </c>
      <c r="C5" s="143" t="str">
        <f>SISWA!B6</f>
        <v>1718250040305</v>
      </c>
      <c r="D5" s="144" t="str">
        <f>SISWA!E6</f>
        <v>YAHYA</v>
      </c>
      <c r="E5" s="159">
        <v>85</v>
      </c>
      <c r="F5" s="160">
        <v>85</v>
      </c>
      <c r="G5" s="159">
        <v>85</v>
      </c>
      <c r="H5" s="159"/>
      <c r="I5" s="160"/>
      <c r="J5" s="160"/>
      <c r="K5" s="160"/>
      <c r="L5" s="160"/>
      <c r="M5" s="160"/>
      <c r="N5" s="159"/>
      <c r="O5" s="159"/>
      <c r="P5" s="159"/>
      <c r="Q5" s="159"/>
      <c r="R5" s="160"/>
      <c r="S5" s="160"/>
      <c r="T5" s="159"/>
      <c r="U5" s="354">
        <f>ROUND((AVERAGE(E5:T5)),0)</f>
        <v>85</v>
      </c>
      <c r="V5" s="355" t="str">
        <f>IF(U5&gt;KKM!$G$10,"A",IF(U5&gt;KKM!$H$10,"B",IF(U5&gt;=KKM!$I$10,"C","D")))</f>
        <v>B</v>
      </c>
      <c r="W5" s="356">
        <f t="shared" ref="W5:W54" si="0">MAX(E5:T5)</f>
        <v>85</v>
      </c>
      <c r="X5" s="361" t="str">
        <f>IF(W5&gt;KKM!$G$10," sangat baik ",IF(W5&gt;KKM!$H$10," baik ",IF(W5&gt;=KKM!$I$10," cukup baik "," perlu bimbingan ")))</f>
        <v xml:space="preserve"> baik </v>
      </c>
      <c r="Y5" s="357">
        <f t="shared" ref="Y5:Y54" si="1">MIN(E5:T5)</f>
        <v>85</v>
      </c>
      <c r="Z5" s="361" t="str">
        <f>IF(Y5&gt;KKM!$G$10," sangat baik ",IF(Y5&gt;KKM!$H$10," baik ",IF(Y5&gt;=KKM!$I$10," cukup baik "," perlu bimbingan ")))</f>
        <v xml:space="preserve"> baik </v>
      </c>
      <c r="AA5" s="353" t="str">
        <f>IFERROR(AH5," ")</f>
        <v>YAHYA baik  dalam memahami teks kawih tentang bangga sebagai bangsa Indonesia</v>
      </c>
      <c r="AB5" s="256"/>
      <c r="AC5" s="257" t="str">
        <f t="shared" ref="AC5:AC54" si="2">X5&amp;" dalam "&amp;INDEX($E$3:$T$3,MATCH(W5,$E5:$T5,0))</f>
        <v xml:space="preserve"> baik  dalam memahami teks kawih tentang bangga sebagai bangsa Indonesia</v>
      </c>
      <c r="AD5" s="257" t="str">
        <f t="shared" ref="AD5:AD54" si="3">Z5&amp;" dalam "&amp;INDEX($E$3:$T$3,MATCH(Y5,$E5:$T5,0))</f>
        <v xml:space="preserve"> baik  dalam memahami teks kawih tentang bangga sebagai bangsa Indonesia</v>
      </c>
      <c r="AE5" s="257" t="str">
        <f>AC5&amp;", dan "&amp;AD5</f>
        <v xml:space="preserve"> baik  dalam memahami teks kawih tentang bangga sebagai bangsa Indonesia, dan  baik  dalam memahami teks kawih tentang bangga sebagai bangsa Indonesia</v>
      </c>
      <c r="AF5" s="257" t="str">
        <f>IF(AC5=AD5,AC5," ")</f>
        <v xml:space="preserve"> baik  dalam memahami teks kawih tentang bangga sebagai bangsa Indonesia</v>
      </c>
      <c r="AG5" s="258" t="str">
        <f>IF(AF5=" ",AE5,AF5)</f>
        <v xml:space="preserve"> baik  dalam memahami teks kawih tentang bangga sebagai bangsa Indonesia</v>
      </c>
      <c r="AH5" s="252" t="str">
        <f>CONCATENATE(D5,AG5)</f>
        <v>YAHYA baik  dalam memahami teks kawih tentang bangga sebagai bangsa Indonesia</v>
      </c>
      <c r="AI5" s="139" t="e">
        <f>IF(#REF!=1,S$3," ")</f>
        <v>#REF!</v>
      </c>
      <c r="AJ5" s="139" t="e">
        <f>IF(#REF!=1,T$3," ")</f>
        <v>#REF!</v>
      </c>
      <c r="AK5" s="153"/>
      <c r="AU5" s="469">
        <f>IFERROR(U5,"")</f>
        <v>85</v>
      </c>
      <c r="AV5" s="469">
        <f>COUNTBLANK(AU5:AU54)</f>
        <v>7</v>
      </c>
      <c r="AW5" s="469"/>
    </row>
    <row r="6" spans="1:49" ht="63" customHeight="1">
      <c r="B6" s="142">
        <v>2</v>
      </c>
      <c r="C6" s="143" t="str">
        <f>SISWA!B7</f>
        <v>1718250040306</v>
      </c>
      <c r="D6" s="144" t="str">
        <f>SISWA!E7</f>
        <v>ADHWA</v>
      </c>
      <c r="E6" s="159">
        <v>82</v>
      </c>
      <c r="F6" s="160">
        <v>82</v>
      </c>
      <c r="G6" s="159">
        <v>82</v>
      </c>
      <c r="H6" s="159"/>
      <c r="I6" s="160"/>
      <c r="J6" s="160"/>
      <c r="K6" s="160"/>
      <c r="L6" s="160"/>
      <c r="M6" s="160"/>
      <c r="N6" s="159"/>
      <c r="O6" s="159"/>
      <c r="P6" s="159"/>
      <c r="Q6" s="159"/>
      <c r="R6" s="160"/>
      <c r="S6" s="160"/>
      <c r="T6" s="159"/>
      <c r="U6" s="354">
        <f t="shared" ref="U6:U54" si="4">ROUND((AVERAGE(E6:T6)),0)</f>
        <v>82</v>
      </c>
      <c r="V6" s="355" t="str">
        <f>IF(U6&gt;KKM!$G$10,"A",IF(U6&gt;KKM!$H$10,"B",IF(U6&gt;=KKM!$I$10,"C","D")))</f>
        <v>B</v>
      </c>
      <c r="W6" s="356">
        <f t="shared" si="0"/>
        <v>82</v>
      </c>
      <c r="X6" s="361" t="str">
        <f>IF(W6&gt;KKM!$G$10," sangat baik ",IF(W6&gt;KKM!$H$10," baik ",IF(W6&gt;=KKM!$I$10," cukup baik "," perlu bimbingan ")))</f>
        <v xml:space="preserve"> baik </v>
      </c>
      <c r="Y6" s="357">
        <f t="shared" si="1"/>
        <v>82</v>
      </c>
      <c r="Z6" s="361" t="str">
        <f>IF(Y6&gt;KKM!$G$10," sangat baik ",IF(Y6&gt;KKM!$H$10," baik ",IF(Y6&gt;=KKM!$I$10," cukup baik "," perlu bimbingan ")))</f>
        <v xml:space="preserve"> baik </v>
      </c>
      <c r="AA6" s="353" t="str">
        <f t="shared" ref="AA6:AA54" si="5">IFERROR(AH6," ")</f>
        <v>ADHWA baik  dalam memahami teks kawih tentang bangga sebagai bangsa Indonesia</v>
      </c>
      <c r="AB6" s="256"/>
      <c r="AC6" s="257" t="str">
        <f t="shared" si="2"/>
        <v xml:space="preserve"> baik  dalam memahami teks kawih tentang bangga sebagai bangsa Indonesia</v>
      </c>
      <c r="AD6" s="257" t="str">
        <f t="shared" si="3"/>
        <v xml:space="preserve"> baik  dalam memahami teks kawih tentang bangga sebagai bangsa Indonesia</v>
      </c>
      <c r="AE6" s="257" t="str">
        <f t="shared" ref="AE6:AE54" si="6">AC6&amp;", dan "&amp;AD6</f>
        <v xml:space="preserve"> baik  dalam memahami teks kawih tentang bangga sebagai bangsa Indonesia, dan  baik  dalam memahami teks kawih tentang bangga sebagai bangsa Indonesia</v>
      </c>
      <c r="AF6" s="257" t="str">
        <f t="shared" ref="AF6:AF54" si="7">IF(AC6=AD6,AC6," ")</f>
        <v xml:space="preserve"> baik  dalam memahami teks kawih tentang bangga sebagai bangsa Indonesia</v>
      </c>
      <c r="AG6" s="258" t="str">
        <f t="shared" ref="AG6:AG54" si="8">IF(AF6=" ",AE6,AF6)</f>
        <v xml:space="preserve"> baik  dalam memahami teks kawih tentang bangga sebagai bangsa Indonesia</v>
      </c>
      <c r="AH6" s="252" t="str">
        <f t="shared" ref="AH6:AH54" si="9">CONCATENATE(D6,AG6)</f>
        <v>ADHWA baik  dalam memahami teks kawih tentang bangga sebagai bangsa Indonesia</v>
      </c>
      <c r="AI6" s="139" t="e">
        <f>IF(#REF!=1,S$3," ")</f>
        <v>#REF!</v>
      </c>
      <c r="AJ6" s="139" t="e">
        <f>IF(#REF!=1,T$3," ")</f>
        <v>#REF!</v>
      </c>
      <c r="AK6" s="153"/>
      <c r="AU6" s="469">
        <f t="shared" ref="AU6:AU54" si="10">IFERROR(U6,"")</f>
        <v>82</v>
      </c>
      <c r="AV6" s="503">
        <f>IFERROR(AV3/AV2,"0%")</f>
        <v>1</v>
      </c>
      <c r="AW6" s="503">
        <f>AVERAGE('PAI3'!DH7,'PKN3'!AS6,BIND3!AR6,'MTK3'!AS6,'IPA3'!AS6,'IPS3'!AR6,SBDP3!AS6,PJOK3!AS6,'MLK1-3'!AV6)</f>
        <v>1</v>
      </c>
    </row>
    <row r="7" spans="1:49" ht="63" customHeight="1">
      <c r="B7" s="142">
        <v>3</v>
      </c>
      <c r="C7" s="143" t="str">
        <f>SISWA!B8</f>
        <v xml:space="preserve"> 1718250040307</v>
      </c>
      <c r="D7" s="144" t="str">
        <f>SISWA!E8</f>
        <v>ANDHIKA</v>
      </c>
      <c r="E7" s="159">
        <v>74</v>
      </c>
      <c r="F7" s="160">
        <v>74</v>
      </c>
      <c r="G7" s="159">
        <v>74</v>
      </c>
      <c r="H7" s="160"/>
      <c r="I7" s="160"/>
      <c r="J7" s="160"/>
      <c r="K7" s="160"/>
      <c r="L7" s="160"/>
      <c r="M7" s="160"/>
      <c r="N7" s="159"/>
      <c r="O7" s="159"/>
      <c r="P7" s="159"/>
      <c r="Q7" s="159"/>
      <c r="R7" s="160"/>
      <c r="S7" s="160"/>
      <c r="T7" s="159"/>
      <c r="U7" s="354">
        <f t="shared" si="4"/>
        <v>74</v>
      </c>
      <c r="V7" s="355" t="str">
        <f>IF(U7&gt;KKM!$G$10,"A",IF(U7&gt;KKM!$H$10,"B",IF(U7&gt;=KKM!$I$10,"C","D")))</f>
        <v>C</v>
      </c>
      <c r="W7" s="356">
        <f t="shared" si="0"/>
        <v>74</v>
      </c>
      <c r="X7" s="361" t="str">
        <f>IF(W7&gt;KKM!$G$10," sangat baik ",IF(W7&gt;KKM!$H$10," baik ",IF(W7&gt;=KKM!$I$10," cukup baik "," perlu bimbingan ")))</f>
        <v xml:space="preserve"> cukup baik </v>
      </c>
      <c r="Y7" s="357">
        <f t="shared" si="1"/>
        <v>74</v>
      </c>
      <c r="Z7" s="361" t="str">
        <f>IF(Y7&gt;KKM!$G$10," sangat baik ",IF(Y7&gt;KKM!$H$10," baik ",IF(Y7&gt;=KKM!$I$10," cukup baik "," perlu bimbingan ")))</f>
        <v xml:space="preserve"> cukup baik </v>
      </c>
      <c r="AA7" s="353" t="str">
        <f t="shared" si="5"/>
        <v>ANDHIKA cukup baik  dalam memahami teks kawih tentang bangga sebagai bangsa Indonesia</v>
      </c>
      <c r="AB7" s="256"/>
      <c r="AC7" s="257" t="str">
        <f t="shared" si="2"/>
        <v xml:space="preserve"> cukup baik  dalam memahami teks kawih tentang bangga sebagai bangsa Indonesia</v>
      </c>
      <c r="AD7" s="257" t="str">
        <f t="shared" si="3"/>
        <v xml:space="preserve"> cukup baik  dalam memahami teks kawih tentang bangga sebagai bangsa Indonesia</v>
      </c>
      <c r="AE7" s="257" t="str">
        <f t="shared" si="6"/>
        <v xml:space="preserve"> cukup baik  dalam memahami teks kawih tentang bangga sebagai bangsa Indonesia, dan  cukup baik  dalam memahami teks kawih tentang bangga sebagai bangsa Indonesia</v>
      </c>
      <c r="AF7" s="257" t="str">
        <f t="shared" si="7"/>
        <v xml:space="preserve"> cukup baik  dalam memahami teks kawih tentang bangga sebagai bangsa Indonesia</v>
      </c>
      <c r="AG7" s="258" t="str">
        <f t="shared" si="8"/>
        <v xml:space="preserve"> cukup baik  dalam memahami teks kawih tentang bangga sebagai bangsa Indonesia</v>
      </c>
      <c r="AH7" s="252" t="str">
        <f t="shared" si="9"/>
        <v>ANDHIKA cukup baik  dalam memahami teks kawih tentang bangga sebagai bangsa Indonesia</v>
      </c>
      <c r="AI7" s="139" t="e">
        <f>IF(#REF!=1,S$3," ")</f>
        <v>#REF!</v>
      </c>
      <c r="AJ7" s="139" t="e">
        <f>IF(#REF!=1,T$3," ")</f>
        <v>#REF!</v>
      </c>
      <c r="AK7" s="153"/>
      <c r="AU7" s="469">
        <f t="shared" si="10"/>
        <v>74</v>
      </c>
    </row>
    <row r="8" spans="1:49" ht="63" customHeight="1">
      <c r="B8" s="142">
        <v>4</v>
      </c>
      <c r="C8" s="143" t="str">
        <f>SISWA!B9</f>
        <v xml:space="preserve"> 1718250040308</v>
      </c>
      <c r="D8" s="144" t="str">
        <f>SISWA!E9</f>
        <v>ANGGARA</v>
      </c>
      <c r="E8" s="159">
        <v>77</v>
      </c>
      <c r="F8" s="160">
        <v>77</v>
      </c>
      <c r="G8" s="160">
        <v>77</v>
      </c>
      <c r="H8" s="160"/>
      <c r="I8" s="160"/>
      <c r="J8" s="160"/>
      <c r="K8" s="160"/>
      <c r="L8" s="160"/>
      <c r="M8" s="160"/>
      <c r="N8" s="159"/>
      <c r="O8" s="159"/>
      <c r="P8" s="159"/>
      <c r="Q8" s="159"/>
      <c r="R8" s="160"/>
      <c r="S8" s="160"/>
      <c r="T8" s="159"/>
      <c r="U8" s="354">
        <f t="shared" si="4"/>
        <v>77</v>
      </c>
      <c r="V8" s="355" t="str">
        <f>IF(U8&gt;KKM!$G$10,"A",IF(U8&gt;KKM!$H$10,"B",IF(U8&gt;=KKM!$I$10,"C","D")))</f>
        <v>B</v>
      </c>
      <c r="W8" s="356">
        <f t="shared" si="0"/>
        <v>77</v>
      </c>
      <c r="X8" s="361" t="str">
        <f>IF(W8&gt;KKM!$G$10," sangat baik ",IF(W8&gt;KKM!$H$10," baik ",IF(W8&gt;=KKM!$I$10," cukup baik "," perlu bimbingan ")))</f>
        <v xml:space="preserve"> baik </v>
      </c>
      <c r="Y8" s="357">
        <f t="shared" si="1"/>
        <v>77</v>
      </c>
      <c r="Z8" s="361" t="str">
        <f>IF(Y8&gt;KKM!$G$10," sangat baik ",IF(Y8&gt;KKM!$H$10," baik ",IF(Y8&gt;=KKM!$I$10," cukup baik "," perlu bimbingan ")))</f>
        <v xml:space="preserve"> baik </v>
      </c>
      <c r="AA8" s="353" t="str">
        <f t="shared" si="5"/>
        <v>ANGGARA baik  dalam memahami teks kawih tentang bangga sebagai bangsa Indonesia</v>
      </c>
      <c r="AB8" s="256"/>
      <c r="AC8" s="257" t="str">
        <f t="shared" si="2"/>
        <v xml:space="preserve"> baik  dalam memahami teks kawih tentang bangga sebagai bangsa Indonesia</v>
      </c>
      <c r="AD8" s="257" t="str">
        <f t="shared" si="3"/>
        <v xml:space="preserve"> baik  dalam memahami teks kawih tentang bangga sebagai bangsa Indonesia</v>
      </c>
      <c r="AE8" s="257" t="str">
        <f t="shared" si="6"/>
        <v xml:space="preserve"> baik  dalam memahami teks kawih tentang bangga sebagai bangsa Indonesia, dan  baik  dalam memahami teks kawih tentang bangga sebagai bangsa Indonesia</v>
      </c>
      <c r="AF8" s="257" t="str">
        <f t="shared" si="7"/>
        <v xml:space="preserve"> baik  dalam memahami teks kawih tentang bangga sebagai bangsa Indonesia</v>
      </c>
      <c r="AG8" s="258" t="str">
        <f t="shared" si="8"/>
        <v xml:space="preserve"> baik  dalam memahami teks kawih tentang bangga sebagai bangsa Indonesia</v>
      </c>
      <c r="AH8" s="252" t="str">
        <f t="shared" si="9"/>
        <v>ANGGARA baik  dalam memahami teks kawih tentang bangga sebagai bangsa Indonesia</v>
      </c>
      <c r="AI8" s="139" t="e">
        <f>IF(#REF!=1,S$3," ")</f>
        <v>#REF!</v>
      </c>
      <c r="AJ8" s="139" t="e">
        <f>IF(#REF!=1,T$3," ")</f>
        <v>#REF!</v>
      </c>
      <c r="AK8" s="153"/>
      <c r="AU8" s="469">
        <f t="shared" si="10"/>
        <v>77</v>
      </c>
    </row>
    <row r="9" spans="1:49" ht="63" customHeight="1">
      <c r="B9" s="142">
        <v>5</v>
      </c>
      <c r="C9" s="143" t="str">
        <f>SISWA!B10</f>
        <v>1718250040309</v>
      </c>
      <c r="D9" s="144" t="str">
        <f>SISWA!E10</f>
        <v>ARIA</v>
      </c>
      <c r="E9" s="159">
        <v>82</v>
      </c>
      <c r="F9" s="160">
        <v>82</v>
      </c>
      <c r="G9" s="160">
        <v>82</v>
      </c>
      <c r="H9" s="160"/>
      <c r="I9" s="160"/>
      <c r="J9" s="160"/>
      <c r="K9" s="160"/>
      <c r="L9" s="160"/>
      <c r="M9" s="160"/>
      <c r="N9" s="159"/>
      <c r="O9" s="159"/>
      <c r="P9" s="159"/>
      <c r="Q9" s="159"/>
      <c r="R9" s="160"/>
      <c r="S9" s="160"/>
      <c r="T9" s="159"/>
      <c r="U9" s="354">
        <f t="shared" si="4"/>
        <v>82</v>
      </c>
      <c r="V9" s="355" t="str">
        <f>IF(U9&gt;KKM!$G$10,"A",IF(U9&gt;KKM!$H$10,"B",IF(U9&gt;=KKM!$I$10,"C","D")))</f>
        <v>B</v>
      </c>
      <c r="W9" s="356">
        <f t="shared" si="0"/>
        <v>82</v>
      </c>
      <c r="X9" s="361" t="str">
        <f>IF(W9&gt;KKM!$G$10," sangat baik ",IF(W9&gt;KKM!$H$10," baik ",IF(W9&gt;=KKM!$I$10," cukup baik "," perlu bimbingan ")))</f>
        <v xml:space="preserve"> baik </v>
      </c>
      <c r="Y9" s="357">
        <f t="shared" si="1"/>
        <v>82</v>
      </c>
      <c r="Z9" s="361" t="str">
        <f>IF(Y9&gt;KKM!$G$10," sangat baik ",IF(Y9&gt;KKM!$H$10," baik ",IF(Y9&gt;=KKM!$I$10," cukup baik "," perlu bimbingan ")))</f>
        <v xml:space="preserve"> baik </v>
      </c>
      <c r="AA9" s="353" t="str">
        <f t="shared" si="5"/>
        <v>ARIA baik  dalam memahami teks kawih tentang bangga sebagai bangsa Indonesia</v>
      </c>
      <c r="AB9" s="256"/>
      <c r="AC9" s="257" t="str">
        <f t="shared" si="2"/>
        <v xml:space="preserve"> baik  dalam memahami teks kawih tentang bangga sebagai bangsa Indonesia</v>
      </c>
      <c r="AD9" s="257" t="str">
        <f t="shared" si="3"/>
        <v xml:space="preserve"> baik  dalam memahami teks kawih tentang bangga sebagai bangsa Indonesia</v>
      </c>
      <c r="AE9" s="257" t="str">
        <f t="shared" si="6"/>
        <v xml:space="preserve"> baik  dalam memahami teks kawih tentang bangga sebagai bangsa Indonesia, dan  baik  dalam memahami teks kawih tentang bangga sebagai bangsa Indonesia</v>
      </c>
      <c r="AF9" s="257" t="str">
        <f t="shared" si="7"/>
        <v xml:space="preserve"> baik  dalam memahami teks kawih tentang bangga sebagai bangsa Indonesia</v>
      </c>
      <c r="AG9" s="258" t="str">
        <f t="shared" si="8"/>
        <v xml:space="preserve"> baik  dalam memahami teks kawih tentang bangga sebagai bangsa Indonesia</v>
      </c>
      <c r="AH9" s="252" t="str">
        <f t="shared" si="9"/>
        <v>ARIA baik  dalam memahami teks kawih tentang bangga sebagai bangsa Indonesia</v>
      </c>
      <c r="AI9" s="139" t="e">
        <f>IF(#REF!=1,S$3," ")</f>
        <v>#REF!</v>
      </c>
      <c r="AJ9" s="139" t="e">
        <f>IF(#REF!=1,T$3," ")</f>
        <v>#REF!</v>
      </c>
      <c r="AK9" s="153"/>
      <c r="AU9" s="469">
        <f t="shared" si="10"/>
        <v>82</v>
      </c>
    </row>
    <row r="10" spans="1:49" ht="63" customHeight="1">
      <c r="B10" s="142">
        <v>6</v>
      </c>
      <c r="C10" s="143" t="str">
        <f>SISWA!B11</f>
        <v>1718250040310</v>
      </c>
      <c r="D10" s="144" t="str">
        <f>SISWA!E11</f>
        <v>CAHAYA</v>
      </c>
      <c r="E10" s="159">
        <v>71</v>
      </c>
      <c r="F10" s="160">
        <v>71</v>
      </c>
      <c r="G10" s="160">
        <v>71</v>
      </c>
      <c r="H10" s="160"/>
      <c r="I10" s="160"/>
      <c r="J10" s="160"/>
      <c r="K10" s="160"/>
      <c r="L10" s="160"/>
      <c r="M10" s="160"/>
      <c r="N10" s="159"/>
      <c r="O10" s="159"/>
      <c r="P10" s="159"/>
      <c r="Q10" s="159"/>
      <c r="R10" s="160"/>
      <c r="S10" s="160"/>
      <c r="T10" s="159"/>
      <c r="U10" s="354">
        <f t="shared" si="4"/>
        <v>71</v>
      </c>
      <c r="V10" s="355" t="str">
        <f>IF(U10&gt;KKM!$G$10,"A",IF(U10&gt;KKM!$H$10,"B",IF(U10&gt;=KKM!$I$10,"C","D")))</f>
        <v>C</v>
      </c>
      <c r="W10" s="356">
        <f t="shared" si="0"/>
        <v>71</v>
      </c>
      <c r="X10" s="361" t="str">
        <f>IF(W10&gt;KKM!$G$10," sangat baik ",IF(W10&gt;KKM!$H$10," baik ",IF(W10&gt;=KKM!$I$10," cukup baik "," perlu bimbingan ")))</f>
        <v xml:space="preserve"> cukup baik </v>
      </c>
      <c r="Y10" s="357">
        <f t="shared" si="1"/>
        <v>71</v>
      </c>
      <c r="Z10" s="361" t="str">
        <f>IF(Y10&gt;KKM!$G$10," sangat baik ",IF(Y10&gt;KKM!$H$10," baik ",IF(Y10&gt;=KKM!$I$10," cukup baik "," perlu bimbingan ")))</f>
        <v xml:space="preserve"> cukup baik </v>
      </c>
      <c r="AA10" s="353" t="str">
        <f t="shared" si="5"/>
        <v>CAHAYA cukup baik  dalam memahami teks kawih tentang bangga sebagai bangsa Indonesia</v>
      </c>
      <c r="AB10" s="256"/>
      <c r="AC10" s="257" t="str">
        <f t="shared" si="2"/>
        <v xml:space="preserve"> cukup baik  dalam memahami teks kawih tentang bangga sebagai bangsa Indonesia</v>
      </c>
      <c r="AD10" s="257" t="str">
        <f t="shared" si="3"/>
        <v xml:space="preserve"> cukup baik  dalam memahami teks kawih tentang bangga sebagai bangsa Indonesia</v>
      </c>
      <c r="AE10" s="257" t="str">
        <f t="shared" si="6"/>
        <v xml:space="preserve"> cukup baik  dalam memahami teks kawih tentang bangga sebagai bangsa Indonesia, dan  cukup baik  dalam memahami teks kawih tentang bangga sebagai bangsa Indonesia</v>
      </c>
      <c r="AF10" s="257" t="str">
        <f t="shared" si="7"/>
        <v xml:space="preserve"> cukup baik  dalam memahami teks kawih tentang bangga sebagai bangsa Indonesia</v>
      </c>
      <c r="AG10" s="258" t="str">
        <f t="shared" si="8"/>
        <v xml:space="preserve"> cukup baik  dalam memahami teks kawih tentang bangga sebagai bangsa Indonesia</v>
      </c>
      <c r="AH10" s="252" t="str">
        <f t="shared" si="9"/>
        <v>CAHAYA cukup baik  dalam memahami teks kawih tentang bangga sebagai bangsa Indonesia</v>
      </c>
      <c r="AI10" s="139" t="e">
        <f>IF(#REF!=1,S$3," ")</f>
        <v>#REF!</v>
      </c>
      <c r="AJ10" s="139" t="e">
        <f>IF(#REF!=1,T$3," ")</f>
        <v>#REF!</v>
      </c>
      <c r="AK10" s="153"/>
      <c r="AU10" s="469">
        <f t="shared" si="10"/>
        <v>71</v>
      </c>
    </row>
    <row r="11" spans="1:49" ht="63" customHeight="1">
      <c r="B11" s="142">
        <v>7</v>
      </c>
      <c r="C11" s="143" t="str">
        <f>SISWA!B12</f>
        <v>1718250040311</v>
      </c>
      <c r="D11" s="144" t="str">
        <f>SISWA!E12</f>
        <v>CALISTA</v>
      </c>
      <c r="E11" s="159">
        <v>80</v>
      </c>
      <c r="F11" s="160">
        <v>80</v>
      </c>
      <c r="G11" s="160">
        <v>80</v>
      </c>
      <c r="H11" s="160"/>
      <c r="I11" s="160"/>
      <c r="J11" s="160"/>
      <c r="K11" s="160"/>
      <c r="L11" s="160"/>
      <c r="M11" s="160"/>
      <c r="N11" s="159"/>
      <c r="O11" s="159"/>
      <c r="P11" s="159"/>
      <c r="Q11" s="159"/>
      <c r="R11" s="160"/>
      <c r="S11" s="160"/>
      <c r="T11" s="159"/>
      <c r="U11" s="354">
        <f t="shared" si="4"/>
        <v>80</v>
      </c>
      <c r="V11" s="355" t="str">
        <f>IF(U11&gt;KKM!$G$10,"A",IF(U11&gt;KKM!$H$10,"B",IF(U11&gt;=KKM!$I$10,"C","D")))</f>
        <v>B</v>
      </c>
      <c r="W11" s="356">
        <f t="shared" si="0"/>
        <v>80</v>
      </c>
      <c r="X11" s="361" t="str">
        <f>IF(W11&gt;KKM!$G$10," sangat baik ",IF(W11&gt;KKM!$H$10," baik ",IF(W11&gt;=KKM!$I$10," cukup baik "," perlu bimbingan ")))</f>
        <v xml:space="preserve"> baik </v>
      </c>
      <c r="Y11" s="357">
        <f t="shared" si="1"/>
        <v>80</v>
      </c>
      <c r="Z11" s="361" t="str">
        <f>IF(Y11&gt;KKM!$G$10," sangat baik ",IF(Y11&gt;KKM!$H$10," baik ",IF(Y11&gt;=KKM!$I$10," cukup baik "," perlu bimbingan ")))</f>
        <v xml:space="preserve"> baik </v>
      </c>
      <c r="AA11" s="353" t="str">
        <f t="shared" si="5"/>
        <v>CALISTA baik  dalam memahami teks kawih tentang bangga sebagai bangsa Indonesia</v>
      </c>
      <c r="AB11" s="256"/>
      <c r="AC11" s="257" t="str">
        <f t="shared" si="2"/>
        <v xml:space="preserve"> baik  dalam memahami teks kawih tentang bangga sebagai bangsa Indonesia</v>
      </c>
      <c r="AD11" s="257" t="str">
        <f t="shared" si="3"/>
        <v xml:space="preserve"> baik  dalam memahami teks kawih tentang bangga sebagai bangsa Indonesia</v>
      </c>
      <c r="AE11" s="257" t="str">
        <f t="shared" si="6"/>
        <v xml:space="preserve"> baik  dalam memahami teks kawih tentang bangga sebagai bangsa Indonesia, dan  baik  dalam memahami teks kawih tentang bangga sebagai bangsa Indonesia</v>
      </c>
      <c r="AF11" s="257" t="str">
        <f t="shared" si="7"/>
        <v xml:space="preserve"> baik  dalam memahami teks kawih tentang bangga sebagai bangsa Indonesia</v>
      </c>
      <c r="AG11" s="258" t="str">
        <f t="shared" si="8"/>
        <v xml:space="preserve"> baik  dalam memahami teks kawih tentang bangga sebagai bangsa Indonesia</v>
      </c>
      <c r="AH11" s="252" t="str">
        <f t="shared" si="9"/>
        <v>CALISTA baik  dalam memahami teks kawih tentang bangga sebagai bangsa Indonesia</v>
      </c>
      <c r="AI11" s="139" t="e">
        <f>IF(#REF!=1,S$3," ")</f>
        <v>#REF!</v>
      </c>
      <c r="AJ11" s="139" t="e">
        <f>IF(#REF!=1,T$3," ")</f>
        <v>#REF!</v>
      </c>
      <c r="AK11" s="153"/>
      <c r="AU11" s="469">
        <f t="shared" si="10"/>
        <v>80</v>
      </c>
    </row>
    <row r="12" spans="1:49" ht="63" customHeight="1">
      <c r="B12" s="142">
        <v>8</v>
      </c>
      <c r="C12" s="143" t="str">
        <f>SISWA!B13</f>
        <v>1718250040312</v>
      </c>
      <c r="D12" s="144" t="str">
        <f>SISWA!E13</f>
        <v>CARISSA</v>
      </c>
      <c r="E12" s="159">
        <v>88</v>
      </c>
      <c r="F12" s="160">
        <v>88</v>
      </c>
      <c r="G12" s="160">
        <v>88</v>
      </c>
      <c r="H12" s="160"/>
      <c r="I12" s="160"/>
      <c r="J12" s="160"/>
      <c r="K12" s="160"/>
      <c r="L12" s="160"/>
      <c r="M12" s="160"/>
      <c r="N12" s="159"/>
      <c r="O12" s="159"/>
      <c r="P12" s="159"/>
      <c r="Q12" s="159"/>
      <c r="R12" s="160"/>
      <c r="S12" s="160"/>
      <c r="T12" s="159"/>
      <c r="U12" s="354">
        <f t="shared" si="4"/>
        <v>88</v>
      </c>
      <c r="V12" s="355" t="str">
        <f>IF(U12&gt;KKM!$G$10,"A",IF(U12&gt;KKM!$H$10,"B",IF(U12&gt;=KKM!$I$10,"C","D")))</f>
        <v>A</v>
      </c>
      <c r="W12" s="356">
        <f t="shared" si="0"/>
        <v>88</v>
      </c>
      <c r="X12" s="361" t="str">
        <f>IF(W12&gt;KKM!$G$10," sangat baik ",IF(W12&gt;KKM!$H$10," baik ",IF(W12&gt;=KKM!$I$10," cukup baik "," perlu bimbingan ")))</f>
        <v xml:space="preserve"> sangat baik </v>
      </c>
      <c r="Y12" s="357">
        <f t="shared" si="1"/>
        <v>88</v>
      </c>
      <c r="Z12" s="361" t="str">
        <f>IF(Y12&gt;KKM!$G$10," sangat baik ",IF(Y12&gt;KKM!$H$10," baik ",IF(Y12&gt;=KKM!$I$10," cukup baik "," perlu bimbingan ")))</f>
        <v xml:space="preserve"> sangat baik </v>
      </c>
      <c r="AA12" s="353" t="str">
        <f t="shared" si="5"/>
        <v>CARISSA sangat baik  dalam memahami teks kawih tentang bangga sebagai bangsa Indonesia</v>
      </c>
      <c r="AB12" s="256"/>
      <c r="AC12" s="257" t="str">
        <f t="shared" si="2"/>
        <v xml:space="preserve"> sangat baik  dalam memahami teks kawih tentang bangga sebagai bangsa Indonesia</v>
      </c>
      <c r="AD12" s="257" t="str">
        <f t="shared" si="3"/>
        <v xml:space="preserve"> sangat baik  dalam memahami teks kawih tentang bangga sebagai bangsa Indonesia</v>
      </c>
      <c r="AE12" s="257" t="str">
        <f t="shared" si="6"/>
        <v xml:space="preserve"> sangat baik  dalam memahami teks kawih tentang bangga sebagai bangsa Indonesia, dan  sangat baik  dalam memahami teks kawih tentang bangga sebagai bangsa Indonesia</v>
      </c>
      <c r="AF12" s="257" t="str">
        <f t="shared" si="7"/>
        <v xml:space="preserve"> sangat baik  dalam memahami teks kawih tentang bangga sebagai bangsa Indonesia</v>
      </c>
      <c r="AG12" s="258" t="str">
        <f t="shared" si="8"/>
        <v xml:space="preserve"> sangat baik  dalam memahami teks kawih tentang bangga sebagai bangsa Indonesia</v>
      </c>
      <c r="AH12" s="252" t="str">
        <f t="shared" si="9"/>
        <v>CARISSA sangat baik  dalam memahami teks kawih tentang bangga sebagai bangsa Indonesia</v>
      </c>
      <c r="AI12" s="139" t="e">
        <f>IF(#REF!=1,S$3," ")</f>
        <v>#REF!</v>
      </c>
      <c r="AJ12" s="139" t="e">
        <f>IF(#REF!=1,T$3," ")</f>
        <v>#REF!</v>
      </c>
      <c r="AK12" s="153"/>
      <c r="AU12" s="469">
        <f t="shared" si="10"/>
        <v>88</v>
      </c>
    </row>
    <row r="13" spans="1:49" ht="63" customHeight="1">
      <c r="B13" s="142">
        <v>9</v>
      </c>
      <c r="C13" s="143" t="str">
        <f>SISWA!B14</f>
        <v>1718250040313</v>
      </c>
      <c r="D13" s="144" t="str">
        <f>SISWA!E14</f>
        <v>CHAIDAR</v>
      </c>
      <c r="E13" s="159">
        <v>82</v>
      </c>
      <c r="F13" s="160">
        <v>82</v>
      </c>
      <c r="G13" s="160">
        <v>82</v>
      </c>
      <c r="H13" s="160"/>
      <c r="I13" s="160"/>
      <c r="J13" s="160"/>
      <c r="K13" s="160"/>
      <c r="L13" s="160"/>
      <c r="M13" s="160"/>
      <c r="N13" s="159"/>
      <c r="O13" s="159"/>
      <c r="P13" s="159"/>
      <c r="Q13" s="159"/>
      <c r="R13" s="160"/>
      <c r="S13" s="160"/>
      <c r="T13" s="159"/>
      <c r="U13" s="354">
        <f t="shared" si="4"/>
        <v>82</v>
      </c>
      <c r="V13" s="355" t="str">
        <f>IF(U13&gt;KKM!$G$10,"A",IF(U13&gt;KKM!$H$10,"B",IF(U13&gt;=KKM!$I$10,"C","D")))</f>
        <v>B</v>
      </c>
      <c r="W13" s="356">
        <f t="shared" si="0"/>
        <v>82</v>
      </c>
      <c r="X13" s="361" t="str">
        <f>IF(W13&gt;KKM!$G$10," sangat baik ",IF(W13&gt;KKM!$H$10," baik ",IF(W13&gt;=KKM!$I$10," cukup baik "," perlu bimbingan ")))</f>
        <v xml:space="preserve"> baik </v>
      </c>
      <c r="Y13" s="357">
        <f t="shared" si="1"/>
        <v>82</v>
      </c>
      <c r="Z13" s="361" t="str">
        <f>IF(Y13&gt;KKM!$G$10," sangat baik ",IF(Y13&gt;KKM!$H$10," baik ",IF(Y13&gt;=KKM!$I$10," cukup baik "," perlu bimbingan ")))</f>
        <v xml:space="preserve"> baik </v>
      </c>
      <c r="AA13" s="353" t="str">
        <f t="shared" si="5"/>
        <v>CHAIDAR baik  dalam memahami teks kawih tentang bangga sebagai bangsa Indonesia</v>
      </c>
      <c r="AB13" s="256"/>
      <c r="AC13" s="257" t="str">
        <f t="shared" si="2"/>
        <v xml:space="preserve"> baik  dalam memahami teks kawih tentang bangga sebagai bangsa Indonesia</v>
      </c>
      <c r="AD13" s="257" t="str">
        <f t="shared" si="3"/>
        <v xml:space="preserve"> baik  dalam memahami teks kawih tentang bangga sebagai bangsa Indonesia</v>
      </c>
      <c r="AE13" s="257" t="str">
        <f t="shared" si="6"/>
        <v xml:space="preserve"> baik  dalam memahami teks kawih tentang bangga sebagai bangsa Indonesia, dan  baik  dalam memahami teks kawih tentang bangga sebagai bangsa Indonesia</v>
      </c>
      <c r="AF13" s="257" t="str">
        <f t="shared" si="7"/>
        <v xml:space="preserve"> baik  dalam memahami teks kawih tentang bangga sebagai bangsa Indonesia</v>
      </c>
      <c r="AG13" s="258" t="str">
        <f t="shared" si="8"/>
        <v xml:space="preserve"> baik  dalam memahami teks kawih tentang bangga sebagai bangsa Indonesia</v>
      </c>
      <c r="AH13" s="252" t="str">
        <f t="shared" si="9"/>
        <v>CHAIDAR baik  dalam memahami teks kawih tentang bangga sebagai bangsa Indonesia</v>
      </c>
      <c r="AI13" s="139" t="e">
        <f>IF(#REF!=1,S$3," ")</f>
        <v>#REF!</v>
      </c>
      <c r="AJ13" s="139" t="e">
        <f>IF(#REF!=1,T$3," ")</f>
        <v>#REF!</v>
      </c>
      <c r="AK13" s="153"/>
      <c r="AU13" s="469">
        <f t="shared" si="10"/>
        <v>82</v>
      </c>
    </row>
    <row r="14" spans="1:49" ht="63" customHeight="1">
      <c r="B14" s="142">
        <v>10</v>
      </c>
      <c r="C14" s="143" t="str">
        <f>SISWA!B15</f>
        <v>1718250040314</v>
      </c>
      <c r="D14" s="144" t="str">
        <f>SISWA!E15</f>
        <v>DAVKA</v>
      </c>
      <c r="E14" s="159">
        <v>77</v>
      </c>
      <c r="F14" s="160">
        <v>77</v>
      </c>
      <c r="G14" s="160">
        <v>77</v>
      </c>
      <c r="H14" s="160"/>
      <c r="I14" s="160"/>
      <c r="J14" s="160"/>
      <c r="K14" s="160"/>
      <c r="L14" s="160"/>
      <c r="M14" s="160"/>
      <c r="N14" s="159"/>
      <c r="O14" s="159"/>
      <c r="P14" s="159"/>
      <c r="Q14" s="159"/>
      <c r="R14" s="160"/>
      <c r="S14" s="160"/>
      <c r="T14" s="159"/>
      <c r="U14" s="354">
        <f t="shared" si="4"/>
        <v>77</v>
      </c>
      <c r="V14" s="355" t="str">
        <f>IF(U14&gt;KKM!$G$10,"A",IF(U14&gt;KKM!$H$10,"B",IF(U14&gt;=KKM!$I$10,"C","D")))</f>
        <v>B</v>
      </c>
      <c r="W14" s="356">
        <f t="shared" si="0"/>
        <v>77</v>
      </c>
      <c r="X14" s="361" t="str">
        <f>IF(W14&gt;KKM!$G$10," sangat baik ",IF(W14&gt;KKM!$H$10," baik ",IF(W14&gt;=KKM!$I$10," cukup baik "," perlu bimbingan ")))</f>
        <v xml:space="preserve"> baik </v>
      </c>
      <c r="Y14" s="357">
        <f t="shared" si="1"/>
        <v>77</v>
      </c>
      <c r="Z14" s="361" t="str">
        <f>IF(Y14&gt;KKM!$G$10," sangat baik ",IF(Y14&gt;KKM!$H$10," baik ",IF(Y14&gt;=KKM!$I$10," cukup baik "," perlu bimbingan ")))</f>
        <v xml:space="preserve"> baik </v>
      </c>
      <c r="AA14" s="353" t="str">
        <f t="shared" si="5"/>
        <v>DAVKA baik  dalam memahami teks kawih tentang bangga sebagai bangsa Indonesia</v>
      </c>
      <c r="AB14" s="256"/>
      <c r="AC14" s="257" t="str">
        <f t="shared" si="2"/>
        <v xml:space="preserve"> baik  dalam memahami teks kawih tentang bangga sebagai bangsa Indonesia</v>
      </c>
      <c r="AD14" s="257" t="str">
        <f t="shared" si="3"/>
        <v xml:space="preserve"> baik  dalam memahami teks kawih tentang bangga sebagai bangsa Indonesia</v>
      </c>
      <c r="AE14" s="257" t="str">
        <f t="shared" si="6"/>
        <v xml:space="preserve"> baik  dalam memahami teks kawih tentang bangga sebagai bangsa Indonesia, dan  baik  dalam memahami teks kawih tentang bangga sebagai bangsa Indonesia</v>
      </c>
      <c r="AF14" s="257" t="str">
        <f t="shared" si="7"/>
        <v xml:space="preserve"> baik  dalam memahami teks kawih tentang bangga sebagai bangsa Indonesia</v>
      </c>
      <c r="AG14" s="258" t="str">
        <f t="shared" si="8"/>
        <v xml:space="preserve"> baik  dalam memahami teks kawih tentang bangga sebagai bangsa Indonesia</v>
      </c>
      <c r="AH14" s="252" t="str">
        <f t="shared" si="9"/>
        <v>DAVKA baik  dalam memahami teks kawih tentang bangga sebagai bangsa Indonesia</v>
      </c>
      <c r="AI14" s="139" t="e">
        <f>IF(#REF!=1,S$3," ")</f>
        <v>#REF!</v>
      </c>
      <c r="AJ14" s="139" t="e">
        <f>IF(#REF!=1,T$3," ")</f>
        <v>#REF!</v>
      </c>
      <c r="AK14" s="153"/>
      <c r="AU14" s="469">
        <f t="shared" si="10"/>
        <v>77</v>
      </c>
    </row>
    <row r="15" spans="1:49" ht="63" customHeight="1">
      <c r="B15" s="142">
        <v>11</v>
      </c>
      <c r="C15" s="143" t="str">
        <f>SISWA!B16</f>
        <v>1718250040315</v>
      </c>
      <c r="D15" s="144" t="str">
        <f>SISWA!E16</f>
        <v>DZIBRIL</v>
      </c>
      <c r="E15" s="159">
        <v>77</v>
      </c>
      <c r="F15" s="160">
        <v>77</v>
      </c>
      <c r="G15" s="160">
        <v>77</v>
      </c>
      <c r="H15" s="160"/>
      <c r="I15" s="160"/>
      <c r="J15" s="160"/>
      <c r="K15" s="160"/>
      <c r="L15" s="160"/>
      <c r="M15" s="160"/>
      <c r="N15" s="159"/>
      <c r="O15" s="159"/>
      <c r="P15" s="159"/>
      <c r="Q15" s="159"/>
      <c r="R15" s="160"/>
      <c r="S15" s="160"/>
      <c r="T15" s="159"/>
      <c r="U15" s="354">
        <f t="shared" si="4"/>
        <v>77</v>
      </c>
      <c r="V15" s="355" t="str">
        <f>IF(U15&gt;KKM!$G$10,"A",IF(U15&gt;KKM!$H$10,"B",IF(U15&gt;=KKM!$I$10,"C","D")))</f>
        <v>B</v>
      </c>
      <c r="W15" s="356">
        <f t="shared" si="0"/>
        <v>77</v>
      </c>
      <c r="X15" s="361" t="str">
        <f>IF(W15&gt;KKM!$G$10," sangat baik ",IF(W15&gt;KKM!$H$10," baik ",IF(W15&gt;=KKM!$I$10," cukup baik "," perlu bimbingan ")))</f>
        <v xml:space="preserve"> baik </v>
      </c>
      <c r="Y15" s="357">
        <f t="shared" si="1"/>
        <v>77</v>
      </c>
      <c r="Z15" s="361" t="str">
        <f>IF(Y15&gt;KKM!$G$10," sangat baik ",IF(Y15&gt;KKM!$H$10," baik ",IF(Y15&gt;=KKM!$I$10," cukup baik "," perlu bimbingan ")))</f>
        <v xml:space="preserve"> baik </v>
      </c>
      <c r="AA15" s="353" t="str">
        <f t="shared" si="5"/>
        <v>DZIBRIL baik  dalam memahami teks kawih tentang bangga sebagai bangsa Indonesia</v>
      </c>
      <c r="AB15" s="256"/>
      <c r="AC15" s="257" t="str">
        <f t="shared" si="2"/>
        <v xml:space="preserve"> baik  dalam memahami teks kawih tentang bangga sebagai bangsa Indonesia</v>
      </c>
      <c r="AD15" s="257" t="str">
        <f t="shared" si="3"/>
        <v xml:space="preserve"> baik  dalam memahami teks kawih tentang bangga sebagai bangsa Indonesia</v>
      </c>
      <c r="AE15" s="257" t="str">
        <f t="shared" si="6"/>
        <v xml:space="preserve"> baik  dalam memahami teks kawih tentang bangga sebagai bangsa Indonesia, dan  baik  dalam memahami teks kawih tentang bangga sebagai bangsa Indonesia</v>
      </c>
      <c r="AF15" s="257" t="str">
        <f t="shared" si="7"/>
        <v xml:space="preserve"> baik  dalam memahami teks kawih tentang bangga sebagai bangsa Indonesia</v>
      </c>
      <c r="AG15" s="258" t="str">
        <f t="shared" si="8"/>
        <v xml:space="preserve"> baik  dalam memahami teks kawih tentang bangga sebagai bangsa Indonesia</v>
      </c>
      <c r="AH15" s="252" t="str">
        <f t="shared" si="9"/>
        <v>DZIBRIL baik  dalam memahami teks kawih tentang bangga sebagai bangsa Indonesia</v>
      </c>
      <c r="AI15" s="139" t="e">
        <f>IF(#REF!=1,S$3," ")</f>
        <v>#REF!</v>
      </c>
      <c r="AJ15" s="139" t="e">
        <f>IF(#REF!=1,T$3," ")</f>
        <v>#REF!</v>
      </c>
      <c r="AK15" s="153"/>
      <c r="AU15" s="469">
        <f t="shared" si="10"/>
        <v>77</v>
      </c>
    </row>
    <row r="16" spans="1:49" ht="63" customHeight="1">
      <c r="B16" s="142">
        <v>12</v>
      </c>
      <c r="C16" s="143" t="str">
        <f>SISWA!B17</f>
        <v>1718250040316</v>
      </c>
      <c r="D16" s="144" t="str">
        <f>SISWA!E17</f>
        <v>ERICHA</v>
      </c>
      <c r="E16" s="159">
        <v>85</v>
      </c>
      <c r="F16" s="160">
        <v>85</v>
      </c>
      <c r="G16" s="160">
        <v>85</v>
      </c>
      <c r="H16" s="160"/>
      <c r="I16" s="160"/>
      <c r="J16" s="160"/>
      <c r="K16" s="160"/>
      <c r="L16" s="160"/>
      <c r="M16" s="160"/>
      <c r="N16" s="159"/>
      <c r="O16" s="159"/>
      <c r="P16" s="159"/>
      <c r="Q16" s="159"/>
      <c r="R16" s="160"/>
      <c r="S16" s="160"/>
      <c r="T16" s="159"/>
      <c r="U16" s="354">
        <f t="shared" si="4"/>
        <v>85</v>
      </c>
      <c r="V16" s="355" t="str">
        <f>IF(U16&gt;KKM!$G$10,"A",IF(U16&gt;KKM!$H$10,"B",IF(U16&gt;=KKM!$I$10,"C","D")))</f>
        <v>B</v>
      </c>
      <c r="W16" s="356">
        <f t="shared" si="0"/>
        <v>85</v>
      </c>
      <c r="X16" s="361" t="str">
        <f>IF(W16&gt;KKM!$G$10," sangat baik ",IF(W16&gt;KKM!$H$10," baik ",IF(W16&gt;=KKM!$I$10," cukup baik "," perlu bimbingan ")))</f>
        <v xml:space="preserve"> baik </v>
      </c>
      <c r="Y16" s="357">
        <f t="shared" si="1"/>
        <v>85</v>
      </c>
      <c r="Z16" s="361" t="str">
        <f>IF(Y16&gt;KKM!$G$10," sangat baik ",IF(Y16&gt;KKM!$H$10," baik ",IF(Y16&gt;=KKM!$I$10," cukup baik "," perlu bimbingan ")))</f>
        <v xml:space="preserve"> baik </v>
      </c>
      <c r="AA16" s="353" t="str">
        <f t="shared" si="5"/>
        <v>ERICHA baik  dalam memahami teks kawih tentang bangga sebagai bangsa Indonesia</v>
      </c>
      <c r="AB16" s="256"/>
      <c r="AC16" s="257" t="str">
        <f t="shared" si="2"/>
        <v xml:space="preserve"> baik  dalam memahami teks kawih tentang bangga sebagai bangsa Indonesia</v>
      </c>
      <c r="AD16" s="257" t="str">
        <f t="shared" si="3"/>
        <v xml:space="preserve"> baik  dalam memahami teks kawih tentang bangga sebagai bangsa Indonesia</v>
      </c>
      <c r="AE16" s="257" t="str">
        <f t="shared" si="6"/>
        <v xml:space="preserve"> baik  dalam memahami teks kawih tentang bangga sebagai bangsa Indonesia, dan  baik  dalam memahami teks kawih tentang bangga sebagai bangsa Indonesia</v>
      </c>
      <c r="AF16" s="257" t="str">
        <f t="shared" si="7"/>
        <v xml:space="preserve"> baik  dalam memahami teks kawih tentang bangga sebagai bangsa Indonesia</v>
      </c>
      <c r="AG16" s="258" t="str">
        <f t="shared" si="8"/>
        <v xml:space="preserve"> baik  dalam memahami teks kawih tentang bangga sebagai bangsa Indonesia</v>
      </c>
      <c r="AH16" s="252" t="str">
        <f t="shared" si="9"/>
        <v>ERICHA baik  dalam memahami teks kawih tentang bangga sebagai bangsa Indonesia</v>
      </c>
      <c r="AI16" s="139" t="e">
        <f>IF(#REF!=1,S$3," ")</f>
        <v>#REF!</v>
      </c>
      <c r="AJ16" s="139" t="e">
        <f>IF(#REF!=1,T$3," ")</f>
        <v>#REF!</v>
      </c>
      <c r="AK16" s="153"/>
      <c r="AU16" s="469">
        <f t="shared" si="10"/>
        <v>85</v>
      </c>
    </row>
    <row r="17" spans="2:47" ht="63" customHeight="1">
      <c r="B17" s="142">
        <v>13</v>
      </c>
      <c r="C17" s="143" t="str">
        <f>SISWA!B18</f>
        <v>1718250040317</v>
      </c>
      <c r="D17" s="144" t="str">
        <f>SISWA!E18</f>
        <v>HISYAM</v>
      </c>
      <c r="E17" s="159">
        <v>85</v>
      </c>
      <c r="F17" s="160">
        <v>85</v>
      </c>
      <c r="G17" s="160">
        <v>85</v>
      </c>
      <c r="H17" s="160"/>
      <c r="I17" s="160"/>
      <c r="J17" s="160"/>
      <c r="K17" s="160"/>
      <c r="L17" s="160"/>
      <c r="M17" s="160"/>
      <c r="N17" s="159"/>
      <c r="O17" s="159"/>
      <c r="P17" s="159"/>
      <c r="Q17" s="159"/>
      <c r="R17" s="160"/>
      <c r="S17" s="160"/>
      <c r="T17" s="159"/>
      <c r="U17" s="354">
        <f t="shared" si="4"/>
        <v>85</v>
      </c>
      <c r="V17" s="355" t="str">
        <f>IF(U17&gt;KKM!$G$10,"A",IF(U17&gt;KKM!$H$10,"B",IF(U17&gt;=KKM!$I$10,"C","D")))</f>
        <v>B</v>
      </c>
      <c r="W17" s="356">
        <f t="shared" si="0"/>
        <v>85</v>
      </c>
      <c r="X17" s="361" t="str">
        <f>IF(W17&gt;KKM!$G$10," sangat baik ",IF(W17&gt;KKM!$H$10," baik ",IF(W17&gt;=KKM!$I$10," cukup baik "," perlu bimbingan ")))</f>
        <v xml:space="preserve"> baik </v>
      </c>
      <c r="Y17" s="357">
        <f t="shared" si="1"/>
        <v>85</v>
      </c>
      <c r="Z17" s="361" t="str">
        <f>IF(Y17&gt;KKM!$G$10," sangat baik ",IF(Y17&gt;KKM!$H$10," baik ",IF(Y17&gt;=KKM!$I$10," cukup baik "," perlu bimbingan ")))</f>
        <v xml:space="preserve"> baik </v>
      </c>
      <c r="AA17" s="353" t="str">
        <f t="shared" si="5"/>
        <v>HISYAM baik  dalam memahami teks kawih tentang bangga sebagai bangsa Indonesia</v>
      </c>
      <c r="AB17" s="256"/>
      <c r="AC17" s="257" t="str">
        <f t="shared" si="2"/>
        <v xml:space="preserve"> baik  dalam memahami teks kawih tentang bangga sebagai bangsa Indonesia</v>
      </c>
      <c r="AD17" s="257" t="str">
        <f t="shared" si="3"/>
        <v xml:space="preserve"> baik  dalam memahami teks kawih tentang bangga sebagai bangsa Indonesia</v>
      </c>
      <c r="AE17" s="257" t="str">
        <f t="shared" si="6"/>
        <v xml:space="preserve"> baik  dalam memahami teks kawih tentang bangga sebagai bangsa Indonesia, dan  baik  dalam memahami teks kawih tentang bangga sebagai bangsa Indonesia</v>
      </c>
      <c r="AF17" s="257" t="str">
        <f t="shared" si="7"/>
        <v xml:space="preserve"> baik  dalam memahami teks kawih tentang bangga sebagai bangsa Indonesia</v>
      </c>
      <c r="AG17" s="258" t="str">
        <f t="shared" si="8"/>
        <v xml:space="preserve"> baik  dalam memahami teks kawih tentang bangga sebagai bangsa Indonesia</v>
      </c>
      <c r="AH17" s="252" t="str">
        <f t="shared" si="9"/>
        <v>HISYAM baik  dalam memahami teks kawih tentang bangga sebagai bangsa Indonesia</v>
      </c>
      <c r="AI17" s="139" t="e">
        <f>IF(#REF!=1,S$3," ")</f>
        <v>#REF!</v>
      </c>
      <c r="AJ17" s="139" t="e">
        <f>IF(#REF!=1,T$3," ")</f>
        <v>#REF!</v>
      </c>
      <c r="AK17" s="153"/>
      <c r="AU17" s="469">
        <f t="shared" si="10"/>
        <v>85</v>
      </c>
    </row>
    <row r="18" spans="2:47" ht="63" customHeight="1">
      <c r="B18" s="142">
        <v>14</v>
      </c>
      <c r="C18" s="143" t="str">
        <f>SISWA!B19</f>
        <v>1718250040318</v>
      </c>
      <c r="D18" s="144" t="str">
        <f>SISWA!E19</f>
        <v>FAUZI</v>
      </c>
      <c r="E18" s="159">
        <v>82</v>
      </c>
      <c r="F18" s="160">
        <v>82</v>
      </c>
      <c r="G18" s="160">
        <v>82</v>
      </c>
      <c r="H18" s="160"/>
      <c r="I18" s="160"/>
      <c r="J18" s="160"/>
      <c r="K18" s="160"/>
      <c r="L18" s="160"/>
      <c r="M18" s="160"/>
      <c r="N18" s="159"/>
      <c r="O18" s="159"/>
      <c r="P18" s="159"/>
      <c r="Q18" s="159"/>
      <c r="R18" s="160"/>
      <c r="S18" s="160"/>
      <c r="T18" s="159"/>
      <c r="U18" s="354">
        <f t="shared" si="4"/>
        <v>82</v>
      </c>
      <c r="V18" s="355" t="str">
        <f>IF(U18&gt;KKM!$G$10,"A",IF(U18&gt;KKM!$H$10,"B",IF(U18&gt;=KKM!$I$10,"C","D")))</f>
        <v>B</v>
      </c>
      <c r="W18" s="356">
        <f t="shared" si="0"/>
        <v>82</v>
      </c>
      <c r="X18" s="361" t="str">
        <f>IF(W18&gt;KKM!$G$10," sangat baik ",IF(W18&gt;KKM!$H$10," baik ",IF(W18&gt;=KKM!$I$10," cukup baik "," perlu bimbingan ")))</f>
        <v xml:space="preserve"> baik </v>
      </c>
      <c r="Y18" s="357">
        <f t="shared" si="1"/>
        <v>82</v>
      </c>
      <c r="Z18" s="361" t="str">
        <f>IF(Y18&gt;KKM!$G$10," sangat baik ",IF(Y18&gt;KKM!$H$10," baik ",IF(Y18&gt;=KKM!$I$10," cukup baik "," perlu bimbingan ")))</f>
        <v xml:space="preserve"> baik </v>
      </c>
      <c r="AA18" s="353" t="str">
        <f t="shared" si="5"/>
        <v>FAUZI baik  dalam memahami teks kawih tentang bangga sebagai bangsa Indonesia</v>
      </c>
      <c r="AB18" s="256"/>
      <c r="AC18" s="257" t="str">
        <f t="shared" si="2"/>
        <v xml:space="preserve"> baik  dalam memahami teks kawih tentang bangga sebagai bangsa Indonesia</v>
      </c>
      <c r="AD18" s="257" t="str">
        <f t="shared" si="3"/>
        <v xml:space="preserve"> baik  dalam memahami teks kawih tentang bangga sebagai bangsa Indonesia</v>
      </c>
      <c r="AE18" s="257" t="str">
        <f t="shared" si="6"/>
        <v xml:space="preserve"> baik  dalam memahami teks kawih tentang bangga sebagai bangsa Indonesia, dan  baik  dalam memahami teks kawih tentang bangga sebagai bangsa Indonesia</v>
      </c>
      <c r="AF18" s="257" t="str">
        <f t="shared" si="7"/>
        <v xml:space="preserve"> baik  dalam memahami teks kawih tentang bangga sebagai bangsa Indonesia</v>
      </c>
      <c r="AG18" s="258" t="str">
        <f t="shared" si="8"/>
        <v xml:space="preserve"> baik  dalam memahami teks kawih tentang bangga sebagai bangsa Indonesia</v>
      </c>
      <c r="AH18" s="252" t="str">
        <f t="shared" si="9"/>
        <v>FAUZI baik  dalam memahami teks kawih tentang bangga sebagai bangsa Indonesia</v>
      </c>
      <c r="AI18" s="139" t="e">
        <f>IF(#REF!=1,S$3," ")</f>
        <v>#REF!</v>
      </c>
      <c r="AJ18" s="139" t="e">
        <f>IF(#REF!=1,T$3," ")</f>
        <v>#REF!</v>
      </c>
      <c r="AK18" s="153"/>
      <c r="AU18" s="469">
        <f t="shared" si="10"/>
        <v>82</v>
      </c>
    </row>
    <row r="19" spans="2:47" ht="63" customHeight="1">
      <c r="B19" s="142">
        <v>15</v>
      </c>
      <c r="C19" s="143" t="str">
        <f>SISWA!B20</f>
        <v>1718250040319</v>
      </c>
      <c r="D19" s="144" t="str">
        <f>SISWA!E20</f>
        <v>FIRLY</v>
      </c>
      <c r="E19" s="159">
        <v>88</v>
      </c>
      <c r="F19" s="160">
        <v>88</v>
      </c>
      <c r="G19" s="160">
        <v>88</v>
      </c>
      <c r="H19" s="160"/>
      <c r="I19" s="160"/>
      <c r="J19" s="160"/>
      <c r="K19" s="160"/>
      <c r="L19" s="160"/>
      <c r="M19" s="160"/>
      <c r="N19" s="159"/>
      <c r="O19" s="159"/>
      <c r="P19" s="159"/>
      <c r="Q19" s="159"/>
      <c r="R19" s="160"/>
      <c r="S19" s="160"/>
      <c r="T19" s="159"/>
      <c r="U19" s="354">
        <f t="shared" si="4"/>
        <v>88</v>
      </c>
      <c r="V19" s="355" t="str">
        <f>IF(U19&gt;KKM!$G$10,"A",IF(U19&gt;KKM!$H$10,"B",IF(U19&gt;=KKM!$I$10,"C","D")))</f>
        <v>A</v>
      </c>
      <c r="W19" s="356">
        <f t="shared" si="0"/>
        <v>88</v>
      </c>
      <c r="X19" s="361" t="str">
        <f>IF(W19&gt;KKM!$G$10," sangat baik ",IF(W19&gt;KKM!$H$10," baik ",IF(W19&gt;=KKM!$I$10," cukup baik "," perlu bimbingan ")))</f>
        <v xml:space="preserve"> sangat baik </v>
      </c>
      <c r="Y19" s="357">
        <f t="shared" si="1"/>
        <v>88</v>
      </c>
      <c r="Z19" s="361" t="str">
        <f>IF(Y19&gt;KKM!$G$10," sangat baik ",IF(Y19&gt;KKM!$H$10," baik ",IF(Y19&gt;=KKM!$I$10," cukup baik "," perlu bimbingan ")))</f>
        <v xml:space="preserve"> sangat baik </v>
      </c>
      <c r="AA19" s="353" t="str">
        <f t="shared" si="5"/>
        <v>FIRLY sangat baik  dalam memahami teks kawih tentang bangga sebagai bangsa Indonesia</v>
      </c>
      <c r="AB19" s="256"/>
      <c r="AC19" s="257" t="str">
        <f t="shared" si="2"/>
        <v xml:space="preserve"> sangat baik  dalam memahami teks kawih tentang bangga sebagai bangsa Indonesia</v>
      </c>
      <c r="AD19" s="257" t="str">
        <f t="shared" si="3"/>
        <v xml:space="preserve"> sangat baik  dalam memahami teks kawih tentang bangga sebagai bangsa Indonesia</v>
      </c>
      <c r="AE19" s="257" t="str">
        <f t="shared" si="6"/>
        <v xml:space="preserve"> sangat baik  dalam memahami teks kawih tentang bangga sebagai bangsa Indonesia, dan  sangat baik  dalam memahami teks kawih tentang bangga sebagai bangsa Indonesia</v>
      </c>
      <c r="AF19" s="257" t="str">
        <f t="shared" si="7"/>
        <v xml:space="preserve"> sangat baik  dalam memahami teks kawih tentang bangga sebagai bangsa Indonesia</v>
      </c>
      <c r="AG19" s="258" t="str">
        <f t="shared" si="8"/>
        <v xml:space="preserve"> sangat baik  dalam memahami teks kawih tentang bangga sebagai bangsa Indonesia</v>
      </c>
      <c r="AH19" s="252" t="str">
        <f t="shared" si="9"/>
        <v>FIRLY sangat baik  dalam memahami teks kawih tentang bangga sebagai bangsa Indonesia</v>
      </c>
      <c r="AI19" s="139" t="e">
        <f>IF(#REF!=1,S$3," ")</f>
        <v>#REF!</v>
      </c>
      <c r="AJ19" s="139" t="e">
        <f>IF(#REF!=1,T$3," ")</f>
        <v>#REF!</v>
      </c>
      <c r="AK19" s="153"/>
      <c r="AU19" s="469">
        <f t="shared" si="10"/>
        <v>88</v>
      </c>
    </row>
    <row r="20" spans="2:47" ht="63" customHeight="1">
      <c r="B20" s="142">
        <v>16</v>
      </c>
      <c r="C20" s="143" t="str">
        <f>SISWA!B21</f>
        <v>1718250040320</v>
      </c>
      <c r="D20" s="144" t="str">
        <f>SISWA!E21</f>
        <v>HANA</v>
      </c>
      <c r="E20" s="159">
        <v>77</v>
      </c>
      <c r="F20" s="160">
        <v>77</v>
      </c>
      <c r="G20" s="160">
        <v>77</v>
      </c>
      <c r="H20" s="160"/>
      <c r="I20" s="160"/>
      <c r="J20" s="160"/>
      <c r="K20" s="160"/>
      <c r="L20" s="160"/>
      <c r="M20" s="160"/>
      <c r="N20" s="159"/>
      <c r="O20" s="159"/>
      <c r="P20" s="159"/>
      <c r="Q20" s="159"/>
      <c r="R20" s="160"/>
      <c r="S20" s="160"/>
      <c r="T20" s="159"/>
      <c r="U20" s="354">
        <f t="shared" si="4"/>
        <v>77</v>
      </c>
      <c r="V20" s="355" t="str">
        <f>IF(U20&gt;KKM!$G$10,"A",IF(U20&gt;KKM!$H$10,"B",IF(U20&gt;=KKM!$I$10,"C","D")))</f>
        <v>B</v>
      </c>
      <c r="W20" s="356">
        <f t="shared" si="0"/>
        <v>77</v>
      </c>
      <c r="X20" s="361" t="str">
        <f>IF(W20&gt;KKM!$G$10," sangat baik ",IF(W20&gt;KKM!$H$10," baik ",IF(W20&gt;=KKM!$I$10," cukup baik "," perlu bimbingan ")))</f>
        <v xml:space="preserve"> baik </v>
      </c>
      <c r="Y20" s="357">
        <f t="shared" si="1"/>
        <v>77</v>
      </c>
      <c r="Z20" s="361" t="str">
        <f>IF(Y20&gt;KKM!$G$10," sangat baik ",IF(Y20&gt;KKM!$H$10," baik ",IF(Y20&gt;=KKM!$I$10," cukup baik "," perlu bimbingan ")))</f>
        <v xml:space="preserve"> baik </v>
      </c>
      <c r="AA20" s="353" t="str">
        <f t="shared" si="5"/>
        <v>HANA baik  dalam memahami teks kawih tentang bangga sebagai bangsa Indonesia</v>
      </c>
      <c r="AB20" s="256"/>
      <c r="AC20" s="257" t="str">
        <f t="shared" si="2"/>
        <v xml:space="preserve"> baik  dalam memahami teks kawih tentang bangga sebagai bangsa Indonesia</v>
      </c>
      <c r="AD20" s="257" t="str">
        <f t="shared" si="3"/>
        <v xml:space="preserve"> baik  dalam memahami teks kawih tentang bangga sebagai bangsa Indonesia</v>
      </c>
      <c r="AE20" s="257" t="str">
        <f t="shared" si="6"/>
        <v xml:space="preserve"> baik  dalam memahami teks kawih tentang bangga sebagai bangsa Indonesia, dan  baik  dalam memahami teks kawih tentang bangga sebagai bangsa Indonesia</v>
      </c>
      <c r="AF20" s="257" t="str">
        <f t="shared" si="7"/>
        <v xml:space="preserve"> baik  dalam memahami teks kawih tentang bangga sebagai bangsa Indonesia</v>
      </c>
      <c r="AG20" s="258" t="str">
        <f t="shared" si="8"/>
        <v xml:space="preserve"> baik  dalam memahami teks kawih tentang bangga sebagai bangsa Indonesia</v>
      </c>
      <c r="AH20" s="252" t="str">
        <f t="shared" si="9"/>
        <v>HANA baik  dalam memahami teks kawih tentang bangga sebagai bangsa Indonesia</v>
      </c>
      <c r="AI20" s="139" t="e">
        <f>IF(#REF!=1,S$3," ")</f>
        <v>#REF!</v>
      </c>
      <c r="AJ20" s="139" t="e">
        <f>IF(#REF!=1,T$3," ")</f>
        <v>#REF!</v>
      </c>
      <c r="AK20" s="153"/>
      <c r="AU20" s="469">
        <f t="shared" si="10"/>
        <v>77</v>
      </c>
    </row>
    <row r="21" spans="2:47" ht="63" customHeight="1">
      <c r="B21" s="142">
        <v>17</v>
      </c>
      <c r="C21" s="143" t="str">
        <f>SISWA!B22</f>
        <v>1718250040321</v>
      </c>
      <c r="D21" s="144" t="str">
        <f>SISWA!E22</f>
        <v>MALLA</v>
      </c>
      <c r="E21" s="159">
        <v>88</v>
      </c>
      <c r="F21" s="160">
        <v>88</v>
      </c>
      <c r="G21" s="160">
        <v>88</v>
      </c>
      <c r="H21" s="160"/>
      <c r="I21" s="160"/>
      <c r="J21" s="160"/>
      <c r="K21" s="160"/>
      <c r="L21" s="160"/>
      <c r="M21" s="160"/>
      <c r="N21" s="159"/>
      <c r="O21" s="159"/>
      <c r="P21" s="159"/>
      <c r="Q21" s="159"/>
      <c r="R21" s="160"/>
      <c r="S21" s="160"/>
      <c r="T21" s="159"/>
      <c r="U21" s="354">
        <f t="shared" si="4"/>
        <v>88</v>
      </c>
      <c r="V21" s="355" t="str">
        <f>IF(U21&gt;KKM!$G$10,"A",IF(U21&gt;KKM!$H$10,"B",IF(U21&gt;=KKM!$I$10,"C","D")))</f>
        <v>A</v>
      </c>
      <c r="W21" s="356">
        <f t="shared" si="0"/>
        <v>88</v>
      </c>
      <c r="X21" s="361" t="str">
        <f>IF(W21&gt;KKM!$G$10," sangat baik ",IF(W21&gt;KKM!$H$10," baik ",IF(W21&gt;=KKM!$I$10," cukup baik "," perlu bimbingan ")))</f>
        <v xml:space="preserve"> sangat baik </v>
      </c>
      <c r="Y21" s="357">
        <f t="shared" si="1"/>
        <v>88</v>
      </c>
      <c r="Z21" s="361" t="str">
        <f>IF(Y21&gt;KKM!$G$10," sangat baik ",IF(Y21&gt;KKM!$H$10," baik ",IF(Y21&gt;=KKM!$I$10," cukup baik "," perlu bimbingan ")))</f>
        <v xml:space="preserve"> sangat baik </v>
      </c>
      <c r="AA21" s="353" t="str">
        <f t="shared" si="5"/>
        <v>MALLA sangat baik  dalam memahami teks kawih tentang bangga sebagai bangsa Indonesia</v>
      </c>
      <c r="AB21" s="256"/>
      <c r="AC21" s="257" t="str">
        <f t="shared" si="2"/>
        <v xml:space="preserve"> sangat baik  dalam memahami teks kawih tentang bangga sebagai bangsa Indonesia</v>
      </c>
      <c r="AD21" s="257" t="str">
        <f t="shared" si="3"/>
        <v xml:space="preserve"> sangat baik  dalam memahami teks kawih tentang bangga sebagai bangsa Indonesia</v>
      </c>
      <c r="AE21" s="257" t="str">
        <f t="shared" si="6"/>
        <v xml:space="preserve"> sangat baik  dalam memahami teks kawih tentang bangga sebagai bangsa Indonesia, dan  sangat baik  dalam memahami teks kawih tentang bangga sebagai bangsa Indonesia</v>
      </c>
      <c r="AF21" s="257" t="str">
        <f t="shared" si="7"/>
        <v xml:space="preserve"> sangat baik  dalam memahami teks kawih tentang bangga sebagai bangsa Indonesia</v>
      </c>
      <c r="AG21" s="258" t="str">
        <f t="shared" si="8"/>
        <v xml:space="preserve"> sangat baik  dalam memahami teks kawih tentang bangga sebagai bangsa Indonesia</v>
      </c>
      <c r="AH21" s="252" t="str">
        <f t="shared" si="9"/>
        <v>MALLA sangat baik  dalam memahami teks kawih tentang bangga sebagai bangsa Indonesia</v>
      </c>
      <c r="AI21" s="139" t="e">
        <f>IF(#REF!=1,S$3," ")</f>
        <v>#REF!</v>
      </c>
      <c r="AJ21" s="139" t="e">
        <f>IF(#REF!=1,T$3," ")</f>
        <v>#REF!</v>
      </c>
      <c r="AK21" s="153"/>
      <c r="AU21" s="469">
        <f t="shared" si="10"/>
        <v>88</v>
      </c>
    </row>
    <row r="22" spans="2:47" ht="63" customHeight="1">
      <c r="B22" s="142">
        <v>18</v>
      </c>
      <c r="C22" s="143" t="str">
        <f>SISWA!B23</f>
        <v>1718250040322</v>
      </c>
      <c r="D22" s="144" t="str">
        <f>SISWA!E23</f>
        <v>INTAN</v>
      </c>
      <c r="E22" s="159">
        <v>85</v>
      </c>
      <c r="F22" s="160">
        <v>85</v>
      </c>
      <c r="G22" s="160">
        <v>85</v>
      </c>
      <c r="H22" s="160"/>
      <c r="I22" s="160"/>
      <c r="J22" s="160"/>
      <c r="K22" s="160"/>
      <c r="L22" s="160"/>
      <c r="M22" s="160"/>
      <c r="N22" s="159"/>
      <c r="O22" s="159"/>
      <c r="P22" s="159"/>
      <c r="Q22" s="159"/>
      <c r="R22" s="160"/>
      <c r="S22" s="160"/>
      <c r="T22" s="159"/>
      <c r="U22" s="354">
        <f t="shared" si="4"/>
        <v>85</v>
      </c>
      <c r="V22" s="355" t="str">
        <f>IF(U22&gt;KKM!$G$10,"A",IF(U22&gt;KKM!$H$10,"B",IF(U22&gt;=KKM!$I$10,"C","D")))</f>
        <v>B</v>
      </c>
      <c r="W22" s="356">
        <f t="shared" si="0"/>
        <v>85</v>
      </c>
      <c r="X22" s="361" t="str">
        <f>IF(W22&gt;KKM!$G$10," sangat baik ",IF(W22&gt;KKM!$H$10," baik ",IF(W22&gt;=KKM!$I$10," cukup baik "," perlu bimbingan ")))</f>
        <v xml:space="preserve"> baik </v>
      </c>
      <c r="Y22" s="357">
        <f t="shared" si="1"/>
        <v>85</v>
      </c>
      <c r="Z22" s="361" t="str">
        <f>IF(Y22&gt;KKM!$G$10," sangat baik ",IF(Y22&gt;KKM!$H$10," baik ",IF(Y22&gt;=KKM!$I$10," cukup baik "," perlu bimbingan ")))</f>
        <v xml:space="preserve"> baik </v>
      </c>
      <c r="AA22" s="353" t="str">
        <f t="shared" si="5"/>
        <v>INTAN baik  dalam memahami teks kawih tentang bangga sebagai bangsa Indonesia</v>
      </c>
      <c r="AB22" s="256"/>
      <c r="AC22" s="257" t="str">
        <f t="shared" si="2"/>
        <v xml:space="preserve"> baik  dalam memahami teks kawih tentang bangga sebagai bangsa Indonesia</v>
      </c>
      <c r="AD22" s="257" t="str">
        <f t="shared" si="3"/>
        <v xml:space="preserve"> baik  dalam memahami teks kawih tentang bangga sebagai bangsa Indonesia</v>
      </c>
      <c r="AE22" s="257" t="str">
        <f t="shared" si="6"/>
        <v xml:space="preserve"> baik  dalam memahami teks kawih tentang bangga sebagai bangsa Indonesia, dan  baik  dalam memahami teks kawih tentang bangga sebagai bangsa Indonesia</v>
      </c>
      <c r="AF22" s="257" t="str">
        <f t="shared" si="7"/>
        <v xml:space="preserve"> baik  dalam memahami teks kawih tentang bangga sebagai bangsa Indonesia</v>
      </c>
      <c r="AG22" s="258" t="str">
        <f t="shared" si="8"/>
        <v xml:space="preserve"> baik  dalam memahami teks kawih tentang bangga sebagai bangsa Indonesia</v>
      </c>
      <c r="AH22" s="252" t="str">
        <f t="shared" si="9"/>
        <v>INTAN baik  dalam memahami teks kawih tentang bangga sebagai bangsa Indonesia</v>
      </c>
      <c r="AI22" s="139" t="e">
        <f>IF(#REF!=1,S$3," ")</f>
        <v>#REF!</v>
      </c>
      <c r="AJ22" s="139" t="e">
        <f>IF(#REF!=1,T$3," ")</f>
        <v>#REF!</v>
      </c>
      <c r="AK22" s="153"/>
      <c r="AU22" s="469">
        <f t="shared" si="10"/>
        <v>85</v>
      </c>
    </row>
    <row r="23" spans="2:47" ht="63" customHeight="1">
      <c r="B23" s="142">
        <v>19</v>
      </c>
      <c r="C23" s="143" t="str">
        <f>SISWA!B24</f>
        <v>1718250040323</v>
      </c>
      <c r="D23" s="144" t="str">
        <f>SISWA!E24</f>
        <v>JORDY</v>
      </c>
      <c r="E23" s="159">
        <v>80</v>
      </c>
      <c r="F23" s="160">
        <v>80</v>
      </c>
      <c r="G23" s="160">
        <v>80</v>
      </c>
      <c r="H23" s="160"/>
      <c r="I23" s="160"/>
      <c r="J23" s="160"/>
      <c r="K23" s="160"/>
      <c r="L23" s="160"/>
      <c r="M23" s="160"/>
      <c r="N23" s="159"/>
      <c r="O23" s="159"/>
      <c r="P23" s="159"/>
      <c r="Q23" s="159"/>
      <c r="R23" s="160"/>
      <c r="S23" s="160"/>
      <c r="T23" s="159"/>
      <c r="U23" s="354">
        <f t="shared" si="4"/>
        <v>80</v>
      </c>
      <c r="V23" s="355" t="str">
        <f>IF(U23&gt;KKM!$G$10,"A",IF(U23&gt;KKM!$H$10,"B",IF(U23&gt;=KKM!$I$10,"C","D")))</f>
        <v>B</v>
      </c>
      <c r="W23" s="356">
        <f t="shared" si="0"/>
        <v>80</v>
      </c>
      <c r="X23" s="361" t="str">
        <f>IF(W23&gt;KKM!$G$10," sangat baik ",IF(W23&gt;KKM!$H$10," baik ",IF(W23&gt;=KKM!$I$10," cukup baik "," perlu bimbingan ")))</f>
        <v xml:space="preserve"> baik </v>
      </c>
      <c r="Y23" s="357">
        <f t="shared" si="1"/>
        <v>80</v>
      </c>
      <c r="Z23" s="361" t="str">
        <f>IF(Y23&gt;KKM!$G$10," sangat baik ",IF(Y23&gt;KKM!$H$10," baik ",IF(Y23&gt;=KKM!$I$10," cukup baik "," perlu bimbingan ")))</f>
        <v xml:space="preserve"> baik </v>
      </c>
      <c r="AA23" s="353" t="str">
        <f t="shared" si="5"/>
        <v>JORDY baik  dalam memahami teks kawih tentang bangga sebagai bangsa Indonesia</v>
      </c>
      <c r="AB23" s="256"/>
      <c r="AC23" s="257" t="str">
        <f t="shared" si="2"/>
        <v xml:space="preserve"> baik  dalam memahami teks kawih tentang bangga sebagai bangsa Indonesia</v>
      </c>
      <c r="AD23" s="257" t="str">
        <f t="shared" si="3"/>
        <v xml:space="preserve"> baik  dalam memahami teks kawih tentang bangga sebagai bangsa Indonesia</v>
      </c>
      <c r="AE23" s="257" t="str">
        <f t="shared" si="6"/>
        <v xml:space="preserve"> baik  dalam memahami teks kawih tentang bangga sebagai bangsa Indonesia, dan  baik  dalam memahami teks kawih tentang bangga sebagai bangsa Indonesia</v>
      </c>
      <c r="AF23" s="257" t="str">
        <f t="shared" si="7"/>
        <v xml:space="preserve"> baik  dalam memahami teks kawih tentang bangga sebagai bangsa Indonesia</v>
      </c>
      <c r="AG23" s="258" t="str">
        <f t="shared" si="8"/>
        <v xml:space="preserve"> baik  dalam memahami teks kawih tentang bangga sebagai bangsa Indonesia</v>
      </c>
      <c r="AH23" s="252" t="str">
        <f t="shared" si="9"/>
        <v>JORDY baik  dalam memahami teks kawih tentang bangga sebagai bangsa Indonesia</v>
      </c>
      <c r="AI23" s="139" t="e">
        <f>IF(#REF!=1,S$3," ")</f>
        <v>#REF!</v>
      </c>
      <c r="AJ23" s="139" t="e">
        <f>IF(#REF!=1,T$3," ")</f>
        <v>#REF!</v>
      </c>
      <c r="AK23" s="153"/>
      <c r="AU23" s="469">
        <f t="shared" si="10"/>
        <v>80</v>
      </c>
    </row>
    <row r="24" spans="2:47" ht="63" customHeight="1">
      <c r="B24" s="142">
        <v>20</v>
      </c>
      <c r="C24" s="143" t="str">
        <f>SISWA!B25</f>
        <v>1718250040324</v>
      </c>
      <c r="D24" s="144" t="str">
        <f>SISWA!E25</f>
        <v>KURNIA</v>
      </c>
      <c r="E24" s="159">
        <v>74</v>
      </c>
      <c r="F24" s="160">
        <v>74</v>
      </c>
      <c r="G24" s="160">
        <v>74</v>
      </c>
      <c r="H24" s="160"/>
      <c r="I24" s="160"/>
      <c r="J24" s="160"/>
      <c r="K24" s="160"/>
      <c r="L24" s="160"/>
      <c r="M24" s="160"/>
      <c r="N24" s="159"/>
      <c r="O24" s="159"/>
      <c r="P24" s="159"/>
      <c r="Q24" s="159"/>
      <c r="R24" s="160"/>
      <c r="S24" s="160"/>
      <c r="T24" s="159"/>
      <c r="U24" s="354">
        <f t="shared" si="4"/>
        <v>74</v>
      </c>
      <c r="V24" s="355" t="str">
        <f>IF(U24&gt;KKM!$G$10,"A",IF(U24&gt;KKM!$H$10,"B",IF(U24&gt;=KKM!$I$10,"C","D")))</f>
        <v>C</v>
      </c>
      <c r="W24" s="356">
        <f t="shared" si="0"/>
        <v>74</v>
      </c>
      <c r="X24" s="361" t="str">
        <f>IF(W24&gt;KKM!$G$10," sangat baik ",IF(W24&gt;KKM!$H$10," baik ",IF(W24&gt;=KKM!$I$10," cukup baik "," perlu bimbingan ")))</f>
        <v xml:space="preserve"> cukup baik </v>
      </c>
      <c r="Y24" s="357">
        <f t="shared" si="1"/>
        <v>74</v>
      </c>
      <c r="Z24" s="361" t="str">
        <f>IF(Y24&gt;KKM!$G$10," sangat baik ",IF(Y24&gt;KKM!$H$10," baik ",IF(Y24&gt;=KKM!$I$10," cukup baik "," perlu bimbingan ")))</f>
        <v xml:space="preserve"> cukup baik </v>
      </c>
      <c r="AA24" s="353" t="str">
        <f t="shared" si="5"/>
        <v>KURNIA cukup baik  dalam memahami teks kawih tentang bangga sebagai bangsa Indonesia</v>
      </c>
      <c r="AB24" s="256"/>
      <c r="AC24" s="257" t="str">
        <f t="shared" si="2"/>
        <v xml:space="preserve"> cukup baik  dalam memahami teks kawih tentang bangga sebagai bangsa Indonesia</v>
      </c>
      <c r="AD24" s="257" t="str">
        <f t="shared" si="3"/>
        <v xml:space="preserve"> cukup baik  dalam memahami teks kawih tentang bangga sebagai bangsa Indonesia</v>
      </c>
      <c r="AE24" s="257" t="str">
        <f t="shared" si="6"/>
        <v xml:space="preserve"> cukup baik  dalam memahami teks kawih tentang bangga sebagai bangsa Indonesia, dan  cukup baik  dalam memahami teks kawih tentang bangga sebagai bangsa Indonesia</v>
      </c>
      <c r="AF24" s="257" t="str">
        <f t="shared" si="7"/>
        <v xml:space="preserve"> cukup baik  dalam memahami teks kawih tentang bangga sebagai bangsa Indonesia</v>
      </c>
      <c r="AG24" s="258" t="str">
        <f t="shared" si="8"/>
        <v xml:space="preserve"> cukup baik  dalam memahami teks kawih tentang bangga sebagai bangsa Indonesia</v>
      </c>
      <c r="AH24" s="252" t="str">
        <f t="shared" si="9"/>
        <v>KURNIA cukup baik  dalam memahami teks kawih tentang bangga sebagai bangsa Indonesia</v>
      </c>
      <c r="AI24" s="139" t="e">
        <f>IF(#REF!=1,S$3," ")</f>
        <v>#REF!</v>
      </c>
      <c r="AJ24" s="139" t="e">
        <f>IF(#REF!=1,T$3," ")</f>
        <v>#REF!</v>
      </c>
      <c r="AK24" s="153"/>
      <c r="AU24" s="469">
        <f t="shared" si="10"/>
        <v>74</v>
      </c>
    </row>
    <row r="25" spans="2:47" ht="63" customHeight="1">
      <c r="B25" s="142">
        <v>21</v>
      </c>
      <c r="C25" s="143" t="str">
        <f>SISWA!B26</f>
        <v>1718250040325</v>
      </c>
      <c r="D25" s="144" t="str">
        <f>SISWA!E26</f>
        <v>LATIZA</v>
      </c>
      <c r="E25" s="159">
        <v>100</v>
      </c>
      <c r="F25" s="160">
        <v>100</v>
      </c>
      <c r="G25" s="160">
        <v>100</v>
      </c>
      <c r="H25" s="160"/>
      <c r="I25" s="160"/>
      <c r="J25" s="160"/>
      <c r="K25" s="160"/>
      <c r="L25" s="160"/>
      <c r="M25" s="160"/>
      <c r="N25" s="159"/>
      <c r="O25" s="159"/>
      <c r="P25" s="159"/>
      <c r="Q25" s="159"/>
      <c r="R25" s="160"/>
      <c r="S25" s="160"/>
      <c r="T25" s="159"/>
      <c r="U25" s="354">
        <f t="shared" si="4"/>
        <v>100</v>
      </c>
      <c r="V25" s="355" t="str">
        <f>IF(U25&gt;KKM!$G$10,"A",IF(U25&gt;KKM!$H$10,"B",IF(U25&gt;=KKM!$I$10,"C","D")))</f>
        <v>A</v>
      </c>
      <c r="W25" s="356">
        <f t="shared" si="0"/>
        <v>100</v>
      </c>
      <c r="X25" s="361" t="str">
        <f>IF(W25&gt;KKM!$G$10," sangat baik ",IF(W25&gt;KKM!$H$10," baik ",IF(W25&gt;=KKM!$I$10," cukup baik "," perlu bimbingan ")))</f>
        <v xml:space="preserve"> sangat baik </v>
      </c>
      <c r="Y25" s="357">
        <f t="shared" si="1"/>
        <v>100</v>
      </c>
      <c r="Z25" s="361" t="str">
        <f>IF(Y25&gt;KKM!$G$10," sangat baik ",IF(Y25&gt;KKM!$H$10," baik ",IF(Y25&gt;=KKM!$I$10," cukup baik "," perlu bimbingan ")))</f>
        <v xml:space="preserve"> sangat baik </v>
      </c>
      <c r="AA25" s="353" t="str">
        <f t="shared" si="5"/>
        <v>LATIZA sangat baik  dalam memahami teks kawih tentang bangga sebagai bangsa Indonesia</v>
      </c>
      <c r="AB25" s="256"/>
      <c r="AC25" s="257" t="str">
        <f t="shared" si="2"/>
        <v xml:space="preserve"> sangat baik  dalam memahami teks kawih tentang bangga sebagai bangsa Indonesia</v>
      </c>
      <c r="AD25" s="257" t="str">
        <f t="shared" si="3"/>
        <v xml:space="preserve"> sangat baik  dalam memahami teks kawih tentang bangga sebagai bangsa Indonesia</v>
      </c>
      <c r="AE25" s="257" t="str">
        <f t="shared" si="6"/>
        <v xml:space="preserve"> sangat baik  dalam memahami teks kawih tentang bangga sebagai bangsa Indonesia, dan  sangat baik  dalam memahami teks kawih tentang bangga sebagai bangsa Indonesia</v>
      </c>
      <c r="AF25" s="257" t="str">
        <f t="shared" si="7"/>
        <v xml:space="preserve"> sangat baik  dalam memahami teks kawih tentang bangga sebagai bangsa Indonesia</v>
      </c>
      <c r="AG25" s="258" t="str">
        <f t="shared" si="8"/>
        <v xml:space="preserve"> sangat baik  dalam memahami teks kawih tentang bangga sebagai bangsa Indonesia</v>
      </c>
      <c r="AH25" s="252" t="str">
        <f t="shared" si="9"/>
        <v>LATIZA sangat baik  dalam memahami teks kawih tentang bangga sebagai bangsa Indonesia</v>
      </c>
      <c r="AI25" s="139" t="e">
        <f>IF(#REF!=1,S$3," ")</f>
        <v>#REF!</v>
      </c>
      <c r="AJ25" s="139" t="e">
        <f>IF(#REF!=1,T$3," ")</f>
        <v>#REF!</v>
      </c>
      <c r="AK25" s="153"/>
      <c r="AU25" s="469">
        <f t="shared" si="10"/>
        <v>100</v>
      </c>
    </row>
    <row r="26" spans="2:47" ht="63" customHeight="1">
      <c r="B26" s="142">
        <v>22</v>
      </c>
      <c r="C26" s="143" t="str">
        <f>SISWA!B27</f>
        <v>1718250040326</v>
      </c>
      <c r="D26" s="144" t="str">
        <f>SISWA!E27</f>
        <v>RIZKY</v>
      </c>
      <c r="E26" s="159">
        <v>85</v>
      </c>
      <c r="F26" s="160">
        <v>85</v>
      </c>
      <c r="G26" s="160">
        <v>85</v>
      </c>
      <c r="H26" s="160"/>
      <c r="I26" s="160"/>
      <c r="J26" s="160"/>
      <c r="K26" s="160"/>
      <c r="L26" s="160"/>
      <c r="M26" s="160"/>
      <c r="N26" s="159"/>
      <c r="O26" s="159"/>
      <c r="P26" s="159"/>
      <c r="Q26" s="159"/>
      <c r="R26" s="160"/>
      <c r="S26" s="160"/>
      <c r="T26" s="159"/>
      <c r="U26" s="354">
        <f t="shared" si="4"/>
        <v>85</v>
      </c>
      <c r="V26" s="355" t="str">
        <f>IF(U26&gt;KKM!$G$10,"A",IF(U26&gt;KKM!$H$10,"B",IF(U26&gt;=KKM!$I$10,"C","D")))</f>
        <v>B</v>
      </c>
      <c r="W26" s="356">
        <f t="shared" si="0"/>
        <v>85</v>
      </c>
      <c r="X26" s="361" t="str">
        <f>IF(W26&gt;KKM!$G$10," sangat baik ",IF(W26&gt;KKM!$H$10," baik ",IF(W26&gt;=KKM!$I$10," cukup baik "," perlu bimbingan ")))</f>
        <v xml:space="preserve"> baik </v>
      </c>
      <c r="Y26" s="357">
        <f t="shared" si="1"/>
        <v>85</v>
      </c>
      <c r="Z26" s="361" t="str">
        <f>IF(Y26&gt;KKM!$G$10," sangat baik ",IF(Y26&gt;KKM!$H$10," baik ",IF(Y26&gt;=KKM!$I$10," cukup baik "," perlu bimbingan ")))</f>
        <v xml:space="preserve"> baik </v>
      </c>
      <c r="AA26" s="353" t="str">
        <f t="shared" si="5"/>
        <v>RIZKY baik  dalam memahami teks kawih tentang bangga sebagai bangsa Indonesia</v>
      </c>
      <c r="AB26" s="256"/>
      <c r="AC26" s="257" t="str">
        <f t="shared" si="2"/>
        <v xml:space="preserve"> baik  dalam memahami teks kawih tentang bangga sebagai bangsa Indonesia</v>
      </c>
      <c r="AD26" s="257" t="str">
        <f t="shared" si="3"/>
        <v xml:space="preserve"> baik  dalam memahami teks kawih tentang bangga sebagai bangsa Indonesia</v>
      </c>
      <c r="AE26" s="257" t="str">
        <f t="shared" si="6"/>
        <v xml:space="preserve"> baik  dalam memahami teks kawih tentang bangga sebagai bangsa Indonesia, dan  baik  dalam memahami teks kawih tentang bangga sebagai bangsa Indonesia</v>
      </c>
      <c r="AF26" s="257" t="str">
        <f t="shared" si="7"/>
        <v xml:space="preserve"> baik  dalam memahami teks kawih tentang bangga sebagai bangsa Indonesia</v>
      </c>
      <c r="AG26" s="258" t="str">
        <f t="shared" si="8"/>
        <v xml:space="preserve"> baik  dalam memahami teks kawih tentang bangga sebagai bangsa Indonesia</v>
      </c>
      <c r="AH26" s="252" t="str">
        <f t="shared" si="9"/>
        <v>RIZKY baik  dalam memahami teks kawih tentang bangga sebagai bangsa Indonesia</v>
      </c>
      <c r="AI26" s="139" t="e">
        <f>IF(#REF!=1,S$3," ")</f>
        <v>#REF!</v>
      </c>
      <c r="AJ26" s="139" t="e">
        <f>IF(#REF!=1,T$3," ")</f>
        <v>#REF!</v>
      </c>
      <c r="AK26" s="153"/>
      <c r="AU26" s="469">
        <f t="shared" si="10"/>
        <v>85</v>
      </c>
    </row>
    <row r="27" spans="2:47" ht="63" customHeight="1">
      <c r="B27" s="142">
        <v>23</v>
      </c>
      <c r="C27" s="143" t="str">
        <f>SISWA!B28</f>
        <v>1718250040327</v>
      </c>
      <c r="D27" s="144" t="str">
        <f>SISWA!E28</f>
        <v>RAMADHANDANI</v>
      </c>
      <c r="E27" s="159">
        <v>88</v>
      </c>
      <c r="F27" s="160">
        <v>88</v>
      </c>
      <c r="G27" s="160">
        <v>88</v>
      </c>
      <c r="H27" s="160"/>
      <c r="I27" s="160"/>
      <c r="J27" s="160"/>
      <c r="K27" s="160"/>
      <c r="L27" s="160"/>
      <c r="M27" s="160"/>
      <c r="N27" s="159"/>
      <c r="O27" s="159"/>
      <c r="P27" s="159"/>
      <c r="Q27" s="159"/>
      <c r="R27" s="160"/>
      <c r="S27" s="160"/>
      <c r="T27" s="159"/>
      <c r="U27" s="354">
        <f t="shared" si="4"/>
        <v>88</v>
      </c>
      <c r="V27" s="355" t="str">
        <f>IF(U27&gt;KKM!$G$10,"A",IF(U27&gt;KKM!$H$10,"B",IF(U27&gt;=KKM!$I$10,"C","D")))</f>
        <v>A</v>
      </c>
      <c r="W27" s="356">
        <f t="shared" si="0"/>
        <v>88</v>
      </c>
      <c r="X27" s="361" t="str">
        <f>IF(W27&gt;KKM!$G$10," sangat baik ",IF(W27&gt;KKM!$H$10," baik ",IF(W27&gt;=KKM!$I$10," cukup baik "," perlu bimbingan ")))</f>
        <v xml:space="preserve"> sangat baik </v>
      </c>
      <c r="Y27" s="357">
        <f t="shared" si="1"/>
        <v>88</v>
      </c>
      <c r="Z27" s="361" t="str">
        <f>IF(Y27&gt;KKM!$G$10," sangat baik ",IF(Y27&gt;KKM!$H$10," baik ",IF(Y27&gt;=KKM!$I$10," cukup baik "," perlu bimbingan ")))</f>
        <v xml:space="preserve"> sangat baik </v>
      </c>
      <c r="AA27" s="353" t="str">
        <f t="shared" si="5"/>
        <v>RAMADHANDANI sangat baik  dalam memahami teks kawih tentang bangga sebagai bangsa Indonesia</v>
      </c>
      <c r="AB27" s="256"/>
      <c r="AC27" s="257" t="str">
        <f t="shared" si="2"/>
        <v xml:space="preserve"> sangat baik  dalam memahami teks kawih tentang bangga sebagai bangsa Indonesia</v>
      </c>
      <c r="AD27" s="257" t="str">
        <f t="shared" si="3"/>
        <v xml:space="preserve"> sangat baik  dalam memahami teks kawih tentang bangga sebagai bangsa Indonesia</v>
      </c>
      <c r="AE27" s="257" t="str">
        <f t="shared" si="6"/>
        <v xml:space="preserve"> sangat baik  dalam memahami teks kawih tentang bangga sebagai bangsa Indonesia, dan  sangat baik  dalam memahami teks kawih tentang bangga sebagai bangsa Indonesia</v>
      </c>
      <c r="AF27" s="257" t="str">
        <f t="shared" si="7"/>
        <v xml:space="preserve"> sangat baik  dalam memahami teks kawih tentang bangga sebagai bangsa Indonesia</v>
      </c>
      <c r="AG27" s="258" t="str">
        <f t="shared" si="8"/>
        <v xml:space="preserve"> sangat baik  dalam memahami teks kawih tentang bangga sebagai bangsa Indonesia</v>
      </c>
      <c r="AH27" s="252" t="str">
        <f t="shared" si="9"/>
        <v>RAMADHANDANI sangat baik  dalam memahami teks kawih tentang bangga sebagai bangsa Indonesia</v>
      </c>
      <c r="AI27" s="139" t="e">
        <f>IF(#REF!=1,S$3," ")</f>
        <v>#REF!</v>
      </c>
      <c r="AJ27" s="139" t="e">
        <f>IF(#REF!=1,T$3," ")</f>
        <v>#REF!</v>
      </c>
      <c r="AK27" s="153"/>
      <c r="AU27" s="469">
        <f t="shared" si="10"/>
        <v>88</v>
      </c>
    </row>
    <row r="28" spans="2:47" ht="63" customHeight="1">
      <c r="B28" s="142">
        <v>24</v>
      </c>
      <c r="C28" s="143" t="str">
        <f>SISWA!B29</f>
        <v>1718250040328</v>
      </c>
      <c r="D28" s="144" t="str">
        <f>SISWA!E29</f>
        <v>SYAEPUL</v>
      </c>
      <c r="E28" s="159">
        <v>85</v>
      </c>
      <c r="F28" s="160">
        <v>85</v>
      </c>
      <c r="G28" s="160">
        <v>85</v>
      </c>
      <c r="H28" s="160"/>
      <c r="I28" s="160"/>
      <c r="J28" s="160"/>
      <c r="K28" s="160"/>
      <c r="L28" s="160"/>
      <c r="M28" s="160"/>
      <c r="N28" s="159"/>
      <c r="O28" s="159"/>
      <c r="P28" s="159"/>
      <c r="Q28" s="159"/>
      <c r="R28" s="160"/>
      <c r="S28" s="160"/>
      <c r="T28" s="159"/>
      <c r="U28" s="354">
        <f t="shared" si="4"/>
        <v>85</v>
      </c>
      <c r="V28" s="355" t="str">
        <f>IF(U28&gt;KKM!$G$10,"A",IF(U28&gt;KKM!$H$10,"B",IF(U28&gt;=KKM!$I$10,"C","D")))</f>
        <v>B</v>
      </c>
      <c r="W28" s="356">
        <f t="shared" si="0"/>
        <v>85</v>
      </c>
      <c r="X28" s="361" t="str">
        <f>IF(W28&gt;KKM!$G$10," sangat baik ",IF(W28&gt;KKM!$H$10," baik ",IF(W28&gt;=KKM!$I$10," cukup baik "," perlu bimbingan ")))</f>
        <v xml:space="preserve"> baik </v>
      </c>
      <c r="Y28" s="357">
        <f t="shared" si="1"/>
        <v>85</v>
      </c>
      <c r="Z28" s="361" t="str">
        <f>IF(Y28&gt;KKM!$G$10," sangat baik ",IF(Y28&gt;KKM!$H$10," baik ",IF(Y28&gt;=KKM!$I$10," cukup baik "," perlu bimbingan ")))</f>
        <v xml:space="preserve"> baik </v>
      </c>
      <c r="AA28" s="353" t="str">
        <f t="shared" si="5"/>
        <v>SYAEPUL baik  dalam memahami teks kawih tentang bangga sebagai bangsa Indonesia</v>
      </c>
      <c r="AB28" s="256"/>
      <c r="AC28" s="257" t="str">
        <f t="shared" si="2"/>
        <v xml:space="preserve"> baik  dalam memahami teks kawih tentang bangga sebagai bangsa Indonesia</v>
      </c>
      <c r="AD28" s="257" t="str">
        <f t="shared" si="3"/>
        <v xml:space="preserve"> baik  dalam memahami teks kawih tentang bangga sebagai bangsa Indonesia</v>
      </c>
      <c r="AE28" s="257" t="str">
        <f t="shared" si="6"/>
        <v xml:space="preserve"> baik  dalam memahami teks kawih tentang bangga sebagai bangsa Indonesia, dan  baik  dalam memahami teks kawih tentang bangga sebagai bangsa Indonesia</v>
      </c>
      <c r="AF28" s="257" t="str">
        <f t="shared" si="7"/>
        <v xml:space="preserve"> baik  dalam memahami teks kawih tentang bangga sebagai bangsa Indonesia</v>
      </c>
      <c r="AG28" s="258" t="str">
        <f t="shared" si="8"/>
        <v xml:space="preserve"> baik  dalam memahami teks kawih tentang bangga sebagai bangsa Indonesia</v>
      </c>
      <c r="AH28" s="252" t="str">
        <f t="shared" si="9"/>
        <v>SYAEPUL baik  dalam memahami teks kawih tentang bangga sebagai bangsa Indonesia</v>
      </c>
      <c r="AI28" s="139" t="e">
        <f>IF(#REF!=1,S$3," ")</f>
        <v>#REF!</v>
      </c>
      <c r="AJ28" s="139" t="e">
        <f>IF(#REF!=1,T$3," ")</f>
        <v>#REF!</v>
      </c>
      <c r="AK28" s="153"/>
      <c r="AU28" s="469">
        <f t="shared" si="10"/>
        <v>85</v>
      </c>
    </row>
    <row r="29" spans="2:47" ht="63" customHeight="1">
      <c r="B29" s="142">
        <v>25</v>
      </c>
      <c r="C29" s="143" t="str">
        <f>SISWA!B30</f>
        <v>1718250040329</v>
      </c>
      <c r="D29" s="144" t="str">
        <f>SISWA!E30</f>
        <v>ALIF</v>
      </c>
      <c r="E29" s="159">
        <v>82</v>
      </c>
      <c r="F29" s="160">
        <v>82</v>
      </c>
      <c r="G29" s="160">
        <v>82</v>
      </c>
      <c r="H29" s="160"/>
      <c r="I29" s="160"/>
      <c r="J29" s="160"/>
      <c r="K29" s="160"/>
      <c r="L29" s="160"/>
      <c r="M29" s="160"/>
      <c r="N29" s="159"/>
      <c r="O29" s="159"/>
      <c r="P29" s="159"/>
      <c r="Q29" s="159"/>
      <c r="R29" s="160"/>
      <c r="S29" s="160"/>
      <c r="T29" s="159"/>
      <c r="U29" s="354">
        <f t="shared" si="4"/>
        <v>82</v>
      </c>
      <c r="V29" s="355" t="str">
        <f>IF(U29&gt;KKM!$G$10,"A",IF(U29&gt;KKM!$H$10,"B",IF(U29&gt;=KKM!$I$10,"C","D")))</f>
        <v>B</v>
      </c>
      <c r="W29" s="356">
        <f t="shared" si="0"/>
        <v>82</v>
      </c>
      <c r="X29" s="361" t="str">
        <f>IF(W29&gt;KKM!$G$10," sangat baik ",IF(W29&gt;KKM!$H$10," baik ",IF(W29&gt;=KKM!$I$10," cukup baik "," perlu bimbingan ")))</f>
        <v xml:space="preserve"> baik </v>
      </c>
      <c r="Y29" s="357">
        <f t="shared" si="1"/>
        <v>82</v>
      </c>
      <c r="Z29" s="361" t="str">
        <f>IF(Y29&gt;KKM!$G$10," sangat baik ",IF(Y29&gt;KKM!$H$10," baik ",IF(Y29&gt;=KKM!$I$10," cukup baik "," perlu bimbingan ")))</f>
        <v xml:space="preserve"> baik </v>
      </c>
      <c r="AA29" s="353" t="str">
        <f t="shared" si="5"/>
        <v>ALIF baik  dalam memahami teks kawih tentang bangga sebagai bangsa Indonesia</v>
      </c>
      <c r="AB29" s="256"/>
      <c r="AC29" s="257" t="str">
        <f t="shared" si="2"/>
        <v xml:space="preserve"> baik  dalam memahami teks kawih tentang bangga sebagai bangsa Indonesia</v>
      </c>
      <c r="AD29" s="257" t="str">
        <f t="shared" si="3"/>
        <v xml:space="preserve"> baik  dalam memahami teks kawih tentang bangga sebagai bangsa Indonesia</v>
      </c>
      <c r="AE29" s="257" t="str">
        <f t="shared" si="6"/>
        <v xml:space="preserve"> baik  dalam memahami teks kawih tentang bangga sebagai bangsa Indonesia, dan  baik  dalam memahami teks kawih tentang bangga sebagai bangsa Indonesia</v>
      </c>
      <c r="AF29" s="257" t="str">
        <f t="shared" si="7"/>
        <v xml:space="preserve"> baik  dalam memahami teks kawih tentang bangga sebagai bangsa Indonesia</v>
      </c>
      <c r="AG29" s="258" t="str">
        <f t="shared" si="8"/>
        <v xml:space="preserve"> baik  dalam memahami teks kawih tentang bangga sebagai bangsa Indonesia</v>
      </c>
      <c r="AH29" s="252" t="str">
        <f t="shared" si="9"/>
        <v>ALIF baik  dalam memahami teks kawih tentang bangga sebagai bangsa Indonesia</v>
      </c>
      <c r="AI29" s="139" t="e">
        <f>IF(#REF!=1,S$3," ")</f>
        <v>#REF!</v>
      </c>
      <c r="AJ29" s="139" t="e">
        <f>IF(#REF!=1,T$3," ")</f>
        <v>#REF!</v>
      </c>
      <c r="AK29" s="153"/>
      <c r="AU29" s="469">
        <f t="shared" si="10"/>
        <v>82</v>
      </c>
    </row>
    <row r="30" spans="2:47" ht="63" customHeight="1">
      <c r="B30" s="142">
        <v>26</v>
      </c>
      <c r="C30" s="143" t="str">
        <f>SISWA!B31</f>
        <v>1718250040330</v>
      </c>
      <c r="D30" s="144" t="str">
        <f>SISWA!E31</f>
        <v>HIZKIEL</v>
      </c>
      <c r="E30" s="159">
        <v>85</v>
      </c>
      <c r="F30" s="160">
        <v>85</v>
      </c>
      <c r="G30" s="160">
        <v>85</v>
      </c>
      <c r="H30" s="160"/>
      <c r="I30" s="160"/>
      <c r="J30" s="160"/>
      <c r="K30" s="160"/>
      <c r="L30" s="160"/>
      <c r="M30" s="160"/>
      <c r="N30" s="159"/>
      <c r="O30" s="159"/>
      <c r="P30" s="159"/>
      <c r="Q30" s="159"/>
      <c r="R30" s="160"/>
      <c r="S30" s="160"/>
      <c r="T30" s="159"/>
      <c r="U30" s="354">
        <f t="shared" si="4"/>
        <v>85</v>
      </c>
      <c r="V30" s="355" t="str">
        <f>IF(U30&gt;KKM!$G$10,"A",IF(U30&gt;KKM!$H$10,"B",IF(U30&gt;=KKM!$I$10,"C","D")))</f>
        <v>B</v>
      </c>
      <c r="W30" s="356">
        <f t="shared" si="0"/>
        <v>85</v>
      </c>
      <c r="X30" s="361" t="str">
        <f>IF(W30&gt;KKM!$G$10," sangat baik ",IF(W30&gt;KKM!$H$10," baik ",IF(W30&gt;=KKM!$I$10," cukup baik "," perlu bimbingan ")))</f>
        <v xml:space="preserve"> baik </v>
      </c>
      <c r="Y30" s="357">
        <f t="shared" si="1"/>
        <v>85</v>
      </c>
      <c r="Z30" s="361" t="str">
        <f>IF(Y30&gt;KKM!$G$10," sangat baik ",IF(Y30&gt;KKM!$H$10," baik ",IF(Y30&gt;=KKM!$I$10," cukup baik "," perlu bimbingan ")))</f>
        <v xml:space="preserve"> baik </v>
      </c>
      <c r="AA30" s="353" t="str">
        <f t="shared" si="5"/>
        <v>HIZKIEL baik  dalam memahami teks kawih tentang bangga sebagai bangsa Indonesia</v>
      </c>
      <c r="AB30" s="256"/>
      <c r="AC30" s="257" t="str">
        <f t="shared" si="2"/>
        <v xml:space="preserve"> baik  dalam memahami teks kawih tentang bangga sebagai bangsa Indonesia</v>
      </c>
      <c r="AD30" s="257" t="str">
        <f t="shared" si="3"/>
        <v xml:space="preserve"> baik  dalam memahami teks kawih tentang bangga sebagai bangsa Indonesia</v>
      </c>
      <c r="AE30" s="257" t="str">
        <f t="shared" si="6"/>
        <v xml:space="preserve"> baik  dalam memahami teks kawih tentang bangga sebagai bangsa Indonesia, dan  baik  dalam memahami teks kawih tentang bangga sebagai bangsa Indonesia</v>
      </c>
      <c r="AF30" s="257" t="str">
        <f t="shared" si="7"/>
        <v xml:space="preserve"> baik  dalam memahami teks kawih tentang bangga sebagai bangsa Indonesia</v>
      </c>
      <c r="AG30" s="258" t="str">
        <f t="shared" si="8"/>
        <v xml:space="preserve"> baik  dalam memahami teks kawih tentang bangga sebagai bangsa Indonesia</v>
      </c>
      <c r="AH30" s="252" t="str">
        <f t="shared" si="9"/>
        <v>HIZKIEL baik  dalam memahami teks kawih tentang bangga sebagai bangsa Indonesia</v>
      </c>
      <c r="AI30" s="139" t="e">
        <f>IF(#REF!=1,S$3," ")</f>
        <v>#REF!</v>
      </c>
      <c r="AJ30" s="139" t="e">
        <f>IF(#REF!=1,T$3," ")</f>
        <v>#REF!</v>
      </c>
      <c r="AK30" s="153"/>
      <c r="AU30" s="469">
        <f t="shared" si="10"/>
        <v>85</v>
      </c>
    </row>
    <row r="31" spans="2:47" ht="63" customHeight="1">
      <c r="B31" s="142">
        <v>27</v>
      </c>
      <c r="C31" s="143" t="str">
        <f>SISWA!B32</f>
        <v>1718250040331</v>
      </c>
      <c r="D31" s="144" t="str">
        <f>SISWA!E32</f>
        <v>LAEL</v>
      </c>
      <c r="E31" s="159">
        <v>80</v>
      </c>
      <c r="F31" s="160">
        <v>80</v>
      </c>
      <c r="G31" s="160">
        <v>80</v>
      </c>
      <c r="H31" s="160"/>
      <c r="I31" s="160"/>
      <c r="J31" s="160"/>
      <c r="K31" s="160"/>
      <c r="L31" s="160"/>
      <c r="M31" s="160"/>
      <c r="N31" s="159"/>
      <c r="O31" s="159"/>
      <c r="P31" s="159"/>
      <c r="Q31" s="159"/>
      <c r="R31" s="160"/>
      <c r="S31" s="160"/>
      <c r="T31" s="159"/>
      <c r="U31" s="354">
        <f t="shared" si="4"/>
        <v>80</v>
      </c>
      <c r="V31" s="355" t="str">
        <f>IF(U31&gt;KKM!$G$10,"A",IF(U31&gt;KKM!$H$10,"B",IF(U31&gt;=KKM!$I$10,"C","D")))</f>
        <v>B</v>
      </c>
      <c r="W31" s="356">
        <f t="shared" si="0"/>
        <v>80</v>
      </c>
      <c r="X31" s="361" t="str">
        <f>IF(W31&gt;KKM!$G$10," sangat baik ",IF(W31&gt;KKM!$H$10," baik ",IF(W31&gt;=KKM!$I$10," cukup baik "," perlu bimbingan ")))</f>
        <v xml:space="preserve"> baik </v>
      </c>
      <c r="Y31" s="357">
        <f t="shared" si="1"/>
        <v>80</v>
      </c>
      <c r="Z31" s="361" t="str">
        <f>IF(Y31&gt;KKM!$G$10," sangat baik ",IF(Y31&gt;KKM!$H$10," baik ",IF(Y31&gt;=KKM!$I$10," cukup baik "," perlu bimbingan ")))</f>
        <v xml:space="preserve"> baik </v>
      </c>
      <c r="AA31" s="353" t="str">
        <f t="shared" si="5"/>
        <v>LAEL baik  dalam memahami teks kawih tentang bangga sebagai bangsa Indonesia</v>
      </c>
      <c r="AB31" s="256"/>
      <c r="AC31" s="257" t="str">
        <f t="shared" si="2"/>
        <v xml:space="preserve"> baik  dalam memahami teks kawih tentang bangga sebagai bangsa Indonesia</v>
      </c>
      <c r="AD31" s="257" t="str">
        <f t="shared" si="3"/>
        <v xml:space="preserve"> baik  dalam memahami teks kawih tentang bangga sebagai bangsa Indonesia</v>
      </c>
      <c r="AE31" s="257" t="str">
        <f t="shared" si="6"/>
        <v xml:space="preserve"> baik  dalam memahami teks kawih tentang bangga sebagai bangsa Indonesia, dan  baik  dalam memahami teks kawih tentang bangga sebagai bangsa Indonesia</v>
      </c>
      <c r="AF31" s="257" t="str">
        <f t="shared" si="7"/>
        <v xml:space="preserve"> baik  dalam memahami teks kawih tentang bangga sebagai bangsa Indonesia</v>
      </c>
      <c r="AG31" s="258" t="str">
        <f t="shared" si="8"/>
        <v xml:space="preserve"> baik  dalam memahami teks kawih tentang bangga sebagai bangsa Indonesia</v>
      </c>
      <c r="AH31" s="252" t="str">
        <f t="shared" si="9"/>
        <v>LAEL baik  dalam memahami teks kawih tentang bangga sebagai bangsa Indonesia</v>
      </c>
      <c r="AI31" s="139" t="e">
        <f>IF(#REF!=1,S$3," ")</f>
        <v>#REF!</v>
      </c>
      <c r="AJ31" s="139" t="e">
        <f>IF(#REF!=1,T$3," ")</f>
        <v>#REF!</v>
      </c>
      <c r="AK31" s="153"/>
      <c r="AU31" s="469">
        <f t="shared" si="10"/>
        <v>80</v>
      </c>
    </row>
    <row r="32" spans="2:47" ht="63" customHeight="1">
      <c r="B32" s="142">
        <v>28</v>
      </c>
      <c r="C32" s="143" t="str">
        <f>SISWA!B33</f>
        <v>1718250040332</v>
      </c>
      <c r="D32" s="144" t="str">
        <f>SISWA!E33</f>
        <v>NABIL</v>
      </c>
      <c r="E32" s="159">
        <v>70</v>
      </c>
      <c r="F32" s="160">
        <v>70</v>
      </c>
      <c r="G32" s="160">
        <v>70</v>
      </c>
      <c r="H32" s="160"/>
      <c r="I32" s="160"/>
      <c r="J32" s="160"/>
      <c r="K32" s="160"/>
      <c r="L32" s="160"/>
      <c r="M32" s="160"/>
      <c r="N32" s="159"/>
      <c r="O32" s="159"/>
      <c r="P32" s="159"/>
      <c r="Q32" s="159"/>
      <c r="R32" s="160"/>
      <c r="S32" s="160"/>
      <c r="T32" s="159"/>
      <c r="U32" s="354">
        <f t="shared" si="4"/>
        <v>70</v>
      </c>
      <c r="V32" s="355" t="str">
        <f>IF(U32&gt;KKM!$G$10,"A",IF(U32&gt;KKM!$H$10,"B",IF(U32&gt;=KKM!$I$10,"C","D")))</f>
        <v>C</v>
      </c>
      <c r="W32" s="356">
        <f t="shared" si="0"/>
        <v>70</v>
      </c>
      <c r="X32" s="361" t="str">
        <f>IF(W32&gt;KKM!$G$10," sangat baik ",IF(W32&gt;KKM!$H$10," baik ",IF(W32&gt;=KKM!$I$10," cukup baik "," perlu bimbingan ")))</f>
        <v xml:space="preserve"> cukup baik </v>
      </c>
      <c r="Y32" s="357">
        <f t="shared" si="1"/>
        <v>70</v>
      </c>
      <c r="Z32" s="361" t="str">
        <f>IF(Y32&gt;KKM!$G$10," sangat baik ",IF(Y32&gt;KKM!$H$10," baik ",IF(Y32&gt;=KKM!$I$10," cukup baik "," perlu bimbingan ")))</f>
        <v xml:space="preserve"> cukup baik </v>
      </c>
      <c r="AA32" s="353" t="str">
        <f t="shared" si="5"/>
        <v>NABIL cukup baik  dalam memahami teks kawih tentang bangga sebagai bangsa Indonesia</v>
      </c>
      <c r="AB32" s="256"/>
      <c r="AC32" s="257" t="str">
        <f t="shared" si="2"/>
        <v xml:space="preserve"> cukup baik  dalam memahami teks kawih tentang bangga sebagai bangsa Indonesia</v>
      </c>
      <c r="AD32" s="257" t="str">
        <f t="shared" si="3"/>
        <v xml:space="preserve"> cukup baik  dalam memahami teks kawih tentang bangga sebagai bangsa Indonesia</v>
      </c>
      <c r="AE32" s="257" t="str">
        <f t="shared" si="6"/>
        <v xml:space="preserve"> cukup baik  dalam memahami teks kawih tentang bangga sebagai bangsa Indonesia, dan  cukup baik  dalam memahami teks kawih tentang bangga sebagai bangsa Indonesia</v>
      </c>
      <c r="AF32" s="257" t="str">
        <f t="shared" si="7"/>
        <v xml:space="preserve"> cukup baik  dalam memahami teks kawih tentang bangga sebagai bangsa Indonesia</v>
      </c>
      <c r="AG32" s="258" t="str">
        <f t="shared" si="8"/>
        <v xml:space="preserve"> cukup baik  dalam memahami teks kawih tentang bangga sebagai bangsa Indonesia</v>
      </c>
      <c r="AH32" s="252" t="str">
        <f t="shared" si="9"/>
        <v>NABIL cukup baik  dalam memahami teks kawih tentang bangga sebagai bangsa Indonesia</v>
      </c>
      <c r="AI32" s="139" t="e">
        <f>IF(#REF!=1,S$3," ")</f>
        <v>#REF!</v>
      </c>
      <c r="AJ32" s="139" t="e">
        <f>IF(#REF!=1,T$3," ")</f>
        <v>#REF!</v>
      </c>
      <c r="AK32" s="153"/>
      <c r="AU32" s="469">
        <f t="shared" si="10"/>
        <v>70</v>
      </c>
    </row>
    <row r="33" spans="2:47" ht="63" customHeight="1">
      <c r="B33" s="142">
        <v>29</v>
      </c>
      <c r="C33" s="143" t="str">
        <f>SISWA!B34</f>
        <v>1718250040333</v>
      </c>
      <c r="D33" s="144" t="str">
        <f>SISWA!E34</f>
        <v>RASYA</v>
      </c>
      <c r="E33" s="159">
        <v>71</v>
      </c>
      <c r="F33" s="160">
        <v>71</v>
      </c>
      <c r="G33" s="160">
        <v>71</v>
      </c>
      <c r="H33" s="160"/>
      <c r="I33" s="160"/>
      <c r="J33" s="160"/>
      <c r="K33" s="160"/>
      <c r="L33" s="160"/>
      <c r="M33" s="160"/>
      <c r="N33" s="159"/>
      <c r="O33" s="159"/>
      <c r="P33" s="159"/>
      <c r="Q33" s="159"/>
      <c r="R33" s="160"/>
      <c r="S33" s="160"/>
      <c r="T33" s="159"/>
      <c r="U33" s="354">
        <f t="shared" si="4"/>
        <v>71</v>
      </c>
      <c r="V33" s="355" t="str">
        <f>IF(U33&gt;KKM!$G$10,"A",IF(U33&gt;KKM!$H$10,"B",IF(U33&gt;=KKM!$I$10,"C","D")))</f>
        <v>C</v>
      </c>
      <c r="W33" s="356">
        <f t="shared" si="0"/>
        <v>71</v>
      </c>
      <c r="X33" s="361" t="str">
        <f>IF(W33&gt;KKM!$G$10," sangat baik ",IF(W33&gt;KKM!$H$10," baik ",IF(W33&gt;=KKM!$I$10," cukup baik "," perlu bimbingan ")))</f>
        <v xml:space="preserve"> cukup baik </v>
      </c>
      <c r="Y33" s="357">
        <f t="shared" si="1"/>
        <v>71</v>
      </c>
      <c r="Z33" s="361" t="str">
        <f>IF(Y33&gt;KKM!$G$10," sangat baik ",IF(Y33&gt;KKM!$H$10," baik ",IF(Y33&gt;=KKM!$I$10," cukup baik "," perlu bimbingan ")))</f>
        <v xml:space="preserve"> cukup baik </v>
      </c>
      <c r="AA33" s="353" t="str">
        <f t="shared" si="5"/>
        <v>RASYA cukup baik  dalam memahami teks kawih tentang bangga sebagai bangsa Indonesia</v>
      </c>
      <c r="AB33" s="256"/>
      <c r="AC33" s="257" t="str">
        <f t="shared" si="2"/>
        <v xml:space="preserve"> cukup baik  dalam memahami teks kawih tentang bangga sebagai bangsa Indonesia</v>
      </c>
      <c r="AD33" s="257" t="str">
        <f t="shared" si="3"/>
        <v xml:space="preserve"> cukup baik  dalam memahami teks kawih tentang bangga sebagai bangsa Indonesia</v>
      </c>
      <c r="AE33" s="257" t="str">
        <f t="shared" si="6"/>
        <v xml:space="preserve"> cukup baik  dalam memahami teks kawih tentang bangga sebagai bangsa Indonesia, dan  cukup baik  dalam memahami teks kawih tentang bangga sebagai bangsa Indonesia</v>
      </c>
      <c r="AF33" s="257" t="str">
        <f t="shared" si="7"/>
        <v xml:space="preserve"> cukup baik  dalam memahami teks kawih tentang bangga sebagai bangsa Indonesia</v>
      </c>
      <c r="AG33" s="258" t="str">
        <f t="shared" si="8"/>
        <v xml:space="preserve"> cukup baik  dalam memahami teks kawih tentang bangga sebagai bangsa Indonesia</v>
      </c>
      <c r="AH33" s="252" t="str">
        <f t="shared" si="9"/>
        <v>RASYA cukup baik  dalam memahami teks kawih tentang bangga sebagai bangsa Indonesia</v>
      </c>
      <c r="AI33" s="139" t="e">
        <f>IF(#REF!=1,S$3," ")</f>
        <v>#REF!</v>
      </c>
      <c r="AJ33" s="139" t="e">
        <f>IF(#REF!=1,T$3," ")</f>
        <v>#REF!</v>
      </c>
      <c r="AK33" s="153"/>
      <c r="AU33" s="469">
        <f t="shared" si="10"/>
        <v>71</v>
      </c>
    </row>
    <row r="34" spans="2:47" ht="63" customHeight="1">
      <c r="B34" s="142">
        <v>30</v>
      </c>
      <c r="C34" s="143" t="str">
        <f>SISWA!B35</f>
        <v>1718250040334</v>
      </c>
      <c r="D34" s="144" t="str">
        <f>SISWA!E35</f>
        <v>RIZKI</v>
      </c>
      <c r="E34" s="159">
        <v>85</v>
      </c>
      <c r="F34" s="160">
        <v>85</v>
      </c>
      <c r="G34" s="160">
        <v>85</v>
      </c>
      <c r="H34" s="160"/>
      <c r="I34" s="160"/>
      <c r="J34" s="160"/>
      <c r="K34" s="160"/>
      <c r="L34" s="160"/>
      <c r="M34" s="160"/>
      <c r="N34" s="159"/>
      <c r="O34" s="159"/>
      <c r="P34" s="159"/>
      <c r="Q34" s="159"/>
      <c r="R34" s="160"/>
      <c r="S34" s="160"/>
      <c r="T34" s="159"/>
      <c r="U34" s="354">
        <f t="shared" si="4"/>
        <v>85</v>
      </c>
      <c r="V34" s="355" t="str">
        <f>IF(U34&gt;KKM!$G$10,"A",IF(U34&gt;KKM!$H$10,"B",IF(U34&gt;=KKM!$I$10,"C","D")))</f>
        <v>B</v>
      </c>
      <c r="W34" s="356">
        <f t="shared" si="0"/>
        <v>85</v>
      </c>
      <c r="X34" s="361" t="str">
        <f>IF(W34&gt;KKM!$G$10," sangat baik ",IF(W34&gt;KKM!$H$10," baik ",IF(W34&gt;=KKM!$I$10," cukup baik "," perlu bimbingan ")))</f>
        <v xml:space="preserve"> baik </v>
      </c>
      <c r="Y34" s="357">
        <f t="shared" si="1"/>
        <v>85</v>
      </c>
      <c r="Z34" s="361" t="str">
        <f>IF(Y34&gt;KKM!$G$10," sangat baik ",IF(Y34&gt;KKM!$H$10," baik ",IF(Y34&gt;=KKM!$I$10," cukup baik "," perlu bimbingan ")))</f>
        <v xml:space="preserve"> baik </v>
      </c>
      <c r="AA34" s="353" t="str">
        <f t="shared" si="5"/>
        <v>RIZKI baik  dalam memahami teks kawih tentang bangga sebagai bangsa Indonesia</v>
      </c>
      <c r="AB34" s="256"/>
      <c r="AC34" s="257" t="str">
        <f t="shared" si="2"/>
        <v xml:space="preserve"> baik  dalam memahami teks kawih tentang bangga sebagai bangsa Indonesia</v>
      </c>
      <c r="AD34" s="257" t="str">
        <f t="shared" si="3"/>
        <v xml:space="preserve"> baik  dalam memahami teks kawih tentang bangga sebagai bangsa Indonesia</v>
      </c>
      <c r="AE34" s="257" t="str">
        <f t="shared" si="6"/>
        <v xml:space="preserve"> baik  dalam memahami teks kawih tentang bangga sebagai bangsa Indonesia, dan  baik  dalam memahami teks kawih tentang bangga sebagai bangsa Indonesia</v>
      </c>
      <c r="AF34" s="257" t="str">
        <f t="shared" si="7"/>
        <v xml:space="preserve"> baik  dalam memahami teks kawih tentang bangga sebagai bangsa Indonesia</v>
      </c>
      <c r="AG34" s="258" t="str">
        <f t="shared" si="8"/>
        <v xml:space="preserve"> baik  dalam memahami teks kawih tentang bangga sebagai bangsa Indonesia</v>
      </c>
      <c r="AH34" s="252" t="str">
        <f t="shared" si="9"/>
        <v>RIZKI baik  dalam memahami teks kawih tentang bangga sebagai bangsa Indonesia</v>
      </c>
      <c r="AI34" s="139" t="e">
        <f>IF(#REF!=1,S$3," ")</f>
        <v>#REF!</v>
      </c>
      <c r="AJ34" s="139" t="e">
        <f>IF(#REF!=1,T$3," ")</f>
        <v>#REF!</v>
      </c>
      <c r="AK34" s="153"/>
      <c r="AU34" s="469">
        <f t="shared" si="10"/>
        <v>85</v>
      </c>
    </row>
    <row r="35" spans="2:47" ht="63" customHeight="1">
      <c r="B35" s="142">
        <v>31</v>
      </c>
      <c r="C35" s="143" t="str">
        <f>SISWA!B36</f>
        <v>1718250040335</v>
      </c>
      <c r="D35" s="144" t="str">
        <f>SISWA!E36</f>
        <v>SATRIA</v>
      </c>
      <c r="E35" s="159">
        <v>94</v>
      </c>
      <c r="F35" s="160">
        <v>94</v>
      </c>
      <c r="G35" s="160">
        <v>94</v>
      </c>
      <c r="H35" s="160"/>
      <c r="I35" s="160"/>
      <c r="J35" s="160"/>
      <c r="K35" s="160"/>
      <c r="L35" s="160"/>
      <c r="M35" s="160"/>
      <c r="N35" s="159"/>
      <c r="O35" s="159"/>
      <c r="P35" s="159"/>
      <c r="Q35" s="159"/>
      <c r="R35" s="160"/>
      <c r="S35" s="160"/>
      <c r="T35" s="159"/>
      <c r="U35" s="354">
        <f t="shared" si="4"/>
        <v>94</v>
      </c>
      <c r="V35" s="355" t="str">
        <f>IF(U35&gt;KKM!$G$10,"A",IF(U35&gt;KKM!$H$10,"B",IF(U35&gt;=KKM!$I$10,"C","D")))</f>
        <v>A</v>
      </c>
      <c r="W35" s="356">
        <f t="shared" si="0"/>
        <v>94</v>
      </c>
      <c r="X35" s="361" t="str">
        <f>IF(W35&gt;KKM!$G$10," sangat baik ",IF(W35&gt;KKM!$H$10," baik ",IF(W35&gt;=KKM!$I$10," cukup baik "," perlu bimbingan ")))</f>
        <v xml:space="preserve"> sangat baik </v>
      </c>
      <c r="Y35" s="357">
        <f t="shared" si="1"/>
        <v>94</v>
      </c>
      <c r="Z35" s="361" t="str">
        <f>IF(Y35&gt;KKM!$G$10," sangat baik ",IF(Y35&gt;KKM!$H$10," baik ",IF(Y35&gt;=KKM!$I$10," cukup baik "," perlu bimbingan ")))</f>
        <v xml:space="preserve"> sangat baik </v>
      </c>
      <c r="AA35" s="353" t="str">
        <f t="shared" si="5"/>
        <v>SATRIA sangat baik  dalam memahami teks kawih tentang bangga sebagai bangsa Indonesia</v>
      </c>
      <c r="AB35" s="256"/>
      <c r="AC35" s="257" t="str">
        <f t="shared" si="2"/>
        <v xml:space="preserve"> sangat baik  dalam memahami teks kawih tentang bangga sebagai bangsa Indonesia</v>
      </c>
      <c r="AD35" s="257" t="str">
        <f t="shared" si="3"/>
        <v xml:space="preserve"> sangat baik  dalam memahami teks kawih tentang bangga sebagai bangsa Indonesia</v>
      </c>
      <c r="AE35" s="257" t="str">
        <f t="shared" si="6"/>
        <v xml:space="preserve"> sangat baik  dalam memahami teks kawih tentang bangga sebagai bangsa Indonesia, dan  sangat baik  dalam memahami teks kawih tentang bangga sebagai bangsa Indonesia</v>
      </c>
      <c r="AF35" s="257" t="str">
        <f t="shared" si="7"/>
        <v xml:space="preserve"> sangat baik  dalam memahami teks kawih tentang bangga sebagai bangsa Indonesia</v>
      </c>
      <c r="AG35" s="258" t="str">
        <f t="shared" si="8"/>
        <v xml:space="preserve"> sangat baik  dalam memahami teks kawih tentang bangga sebagai bangsa Indonesia</v>
      </c>
      <c r="AH35" s="252" t="str">
        <f t="shared" si="9"/>
        <v>SATRIA sangat baik  dalam memahami teks kawih tentang bangga sebagai bangsa Indonesia</v>
      </c>
      <c r="AI35" s="139" t="e">
        <f>IF(#REF!=1,S$3," ")</f>
        <v>#REF!</v>
      </c>
      <c r="AJ35" s="139" t="e">
        <f>IF(#REF!=1,T$3," ")</f>
        <v>#REF!</v>
      </c>
      <c r="AK35" s="153"/>
      <c r="AU35" s="469">
        <f t="shared" si="10"/>
        <v>94</v>
      </c>
    </row>
    <row r="36" spans="2:47" ht="63" customHeight="1">
      <c r="B36" s="142">
        <v>32</v>
      </c>
      <c r="C36" s="143" t="str">
        <f>SISWA!B37</f>
        <v>1718250040336</v>
      </c>
      <c r="D36" s="144" t="str">
        <f>SISWA!E37</f>
        <v>NADIA</v>
      </c>
      <c r="E36" s="159">
        <v>94</v>
      </c>
      <c r="F36" s="160">
        <v>94</v>
      </c>
      <c r="G36" s="160">
        <v>94</v>
      </c>
      <c r="H36" s="160"/>
      <c r="I36" s="160"/>
      <c r="J36" s="160"/>
      <c r="K36" s="160"/>
      <c r="L36" s="160"/>
      <c r="M36" s="160"/>
      <c r="N36" s="159"/>
      <c r="O36" s="159"/>
      <c r="P36" s="159"/>
      <c r="Q36" s="159"/>
      <c r="R36" s="160"/>
      <c r="S36" s="160"/>
      <c r="T36" s="159"/>
      <c r="U36" s="354">
        <f t="shared" si="4"/>
        <v>94</v>
      </c>
      <c r="V36" s="355" t="str">
        <f>IF(U36&gt;KKM!$G$10,"A",IF(U36&gt;KKM!$H$10,"B",IF(U36&gt;=KKM!$I$10,"C","D")))</f>
        <v>A</v>
      </c>
      <c r="W36" s="356">
        <f t="shared" si="0"/>
        <v>94</v>
      </c>
      <c r="X36" s="361" t="str">
        <f>IF(W36&gt;KKM!$G$10," sangat baik ",IF(W36&gt;KKM!$H$10," baik ",IF(W36&gt;=KKM!$I$10," cukup baik "," perlu bimbingan ")))</f>
        <v xml:space="preserve"> sangat baik </v>
      </c>
      <c r="Y36" s="357">
        <f t="shared" si="1"/>
        <v>94</v>
      </c>
      <c r="Z36" s="361" t="str">
        <f>IF(Y36&gt;KKM!$G$10," sangat baik ",IF(Y36&gt;KKM!$H$10," baik ",IF(Y36&gt;=KKM!$I$10," cukup baik "," perlu bimbingan ")))</f>
        <v xml:space="preserve"> sangat baik </v>
      </c>
      <c r="AA36" s="353" t="str">
        <f t="shared" si="5"/>
        <v>NADIA sangat baik  dalam memahami teks kawih tentang bangga sebagai bangsa Indonesia</v>
      </c>
      <c r="AB36" s="256"/>
      <c r="AC36" s="257" t="str">
        <f t="shared" si="2"/>
        <v xml:space="preserve"> sangat baik  dalam memahami teks kawih tentang bangga sebagai bangsa Indonesia</v>
      </c>
      <c r="AD36" s="257" t="str">
        <f t="shared" si="3"/>
        <v xml:space="preserve"> sangat baik  dalam memahami teks kawih tentang bangga sebagai bangsa Indonesia</v>
      </c>
      <c r="AE36" s="257" t="str">
        <f t="shared" si="6"/>
        <v xml:space="preserve"> sangat baik  dalam memahami teks kawih tentang bangga sebagai bangsa Indonesia, dan  sangat baik  dalam memahami teks kawih tentang bangga sebagai bangsa Indonesia</v>
      </c>
      <c r="AF36" s="257" t="str">
        <f t="shared" si="7"/>
        <v xml:space="preserve"> sangat baik  dalam memahami teks kawih tentang bangga sebagai bangsa Indonesia</v>
      </c>
      <c r="AG36" s="258" t="str">
        <f t="shared" si="8"/>
        <v xml:space="preserve"> sangat baik  dalam memahami teks kawih tentang bangga sebagai bangsa Indonesia</v>
      </c>
      <c r="AH36" s="252" t="str">
        <f t="shared" si="9"/>
        <v>NADIA sangat baik  dalam memahami teks kawih tentang bangga sebagai bangsa Indonesia</v>
      </c>
      <c r="AI36" s="139" t="e">
        <f>IF(#REF!=1,S$3," ")</f>
        <v>#REF!</v>
      </c>
      <c r="AJ36" s="139" t="e">
        <f>IF(#REF!=1,T$3," ")</f>
        <v>#REF!</v>
      </c>
      <c r="AK36" s="153"/>
      <c r="AU36" s="469">
        <f t="shared" si="10"/>
        <v>94</v>
      </c>
    </row>
    <row r="37" spans="2:47" ht="63" customHeight="1">
      <c r="B37" s="142">
        <v>33</v>
      </c>
      <c r="C37" s="143" t="str">
        <f>SISWA!B38</f>
        <v>1718250040337</v>
      </c>
      <c r="D37" s="144" t="str">
        <f>SISWA!E38</f>
        <v>NAFILA</v>
      </c>
      <c r="E37" s="159">
        <v>80</v>
      </c>
      <c r="F37" s="160">
        <v>80</v>
      </c>
      <c r="G37" s="160">
        <v>80</v>
      </c>
      <c r="H37" s="160"/>
      <c r="I37" s="160"/>
      <c r="J37" s="160"/>
      <c r="K37" s="160"/>
      <c r="L37" s="160"/>
      <c r="M37" s="160"/>
      <c r="N37" s="159"/>
      <c r="O37" s="159"/>
      <c r="P37" s="159"/>
      <c r="Q37" s="159"/>
      <c r="R37" s="160"/>
      <c r="S37" s="160"/>
      <c r="T37" s="159"/>
      <c r="U37" s="354">
        <f t="shared" si="4"/>
        <v>80</v>
      </c>
      <c r="V37" s="355" t="str">
        <f>IF(U37&gt;KKM!$G$10,"A",IF(U37&gt;KKM!$H$10,"B",IF(U37&gt;=KKM!$I$10,"C","D")))</f>
        <v>B</v>
      </c>
      <c r="W37" s="356">
        <f t="shared" si="0"/>
        <v>80</v>
      </c>
      <c r="X37" s="361" t="str">
        <f>IF(W37&gt;KKM!$G$10," sangat baik ",IF(W37&gt;KKM!$H$10," baik ",IF(W37&gt;=KKM!$I$10," cukup baik "," perlu bimbingan ")))</f>
        <v xml:space="preserve"> baik </v>
      </c>
      <c r="Y37" s="357">
        <f t="shared" si="1"/>
        <v>80</v>
      </c>
      <c r="Z37" s="361" t="str">
        <f>IF(Y37&gt;KKM!$G$10," sangat baik ",IF(Y37&gt;KKM!$H$10," baik ",IF(Y37&gt;=KKM!$I$10," cukup baik "," perlu bimbingan ")))</f>
        <v xml:space="preserve"> baik </v>
      </c>
      <c r="AA37" s="353" t="str">
        <f t="shared" si="5"/>
        <v>NAFILA baik  dalam memahami teks kawih tentang bangga sebagai bangsa Indonesia</v>
      </c>
      <c r="AB37" s="256"/>
      <c r="AC37" s="257" t="str">
        <f t="shared" si="2"/>
        <v xml:space="preserve"> baik  dalam memahami teks kawih tentang bangga sebagai bangsa Indonesia</v>
      </c>
      <c r="AD37" s="257" t="str">
        <f t="shared" si="3"/>
        <v xml:space="preserve"> baik  dalam memahami teks kawih tentang bangga sebagai bangsa Indonesia</v>
      </c>
      <c r="AE37" s="257" t="str">
        <f t="shared" si="6"/>
        <v xml:space="preserve"> baik  dalam memahami teks kawih tentang bangga sebagai bangsa Indonesia, dan  baik  dalam memahami teks kawih tentang bangga sebagai bangsa Indonesia</v>
      </c>
      <c r="AF37" s="257" t="str">
        <f t="shared" si="7"/>
        <v xml:space="preserve"> baik  dalam memahami teks kawih tentang bangga sebagai bangsa Indonesia</v>
      </c>
      <c r="AG37" s="258" t="str">
        <f t="shared" si="8"/>
        <v xml:space="preserve"> baik  dalam memahami teks kawih tentang bangga sebagai bangsa Indonesia</v>
      </c>
      <c r="AH37" s="252" t="str">
        <f t="shared" si="9"/>
        <v>NAFILA baik  dalam memahami teks kawih tentang bangga sebagai bangsa Indonesia</v>
      </c>
      <c r="AI37" s="139" t="e">
        <f>IF(#REF!=1,S$3," ")</f>
        <v>#REF!</v>
      </c>
      <c r="AJ37" s="139" t="e">
        <f>IF(#REF!=1,T$3," ")</f>
        <v>#REF!</v>
      </c>
      <c r="AK37" s="153"/>
      <c r="AU37" s="469">
        <f t="shared" si="10"/>
        <v>80</v>
      </c>
    </row>
    <row r="38" spans="2:47" ht="63" customHeight="1">
      <c r="B38" s="142">
        <v>34</v>
      </c>
      <c r="C38" s="143" t="str">
        <f>SISWA!B39</f>
        <v>1718250040338</v>
      </c>
      <c r="D38" s="144" t="str">
        <f>SISWA!E39</f>
        <v>NAZZALA</v>
      </c>
      <c r="E38" s="159">
        <v>82</v>
      </c>
      <c r="F38" s="160">
        <v>82</v>
      </c>
      <c r="G38" s="160">
        <v>82</v>
      </c>
      <c r="H38" s="160"/>
      <c r="I38" s="160"/>
      <c r="J38" s="160"/>
      <c r="K38" s="160"/>
      <c r="L38" s="160"/>
      <c r="M38" s="160"/>
      <c r="N38" s="159"/>
      <c r="O38" s="159"/>
      <c r="P38" s="159"/>
      <c r="Q38" s="159"/>
      <c r="R38" s="160"/>
      <c r="S38" s="160"/>
      <c r="T38" s="159"/>
      <c r="U38" s="354">
        <f t="shared" si="4"/>
        <v>82</v>
      </c>
      <c r="V38" s="355" t="str">
        <f>IF(U38&gt;KKM!$G$10,"A",IF(U38&gt;KKM!$H$10,"B",IF(U38&gt;=KKM!$I$10,"C","D")))</f>
        <v>B</v>
      </c>
      <c r="W38" s="356">
        <f t="shared" si="0"/>
        <v>82</v>
      </c>
      <c r="X38" s="361" t="str">
        <f>IF(W38&gt;KKM!$G$10," sangat baik ",IF(W38&gt;KKM!$H$10," baik ",IF(W38&gt;=KKM!$I$10," cukup baik "," perlu bimbingan ")))</f>
        <v xml:space="preserve"> baik </v>
      </c>
      <c r="Y38" s="357">
        <f t="shared" si="1"/>
        <v>82</v>
      </c>
      <c r="Z38" s="361" t="str">
        <f>IF(Y38&gt;KKM!$G$10," sangat baik ",IF(Y38&gt;KKM!$H$10," baik ",IF(Y38&gt;=KKM!$I$10," cukup baik "," perlu bimbingan ")))</f>
        <v xml:space="preserve"> baik </v>
      </c>
      <c r="AA38" s="353" t="str">
        <f t="shared" si="5"/>
        <v>NAZZALA baik  dalam memahami teks kawih tentang bangga sebagai bangsa Indonesia</v>
      </c>
      <c r="AB38" s="256"/>
      <c r="AC38" s="257" t="str">
        <f t="shared" si="2"/>
        <v xml:space="preserve"> baik  dalam memahami teks kawih tentang bangga sebagai bangsa Indonesia</v>
      </c>
      <c r="AD38" s="257" t="str">
        <f t="shared" si="3"/>
        <v xml:space="preserve"> baik  dalam memahami teks kawih tentang bangga sebagai bangsa Indonesia</v>
      </c>
      <c r="AE38" s="257" t="str">
        <f t="shared" si="6"/>
        <v xml:space="preserve"> baik  dalam memahami teks kawih tentang bangga sebagai bangsa Indonesia, dan  baik  dalam memahami teks kawih tentang bangga sebagai bangsa Indonesia</v>
      </c>
      <c r="AF38" s="257" t="str">
        <f t="shared" si="7"/>
        <v xml:space="preserve"> baik  dalam memahami teks kawih tentang bangga sebagai bangsa Indonesia</v>
      </c>
      <c r="AG38" s="258" t="str">
        <f t="shared" si="8"/>
        <v xml:space="preserve"> baik  dalam memahami teks kawih tentang bangga sebagai bangsa Indonesia</v>
      </c>
      <c r="AH38" s="252" t="str">
        <f t="shared" si="9"/>
        <v>NAZZALA baik  dalam memahami teks kawih tentang bangga sebagai bangsa Indonesia</v>
      </c>
      <c r="AI38" s="139" t="e">
        <f>IF(#REF!=1,S$3," ")</f>
        <v>#REF!</v>
      </c>
      <c r="AJ38" s="139" t="e">
        <f>IF(#REF!=1,T$3," ")</f>
        <v>#REF!</v>
      </c>
      <c r="AK38" s="153"/>
      <c r="AU38" s="469">
        <f t="shared" si="10"/>
        <v>82</v>
      </c>
    </row>
    <row r="39" spans="2:47" ht="63" customHeight="1">
      <c r="B39" s="142">
        <v>35</v>
      </c>
      <c r="C39" s="143" t="str">
        <f>SISWA!B40</f>
        <v>1718250040339</v>
      </c>
      <c r="D39" s="144" t="str">
        <f>SISWA!E40</f>
        <v>RAFAREL</v>
      </c>
      <c r="E39" s="159">
        <v>85</v>
      </c>
      <c r="F39" s="160">
        <v>85</v>
      </c>
      <c r="G39" s="160">
        <v>85</v>
      </c>
      <c r="H39" s="160"/>
      <c r="I39" s="160"/>
      <c r="J39" s="160"/>
      <c r="K39" s="160"/>
      <c r="L39" s="160"/>
      <c r="M39" s="160"/>
      <c r="N39" s="159"/>
      <c r="O39" s="159"/>
      <c r="P39" s="159"/>
      <c r="Q39" s="159"/>
      <c r="R39" s="160"/>
      <c r="S39" s="160"/>
      <c r="T39" s="159"/>
      <c r="U39" s="354">
        <f t="shared" si="4"/>
        <v>85</v>
      </c>
      <c r="V39" s="355" t="str">
        <f>IF(U39&gt;KKM!$G$10,"A",IF(U39&gt;KKM!$H$10,"B",IF(U39&gt;=KKM!$I$10,"C","D")))</f>
        <v>B</v>
      </c>
      <c r="W39" s="356">
        <f t="shared" si="0"/>
        <v>85</v>
      </c>
      <c r="X39" s="361" t="str">
        <f>IF(W39&gt;KKM!$G$10," sangat baik ",IF(W39&gt;KKM!$H$10," baik ",IF(W39&gt;=KKM!$I$10," cukup baik "," perlu bimbingan ")))</f>
        <v xml:space="preserve"> baik </v>
      </c>
      <c r="Y39" s="357">
        <f t="shared" si="1"/>
        <v>85</v>
      </c>
      <c r="Z39" s="361" t="str">
        <f>IF(Y39&gt;KKM!$G$10," sangat baik ",IF(Y39&gt;KKM!$H$10," baik ",IF(Y39&gt;=KKM!$I$10," cukup baik "," perlu bimbingan ")))</f>
        <v xml:space="preserve"> baik </v>
      </c>
      <c r="AA39" s="353" t="str">
        <f t="shared" si="5"/>
        <v>RAFAREL baik  dalam memahami teks kawih tentang bangga sebagai bangsa Indonesia</v>
      </c>
      <c r="AB39" s="256"/>
      <c r="AC39" s="257" t="str">
        <f t="shared" si="2"/>
        <v xml:space="preserve"> baik  dalam memahami teks kawih tentang bangga sebagai bangsa Indonesia</v>
      </c>
      <c r="AD39" s="257" t="str">
        <f t="shared" si="3"/>
        <v xml:space="preserve"> baik  dalam memahami teks kawih tentang bangga sebagai bangsa Indonesia</v>
      </c>
      <c r="AE39" s="257" t="str">
        <f t="shared" si="6"/>
        <v xml:space="preserve"> baik  dalam memahami teks kawih tentang bangga sebagai bangsa Indonesia, dan  baik  dalam memahami teks kawih tentang bangga sebagai bangsa Indonesia</v>
      </c>
      <c r="AF39" s="257" t="str">
        <f t="shared" si="7"/>
        <v xml:space="preserve"> baik  dalam memahami teks kawih tentang bangga sebagai bangsa Indonesia</v>
      </c>
      <c r="AG39" s="258" t="str">
        <f t="shared" si="8"/>
        <v xml:space="preserve"> baik  dalam memahami teks kawih tentang bangga sebagai bangsa Indonesia</v>
      </c>
      <c r="AH39" s="252" t="str">
        <f t="shared" si="9"/>
        <v>RAFAREL baik  dalam memahami teks kawih tentang bangga sebagai bangsa Indonesia</v>
      </c>
      <c r="AI39" s="139" t="e">
        <f>IF(#REF!=1,S$3," ")</f>
        <v>#REF!</v>
      </c>
      <c r="AJ39" s="139" t="e">
        <f>IF(#REF!=1,T$3," ")</f>
        <v>#REF!</v>
      </c>
      <c r="AK39" s="153"/>
      <c r="AU39" s="469">
        <f t="shared" si="10"/>
        <v>85</v>
      </c>
    </row>
    <row r="40" spans="2:47" ht="63" customHeight="1">
      <c r="B40" s="142">
        <v>36</v>
      </c>
      <c r="C40" s="143" t="str">
        <f>SISWA!B41</f>
        <v>1718250040340</v>
      </c>
      <c r="D40" s="144" t="str">
        <f>SISWA!E41</f>
        <v>RAKHA</v>
      </c>
      <c r="E40" s="159">
        <v>82</v>
      </c>
      <c r="F40" s="160">
        <v>82</v>
      </c>
      <c r="G40" s="160">
        <v>82</v>
      </c>
      <c r="H40" s="160"/>
      <c r="I40" s="160"/>
      <c r="J40" s="160"/>
      <c r="K40" s="160"/>
      <c r="L40" s="160"/>
      <c r="M40" s="160"/>
      <c r="N40" s="159"/>
      <c r="O40" s="159"/>
      <c r="P40" s="159"/>
      <c r="Q40" s="159"/>
      <c r="R40" s="160"/>
      <c r="S40" s="160"/>
      <c r="T40" s="159"/>
      <c r="U40" s="354">
        <f t="shared" si="4"/>
        <v>82</v>
      </c>
      <c r="V40" s="355" t="str">
        <f>IF(U40&gt;KKM!$G$10,"A",IF(U40&gt;KKM!$H$10,"B",IF(U40&gt;=KKM!$I$10,"C","D")))</f>
        <v>B</v>
      </c>
      <c r="W40" s="356">
        <f t="shared" si="0"/>
        <v>82</v>
      </c>
      <c r="X40" s="361" t="str">
        <f>IF(W40&gt;KKM!$G$10," sangat baik ",IF(W40&gt;KKM!$H$10," baik ",IF(W40&gt;=KKM!$I$10," cukup baik "," perlu bimbingan ")))</f>
        <v xml:space="preserve"> baik </v>
      </c>
      <c r="Y40" s="357">
        <f t="shared" si="1"/>
        <v>82</v>
      </c>
      <c r="Z40" s="361" t="str">
        <f>IF(Y40&gt;KKM!$G$10," sangat baik ",IF(Y40&gt;KKM!$H$10," baik ",IF(Y40&gt;=KKM!$I$10," cukup baik "," perlu bimbingan ")))</f>
        <v xml:space="preserve"> baik </v>
      </c>
      <c r="AA40" s="353" t="str">
        <f t="shared" si="5"/>
        <v>RAKHA baik  dalam memahami teks kawih tentang bangga sebagai bangsa Indonesia</v>
      </c>
      <c r="AB40" s="256"/>
      <c r="AC40" s="257" t="str">
        <f t="shared" si="2"/>
        <v xml:space="preserve"> baik  dalam memahami teks kawih tentang bangga sebagai bangsa Indonesia</v>
      </c>
      <c r="AD40" s="257" t="str">
        <f t="shared" si="3"/>
        <v xml:space="preserve"> baik  dalam memahami teks kawih tentang bangga sebagai bangsa Indonesia</v>
      </c>
      <c r="AE40" s="257" t="str">
        <f t="shared" si="6"/>
        <v xml:space="preserve"> baik  dalam memahami teks kawih tentang bangga sebagai bangsa Indonesia, dan  baik  dalam memahami teks kawih tentang bangga sebagai bangsa Indonesia</v>
      </c>
      <c r="AF40" s="257" t="str">
        <f t="shared" si="7"/>
        <v xml:space="preserve"> baik  dalam memahami teks kawih tentang bangga sebagai bangsa Indonesia</v>
      </c>
      <c r="AG40" s="258" t="str">
        <f t="shared" si="8"/>
        <v xml:space="preserve"> baik  dalam memahami teks kawih tentang bangga sebagai bangsa Indonesia</v>
      </c>
      <c r="AH40" s="252" t="str">
        <f t="shared" si="9"/>
        <v>RAKHA baik  dalam memahami teks kawih tentang bangga sebagai bangsa Indonesia</v>
      </c>
      <c r="AI40" s="139" t="e">
        <f>IF(#REF!=1,S$3," ")</f>
        <v>#REF!</v>
      </c>
      <c r="AJ40" s="139" t="e">
        <f>IF(#REF!=1,T$3," ")</f>
        <v>#REF!</v>
      </c>
      <c r="AK40" s="153"/>
      <c r="AU40" s="469">
        <f t="shared" si="10"/>
        <v>82</v>
      </c>
    </row>
    <row r="41" spans="2:47" ht="63" customHeight="1">
      <c r="B41" s="142">
        <v>37</v>
      </c>
      <c r="C41" s="143" t="str">
        <f>SISWA!B42</f>
        <v>1718250040341</v>
      </c>
      <c r="D41" s="144" t="str">
        <f>SISWA!E42</f>
        <v>RYU</v>
      </c>
      <c r="E41" s="159">
        <v>65</v>
      </c>
      <c r="F41" s="160">
        <v>65</v>
      </c>
      <c r="G41" s="160">
        <v>65</v>
      </c>
      <c r="H41" s="160"/>
      <c r="I41" s="160"/>
      <c r="J41" s="160"/>
      <c r="K41" s="160"/>
      <c r="L41" s="160"/>
      <c r="M41" s="160"/>
      <c r="N41" s="159"/>
      <c r="O41" s="159"/>
      <c r="P41" s="159"/>
      <c r="Q41" s="159"/>
      <c r="R41" s="160"/>
      <c r="S41" s="160"/>
      <c r="T41" s="159"/>
      <c r="U41" s="354">
        <f t="shared" si="4"/>
        <v>65</v>
      </c>
      <c r="V41" s="355" t="str">
        <f>IF(U41&gt;KKM!$G$10,"A",IF(U41&gt;KKM!$H$10,"B",IF(U41&gt;=KKM!$I$10,"C","D")))</f>
        <v>C</v>
      </c>
      <c r="W41" s="356">
        <f t="shared" si="0"/>
        <v>65</v>
      </c>
      <c r="X41" s="361" t="str">
        <f>IF(W41&gt;KKM!$G$10," sangat baik ",IF(W41&gt;KKM!$H$10," baik ",IF(W41&gt;=KKM!$I$10," cukup baik "," perlu bimbingan ")))</f>
        <v xml:space="preserve"> cukup baik </v>
      </c>
      <c r="Y41" s="357">
        <f t="shared" si="1"/>
        <v>65</v>
      </c>
      <c r="Z41" s="361" t="str">
        <f>IF(Y41&gt;KKM!$G$10," sangat baik ",IF(Y41&gt;KKM!$H$10," baik ",IF(Y41&gt;=KKM!$I$10," cukup baik "," perlu bimbingan ")))</f>
        <v xml:space="preserve"> cukup baik </v>
      </c>
      <c r="AA41" s="353" t="str">
        <f t="shared" si="5"/>
        <v>RYU cukup baik  dalam memahami teks kawih tentang bangga sebagai bangsa Indonesia</v>
      </c>
      <c r="AB41" s="256"/>
      <c r="AC41" s="257" t="str">
        <f t="shared" si="2"/>
        <v xml:space="preserve"> cukup baik  dalam memahami teks kawih tentang bangga sebagai bangsa Indonesia</v>
      </c>
      <c r="AD41" s="257" t="str">
        <f t="shared" si="3"/>
        <v xml:space="preserve"> cukup baik  dalam memahami teks kawih tentang bangga sebagai bangsa Indonesia</v>
      </c>
      <c r="AE41" s="257" t="str">
        <f t="shared" si="6"/>
        <v xml:space="preserve"> cukup baik  dalam memahami teks kawih tentang bangga sebagai bangsa Indonesia, dan  cukup baik  dalam memahami teks kawih tentang bangga sebagai bangsa Indonesia</v>
      </c>
      <c r="AF41" s="257" t="str">
        <f t="shared" si="7"/>
        <v xml:space="preserve"> cukup baik  dalam memahami teks kawih tentang bangga sebagai bangsa Indonesia</v>
      </c>
      <c r="AG41" s="258" t="str">
        <f t="shared" si="8"/>
        <v xml:space="preserve"> cukup baik  dalam memahami teks kawih tentang bangga sebagai bangsa Indonesia</v>
      </c>
      <c r="AH41" s="252" t="str">
        <f t="shared" si="9"/>
        <v>RYU cukup baik  dalam memahami teks kawih tentang bangga sebagai bangsa Indonesia</v>
      </c>
      <c r="AI41" s="139" t="e">
        <f>IF(#REF!=1,S$3," ")</f>
        <v>#REF!</v>
      </c>
      <c r="AJ41" s="139" t="e">
        <f>IF(#REF!=1,T$3," ")</f>
        <v>#REF!</v>
      </c>
      <c r="AK41" s="153"/>
      <c r="AU41" s="469">
        <f t="shared" si="10"/>
        <v>65</v>
      </c>
    </row>
    <row r="42" spans="2:47" ht="63" customHeight="1">
      <c r="B42" s="142">
        <v>38</v>
      </c>
      <c r="C42" s="143" t="str">
        <f>SISWA!B43</f>
        <v>1718250040342</v>
      </c>
      <c r="D42" s="144" t="str">
        <f>SISWA!E43</f>
        <v>SAEPUL</v>
      </c>
      <c r="E42" s="159">
        <v>71</v>
      </c>
      <c r="F42" s="160">
        <v>71</v>
      </c>
      <c r="G42" s="160">
        <v>71</v>
      </c>
      <c r="H42" s="160"/>
      <c r="I42" s="160"/>
      <c r="J42" s="160"/>
      <c r="K42" s="160"/>
      <c r="L42" s="160"/>
      <c r="M42" s="160"/>
      <c r="N42" s="159"/>
      <c r="O42" s="159"/>
      <c r="P42" s="159"/>
      <c r="Q42" s="159"/>
      <c r="R42" s="160"/>
      <c r="S42" s="160"/>
      <c r="T42" s="159"/>
      <c r="U42" s="354">
        <f t="shared" si="4"/>
        <v>71</v>
      </c>
      <c r="V42" s="355" t="str">
        <f>IF(U42&gt;KKM!$G$10,"A",IF(U42&gt;KKM!$H$10,"B",IF(U42&gt;=KKM!$I$10,"C","D")))</f>
        <v>C</v>
      </c>
      <c r="W42" s="356">
        <f t="shared" si="0"/>
        <v>71</v>
      </c>
      <c r="X42" s="361" t="str">
        <f>IF(W42&gt;KKM!$G$10," sangat baik ",IF(W42&gt;KKM!$H$10," baik ",IF(W42&gt;=KKM!$I$10," cukup baik "," perlu bimbingan ")))</f>
        <v xml:space="preserve"> cukup baik </v>
      </c>
      <c r="Y42" s="357">
        <f t="shared" si="1"/>
        <v>71</v>
      </c>
      <c r="Z42" s="361" t="str">
        <f>IF(Y42&gt;KKM!$G$10," sangat baik ",IF(Y42&gt;KKM!$H$10," baik ",IF(Y42&gt;=KKM!$I$10," cukup baik "," perlu bimbingan ")))</f>
        <v xml:space="preserve"> cukup baik </v>
      </c>
      <c r="AA42" s="353" t="str">
        <f t="shared" si="5"/>
        <v>SAEPUL cukup baik  dalam memahami teks kawih tentang bangga sebagai bangsa Indonesia</v>
      </c>
      <c r="AB42" s="256"/>
      <c r="AC42" s="257" t="str">
        <f t="shared" si="2"/>
        <v xml:space="preserve"> cukup baik  dalam memahami teks kawih tentang bangga sebagai bangsa Indonesia</v>
      </c>
      <c r="AD42" s="257" t="str">
        <f t="shared" si="3"/>
        <v xml:space="preserve"> cukup baik  dalam memahami teks kawih tentang bangga sebagai bangsa Indonesia</v>
      </c>
      <c r="AE42" s="257" t="str">
        <f t="shared" si="6"/>
        <v xml:space="preserve"> cukup baik  dalam memahami teks kawih tentang bangga sebagai bangsa Indonesia, dan  cukup baik  dalam memahami teks kawih tentang bangga sebagai bangsa Indonesia</v>
      </c>
      <c r="AF42" s="257" t="str">
        <f t="shared" si="7"/>
        <v xml:space="preserve"> cukup baik  dalam memahami teks kawih tentang bangga sebagai bangsa Indonesia</v>
      </c>
      <c r="AG42" s="258" t="str">
        <f t="shared" si="8"/>
        <v xml:space="preserve"> cukup baik  dalam memahami teks kawih tentang bangga sebagai bangsa Indonesia</v>
      </c>
      <c r="AH42" s="252" t="str">
        <f t="shared" si="9"/>
        <v>SAEPUL cukup baik  dalam memahami teks kawih tentang bangga sebagai bangsa Indonesia</v>
      </c>
      <c r="AI42" s="139" t="e">
        <f>IF(#REF!=1,S$3," ")</f>
        <v>#REF!</v>
      </c>
      <c r="AJ42" s="139" t="e">
        <f>IF(#REF!=1,T$3," ")</f>
        <v>#REF!</v>
      </c>
      <c r="AK42" s="153"/>
      <c r="AU42" s="469">
        <f t="shared" si="10"/>
        <v>71</v>
      </c>
    </row>
    <row r="43" spans="2:47" ht="63" customHeight="1">
      <c r="B43" s="142">
        <v>39</v>
      </c>
      <c r="C43" s="143" t="str">
        <f>SISWA!B44</f>
        <v>1718250040343</v>
      </c>
      <c r="D43" s="144" t="str">
        <f>SISWA!E44</f>
        <v>SALMA</v>
      </c>
      <c r="E43" s="159">
        <v>71</v>
      </c>
      <c r="F43" s="160">
        <v>71</v>
      </c>
      <c r="G43" s="160">
        <v>71</v>
      </c>
      <c r="H43" s="160"/>
      <c r="I43" s="160"/>
      <c r="J43" s="160"/>
      <c r="K43" s="160"/>
      <c r="L43" s="160"/>
      <c r="M43" s="160"/>
      <c r="N43" s="159"/>
      <c r="O43" s="159"/>
      <c r="P43" s="159"/>
      <c r="Q43" s="159"/>
      <c r="R43" s="160"/>
      <c r="S43" s="160"/>
      <c r="T43" s="159"/>
      <c r="U43" s="354">
        <f t="shared" si="4"/>
        <v>71</v>
      </c>
      <c r="V43" s="355" t="str">
        <f>IF(U43&gt;KKM!$G$10,"A",IF(U43&gt;KKM!$H$10,"B",IF(U43&gt;=KKM!$I$10,"C","D")))</f>
        <v>C</v>
      </c>
      <c r="W43" s="356">
        <f t="shared" si="0"/>
        <v>71</v>
      </c>
      <c r="X43" s="361" t="str">
        <f>IF(W43&gt;KKM!$G$10," sangat baik ",IF(W43&gt;KKM!$H$10," baik ",IF(W43&gt;=KKM!$I$10," cukup baik "," perlu bimbingan ")))</f>
        <v xml:space="preserve"> cukup baik </v>
      </c>
      <c r="Y43" s="357">
        <f t="shared" si="1"/>
        <v>71</v>
      </c>
      <c r="Z43" s="361" t="str">
        <f>IF(Y43&gt;KKM!$G$10," sangat baik ",IF(Y43&gt;KKM!$H$10," baik ",IF(Y43&gt;=KKM!$I$10," cukup baik "," perlu bimbingan ")))</f>
        <v xml:space="preserve"> cukup baik </v>
      </c>
      <c r="AA43" s="353" t="str">
        <f t="shared" si="5"/>
        <v>SALMA cukup baik  dalam memahami teks kawih tentang bangga sebagai bangsa Indonesia</v>
      </c>
      <c r="AB43" s="256"/>
      <c r="AC43" s="257" t="str">
        <f t="shared" si="2"/>
        <v xml:space="preserve"> cukup baik  dalam memahami teks kawih tentang bangga sebagai bangsa Indonesia</v>
      </c>
      <c r="AD43" s="257" t="str">
        <f t="shared" si="3"/>
        <v xml:space="preserve"> cukup baik  dalam memahami teks kawih tentang bangga sebagai bangsa Indonesia</v>
      </c>
      <c r="AE43" s="257" t="str">
        <f t="shared" si="6"/>
        <v xml:space="preserve"> cukup baik  dalam memahami teks kawih tentang bangga sebagai bangsa Indonesia, dan  cukup baik  dalam memahami teks kawih tentang bangga sebagai bangsa Indonesia</v>
      </c>
      <c r="AF43" s="257" t="str">
        <f t="shared" si="7"/>
        <v xml:space="preserve"> cukup baik  dalam memahami teks kawih tentang bangga sebagai bangsa Indonesia</v>
      </c>
      <c r="AG43" s="258" t="str">
        <f t="shared" si="8"/>
        <v xml:space="preserve"> cukup baik  dalam memahami teks kawih tentang bangga sebagai bangsa Indonesia</v>
      </c>
      <c r="AH43" s="252" t="str">
        <f t="shared" si="9"/>
        <v>SALMA cukup baik  dalam memahami teks kawih tentang bangga sebagai bangsa Indonesia</v>
      </c>
      <c r="AI43" s="139" t="e">
        <f>IF(#REF!=1,S$3," ")</f>
        <v>#REF!</v>
      </c>
      <c r="AJ43" s="139" t="e">
        <f>IF(#REF!=1,T$3," ")</f>
        <v>#REF!</v>
      </c>
      <c r="AK43" s="153"/>
      <c r="AU43" s="469">
        <f t="shared" si="10"/>
        <v>71</v>
      </c>
    </row>
    <row r="44" spans="2:47" ht="63" customHeight="1">
      <c r="B44" s="142">
        <v>40</v>
      </c>
      <c r="C44" s="143" t="str">
        <f>SISWA!B45</f>
        <v>1718250040344</v>
      </c>
      <c r="D44" s="144" t="str">
        <f>SISWA!E45</f>
        <v>SYAKILA</v>
      </c>
      <c r="E44" s="159">
        <v>77</v>
      </c>
      <c r="F44" s="160">
        <v>77</v>
      </c>
      <c r="G44" s="160">
        <v>77</v>
      </c>
      <c r="H44" s="160"/>
      <c r="I44" s="160"/>
      <c r="J44" s="160"/>
      <c r="K44" s="160"/>
      <c r="L44" s="160"/>
      <c r="M44" s="160"/>
      <c r="N44" s="159"/>
      <c r="O44" s="159"/>
      <c r="P44" s="159"/>
      <c r="Q44" s="159"/>
      <c r="R44" s="160"/>
      <c r="S44" s="160"/>
      <c r="T44" s="159"/>
      <c r="U44" s="354">
        <f t="shared" si="4"/>
        <v>77</v>
      </c>
      <c r="V44" s="355" t="str">
        <f>IF(U44&gt;KKM!$G$10,"A",IF(U44&gt;KKM!$H$10,"B",IF(U44&gt;=KKM!$I$10,"C","D")))</f>
        <v>B</v>
      </c>
      <c r="W44" s="356">
        <f t="shared" si="0"/>
        <v>77</v>
      </c>
      <c r="X44" s="361" t="str">
        <f>IF(W44&gt;KKM!$G$10," sangat baik ",IF(W44&gt;KKM!$H$10," baik ",IF(W44&gt;=KKM!$I$10," cukup baik "," perlu bimbingan ")))</f>
        <v xml:space="preserve"> baik </v>
      </c>
      <c r="Y44" s="357">
        <f t="shared" si="1"/>
        <v>77</v>
      </c>
      <c r="Z44" s="361" t="str">
        <f>IF(Y44&gt;KKM!$G$10," sangat baik ",IF(Y44&gt;KKM!$H$10," baik ",IF(Y44&gt;=KKM!$I$10," cukup baik "," perlu bimbingan ")))</f>
        <v xml:space="preserve"> baik </v>
      </c>
      <c r="AA44" s="353" t="str">
        <f t="shared" si="5"/>
        <v>SYAKILA baik  dalam memahami teks kawih tentang bangga sebagai bangsa Indonesia</v>
      </c>
      <c r="AB44" s="256"/>
      <c r="AC44" s="257" t="str">
        <f t="shared" si="2"/>
        <v xml:space="preserve"> baik  dalam memahami teks kawih tentang bangga sebagai bangsa Indonesia</v>
      </c>
      <c r="AD44" s="257" t="str">
        <f t="shared" si="3"/>
        <v xml:space="preserve"> baik  dalam memahami teks kawih tentang bangga sebagai bangsa Indonesia</v>
      </c>
      <c r="AE44" s="257" t="str">
        <f t="shared" si="6"/>
        <v xml:space="preserve"> baik  dalam memahami teks kawih tentang bangga sebagai bangsa Indonesia, dan  baik  dalam memahami teks kawih tentang bangga sebagai bangsa Indonesia</v>
      </c>
      <c r="AF44" s="257" t="str">
        <f t="shared" si="7"/>
        <v xml:space="preserve"> baik  dalam memahami teks kawih tentang bangga sebagai bangsa Indonesia</v>
      </c>
      <c r="AG44" s="258" t="str">
        <f t="shared" si="8"/>
        <v xml:space="preserve"> baik  dalam memahami teks kawih tentang bangga sebagai bangsa Indonesia</v>
      </c>
      <c r="AH44" s="252" t="str">
        <f t="shared" si="9"/>
        <v>SYAKILA baik  dalam memahami teks kawih tentang bangga sebagai bangsa Indonesia</v>
      </c>
      <c r="AI44" s="139" t="e">
        <f>IF(#REF!=1,S$3," ")</f>
        <v>#REF!</v>
      </c>
      <c r="AJ44" s="139" t="e">
        <f>IF(#REF!=1,T$3," ")</f>
        <v>#REF!</v>
      </c>
      <c r="AK44" s="153"/>
      <c r="AU44" s="469">
        <f t="shared" si="10"/>
        <v>77</v>
      </c>
    </row>
    <row r="45" spans="2:47" ht="63" customHeight="1">
      <c r="B45" s="142">
        <v>41</v>
      </c>
      <c r="C45" s="143" t="str">
        <f>SISWA!B46</f>
        <v>1718250040345</v>
      </c>
      <c r="D45" s="144" t="str">
        <f>SISWA!E46</f>
        <v>SYIFA</v>
      </c>
      <c r="E45" s="159">
        <v>85</v>
      </c>
      <c r="F45" s="160">
        <v>85</v>
      </c>
      <c r="G45" s="160">
        <v>85</v>
      </c>
      <c r="H45" s="160"/>
      <c r="I45" s="160"/>
      <c r="J45" s="160"/>
      <c r="K45" s="160"/>
      <c r="L45" s="160"/>
      <c r="M45" s="160"/>
      <c r="N45" s="159"/>
      <c r="O45" s="159"/>
      <c r="P45" s="159"/>
      <c r="Q45" s="159"/>
      <c r="R45" s="160"/>
      <c r="S45" s="160"/>
      <c r="T45" s="159"/>
      <c r="U45" s="354">
        <f t="shared" si="4"/>
        <v>85</v>
      </c>
      <c r="V45" s="355" t="str">
        <f>IF(U45&gt;KKM!$G$10,"A",IF(U45&gt;KKM!$H$10,"B",IF(U45&gt;=KKM!$I$10,"C","D")))</f>
        <v>B</v>
      </c>
      <c r="W45" s="356">
        <f t="shared" si="0"/>
        <v>85</v>
      </c>
      <c r="X45" s="361" t="str">
        <f>IF(W45&gt;KKM!$G$10," sangat baik ",IF(W45&gt;KKM!$H$10," baik ",IF(W45&gt;=KKM!$I$10," cukup baik "," perlu bimbingan ")))</f>
        <v xml:space="preserve"> baik </v>
      </c>
      <c r="Y45" s="357">
        <f t="shared" si="1"/>
        <v>85</v>
      </c>
      <c r="Z45" s="361" t="str">
        <f>IF(Y45&gt;KKM!$G$10," sangat baik ",IF(Y45&gt;KKM!$H$10," baik ",IF(Y45&gt;=KKM!$I$10," cukup baik "," perlu bimbingan ")))</f>
        <v xml:space="preserve"> baik </v>
      </c>
      <c r="AA45" s="353" t="str">
        <f t="shared" si="5"/>
        <v>SYIFA baik  dalam memahami teks kawih tentang bangga sebagai bangsa Indonesia</v>
      </c>
      <c r="AB45" s="256"/>
      <c r="AC45" s="257" t="str">
        <f t="shared" si="2"/>
        <v xml:space="preserve"> baik  dalam memahami teks kawih tentang bangga sebagai bangsa Indonesia</v>
      </c>
      <c r="AD45" s="257" t="str">
        <f t="shared" si="3"/>
        <v xml:space="preserve"> baik  dalam memahami teks kawih tentang bangga sebagai bangsa Indonesia</v>
      </c>
      <c r="AE45" s="257" t="str">
        <f t="shared" si="6"/>
        <v xml:space="preserve"> baik  dalam memahami teks kawih tentang bangga sebagai bangsa Indonesia, dan  baik  dalam memahami teks kawih tentang bangga sebagai bangsa Indonesia</v>
      </c>
      <c r="AF45" s="257" t="str">
        <f t="shared" si="7"/>
        <v xml:space="preserve"> baik  dalam memahami teks kawih tentang bangga sebagai bangsa Indonesia</v>
      </c>
      <c r="AG45" s="258" t="str">
        <f t="shared" si="8"/>
        <v xml:space="preserve"> baik  dalam memahami teks kawih tentang bangga sebagai bangsa Indonesia</v>
      </c>
      <c r="AH45" s="252" t="str">
        <f t="shared" si="9"/>
        <v>SYIFA baik  dalam memahami teks kawih tentang bangga sebagai bangsa Indonesia</v>
      </c>
      <c r="AI45" s="139" t="e">
        <f>IF(#REF!=1,S$3," ")</f>
        <v>#REF!</v>
      </c>
      <c r="AJ45" s="139" t="e">
        <f>IF(#REF!=1,T$3," ")</f>
        <v>#REF!</v>
      </c>
      <c r="AK45" s="153"/>
      <c r="AU45" s="469">
        <f t="shared" si="10"/>
        <v>85</v>
      </c>
    </row>
    <row r="46" spans="2:47" ht="63" customHeight="1">
      <c r="B46" s="142">
        <v>42</v>
      </c>
      <c r="C46" s="143" t="str">
        <f>SISWA!B47</f>
        <v>1718250040346</v>
      </c>
      <c r="D46" s="144" t="str">
        <f>SISWA!E47</f>
        <v>WAFDAN</v>
      </c>
      <c r="E46" s="159">
        <v>94</v>
      </c>
      <c r="F46" s="160">
        <v>94</v>
      </c>
      <c r="G46" s="160">
        <v>94</v>
      </c>
      <c r="H46" s="160"/>
      <c r="I46" s="160"/>
      <c r="J46" s="160"/>
      <c r="K46" s="160"/>
      <c r="L46" s="160"/>
      <c r="M46" s="160"/>
      <c r="N46" s="159"/>
      <c r="O46" s="159"/>
      <c r="P46" s="159"/>
      <c r="Q46" s="159"/>
      <c r="R46" s="160"/>
      <c r="S46" s="160"/>
      <c r="T46" s="159"/>
      <c r="U46" s="354">
        <f t="shared" si="4"/>
        <v>94</v>
      </c>
      <c r="V46" s="355" t="str">
        <f>IF(U46&gt;KKM!$G$10,"A",IF(U46&gt;KKM!$H$10,"B",IF(U46&gt;=KKM!$I$10,"C","D")))</f>
        <v>A</v>
      </c>
      <c r="W46" s="356">
        <f t="shared" si="0"/>
        <v>94</v>
      </c>
      <c r="X46" s="361" t="str">
        <f>IF(W46&gt;KKM!$G$10," sangat baik ",IF(W46&gt;KKM!$H$10," baik ",IF(W46&gt;=KKM!$I$10," cukup baik "," perlu bimbingan ")))</f>
        <v xml:space="preserve"> sangat baik </v>
      </c>
      <c r="Y46" s="357">
        <f t="shared" si="1"/>
        <v>94</v>
      </c>
      <c r="Z46" s="361" t="str">
        <f>IF(Y46&gt;KKM!$G$10," sangat baik ",IF(Y46&gt;KKM!$H$10," baik ",IF(Y46&gt;=KKM!$I$10," cukup baik "," perlu bimbingan ")))</f>
        <v xml:space="preserve"> sangat baik </v>
      </c>
      <c r="AA46" s="353" t="str">
        <f t="shared" si="5"/>
        <v>WAFDAN sangat baik  dalam memahami teks kawih tentang bangga sebagai bangsa Indonesia</v>
      </c>
      <c r="AB46" s="256"/>
      <c r="AC46" s="257" t="str">
        <f t="shared" si="2"/>
        <v xml:space="preserve"> sangat baik  dalam memahami teks kawih tentang bangga sebagai bangsa Indonesia</v>
      </c>
      <c r="AD46" s="257" t="str">
        <f t="shared" si="3"/>
        <v xml:space="preserve"> sangat baik  dalam memahami teks kawih tentang bangga sebagai bangsa Indonesia</v>
      </c>
      <c r="AE46" s="257" t="str">
        <f t="shared" si="6"/>
        <v xml:space="preserve"> sangat baik  dalam memahami teks kawih tentang bangga sebagai bangsa Indonesia, dan  sangat baik  dalam memahami teks kawih tentang bangga sebagai bangsa Indonesia</v>
      </c>
      <c r="AF46" s="257" t="str">
        <f t="shared" si="7"/>
        <v xml:space="preserve"> sangat baik  dalam memahami teks kawih tentang bangga sebagai bangsa Indonesia</v>
      </c>
      <c r="AG46" s="258" t="str">
        <f t="shared" si="8"/>
        <v xml:space="preserve"> sangat baik  dalam memahami teks kawih tentang bangga sebagai bangsa Indonesia</v>
      </c>
      <c r="AH46" s="252" t="str">
        <f t="shared" si="9"/>
        <v>WAFDAN sangat baik  dalam memahami teks kawih tentang bangga sebagai bangsa Indonesia</v>
      </c>
      <c r="AI46" s="139" t="e">
        <f>IF(#REF!=1,S$3," ")</f>
        <v>#REF!</v>
      </c>
      <c r="AJ46" s="139" t="e">
        <f>IF(#REF!=1,T$3," ")</f>
        <v>#REF!</v>
      </c>
      <c r="AK46" s="153"/>
      <c r="AU46" s="469">
        <f t="shared" si="10"/>
        <v>94</v>
      </c>
    </row>
    <row r="47" spans="2:47" ht="63" customHeight="1">
      <c r="B47" s="142">
        <v>43</v>
      </c>
      <c r="C47" s="143" t="str">
        <f>SISWA!B48</f>
        <v>1718250040347</v>
      </c>
      <c r="D47" s="144" t="str">
        <f>SISWA!E48</f>
        <v>ZEVA</v>
      </c>
      <c r="E47" s="159">
        <v>85</v>
      </c>
      <c r="F47" s="160">
        <v>85</v>
      </c>
      <c r="G47" s="160">
        <v>85</v>
      </c>
      <c r="H47" s="160"/>
      <c r="I47" s="160"/>
      <c r="J47" s="160"/>
      <c r="K47" s="160"/>
      <c r="L47" s="160"/>
      <c r="M47" s="160"/>
      <c r="N47" s="159"/>
      <c r="O47" s="159"/>
      <c r="P47" s="159"/>
      <c r="Q47" s="159"/>
      <c r="R47" s="160"/>
      <c r="S47" s="160"/>
      <c r="T47" s="159"/>
      <c r="U47" s="354">
        <f t="shared" si="4"/>
        <v>85</v>
      </c>
      <c r="V47" s="355" t="str">
        <f>IF(U47&gt;KKM!$G$10,"A",IF(U47&gt;KKM!$H$10,"B",IF(U47&gt;=KKM!$I$10,"C","D")))</f>
        <v>B</v>
      </c>
      <c r="W47" s="356">
        <f t="shared" si="0"/>
        <v>85</v>
      </c>
      <c r="X47" s="361" t="str">
        <f>IF(W47&gt;KKM!$G$10," sangat baik ",IF(W47&gt;KKM!$H$10," baik ",IF(W47&gt;=KKM!$I$10," cukup baik "," perlu bimbingan ")))</f>
        <v xml:space="preserve"> baik </v>
      </c>
      <c r="Y47" s="357">
        <f t="shared" si="1"/>
        <v>85</v>
      </c>
      <c r="Z47" s="361" t="str">
        <f>IF(Y47&gt;KKM!$G$10," sangat baik ",IF(Y47&gt;KKM!$H$10," baik ",IF(Y47&gt;=KKM!$I$10," cukup baik "," perlu bimbingan ")))</f>
        <v xml:space="preserve"> baik </v>
      </c>
      <c r="AA47" s="353" t="str">
        <f t="shared" si="5"/>
        <v>ZEVA baik  dalam memahami teks kawih tentang bangga sebagai bangsa Indonesia</v>
      </c>
      <c r="AB47" s="256"/>
      <c r="AC47" s="257" t="str">
        <f t="shared" si="2"/>
        <v xml:space="preserve"> baik  dalam memahami teks kawih tentang bangga sebagai bangsa Indonesia</v>
      </c>
      <c r="AD47" s="257" t="str">
        <f t="shared" si="3"/>
        <v xml:space="preserve"> baik  dalam memahami teks kawih tentang bangga sebagai bangsa Indonesia</v>
      </c>
      <c r="AE47" s="257" t="str">
        <f t="shared" si="6"/>
        <v xml:space="preserve"> baik  dalam memahami teks kawih tentang bangga sebagai bangsa Indonesia, dan  baik  dalam memahami teks kawih tentang bangga sebagai bangsa Indonesia</v>
      </c>
      <c r="AF47" s="257" t="str">
        <f t="shared" si="7"/>
        <v xml:space="preserve"> baik  dalam memahami teks kawih tentang bangga sebagai bangsa Indonesia</v>
      </c>
      <c r="AG47" s="258" t="str">
        <f t="shared" si="8"/>
        <v xml:space="preserve"> baik  dalam memahami teks kawih tentang bangga sebagai bangsa Indonesia</v>
      </c>
      <c r="AH47" s="252" t="str">
        <f t="shared" si="9"/>
        <v>ZEVA baik  dalam memahami teks kawih tentang bangga sebagai bangsa Indonesia</v>
      </c>
      <c r="AI47" s="139" t="e">
        <f>IF(#REF!=1,S$3," ")</f>
        <v>#REF!</v>
      </c>
      <c r="AJ47" s="139" t="e">
        <f>IF(#REF!=1,T$3," ")</f>
        <v>#REF!</v>
      </c>
      <c r="AK47" s="153"/>
      <c r="AU47" s="469">
        <f t="shared" si="10"/>
        <v>85</v>
      </c>
    </row>
    <row r="48" spans="2:47" ht="63" customHeight="1">
      <c r="B48" s="142">
        <v>44</v>
      </c>
      <c r="C48" s="143">
        <f>SISWA!B49</f>
        <v>0</v>
      </c>
      <c r="D48" s="144">
        <f>SISWA!E49</f>
        <v>0</v>
      </c>
      <c r="E48" s="159"/>
      <c r="F48" s="160"/>
      <c r="G48" s="160"/>
      <c r="H48" s="160"/>
      <c r="I48" s="160"/>
      <c r="J48" s="160"/>
      <c r="K48" s="160"/>
      <c r="L48" s="160"/>
      <c r="M48" s="160"/>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39" t="e">
        <f>IF(#REF!=1,S$3," ")</f>
        <v>#REF!</v>
      </c>
      <c r="AJ48" s="139" t="e">
        <f>IF(#REF!=1,T$3," ")</f>
        <v>#REF!</v>
      </c>
      <c r="AK48" s="153"/>
      <c r="AU48" s="469" t="str">
        <f t="shared" si="10"/>
        <v/>
      </c>
    </row>
    <row r="49" spans="2:47" ht="63" customHeight="1">
      <c r="B49" s="142">
        <v>45</v>
      </c>
      <c r="C49" s="143">
        <f>SISWA!B50</f>
        <v>0</v>
      </c>
      <c r="D49" s="144">
        <f>SISWA!E50</f>
        <v>0</v>
      </c>
      <c r="E49" s="159"/>
      <c r="F49" s="160"/>
      <c r="G49" s="160"/>
      <c r="H49" s="160"/>
      <c r="I49" s="160"/>
      <c r="J49" s="160"/>
      <c r="K49" s="160"/>
      <c r="L49" s="160"/>
      <c r="M49" s="160"/>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39" t="e">
        <f>IF(#REF!=1,S$3," ")</f>
        <v>#REF!</v>
      </c>
      <c r="AJ49" s="139" t="e">
        <f>IF(#REF!=1,T$3," ")</f>
        <v>#REF!</v>
      </c>
      <c r="AK49" s="153"/>
      <c r="AU49" s="469" t="str">
        <f t="shared" si="10"/>
        <v/>
      </c>
    </row>
    <row r="50" spans="2:47" ht="63" customHeight="1">
      <c r="B50" s="142">
        <v>46</v>
      </c>
      <c r="C50" s="143">
        <f>SISWA!B51</f>
        <v>0</v>
      </c>
      <c r="D50" s="144">
        <f>SISWA!E51</f>
        <v>0</v>
      </c>
      <c r="E50" s="159"/>
      <c r="F50" s="160"/>
      <c r="G50" s="160"/>
      <c r="H50" s="160"/>
      <c r="I50" s="160"/>
      <c r="J50" s="160"/>
      <c r="K50" s="160"/>
      <c r="L50" s="160"/>
      <c r="M50" s="160"/>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39" t="e">
        <f>IF(#REF!=1,S$3," ")</f>
        <v>#REF!</v>
      </c>
      <c r="AJ50" s="139" t="e">
        <f>IF(#REF!=1,T$3," ")</f>
        <v>#REF!</v>
      </c>
      <c r="AK50" s="153"/>
      <c r="AU50" s="469" t="str">
        <f t="shared" si="10"/>
        <v/>
      </c>
    </row>
    <row r="51" spans="2:47" ht="63" customHeight="1">
      <c r="B51" s="142">
        <v>47</v>
      </c>
      <c r="C51" s="143">
        <f>SISWA!B52</f>
        <v>0</v>
      </c>
      <c r="D51" s="144">
        <f>SISWA!E52</f>
        <v>0</v>
      </c>
      <c r="E51" s="159"/>
      <c r="F51" s="160"/>
      <c r="G51" s="160"/>
      <c r="H51" s="160"/>
      <c r="I51" s="160"/>
      <c r="J51" s="160"/>
      <c r="K51" s="160"/>
      <c r="L51" s="160"/>
      <c r="M51" s="160"/>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39" t="e">
        <f>IF(#REF!=1,S$3," ")</f>
        <v>#REF!</v>
      </c>
      <c r="AJ51" s="139" t="e">
        <f>IF(#REF!=1,T$3," ")</f>
        <v>#REF!</v>
      </c>
      <c r="AK51" s="153"/>
      <c r="AU51" s="469" t="str">
        <f t="shared" si="10"/>
        <v/>
      </c>
    </row>
    <row r="52" spans="2:47" ht="63" customHeight="1">
      <c r="B52" s="142">
        <v>48</v>
      </c>
      <c r="C52" s="143">
        <f>SISWA!B53</f>
        <v>0</v>
      </c>
      <c r="D52" s="144">
        <f>SISWA!E53</f>
        <v>0</v>
      </c>
      <c r="E52" s="159"/>
      <c r="F52" s="160"/>
      <c r="G52" s="160"/>
      <c r="H52" s="160"/>
      <c r="I52" s="160"/>
      <c r="J52" s="160"/>
      <c r="K52" s="160"/>
      <c r="L52" s="160"/>
      <c r="M52" s="160"/>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39" t="e">
        <f>IF(#REF!=1,S$3," ")</f>
        <v>#REF!</v>
      </c>
      <c r="AJ52" s="139" t="e">
        <f>IF(#REF!=1,T$3," ")</f>
        <v>#REF!</v>
      </c>
      <c r="AK52" s="153"/>
      <c r="AU52" s="469" t="str">
        <f t="shared" si="10"/>
        <v/>
      </c>
    </row>
    <row r="53" spans="2:47" ht="63" customHeight="1">
      <c r="B53" s="142">
        <v>49</v>
      </c>
      <c r="C53" s="143">
        <f>SISWA!B54</f>
        <v>0</v>
      </c>
      <c r="D53" s="144">
        <f>SISWA!E54</f>
        <v>0</v>
      </c>
      <c r="E53" s="159"/>
      <c r="F53" s="160"/>
      <c r="G53" s="160"/>
      <c r="H53" s="160"/>
      <c r="I53" s="160"/>
      <c r="J53" s="160"/>
      <c r="K53" s="160"/>
      <c r="L53" s="160"/>
      <c r="M53" s="160"/>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39" t="e">
        <f>IF(#REF!=1,S$3," ")</f>
        <v>#REF!</v>
      </c>
      <c r="AJ53" s="139" t="e">
        <f>IF(#REF!=1,T$3," ")</f>
        <v>#REF!</v>
      </c>
      <c r="AK53" s="153"/>
      <c r="AU53" s="469" t="str">
        <f t="shared" si="10"/>
        <v/>
      </c>
    </row>
    <row r="54" spans="2:47" ht="63" customHeight="1">
      <c r="B54" s="142">
        <v>50</v>
      </c>
      <c r="C54" s="143">
        <f>SISWA!B55</f>
        <v>0</v>
      </c>
      <c r="D54" s="144">
        <f>SISWA!E55</f>
        <v>0</v>
      </c>
      <c r="E54" s="159"/>
      <c r="F54" s="160"/>
      <c r="G54" s="160"/>
      <c r="H54" s="160"/>
      <c r="I54" s="160"/>
      <c r="J54" s="160"/>
      <c r="K54" s="160"/>
      <c r="L54" s="160"/>
      <c r="M54" s="160"/>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39" t="e">
        <f>IF(#REF!=1,S$3," ")</f>
        <v>#REF!</v>
      </c>
      <c r="AJ54" s="139" t="e">
        <f>IF(#REF!=1,T$3," ")</f>
        <v>#REF!</v>
      </c>
      <c r="AK54" s="153"/>
      <c r="AU54" s="469" t="str">
        <f t="shared" si="10"/>
        <v/>
      </c>
    </row>
    <row r="55" spans="2:47" ht="15.75">
      <c r="B55" s="154"/>
      <c r="C55" s="154"/>
      <c r="D55" s="154"/>
      <c r="E55" s="145"/>
      <c r="F55" s="146"/>
      <c r="G55" s="146"/>
      <c r="H55" s="146"/>
      <c r="I55" s="146"/>
      <c r="J55" s="146"/>
      <c r="K55" s="146"/>
      <c r="L55" s="146"/>
      <c r="M55" s="146"/>
      <c r="N55" s="145"/>
      <c r="O55" s="145"/>
      <c r="P55" s="145"/>
      <c r="Q55" s="145"/>
      <c r="R55" s="146"/>
      <c r="S55" s="146"/>
      <c r="T55" s="145"/>
      <c r="U55" s="147"/>
      <c r="V55" s="148"/>
      <c r="W55" s="149"/>
      <c r="X55" s="149"/>
      <c r="Y55" s="149"/>
      <c r="Z55" s="149"/>
      <c r="AA55" s="150"/>
      <c r="AB55" s="151"/>
      <c r="AC55" s="152"/>
      <c r="AD55" s="155"/>
      <c r="AE55" s="155"/>
      <c r="AF55" s="155"/>
      <c r="AG55" s="155"/>
      <c r="AH55" s="155"/>
      <c r="AI55" s="156"/>
      <c r="AJ55" s="156"/>
      <c r="AK55" s="153"/>
    </row>
  </sheetData>
  <sheetProtection password="C70C" sheet="1" objects="1" scenarios="1"/>
  <mergeCells count="11">
    <mergeCell ref="AA2:AA4"/>
    <mergeCell ref="W3:X3"/>
    <mergeCell ref="Y3:Z3"/>
    <mergeCell ref="B1:Z1"/>
    <mergeCell ref="B2:B4"/>
    <mergeCell ref="C2:C4"/>
    <mergeCell ref="D2:D4"/>
    <mergeCell ref="E2:T2"/>
    <mergeCell ref="U2:U4"/>
    <mergeCell ref="V2:V4"/>
    <mergeCell ref="W2:Z2"/>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O55"/>
  <sheetViews>
    <sheetView zoomScale="85" zoomScaleNormal="85"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5703125" style="507" customWidth="1"/>
    <col min="2" max="2" width="4.42578125" style="137" customWidth="1"/>
    <col min="3" max="3" width="6.42578125" style="137" customWidth="1"/>
    <col min="4" max="4" width="28.7109375" style="137" customWidth="1"/>
    <col min="5" max="12" width="6.7109375" style="137" customWidth="1"/>
    <col min="13" max="23" width="6.7109375" style="137" hidden="1" customWidth="1"/>
    <col min="24" max="25" width="4.7109375" style="137" customWidth="1"/>
    <col min="26" max="26" width="5.140625" style="137" customWidth="1"/>
    <col min="27" max="27" width="10.42578125" style="137" customWidth="1"/>
    <col min="28" max="28" width="5.140625" style="137" customWidth="1"/>
    <col min="29" max="29" width="10.85546875" style="137" customWidth="1"/>
    <col min="30" max="30" width="84.42578125" style="137" customWidth="1"/>
    <col min="31" max="31" width="29.85546875" style="137" customWidth="1"/>
    <col min="32" max="37" width="10.7109375" style="137" hidden="1" customWidth="1"/>
    <col min="38" max="43" width="9.140625" style="137" hidden="1" customWidth="1"/>
    <col min="44" max="47" width="9.140625" style="137" customWidth="1"/>
    <col min="48" max="55" width="5" style="137" hidden="1" customWidth="1"/>
    <col min="56" max="57" width="0" style="137" hidden="1" customWidth="1"/>
    <col min="58" max="71" width="10.7109375" style="137" hidden="1" customWidth="1"/>
    <col min="72" max="93" width="0" style="137" hidden="1" customWidth="1"/>
    <col min="94" max="16384" width="9.140625" style="137" hidden="1"/>
  </cols>
  <sheetData>
    <row r="1" spans="1:38" s="510" customFormat="1" ht="45.75" customHeight="1">
      <c r="B1" s="685" t="str">
        <f>KKM!X8&amp;" (PENGETAHUAN)"</f>
        <v>PLH (PENGETAHUAN)</v>
      </c>
      <c r="C1" s="685"/>
      <c r="D1" s="685"/>
      <c r="E1" s="685"/>
      <c r="F1" s="685"/>
      <c r="G1" s="685"/>
      <c r="H1" s="685"/>
      <c r="I1" s="685"/>
      <c r="J1" s="685"/>
      <c r="K1" s="685"/>
      <c r="L1" s="685"/>
      <c r="M1" s="685"/>
      <c r="N1" s="685"/>
      <c r="O1" s="685"/>
      <c r="P1" s="685"/>
      <c r="Q1" s="685"/>
      <c r="R1" s="685"/>
      <c r="S1" s="685"/>
      <c r="T1" s="685"/>
      <c r="U1" s="685"/>
      <c r="V1" s="685"/>
      <c r="W1" s="685"/>
      <c r="X1" s="685"/>
      <c r="Y1" s="685"/>
      <c r="Z1" s="685"/>
      <c r="AA1" s="685"/>
      <c r="AB1" s="685"/>
      <c r="AC1" s="685"/>
    </row>
    <row r="2" spans="1:38" ht="23.25" customHeight="1">
      <c r="B2" s="716" t="s">
        <v>4</v>
      </c>
      <c r="C2" s="717" t="s">
        <v>5</v>
      </c>
      <c r="D2" s="718" t="s">
        <v>52</v>
      </c>
      <c r="E2" s="719" t="s">
        <v>0</v>
      </c>
      <c r="F2" s="719"/>
      <c r="G2" s="719"/>
      <c r="H2" s="719"/>
      <c r="I2" s="719"/>
      <c r="J2" s="719"/>
      <c r="K2" s="719"/>
      <c r="L2" s="719"/>
      <c r="M2" s="719"/>
      <c r="N2" s="719"/>
      <c r="O2" s="719"/>
      <c r="P2" s="719"/>
      <c r="Q2" s="719"/>
      <c r="R2" s="719"/>
      <c r="S2" s="719"/>
      <c r="T2" s="719"/>
      <c r="U2" s="719"/>
      <c r="V2" s="719"/>
      <c r="W2" s="719"/>
      <c r="X2" s="720" t="s">
        <v>13</v>
      </c>
      <c r="Y2" s="721" t="s">
        <v>14</v>
      </c>
      <c r="Z2" s="722" t="s">
        <v>266</v>
      </c>
      <c r="AA2" s="723"/>
      <c r="AB2" s="723"/>
      <c r="AC2" s="723"/>
      <c r="AD2" s="678" t="s">
        <v>3</v>
      </c>
      <c r="AE2" s="2"/>
      <c r="AF2" s="2"/>
      <c r="AG2" s="2"/>
      <c r="AH2" s="2"/>
      <c r="AI2" s="2"/>
      <c r="AJ2" s="2"/>
      <c r="AK2" s="253"/>
    </row>
    <row r="3" spans="1:38" ht="94.5" customHeight="1">
      <c r="B3" s="716"/>
      <c r="C3" s="717"/>
      <c r="D3" s="718"/>
      <c r="E3" s="408" t="str">
        <f>'KI-KD'!$C137</f>
        <v xml:space="preserve">merespon instruksi sangat sederhana dengan tindakan secara berterima dalam konteks sekolah  </v>
      </c>
      <c r="F3" s="408" t="str">
        <f>'KI-KD'!$C138</f>
        <v xml:space="preserve">merespon instruksi sangat sederhana secara verbal </v>
      </c>
      <c r="G3" s="408" t="str">
        <f>'KI-KD'!$C139</f>
        <v xml:space="preserve">bercakap-cakap untuk menyertai tindakan secara berterima yang melibatkan tindak tutur: memberi contoh melakukan sesuatu, memberi aba-aba, dan memberi petunjuk 
</v>
      </c>
      <c r="H3" s="408" t="str">
        <f>'KI-KD'!$C140</f>
        <v xml:space="preserve">bercakap-cakap untuk meminta/memberi jasa/barang secara berterima yang melibatkan tindak tutur: meminta bantuan, memberi bantuan, meminta barang, dan memberi barang 
</v>
      </c>
      <c r="I3" s="408" t="str">
        <f>'KI-KD'!$C141</f>
        <v xml:space="preserve">bercakap-cakap untuk meminta/memberi informasi secara berterima yang melibatkan tindak tutur: memberi informasi, memberi pendapat, dan meminta kejelasan 
</v>
      </c>
      <c r="J3" s="408" t="str">
        <f>'KI-KD'!$C142</f>
        <v xml:space="preserve">mengungkapkan kesantunan secara berterima yang melibatkan ungkapan: Do you mind... dan Shall we... </v>
      </c>
      <c r="K3" s="408" t="str">
        <f>'KI-KD'!$C143</f>
        <v xml:space="preserve">membaca nyaring dengan ucapan, tekanan, dan intonasi secara tepat dan berterima yang melibatkan: kata, frasa, kalimat sangat sederhana, dan teks sangat sederhana 
</v>
      </c>
      <c r="L3" s="408" t="str">
        <f>'KI-KD'!$C144</f>
        <v xml:space="preserve">memahami kalimat, pesan tertulis, dan teks dekriptif bergambar sangat sederhana secara tepat dan berterima </v>
      </c>
      <c r="M3" s="138"/>
      <c r="N3" s="138"/>
      <c r="O3" s="157"/>
      <c r="P3" s="157"/>
      <c r="Q3" s="157"/>
      <c r="R3" s="157"/>
      <c r="S3" s="157"/>
      <c r="T3" s="157"/>
      <c r="U3" s="157"/>
      <c r="V3" s="157"/>
      <c r="W3" s="157"/>
      <c r="X3" s="720"/>
      <c r="Y3" s="721"/>
      <c r="Z3" s="712" t="s">
        <v>267</v>
      </c>
      <c r="AA3" s="713"/>
      <c r="AB3" s="714" t="s">
        <v>268</v>
      </c>
      <c r="AC3" s="715"/>
      <c r="AD3" s="679"/>
      <c r="AE3" s="2"/>
      <c r="AF3" s="2"/>
      <c r="AG3" s="2"/>
      <c r="AH3" s="2"/>
      <c r="AI3" s="2"/>
      <c r="AJ3" s="2"/>
      <c r="AK3" s="253"/>
    </row>
    <row r="4" spans="1:38" s="141" customFormat="1" ht="25.5" customHeight="1">
      <c r="A4" s="509"/>
      <c r="B4" s="716"/>
      <c r="C4" s="717"/>
      <c r="D4" s="718"/>
      <c r="E4" s="140" t="str">
        <f>'KI-KD'!$B125</f>
        <v>7.1</v>
      </c>
      <c r="F4" s="140" t="str">
        <f>'KI-KD'!$B126</f>
        <v>8.1</v>
      </c>
      <c r="G4" s="140" t="str">
        <f>'KI-KD'!$B127</f>
        <v>9.1</v>
      </c>
      <c r="H4" s="140" t="str">
        <f>'KI-KD'!$B128</f>
        <v>10.1</v>
      </c>
      <c r="I4" s="140" t="str">
        <f>'KI-KD'!$B129</f>
        <v>11.1</v>
      </c>
      <c r="J4" s="140" t="str">
        <f>'KI-KD'!$B130</f>
        <v>12.1</v>
      </c>
      <c r="K4" s="140" t="str">
        <f>'KI-KD'!$B131</f>
        <v>12.2</v>
      </c>
      <c r="L4" s="140">
        <f>'KI-KD'!$B132</f>
        <v>0</v>
      </c>
      <c r="M4" s="140"/>
      <c r="N4" s="140"/>
      <c r="O4" s="158"/>
      <c r="P4" s="158"/>
      <c r="Q4" s="158"/>
      <c r="R4" s="158"/>
      <c r="S4" s="158"/>
      <c r="T4" s="158"/>
      <c r="U4" s="158"/>
      <c r="V4" s="158"/>
      <c r="W4" s="158"/>
      <c r="X4" s="720"/>
      <c r="Y4" s="721"/>
      <c r="Z4" s="248" t="s">
        <v>269</v>
      </c>
      <c r="AA4" s="249" t="s">
        <v>3</v>
      </c>
      <c r="AB4" s="250" t="s">
        <v>269</v>
      </c>
      <c r="AC4" s="251" t="s">
        <v>3</v>
      </c>
      <c r="AD4" s="680"/>
      <c r="AE4" s="2"/>
      <c r="AF4" s="254" t="s">
        <v>270</v>
      </c>
      <c r="AG4" s="254" t="s">
        <v>271</v>
      </c>
      <c r="AH4" s="254" t="s">
        <v>272</v>
      </c>
      <c r="AI4" s="254" t="s">
        <v>273</v>
      </c>
      <c r="AJ4" s="255" t="s">
        <v>266</v>
      </c>
      <c r="AK4" s="252"/>
    </row>
    <row r="5" spans="1:38" ht="57" customHeight="1">
      <c r="B5" s="142">
        <v>1</v>
      </c>
      <c r="C5" s="143" t="str">
        <f>SISWA!B6</f>
        <v>1718250040305</v>
      </c>
      <c r="D5" s="144" t="str">
        <f>SISWA!E6</f>
        <v>YAHYA</v>
      </c>
      <c r="E5" s="159">
        <v>97</v>
      </c>
      <c r="F5" s="160"/>
      <c r="G5" s="160"/>
      <c r="H5" s="159"/>
      <c r="I5" s="159"/>
      <c r="J5" s="159"/>
      <c r="K5" s="159"/>
      <c r="L5" s="160"/>
      <c r="M5" s="159"/>
      <c r="N5" s="159"/>
      <c r="O5" s="159"/>
      <c r="P5" s="159"/>
      <c r="Q5" s="159"/>
      <c r="R5" s="159"/>
      <c r="S5" s="159"/>
      <c r="T5" s="159"/>
      <c r="U5" s="160"/>
      <c r="V5" s="160"/>
      <c r="W5" s="159"/>
      <c r="X5" s="354">
        <f>ROUND((AVERAGE(E5:W5)),0)</f>
        <v>97</v>
      </c>
      <c r="Y5" s="355" t="str">
        <f>IF(X5&gt;KKM!$G$10,"A",IF(X5&gt;KKM!$H$10,"B",IF(X5&gt;=KKM!$I$10,"C","D")))</f>
        <v>A</v>
      </c>
      <c r="Z5" s="356">
        <f t="shared" ref="Z5:Z54" si="0">MAX(E5:W5)</f>
        <v>97</v>
      </c>
      <c r="AA5" s="361" t="str">
        <f>IF(Z5&gt;KKM!$G$10," sangat baik ",IF(Z5&gt;KKM!$H$10," baik ",IF(Z5&gt;=KKM!$I$10," cukup baik "," perlu bimbingan ")))</f>
        <v xml:space="preserve"> sangat baik </v>
      </c>
      <c r="AB5" s="357">
        <f t="shared" ref="AB5:AB54" si="1">MIN(E5:W5)</f>
        <v>97</v>
      </c>
      <c r="AC5" s="361" t="str">
        <f>IF(AB5&gt;KKM!$G$10," sangat baik ",IF(AB5&gt;KKM!$H$10," baik ",IF(AB5&gt;=KKM!$I$10," cukup baik "," perlu bimbingan ")))</f>
        <v xml:space="preserve"> sangat baik </v>
      </c>
      <c r="AD5" s="353" t="str">
        <f>IFERROR(AK5," ")</f>
        <v xml:space="preserve">YAHYA sangat baik  dalam merespon instruksi sangat sederhana dengan tindakan secara berterima dalam konteks sekolah  </v>
      </c>
      <c r="AE5" s="256"/>
      <c r="AF5" s="257" t="str">
        <f t="shared" ref="AF5:AF54" si="2">AA5&amp;" dalam "&amp;INDEX($E$3:$W$3,MATCH(Z5,$E5:$W5,0))</f>
        <v xml:space="preserve"> sangat baik  dalam merespon instruksi sangat sederhana dengan tindakan secara berterima dalam konteks sekolah  </v>
      </c>
      <c r="AG5" s="257" t="str">
        <f t="shared" ref="AG5:AG54" si="3">AC5&amp;" dalam "&amp;INDEX($E$3:$W$3,MATCH(AB5,$E5:$W5,0))</f>
        <v xml:space="preserve"> sangat baik  dalam merespon instruksi sangat sederhana dengan tindakan secara berterima dalam konteks sekolah  </v>
      </c>
      <c r="AH5" s="257" t="str">
        <f>AF5&amp;", dan "&amp;AG5</f>
        <v xml:space="preserve"> sangat baik  dalam merespon instruksi sangat sederhana dengan tindakan secara berterima dalam konteks sekolah  , dan  sangat baik  dalam merespon instruksi sangat sederhana dengan tindakan secara berterima dalam konteks sekolah  </v>
      </c>
      <c r="AI5" s="257" t="str">
        <f>IF(AF5=AG5,AF5," ")</f>
        <v xml:space="preserve"> sangat baik  dalam merespon instruksi sangat sederhana dengan tindakan secara berterima dalam konteks sekolah  </v>
      </c>
      <c r="AJ5" s="258" t="str">
        <f>IF(AI5=" ",AH5,AI5)</f>
        <v xml:space="preserve"> sangat baik  dalam merespon instruksi sangat sederhana dengan tindakan secara berterima dalam konteks sekolah  </v>
      </c>
      <c r="AK5" s="252" t="str">
        <f>CONCATENATE(D5,AJ5)</f>
        <v xml:space="preserve">YAHYA sangat baik  dalam merespon instruksi sangat sederhana dengan tindakan secara berterima dalam konteks sekolah  </v>
      </c>
      <c r="AL5" s="153"/>
    </row>
    <row r="6" spans="1:38" ht="57" customHeight="1">
      <c r="B6" s="142">
        <v>2</v>
      </c>
      <c r="C6" s="143" t="str">
        <f>SISWA!B7</f>
        <v>1718250040306</v>
      </c>
      <c r="D6" s="144" t="str">
        <f>SISWA!E7</f>
        <v>ADHWA</v>
      </c>
      <c r="E6" s="159">
        <v>97</v>
      </c>
      <c r="F6" s="160"/>
      <c r="G6" s="160"/>
      <c r="H6" s="159" t="s">
        <v>766</v>
      </c>
      <c r="I6" s="159"/>
      <c r="J6" s="159"/>
      <c r="K6" s="159"/>
      <c r="L6" s="160"/>
      <c r="M6" s="159"/>
      <c r="N6" s="159"/>
      <c r="O6" s="159"/>
      <c r="P6" s="159"/>
      <c r="Q6" s="159"/>
      <c r="R6" s="159"/>
      <c r="S6" s="159"/>
      <c r="T6" s="159"/>
      <c r="U6" s="160"/>
      <c r="V6" s="160"/>
      <c r="W6" s="159"/>
      <c r="X6" s="354">
        <f t="shared" ref="X6:X54" si="4">ROUND((AVERAGE(E6:W6)),0)</f>
        <v>97</v>
      </c>
      <c r="Y6" s="355" t="str">
        <f>IF(X6&gt;KKM!$G$10,"A",IF(X6&gt;KKM!$H$10,"B",IF(X6&gt;=KKM!$I$10,"C","D")))</f>
        <v>A</v>
      </c>
      <c r="Z6" s="356">
        <f t="shared" si="0"/>
        <v>97</v>
      </c>
      <c r="AA6" s="361" t="str">
        <f>IF(Z6&gt;KKM!$G$10," sangat baik ",IF(Z6&gt;KKM!$H$10," baik ",IF(Z6&gt;=KKM!$I$10," cukup baik "," perlu bimbingan ")))</f>
        <v xml:space="preserve"> sangat baik </v>
      </c>
      <c r="AB6" s="357">
        <f t="shared" si="1"/>
        <v>97</v>
      </c>
      <c r="AC6" s="361" t="str">
        <f>IF(AB6&gt;KKM!$G$10," sangat baik ",IF(AB6&gt;KKM!$H$10," baik ",IF(AB6&gt;=KKM!$I$10," cukup baik "," perlu bimbingan ")))</f>
        <v xml:space="preserve"> sangat baik </v>
      </c>
      <c r="AD6" s="353" t="str">
        <f t="shared" ref="AD6:AD54" si="5">IFERROR(AK6," ")</f>
        <v xml:space="preserve">ADHWA sangat baik  dalam merespon instruksi sangat sederhana dengan tindakan secara berterima dalam konteks sekolah  </v>
      </c>
      <c r="AE6" s="256"/>
      <c r="AF6" s="257" t="str">
        <f t="shared" si="2"/>
        <v xml:space="preserve"> sangat baik  dalam merespon instruksi sangat sederhana dengan tindakan secara berterima dalam konteks sekolah  </v>
      </c>
      <c r="AG6" s="257" t="str">
        <f t="shared" si="3"/>
        <v xml:space="preserve"> sangat baik  dalam merespon instruksi sangat sederhana dengan tindakan secara berterima dalam konteks sekolah  </v>
      </c>
      <c r="AH6" s="257" t="str">
        <f t="shared" ref="AH6:AH54" si="6">AF6&amp;", dan "&amp;AG6</f>
        <v xml:space="preserve"> sangat baik  dalam merespon instruksi sangat sederhana dengan tindakan secara berterima dalam konteks sekolah  , dan  sangat baik  dalam merespon instruksi sangat sederhana dengan tindakan secara berterima dalam konteks sekolah  </v>
      </c>
      <c r="AI6" s="257" t="str">
        <f t="shared" ref="AI6:AI54" si="7">IF(AF6=AG6,AF6," ")</f>
        <v xml:space="preserve"> sangat baik  dalam merespon instruksi sangat sederhana dengan tindakan secara berterima dalam konteks sekolah  </v>
      </c>
      <c r="AJ6" s="258" t="str">
        <f t="shared" ref="AJ6:AJ54" si="8">IF(AI6=" ",AH6,AI6)</f>
        <v xml:space="preserve"> sangat baik  dalam merespon instruksi sangat sederhana dengan tindakan secara berterima dalam konteks sekolah  </v>
      </c>
      <c r="AK6" s="252" t="str">
        <f t="shared" ref="AK6:AK54" si="9">CONCATENATE(D6,AJ6)</f>
        <v xml:space="preserve">ADHWA sangat baik  dalam merespon instruksi sangat sederhana dengan tindakan secara berterima dalam konteks sekolah  </v>
      </c>
      <c r="AL6" s="153"/>
    </row>
    <row r="7" spans="1:38" ht="57" customHeight="1">
      <c r="B7" s="142">
        <v>3</v>
      </c>
      <c r="C7" s="143" t="str">
        <f>SISWA!B8</f>
        <v xml:space="preserve"> 1718250040307</v>
      </c>
      <c r="D7" s="144" t="str">
        <f>SISWA!E8</f>
        <v>ANDHIKA</v>
      </c>
      <c r="E7" s="159">
        <v>88</v>
      </c>
      <c r="F7" s="160"/>
      <c r="G7" s="160"/>
      <c r="H7" s="159"/>
      <c r="I7" s="159"/>
      <c r="J7" s="159"/>
      <c r="K7" s="159"/>
      <c r="L7" s="160"/>
      <c r="M7" s="159"/>
      <c r="N7" s="159"/>
      <c r="O7" s="159"/>
      <c r="P7" s="159"/>
      <c r="Q7" s="159"/>
      <c r="R7" s="159"/>
      <c r="S7" s="159"/>
      <c r="T7" s="159"/>
      <c r="U7" s="160"/>
      <c r="V7" s="160"/>
      <c r="W7" s="159"/>
      <c r="X7" s="354">
        <f t="shared" si="4"/>
        <v>88</v>
      </c>
      <c r="Y7" s="355" t="str">
        <f>IF(X7&gt;KKM!$G$10,"A",IF(X7&gt;KKM!$H$10,"B",IF(X7&gt;=KKM!$I$10,"C","D")))</f>
        <v>A</v>
      </c>
      <c r="Z7" s="356">
        <f t="shared" si="0"/>
        <v>88</v>
      </c>
      <c r="AA7" s="361" t="str">
        <f>IF(Z7&gt;KKM!$G$10," sangat baik ",IF(Z7&gt;KKM!$H$10," baik ",IF(Z7&gt;=KKM!$I$10," cukup baik "," perlu bimbingan ")))</f>
        <v xml:space="preserve"> sangat baik </v>
      </c>
      <c r="AB7" s="357">
        <f t="shared" si="1"/>
        <v>88</v>
      </c>
      <c r="AC7" s="361" t="str">
        <f>IF(AB7&gt;KKM!$G$10," sangat baik ",IF(AB7&gt;KKM!$H$10," baik ",IF(AB7&gt;=KKM!$I$10," cukup baik "," perlu bimbingan ")))</f>
        <v xml:space="preserve"> sangat baik </v>
      </c>
      <c r="AD7" s="353" t="str">
        <f t="shared" si="5"/>
        <v xml:space="preserve">ANDHIKA sangat baik  dalam merespon instruksi sangat sederhana dengan tindakan secara berterima dalam konteks sekolah  </v>
      </c>
      <c r="AE7" s="256"/>
      <c r="AF7" s="257" t="str">
        <f t="shared" si="2"/>
        <v xml:space="preserve"> sangat baik  dalam merespon instruksi sangat sederhana dengan tindakan secara berterima dalam konteks sekolah  </v>
      </c>
      <c r="AG7" s="257" t="str">
        <f t="shared" si="3"/>
        <v xml:space="preserve"> sangat baik  dalam merespon instruksi sangat sederhana dengan tindakan secara berterima dalam konteks sekolah  </v>
      </c>
      <c r="AH7" s="257" t="str">
        <f t="shared" si="6"/>
        <v xml:space="preserve"> sangat baik  dalam merespon instruksi sangat sederhana dengan tindakan secara berterima dalam konteks sekolah  , dan  sangat baik  dalam merespon instruksi sangat sederhana dengan tindakan secara berterima dalam konteks sekolah  </v>
      </c>
      <c r="AI7" s="257" t="str">
        <f t="shared" si="7"/>
        <v xml:space="preserve"> sangat baik  dalam merespon instruksi sangat sederhana dengan tindakan secara berterima dalam konteks sekolah  </v>
      </c>
      <c r="AJ7" s="258" t="str">
        <f t="shared" si="8"/>
        <v xml:space="preserve"> sangat baik  dalam merespon instruksi sangat sederhana dengan tindakan secara berterima dalam konteks sekolah  </v>
      </c>
      <c r="AK7" s="252" t="str">
        <f t="shared" si="9"/>
        <v xml:space="preserve">ANDHIKA sangat baik  dalam merespon instruksi sangat sederhana dengan tindakan secara berterima dalam konteks sekolah  </v>
      </c>
      <c r="AL7" s="153"/>
    </row>
    <row r="8" spans="1:38" ht="57" customHeight="1">
      <c r="B8" s="142">
        <v>4</v>
      </c>
      <c r="C8" s="143" t="str">
        <f>SISWA!B9</f>
        <v xml:space="preserve"> 1718250040308</v>
      </c>
      <c r="D8" s="144" t="str">
        <f>SISWA!E9</f>
        <v>ANGGARA</v>
      </c>
      <c r="E8" s="159">
        <v>88</v>
      </c>
      <c r="F8" s="160"/>
      <c r="G8" s="160"/>
      <c r="H8" s="160"/>
      <c r="I8" s="160"/>
      <c r="J8" s="160"/>
      <c r="K8" s="160"/>
      <c r="L8" s="160"/>
      <c r="M8" s="159"/>
      <c r="N8" s="159"/>
      <c r="O8" s="159"/>
      <c r="P8" s="159"/>
      <c r="Q8" s="159"/>
      <c r="R8" s="159"/>
      <c r="S8" s="159"/>
      <c r="T8" s="159"/>
      <c r="U8" s="160"/>
      <c r="V8" s="160"/>
      <c r="W8" s="159"/>
      <c r="X8" s="354">
        <f t="shared" si="4"/>
        <v>88</v>
      </c>
      <c r="Y8" s="355" t="str">
        <f>IF(X8&gt;KKM!$G$10,"A",IF(X8&gt;KKM!$H$10,"B",IF(X8&gt;=KKM!$I$10,"C","D")))</f>
        <v>A</v>
      </c>
      <c r="Z8" s="356">
        <f t="shared" si="0"/>
        <v>88</v>
      </c>
      <c r="AA8" s="361" t="str">
        <f>IF(Z8&gt;KKM!$G$10," sangat baik ",IF(Z8&gt;KKM!$H$10," baik ",IF(Z8&gt;=KKM!$I$10," cukup baik "," perlu bimbingan ")))</f>
        <v xml:space="preserve"> sangat baik </v>
      </c>
      <c r="AB8" s="357">
        <f t="shared" si="1"/>
        <v>88</v>
      </c>
      <c r="AC8" s="361" t="str">
        <f>IF(AB8&gt;KKM!$G$10," sangat baik ",IF(AB8&gt;KKM!$H$10," baik ",IF(AB8&gt;=KKM!$I$10," cukup baik "," perlu bimbingan ")))</f>
        <v xml:space="preserve"> sangat baik </v>
      </c>
      <c r="AD8" s="353" t="str">
        <f t="shared" si="5"/>
        <v xml:space="preserve">ANGGARA sangat baik  dalam merespon instruksi sangat sederhana dengan tindakan secara berterima dalam konteks sekolah  </v>
      </c>
      <c r="AE8" s="256"/>
      <c r="AF8" s="257" t="str">
        <f t="shared" si="2"/>
        <v xml:space="preserve"> sangat baik  dalam merespon instruksi sangat sederhana dengan tindakan secara berterima dalam konteks sekolah  </v>
      </c>
      <c r="AG8" s="257" t="str">
        <f t="shared" si="3"/>
        <v xml:space="preserve"> sangat baik  dalam merespon instruksi sangat sederhana dengan tindakan secara berterima dalam konteks sekolah  </v>
      </c>
      <c r="AH8" s="257" t="str">
        <f t="shared" si="6"/>
        <v xml:space="preserve"> sangat baik  dalam merespon instruksi sangat sederhana dengan tindakan secara berterima dalam konteks sekolah  , dan  sangat baik  dalam merespon instruksi sangat sederhana dengan tindakan secara berterima dalam konteks sekolah  </v>
      </c>
      <c r="AI8" s="257" t="str">
        <f t="shared" si="7"/>
        <v xml:space="preserve"> sangat baik  dalam merespon instruksi sangat sederhana dengan tindakan secara berterima dalam konteks sekolah  </v>
      </c>
      <c r="AJ8" s="258" t="str">
        <f t="shared" si="8"/>
        <v xml:space="preserve"> sangat baik  dalam merespon instruksi sangat sederhana dengan tindakan secara berterima dalam konteks sekolah  </v>
      </c>
      <c r="AK8" s="252" t="str">
        <f t="shared" si="9"/>
        <v xml:space="preserve">ANGGARA sangat baik  dalam merespon instruksi sangat sederhana dengan tindakan secara berterima dalam konteks sekolah  </v>
      </c>
      <c r="AL8" s="153"/>
    </row>
    <row r="9" spans="1:38" ht="57" customHeight="1">
      <c r="B9" s="142">
        <v>5</v>
      </c>
      <c r="C9" s="143" t="str">
        <f>SISWA!B10</f>
        <v>1718250040309</v>
      </c>
      <c r="D9" s="144" t="str">
        <f>SISWA!E10</f>
        <v>ARIA</v>
      </c>
      <c r="E9" s="159">
        <v>91</v>
      </c>
      <c r="F9" s="160"/>
      <c r="G9" s="160"/>
      <c r="H9" s="160"/>
      <c r="I9" s="160"/>
      <c r="J9" s="160"/>
      <c r="K9" s="160"/>
      <c r="L9" s="160"/>
      <c r="M9" s="159"/>
      <c r="N9" s="159"/>
      <c r="O9" s="159"/>
      <c r="P9" s="159"/>
      <c r="Q9" s="159"/>
      <c r="R9" s="159"/>
      <c r="S9" s="159"/>
      <c r="T9" s="159"/>
      <c r="U9" s="160"/>
      <c r="V9" s="160"/>
      <c r="W9" s="159"/>
      <c r="X9" s="354">
        <f t="shared" si="4"/>
        <v>91</v>
      </c>
      <c r="Y9" s="355" t="str">
        <f>IF(X9&gt;KKM!$G$10,"A",IF(X9&gt;KKM!$H$10,"B",IF(X9&gt;=KKM!$I$10,"C","D")))</f>
        <v>A</v>
      </c>
      <c r="Z9" s="356">
        <f t="shared" si="0"/>
        <v>91</v>
      </c>
      <c r="AA9" s="361" t="str">
        <f>IF(Z9&gt;KKM!$G$10," sangat baik ",IF(Z9&gt;KKM!$H$10," baik ",IF(Z9&gt;=KKM!$I$10," cukup baik "," perlu bimbingan ")))</f>
        <v xml:space="preserve"> sangat baik </v>
      </c>
      <c r="AB9" s="357">
        <f t="shared" si="1"/>
        <v>91</v>
      </c>
      <c r="AC9" s="361" t="str">
        <f>IF(AB9&gt;KKM!$G$10," sangat baik ",IF(AB9&gt;KKM!$H$10," baik ",IF(AB9&gt;=KKM!$I$10," cukup baik "," perlu bimbingan ")))</f>
        <v xml:space="preserve"> sangat baik </v>
      </c>
      <c r="AD9" s="353" t="str">
        <f t="shared" si="5"/>
        <v xml:space="preserve">ARIA sangat baik  dalam merespon instruksi sangat sederhana dengan tindakan secara berterima dalam konteks sekolah  </v>
      </c>
      <c r="AE9" s="256"/>
      <c r="AF9" s="257" t="str">
        <f t="shared" si="2"/>
        <v xml:space="preserve"> sangat baik  dalam merespon instruksi sangat sederhana dengan tindakan secara berterima dalam konteks sekolah  </v>
      </c>
      <c r="AG9" s="257" t="str">
        <f t="shared" si="3"/>
        <v xml:space="preserve"> sangat baik  dalam merespon instruksi sangat sederhana dengan tindakan secara berterima dalam konteks sekolah  </v>
      </c>
      <c r="AH9" s="257" t="str">
        <f t="shared" si="6"/>
        <v xml:space="preserve"> sangat baik  dalam merespon instruksi sangat sederhana dengan tindakan secara berterima dalam konteks sekolah  , dan  sangat baik  dalam merespon instruksi sangat sederhana dengan tindakan secara berterima dalam konteks sekolah  </v>
      </c>
      <c r="AI9" s="257" t="str">
        <f t="shared" si="7"/>
        <v xml:space="preserve"> sangat baik  dalam merespon instruksi sangat sederhana dengan tindakan secara berterima dalam konteks sekolah  </v>
      </c>
      <c r="AJ9" s="258" t="str">
        <f t="shared" si="8"/>
        <v xml:space="preserve"> sangat baik  dalam merespon instruksi sangat sederhana dengan tindakan secara berterima dalam konteks sekolah  </v>
      </c>
      <c r="AK9" s="252" t="str">
        <f t="shared" si="9"/>
        <v xml:space="preserve">ARIA sangat baik  dalam merespon instruksi sangat sederhana dengan tindakan secara berterima dalam konteks sekolah  </v>
      </c>
      <c r="AL9" s="153"/>
    </row>
    <row r="10" spans="1:38" ht="57" customHeight="1">
      <c r="B10" s="142">
        <v>6</v>
      </c>
      <c r="C10" s="143" t="str">
        <f>SISWA!B11</f>
        <v>1718250040310</v>
      </c>
      <c r="D10" s="144" t="str">
        <f>SISWA!E11</f>
        <v>CAHAYA</v>
      </c>
      <c r="E10" s="159">
        <v>88</v>
      </c>
      <c r="F10" s="160"/>
      <c r="G10" s="160"/>
      <c r="H10" s="160"/>
      <c r="I10" s="160"/>
      <c r="J10" s="160"/>
      <c r="K10" s="160"/>
      <c r="L10" s="160"/>
      <c r="M10" s="159"/>
      <c r="N10" s="159"/>
      <c r="O10" s="159"/>
      <c r="P10" s="159"/>
      <c r="Q10" s="159"/>
      <c r="R10" s="159"/>
      <c r="S10" s="159"/>
      <c r="T10" s="159"/>
      <c r="U10" s="160"/>
      <c r="V10" s="160"/>
      <c r="W10" s="159"/>
      <c r="X10" s="354">
        <f t="shared" si="4"/>
        <v>88</v>
      </c>
      <c r="Y10" s="355" t="str">
        <f>IF(X10&gt;KKM!$G$10,"A",IF(X10&gt;KKM!$H$10,"B",IF(X10&gt;=KKM!$I$10,"C","D")))</f>
        <v>A</v>
      </c>
      <c r="Z10" s="356">
        <f t="shared" si="0"/>
        <v>88</v>
      </c>
      <c r="AA10" s="361" t="str">
        <f>IF(Z10&gt;KKM!$G$10," sangat baik ",IF(Z10&gt;KKM!$H$10," baik ",IF(Z10&gt;=KKM!$I$10," cukup baik "," perlu bimbingan ")))</f>
        <v xml:space="preserve"> sangat baik </v>
      </c>
      <c r="AB10" s="357">
        <f t="shared" si="1"/>
        <v>88</v>
      </c>
      <c r="AC10" s="361" t="str">
        <f>IF(AB10&gt;KKM!$G$10," sangat baik ",IF(AB10&gt;KKM!$H$10," baik ",IF(AB10&gt;=KKM!$I$10," cukup baik "," perlu bimbingan ")))</f>
        <v xml:space="preserve"> sangat baik </v>
      </c>
      <c r="AD10" s="353" t="str">
        <f t="shared" si="5"/>
        <v xml:space="preserve">CAHAYA sangat baik  dalam merespon instruksi sangat sederhana dengan tindakan secara berterima dalam konteks sekolah  </v>
      </c>
      <c r="AE10" s="256"/>
      <c r="AF10" s="257" t="str">
        <f t="shared" si="2"/>
        <v xml:space="preserve"> sangat baik  dalam merespon instruksi sangat sederhana dengan tindakan secara berterima dalam konteks sekolah  </v>
      </c>
      <c r="AG10" s="257" t="str">
        <f t="shared" si="3"/>
        <v xml:space="preserve"> sangat baik  dalam merespon instruksi sangat sederhana dengan tindakan secara berterima dalam konteks sekolah  </v>
      </c>
      <c r="AH10" s="257" t="str">
        <f t="shared" si="6"/>
        <v xml:space="preserve"> sangat baik  dalam merespon instruksi sangat sederhana dengan tindakan secara berterima dalam konteks sekolah  , dan  sangat baik  dalam merespon instruksi sangat sederhana dengan tindakan secara berterima dalam konteks sekolah  </v>
      </c>
      <c r="AI10" s="257" t="str">
        <f t="shared" si="7"/>
        <v xml:space="preserve"> sangat baik  dalam merespon instruksi sangat sederhana dengan tindakan secara berterima dalam konteks sekolah  </v>
      </c>
      <c r="AJ10" s="258" t="str">
        <f t="shared" si="8"/>
        <v xml:space="preserve"> sangat baik  dalam merespon instruksi sangat sederhana dengan tindakan secara berterima dalam konteks sekolah  </v>
      </c>
      <c r="AK10" s="252" t="str">
        <f t="shared" si="9"/>
        <v xml:space="preserve">CAHAYA sangat baik  dalam merespon instruksi sangat sederhana dengan tindakan secara berterima dalam konteks sekolah  </v>
      </c>
      <c r="AL10" s="153"/>
    </row>
    <row r="11" spans="1:38" ht="57" customHeight="1">
      <c r="B11" s="142">
        <v>7</v>
      </c>
      <c r="C11" s="143" t="str">
        <f>SISWA!B12</f>
        <v>1718250040311</v>
      </c>
      <c r="D11" s="144" t="str">
        <f>SISWA!E12</f>
        <v>CALISTA</v>
      </c>
      <c r="E11" s="159">
        <v>85</v>
      </c>
      <c r="F11" s="160"/>
      <c r="G11" s="160"/>
      <c r="H11" s="160"/>
      <c r="I11" s="160"/>
      <c r="J11" s="160"/>
      <c r="K11" s="160"/>
      <c r="L11" s="160"/>
      <c r="M11" s="159"/>
      <c r="N11" s="159"/>
      <c r="O11" s="159"/>
      <c r="P11" s="159"/>
      <c r="Q11" s="159"/>
      <c r="R11" s="159"/>
      <c r="S11" s="159"/>
      <c r="T11" s="159"/>
      <c r="U11" s="160"/>
      <c r="V11" s="160"/>
      <c r="W11" s="159"/>
      <c r="X11" s="354">
        <f t="shared" si="4"/>
        <v>85</v>
      </c>
      <c r="Y11" s="355" t="str">
        <f>IF(X11&gt;KKM!$G$10,"A",IF(X11&gt;KKM!$H$10,"B",IF(X11&gt;=KKM!$I$10,"C","D")))</f>
        <v>B</v>
      </c>
      <c r="Z11" s="356">
        <f t="shared" si="0"/>
        <v>85</v>
      </c>
      <c r="AA11" s="361" t="str">
        <f>IF(Z11&gt;KKM!$G$10," sangat baik ",IF(Z11&gt;KKM!$H$10," baik ",IF(Z11&gt;=KKM!$I$10," cukup baik "," perlu bimbingan ")))</f>
        <v xml:space="preserve"> baik </v>
      </c>
      <c r="AB11" s="357">
        <f t="shared" si="1"/>
        <v>85</v>
      </c>
      <c r="AC11" s="361" t="str">
        <f>IF(AB11&gt;KKM!$G$10," sangat baik ",IF(AB11&gt;KKM!$H$10," baik ",IF(AB11&gt;=KKM!$I$10," cukup baik "," perlu bimbingan ")))</f>
        <v xml:space="preserve"> baik </v>
      </c>
      <c r="AD11" s="353" t="str">
        <f t="shared" si="5"/>
        <v xml:space="preserve">CALISTA baik  dalam merespon instruksi sangat sederhana dengan tindakan secara berterima dalam konteks sekolah  </v>
      </c>
      <c r="AE11" s="256"/>
      <c r="AF11" s="257" t="str">
        <f t="shared" si="2"/>
        <v xml:space="preserve"> baik  dalam merespon instruksi sangat sederhana dengan tindakan secara berterima dalam konteks sekolah  </v>
      </c>
      <c r="AG11" s="257" t="str">
        <f t="shared" si="3"/>
        <v xml:space="preserve"> baik  dalam merespon instruksi sangat sederhana dengan tindakan secara berterima dalam konteks sekolah  </v>
      </c>
      <c r="AH11" s="257" t="str">
        <f t="shared" si="6"/>
        <v xml:space="preserve"> baik  dalam merespon instruksi sangat sederhana dengan tindakan secara berterima dalam konteks sekolah  , dan  baik  dalam merespon instruksi sangat sederhana dengan tindakan secara berterima dalam konteks sekolah  </v>
      </c>
      <c r="AI11" s="257" t="str">
        <f t="shared" si="7"/>
        <v xml:space="preserve"> baik  dalam merespon instruksi sangat sederhana dengan tindakan secara berterima dalam konteks sekolah  </v>
      </c>
      <c r="AJ11" s="258" t="str">
        <f t="shared" si="8"/>
        <v xml:space="preserve"> baik  dalam merespon instruksi sangat sederhana dengan tindakan secara berterima dalam konteks sekolah  </v>
      </c>
      <c r="AK11" s="252" t="str">
        <f t="shared" si="9"/>
        <v xml:space="preserve">CALISTA baik  dalam merespon instruksi sangat sederhana dengan tindakan secara berterima dalam konteks sekolah  </v>
      </c>
      <c r="AL11" s="153"/>
    </row>
    <row r="12" spans="1:38" ht="57" customHeight="1">
      <c r="B12" s="142">
        <v>8</v>
      </c>
      <c r="C12" s="143" t="str">
        <f>SISWA!B13</f>
        <v>1718250040312</v>
      </c>
      <c r="D12" s="144" t="str">
        <f>SISWA!E13</f>
        <v>CARISSA</v>
      </c>
      <c r="E12" s="159">
        <v>100</v>
      </c>
      <c r="F12" s="160"/>
      <c r="G12" s="160"/>
      <c r="H12" s="160"/>
      <c r="I12" s="160"/>
      <c r="J12" s="160"/>
      <c r="K12" s="160"/>
      <c r="L12" s="160"/>
      <c r="M12" s="159"/>
      <c r="N12" s="159"/>
      <c r="O12" s="159"/>
      <c r="P12" s="159"/>
      <c r="Q12" s="159"/>
      <c r="R12" s="159"/>
      <c r="S12" s="159"/>
      <c r="T12" s="159"/>
      <c r="U12" s="160"/>
      <c r="V12" s="160"/>
      <c r="W12" s="159"/>
      <c r="X12" s="354">
        <f t="shared" si="4"/>
        <v>100</v>
      </c>
      <c r="Y12" s="355" t="str">
        <f>IF(X12&gt;KKM!$G$10,"A",IF(X12&gt;KKM!$H$10,"B",IF(X12&gt;=KKM!$I$10,"C","D")))</f>
        <v>A</v>
      </c>
      <c r="Z12" s="356">
        <f t="shared" si="0"/>
        <v>100</v>
      </c>
      <c r="AA12" s="361" t="str">
        <f>IF(Z12&gt;KKM!$G$10," sangat baik ",IF(Z12&gt;KKM!$H$10," baik ",IF(Z12&gt;=KKM!$I$10," cukup baik "," perlu bimbingan ")))</f>
        <v xml:space="preserve"> sangat baik </v>
      </c>
      <c r="AB12" s="357">
        <f t="shared" si="1"/>
        <v>100</v>
      </c>
      <c r="AC12" s="361" t="str">
        <f>IF(AB12&gt;KKM!$G$10," sangat baik ",IF(AB12&gt;KKM!$H$10," baik ",IF(AB12&gt;=KKM!$I$10," cukup baik "," perlu bimbingan ")))</f>
        <v xml:space="preserve"> sangat baik </v>
      </c>
      <c r="AD12" s="353" t="str">
        <f t="shared" si="5"/>
        <v xml:space="preserve">CARISSA sangat baik  dalam merespon instruksi sangat sederhana dengan tindakan secara berterima dalam konteks sekolah  </v>
      </c>
      <c r="AE12" s="256"/>
      <c r="AF12" s="257" t="str">
        <f t="shared" si="2"/>
        <v xml:space="preserve"> sangat baik  dalam merespon instruksi sangat sederhana dengan tindakan secara berterima dalam konteks sekolah  </v>
      </c>
      <c r="AG12" s="257" t="str">
        <f t="shared" si="3"/>
        <v xml:space="preserve"> sangat baik  dalam merespon instruksi sangat sederhana dengan tindakan secara berterima dalam konteks sekolah  </v>
      </c>
      <c r="AH12" s="257" t="str">
        <f t="shared" si="6"/>
        <v xml:space="preserve"> sangat baik  dalam merespon instruksi sangat sederhana dengan tindakan secara berterima dalam konteks sekolah  , dan  sangat baik  dalam merespon instruksi sangat sederhana dengan tindakan secara berterima dalam konteks sekolah  </v>
      </c>
      <c r="AI12" s="257" t="str">
        <f t="shared" si="7"/>
        <v xml:space="preserve"> sangat baik  dalam merespon instruksi sangat sederhana dengan tindakan secara berterima dalam konteks sekolah  </v>
      </c>
      <c r="AJ12" s="258" t="str">
        <f t="shared" si="8"/>
        <v xml:space="preserve"> sangat baik  dalam merespon instruksi sangat sederhana dengan tindakan secara berterima dalam konteks sekolah  </v>
      </c>
      <c r="AK12" s="252" t="str">
        <f t="shared" si="9"/>
        <v xml:space="preserve">CARISSA sangat baik  dalam merespon instruksi sangat sederhana dengan tindakan secara berterima dalam konteks sekolah  </v>
      </c>
      <c r="AL12" s="153"/>
    </row>
    <row r="13" spans="1:38" ht="57" customHeight="1">
      <c r="B13" s="142">
        <v>9</v>
      </c>
      <c r="C13" s="143" t="str">
        <f>SISWA!B14</f>
        <v>1718250040313</v>
      </c>
      <c r="D13" s="144" t="str">
        <f>SISWA!E14</f>
        <v>CHAIDAR</v>
      </c>
      <c r="E13" s="159">
        <v>94</v>
      </c>
      <c r="F13" s="160"/>
      <c r="G13" s="160"/>
      <c r="H13" s="160"/>
      <c r="I13" s="160"/>
      <c r="J13" s="160"/>
      <c r="K13" s="160"/>
      <c r="L13" s="160"/>
      <c r="M13" s="159"/>
      <c r="N13" s="159"/>
      <c r="O13" s="159"/>
      <c r="P13" s="159"/>
      <c r="Q13" s="159"/>
      <c r="R13" s="159"/>
      <c r="S13" s="159"/>
      <c r="T13" s="159"/>
      <c r="U13" s="160"/>
      <c r="V13" s="160"/>
      <c r="W13" s="159"/>
      <c r="X13" s="354">
        <f t="shared" si="4"/>
        <v>94</v>
      </c>
      <c r="Y13" s="355" t="str">
        <f>IF(X13&gt;KKM!$G$10,"A",IF(X13&gt;KKM!$H$10,"B",IF(X13&gt;=KKM!$I$10,"C","D")))</f>
        <v>A</v>
      </c>
      <c r="Z13" s="356">
        <f t="shared" si="0"/>
        <v>94</v>
      </c>
      <c r="AA13" s="361" t="str">
        <f>IF(Z13&gt;KKM!$G$10," sangat baik ",IF(Z13&gt;KKM!$H$10," baik ",IF(Z13&gt;=KKM!$I$10," cukup baik "," perlu bimbingan ")))</f>
        <v xml:space="preserve"> sangat baik </v>
      </c>
      <c r="AB13" s="357">
        <f t="shared" si="1"/>
        <v>94</v>
      </c>
      <c r="AC13" s="361" t="str">
        <f>IF(AB13&gt;KKM!$G$10," sangat baik ",IF(AB13&gt;KKM!$H$10," baik ",IF(AB13&gt;=KKM!$I$10," cukup baik "," perlu bimbingan ")))</f>
        <v xml:space="preserve"> sangat baik </v>
      </c>
      <c r="AD13" s="353" t="str">
        <f t="shared" si="5"/>
        <v xml:space="preserve">CHAIDAR sangat baik  dalam merespon instruksi sangat sederhana dengan tindakan secara berterima dalam konteks sekolah  </v>
      </c>
      <c r="AE13" s="256"/>
      <c r="AF13" s="257" t="str">
        <f t="shared" si="2"/>
        <v xml:space="preserve"> sangat baik  dalam merespon instruksi sangat sederhana dengan tindakan secara berterima dalam konteks sekolah  </v>
      </c>
      <c r="AG13" s="257" t="str">
        <f t="shared" si="3"/>
        <v xml:space="preserve"> sangat baik  dalam merespon instruksi sangat sederhana dengan tindakan secara berterima dalam konteks sekolah  </v>
      </c>
      <c r="AH13" s="257" t="str">
        <f t="shared" si="6"/>
        <v xml:space="preserve"> sangat baik  dalam merespon instruksi sangat sederhana dengan tindakan secara berterima dalam konteks sekolah  , dan  sangat baik  dalam merespon instruksi sangat sederhana dengan tindakan secara berterima dalam konteks sekolah  </v>
      </c>
      <c r="AI13" s="257" t="str">
        <f t="shared" si="7"/>
        <v xml:space="preserve"> sangat baik  dalam merespon instruksi sangat sederhana dengan tindakan secara berterima dalam konteks sekolah  </v>
      </c>
      <c r="AJ13" s="258" t="str">
        <f t="shared" si="8"/>
        <v xml:space="preserve"> sangat baik  dalam merespon instruksi sangat sederhana dengan tindakan secara berterima dalam konteks sekolah  </v>
      </c>
      <c r="AK13" s="252" t="str">
        <f t="shared" si="9"/>
        <v xml:space="preserve">CHAIDAR sangat baik  dalam merespon instruksi sangat sederhana dengan tindakan secara berterima dalam konteks sekolah  </v>
      </c>
      <c r="AL13" s="153"/>
    </row>
    <row r="14" spans="1:38" ht="57" customHeight="1">
      <c r="B14" s="142">
        <v>10</v>
      </c>
      <c r="C14" s="143" t="str">
        <f>SISWA!B15</f>
        <v>1718250040314</v>
      </c>
      <c r="D14" s="144" t="str">
        <f>SISWA!E15</f>
        <v>DAVKA</v>
      </c>
      <c r="E14" s="159">
        <v>91</v>
      </c>
      <c r="F14" s="160"/>
      <c r="G14" s="160"/>
      <c r="H14" s="160"/>
      <c r="I14" s="160"/>
      <c r="J14" s="160"/>
      <c r="K14" s="160"/>
      <c r="L14" s="160"/>
      <c r="M14" s="159"/>
      <c r="N14" s="159"/>
      <c r="O14" s="159"/>
      <c r="P14" s="159"/>
      <c r="Q14" s="159"/>
      <c r="R14" s="159"/>
      <c r="S14" s="159"/>
      <c r="T14" s="159"/>
      <c r="U14" s="160"/>
      <c r="V14" s="160"/>
      <c r="W14" s="159"/>
      <c r="X14" s="354">
        <f t="shared" si="4"/>
        <v>91</v>
      </c>
      <c r="Y14" s="355" t="str">
        <f>IF(X14&gt;KKM!$G$10,"A",IF(X14&gt;KKM!$H$10,"B",IF(X14&gt;=KKM!$I$10,"C","D")))</f>
        <v>A</v>
      </c>
      <c r="Z14" s="356">
        <f t="shared" si="0"/>
        <v>91</v>
      </c>
      <c r="AA14" s="361" t="str">
        <f>IF(Z14&gt;KKM!$G$10," sangat baik ",IF(Z14&gt;KKM!$H$10," baik ",IF(Z14&gt;=KKM!$I$10," cukup baik "," perlu bimbingan ")))</f>
        <v xml:space="preserve"> sangat baik </v>
      </c>
      <c r="AB14" s="357">
        <f t="shared" si="1"/>
        <v>91</v>
      </c>
      <c r="AC14" s="361" t="str">
        <f>IF(AB14&gt;KKM!$G$10," sangat baik ",IF(AB14&gt;KKM!$H$10," baik ",IF(AB14&gt;=KKM!$I$10," cukup baik "," perlu bimbingan ")))</f>
        <v xml:space="preserve"> sangat baik </v>
      </c>
      <c r="AD14" s="353" t="str">
        <f t="shared" si="5"/>
        <v xml:space="preserve">DAVKA sangat baik  dalam merespon instruksi sangat sederhana dengan tindakan secara berterima dalam konteks sekolah  </v>
      </c>
      <c r="AE14" s="256"/>
      <c r="AF14" s="257" t="str">
        <f t="shared" si="2"/>
        <v xml:space="preserve"> sangat baik  dalam merespon instruksi sangat sederhana dengan tindakan secara berterima dalam konteks sekolah  </v>
      </c>
      <c r="AG14" s="257" t="str">
        <f t="shared" si="3"/>
        <v xml:space="preserve"> sangat baik  dalam merespon instruksi sangat sederhana dengan tindakan secara berterima dalam konteks sekolah  </v>
      </c>
      <c r="AH14" s="257" t="str">
        <f t="shared" si="6"/>
        <v xml:space="preserve"> sangat baik  dalam merespon instruksi sangat sederhana dengan tindakan secara berterima dalam konteks sekolah  , dan  sangat baik  dalam merespon instruksi sangat sederhana dengan tindakan secara berterima dalam konteks sekolah  </v>
      </c>
      <c r="AI14" s="257" t="str">
        <f t="shared" si="7"/>
        <v xml:space="preserve"> sangat baik  dalam merespon instruksi sangat sederhana dengan tindakan secara berterima dalam konteks sekolah  </v>
      </c>
      <c r="AJ14" s="258" t="str">
        <f t="shared" si="8"/>
        <v xml:space="preserve"> sangat baik  dalam merespon instruksi sangat sederhana dengan tindakan secara berterima dalam konteks sekolah  </v>
      </c>
      <c r="AK14" s="252" t="str">
        <f t="shared" si="9"/>
        <v xml:space="preserve">DAVKA sangat baik  dalam merespon instruksi sangat sederhana dengan tindakan secara berterima dalam konteks sekolah  </v>
      </c>
      <c r="AL14" s="153"/>
    </row>
    <row r="15" spans="1:38" ht="57" customHeight="1">
      <c r="B15" s="142">
        <v>11</v>
      </c>
      <c r="C15" s="143" t="str">
        <f>SISWA!B16</f>
        <v>1718250040315</v>
      </c>
      <c r="D15" s="144" t="str">
        <f>SISWA!E16</f>
        <v>DZIBRIL</v>
      </c>
      <c r="E15" s="159">
        <v>88</v>
      </c>
      <c r="F15" s="160"/>
      <c r="G15" s="160"/>
      <c r="H15" s="160"/>
      <c r="I15" s="160"/>
      <c r="J15" s="160"/>
      <c r="K15" s="160"/>
      <c r="L15" s="160"/>
      <c r="M15" s="159"/>
      <c r="N15" s="159"/>
      <c r="O15" s="159"/>
      <c r="P15" s="159"/>
      <c r="Q15" s="159"/>
      <c r="R15" s="159"/>
      <c r="S15" s="159"/>
      <c r="T15" s="159"/>
      <c r="U15" s="160"/>
      <c r="V15" s="160"/>
      <c r="W15" s="159"/>
      <c r="X15" s="354">
        <f t="shared" si="4"/>
        <v>88</v>
      </c>
      <c r="Y15" s="355" t="str">
        <f>IF(X15&gt;KKM!$G$10,"A",IF(X15&gt;KKM!$H$10,"B",IF(X15&gt;=KKM!$I$10,"C","D")))</f>
        <v>A</v>
      </c>
      <c r="Z15" s="356">
        <f t="shared" si="0"/>
        <v>88</v>
      </c>
      <c r="AA15" s="361" t="str">
        <f>IF(Z15&gt;KKM!$G$10," sangat baik ",IF(Z15&gt;KKM!$H$10," baik ",IF(Z15&gt;=KKM!$I$10," cukup baik "," perlu bimbingan ")))</f>
        <v xml:space="preserve"> sangat baik </v>
      </c>
      <c r="AB15" s="357">
        <f t="shared" si="1"/>
        <v>88</v>
      </c>
      <c r="AC15" s="361" t="str">
        <f>IF(AB15&gt;KKM!$G$10," sangat baik ",IF(AB15&gt;KKM!$H$10," baik ",IF(AB15&gt;=KKM!$I$10," cukup baik "," perlu bimbingan ")))</f>
        <v xml:space="preserve"> sangat baik </v>
      </c>
      <c r="AD15" s="353" t="str">
        <f t="shared" si="5"/>
        <v xml:space="preserve">DZIBRIL sangat baik  dalam merespon instruksi sangat sederhana dengan tindakan secara berterima dalam konteks sekolah  </v>
      </c>
      <c r="AE15" s="256"/>
      <c r="AF15" s="257" t="str">
        <f t="shared" si="2"/>
        <v xml:space="preserve"> sangat baik  dalam merespon instruksi sangat sederhana dengan tindakan secara berterima dalam konteks sekolah  </v>
      </c>
      <c r="AG15" s="257" t="str">
        <f t="shared" si="3"/>
        <v xml:space="preserve"> sangat baik  dalam merespon instruksi sangat sederhana dengan tindakan secara berterima dalam konteks sekolah  </v>
      </c>
      <c r="AH15" s="257" t="str">
        <f t="shared" si="6"/>
        <v xml:space="preserve"> sangat baik  dalam merespon instruksi sangat sederhana dengan tindakan secara berterima dalam konteks sekolah  , dan  sangat baik  dalam merespon instruksi sangat sederhana dengan tindakan secara berterima dalam konteks sekolah  </v>
      </c>
      <c r="AI15" s="257" t="str">
        <f t="shared" si="7"/>
        <v xml:space="preserve"> sangat baik  dalam merespon instruksi sangat sederhana dengan tindakan secara berterima dalam konteks sekolah  </v>
      </c>
      <c r="AJ15" s="258" t="str">
        <f t="shared" si="8"/>
        <v xml:space="preserve"> sangat baik  dalam merespon instruksi sangat sederhana dengan tindakan secara berterima dalam konteks sekolah  </v>
      </c>
      <c r="AK15" s="252" t="str">
        <f t="shared" si="9"/>
        <v xml:space="preserve">DZIBRIL sangat baik  dalam merespon instruksi sangat sederhana dengan tindakan secara berterima dalam konteks sekolah  </v>
      </c>
      <c r="AL15" s="153"/>
    </row>
    <row r="16" spans="1:38" ht="57" customHeight="1">
      <c r="B16" s="142">
        <v>12</v>
      </c>
      <c r="C16" s="143" t="str">
        <f>SISWA!B17</f>
        <v>1718250040316</v>
      </c>
      <c r="D16" s="144" t="str">
        <f>SISWA!E17</f>
        <v>ERICHA</v>
      </c>
      <c r="E16" s="159">
        <v>88</v>
      </c>
      <c r="F16" s="160"/>
      <c r="G16" s="160"/>
      <c r="H16" s="160"/>
      <c r="I16" s="160"/>
      <c r="J16" s="160"/>
      <c r="K16" s="160"/>
      <c r="L16" s="160"/>
      <c r="M16" s="159"/>
      <c r="N16" s="159"/>
      <c r="O16" s="159"/>
      <c r="P16" s="159"/>
      <c r="Q16" s="159"/>
      <c r="R16" s="159"/>
      <c r="S16" s="159"/>
      <c r="T16" s="159"/>
      <c r="U16" s="160"/>
      <c r="V16" s="160"/>
      <c r="W16" s="159"/>
      <c r="X16" s="354">
        <f t="shared" si="4"/>
        <v>88</v>
      </c>
      <c r="Y16" s="355" t="str">
        <f>IF(X16&gt;KKM!$G$10,"A",IF(X16&gt;KKM!$H$10,"B",IF(X16&gt;=KKM!$I$10,"C","D")))</f>
        <v>A</v>
      </c>
      <c r="Z16" s="356">
        <f t="shared" si="0"/>
        <v>88</v>
      </c>
      <c r="AA16" s="361" t="str">
        <f>IF(Z16&gt;KKM!$G$10," sangat baik ",IF(Z16&gt;KKM!$H$10," baik ",IF(Z16&gt;=KKM!$I$10," cukup baik "," perlu bimbingan ")))</f>
        <v xml:space="preserve"> sangat baik </v>
      </c>
      <c r="AB16" s="357">
        <f t="shared" si="1"/>
        <v>88</v>
      </c>
      <c r="AC16" s="361" t="str">
        <f>IF(AB16&gt;KKM!$G$10," sangat baik ",IF(AB16&gt;KKM!$H$10," baik ",IF(AB16&gt;=KKM!$I$10," cukup baik "," perlu bimbingan ")))</f>
        <v xml:space="preserve"> sangat baik </v>
      </c>
      <c r="AD16" s="353" t="str">
        <f t="shared" si="5"/>
        <v xml:space="preserve">ERICHA sangat baik  dalam merespon instruksi sangat sederhana dengan tindakan secara berterima dalam konteks sekolah  </v>
      </c>
      <c r="AE16" s="256"/>
      <c r="AF16" s="257" t="str">
        <f t="shared" si="2"/>
        <v xml:space="preserve"> sangat baik  dalam merespon instruksi sangat sederhana dengan tindakan secara berterima dalam konteks sekolah  </v>
      </c>
      <c r="AG16" s="257" t="str">
        <f t="shared" si="3"/>
        <v xml:space="preserve"> sangat baik  dalam merespon instruksi sangat sederhana dengan tindakan secara berterima dalam konteks sekolah  </v>
      </c>
      <c r="AH16" s="257" t="str">
        <f t="shared" si="6"/>
        <v xml:space="preserve"> sangat baik  dalam merespon instruksi sangat sederhana dengan tindakan secara berterima dalam konteks sekolah  , dan  sangat baik  dalam merespon instruksi sangat sederhana dengan tindakan secara berterima dalam konteks sekolah  </v>
      </c>
      <c r="AI16" s="257" t="str">
        <f t="shared" si="7"/>
        <v xml:space="preserve"> sangat baik  dalam merespon instruksi sangat sederhana dengan tindakan secara berterima dalam konteks sekolah  </v>
      </c>
      <c r="AJ16" s="258" t="str">
        <f t="shared" si="8"/>
        <v xml:space="preserve"> sangat baik  dalam merespon instruksi sangat sederhana dengan tindakan secara berterima dalam konteks sekolah  </v>
      </c>
      <c r="AK16" s="252" t="str">
        <f t="shared" si="9"/>
        <v xml:space="preserve">ERICHA sangat baik  dalam merespon instruksi sangat sederhana dengan tindakan secara berterima dalam konteks sekolah  </v>
      </c>
      <c r="AL16" s="153"/>
    </row>
    <row r="17" spans="2:38" ht="57" customHeight="1">
      <c r="B17" s="142">
        <v>13</v>
      </c>
      <c r="C17" s="143" t="str">
        <f>SISWA!B18</f>
        <v>1718250040317</v>
      </c>
      <c r="D17" s="144" t="str">
        <f>SISWA!E18</f>
        <v>HISYAM</v>
      </c>
      <c r="E17" s="159">
        <v>88</v>
      </c>
      <c r="F17" s="160"/>
      <c r="G17" s="160"/>
      <c r="H17" s="160"/>
      <c r="I17" s="160"/>
      <c r="J17" s="160"/>
      <c r="K17" s="160"/>
      <c r="L17" s="160"/>
      <c r="M17" s="159"/>
      <c r="N17" s="159"/>
      <c r="O17" s="159"/>
      <c r="P17" s="159"/>
      <c r="Q17" s="159"/>
      <c r="R17" s="159"/>
      <c r="S17" s="159"/>
      <c r="T17" s="159"/>
      <c r="U17" s="160"/>
      <c r="V17" s="160"/>
      <c r="W17" s="159"/>
      <c r="X17" s="354">
        <f t="shared" si="4"/>
        <v>88</v>
      </c>
      <c r="Y17" s="355" t="str">
        <f>IF(X17&gt;KKM!$G$10,"A",IF(X17&gt;KKM!$H$10,"B",IF(X17&gt;=KKM!$I$10,"C","D")))</f>
        <v>A</v>
      </c>
      <c r="Z17" s="356">
        <f t="shared" si="0"/>
        <v>88</v>
      </c>
      <c r="AA17" s="361" t="str">
        <f>IF(Z17&gt;KKM!$G$10," sangat baik ",IF(Z17&gt;KKM!$H$10," baik ",IF(Z17&gt;=KKM!$I$10," cukup baik "," perlu bimbingan ")))</f>
        <v xml:space="preserve"> sangat baik </v>
      </c>
      <c r="AB17" s="357">
        <f t="shared" si="1"/>
        <v>88</v>
      </c>
      <c r="AC17" s="361" t="str">
        <f>IF(AB17&gt;KKM!$G$10," sangat baik ",IF(AB17&gt;KKM!$H$10," baik ",IF(AB17&gt;=KKM!$I$10," cukup baik "," perlu bimbingan ")))</f>
        <v xml:space="preserve"> sangat baik </v>
      </c>
      <c r="AD17" s="353" t="str">
        <f t="shared" si="5"/>
        <v xml:space="preserve">HISYAM sangat baik  dalam merespon instruksi sangat sederhana dengan tindakan secara berterima dalam konteks sekolah  </v>
      </c>
      <c r="AE17" s="256"/>
      <c r="AF17" s="257" t="str">
        <f t="shared" si="2"/>
        <v xml:space="preserve"> sangat baik  dalam merespon instruksi sangat sederhana dengan tindakan secara berterima dalam konteks sekolah  </v>
      </c>
      <c r="AG17" s="257" t="str">
        <f t="shared" si="3"/>
        <v xml:space="preserve"> sangat baik  dalam merespon instruksi sangat sederhana dengan tindakan secara berterima dalam konteks sekolah  </v>
      </c>
      <c r="AH17" s="257" t="str">
        <f t="shared" si="6"/>
        <v xml:space="preserve"> sangat baik  dalam merespon instruksi sangat sederhana dengan tindakan secara berterima dalam konteks sekolah  , dan  sangat baik  dalam merespon instruksi sangat sederhana dengan tindakan secara berterima dalam konteks sekolah  </v>
      </c>
      <c r="AI17" s="257" t="str">
        <f t="shared" si="7"/>
        <v xml:space="preserve"> sangat baik  dalam merespon instruksi sangat sederhana dengan tindakan secara berterima dalam konteks sekolah  </v>
      </c>
      <c r="AJ17" s="258" t="str">
        <f t="shared" si="8"/>
        <v xml:space="preserve"> sangat baik  dalam merespon instruksi sangat sederhana dengan tindakan secara berterima dalam konteks sekolah  </v>
      </c>
      <c r="AK17" s="252" t="str">
        <f t="shared" si="9"/>
        <v xml:space="preserve">HISYAM sangat baik  dalam merespon instruksi sangat sederhana dengan tindakan secara berterima dalam konteks sekolah  </v>
      </c>
      <c r="AL17" s="153"/>
    </row>
    <row r="18" spans="2:38" ht="57" customHeight="1">
      <c r="B18" s="142">
        <v>14</v>
      </c>
      <c r="C18" s="143" t="str">
        <f>SISWA!B19</f>
        <v>1718250040318</v>
      </c>
      <c r="D18" s="144" t="str">
        <f>SISWA!E19</f>
        <v>FAUZI</v>
      </c>
      <c r="E18" s="159">
        <v>97</v>
      </c>
      <c r="F18" s="160"/>
      <c r="G18" s="160"/>
      <c r="H18" s="160"/>
      <c r="I18" s="160"/>
      <c r="J18" s="160"/>
      <c r="K18" s="160"/>
      <c r="L18" s="160"/>
      <c r="M18" s="159"/>
      <c r="N18" s="159"/>
      <c r="O18" s="159"/>
      <c r="P18" s="159"/>
      <c r="Q18" s="159"/>
      <c r="R18" s="159"/>
      <c r="S18" s="159"/>
      <c r="T18" s="159"/>
      <c r="U18" s="160"/>
      <c r="V18" s="160"/>
      <c r="W18" s="159"/>
      <c r="X18" s="354">
        <f t="shared" si="4"/>
        <v>97</v>
      </c>
      <c r="Y18" s="355" t="str">
        <f>IF(X18&gt;KKM!$G$10,"A",IF(X18&gt;KKM!$H$10,"B",IF(X18&gt;=KKM!$I$10,"C","D")))</f>
        <v>A</v>
      </c>
      <c r="Z18" s="356">
        <f t="shared" si="0"/>
        <v>97</v>
      </c>
      <c r="AA18" s="361" t="str">
        <f>IF(Z18&gt;KKM!$G$10," sangat baik ",IF(Z18&gt;KKM!$H$10," baik ",IF(Z18&gt;=KKM!$I$10," cukup baik "," perlu bimbingan ")))</f>
        <v xml:space="preserve"> sangat baik </v>
      </c>
      <c r="AB18" s="357">
        <f t="shared" si="1"/>
        <v>97</v>
      </c>
      <c r="AC18" s="361" t="str">
        <f>IF(AB18&gt;KKM!$G$10," sangat baik ",IF(AB18&gt;KKM!$H$10," baik ",IF(AB18&gt;=KKM!$I$10," cukup baik "," perlu bimbingan ")))</f>
        <v xml:space="preserve"> sangat baik </v>
      </c>
      <c r="AD18" s="353" t="str">
        <f t="shared" si="5"/>
        <v xml:space="preserve">FAUZI sangat baik  dalam merespon instruksi sangat sederhana dengan tindakan secara berterima dalam konteks sekolah  </v>
      </c>
      <c r="AE18" s="256"/>
      <c r="AF18" s="257" t="str">
        <f t="shared" si="2"/>
        <v xml:space="preserve"> sangat baik  dalam merespon instruksi sangat sederhana dengan tindakan secara berterima dalam konteks sekolah  </v>
      </c>
      <c r="AG18" s="257" t="str">
        <f t="shared" si="3"/>
        <v xml:space="preserve"> sangat baik  dalam merespon instruksi sangat sederhana dengan tindakan secara berterima dalam konteks sekolah  </v>
      </c>
      <c r="AH18" s="257" t="str">
        <f t="shared" si="6"/>
        <v xml:space="preserve"> sangat baik  dalam merespon instruksi sangat sederhana dengan tindakan secara berterima dalam konteks sekolah  , dan  sangat baik  dalam merespon instruksi sangat sederhana dengan tindakan secara berterima dalam konteks sekolah  </v>
      </c>
      <c r="AI18" s="257" t="str">
        <f t="shared" si="7"/>
        <v xml:space="preserve"> sangat baik  dalam merespon instruksi sangat sederhana dengan tindakan secara berterima dalam konteks sekolah  </v>
      </c>
      <c r="AJ18" s="258" t="str">
        <f t="shared" si="8"/>
        <v xml:space="preserve"> sangat baik  dalam merespon instruksi sangat sederhana dengan tindakan secara berterima dalam konteks sekolah  </v>
      </c>
      <c r="AK18" s="252" t="str">
        <f t="shared" si="9"/>
        <v xml:space="preserve">FAUZI sangat baik  dalam merespon instruksi sangat sederhana dengan tindakan secara berterima dalam konteks sekolah  </v>
      </c>
      <c r="AL18" s="153"/>
    </row>
    <row r="19" spans="2:38" ht="57" customHeight="1">
      <c r="B19" s="142">
        <v>15</v>
      </c>
      <c r="C19" s="143" t="str">
        <f>SISWA!B20</f>
        <v>1718250040319</v>
      </c>
      <c r="D19" s="144" t="str">
        <f>SISWA!E20</f>
        <v>FIRLY</v>
      </c>
      <c r="E19" s="159">
        <v>91</v>
      </c>
      <c r="F19" s="160"/>
      <c r="G19" s="160"/>
      <c r="H19" s="160"/>
      <c r="I19" s="160"/>
      <c r="J19" s="160"/>
      <c r="K19" s="160"/>
      <c r="L19" s="160"/>
      <c r="M19" s="159"/>
      <c r="N19" s="159"/>
      <c r="O19" s="159"/>
      <c r="P19" s="159"/>
      <c r="Q19" s="159"/>
      <c r="R19" s="159"/>
      <c r="S19" s="159"/>
      <c r="T19" s="159"/>
      <c r="U19" s="160"/>
      <c r="V19" s="160"/>
      <c r="W19" s="159"/>
      <c r="X19" s="354">
        <f t="shared" si="4"/>
        <v>91</v>
      </c>
      <c r="Y19" s="355" t="str">
        <f>IF(X19&gt;KKM!$G$10,"A",IF(X19&gt;KKM!$H$10,"B",IF(X19&gt;=KKM!$I$10,"C","D")))</f>
        <v>A</v>
      </c>
      <c r="Z19" s="356">
        <f t="shared" si="0"/>
        <v>91</v>
      </c>
      <c r="AA19" s="361" t="str">
        <f>IF(Z19&gt;KKM!$G$10," sangat baik ",IF(Z19&gt;KKM!$H$10," baik ",IF(Z19&gt;=KKM!$I$10," cukup baik "," perlu bimbingan ")))</f>
        <v xml:space="preserve"> sangat baik </v>
      </c>
      <c r="AB19" s="357">
        <f t="shared" si="1"/>
        <v>91</v>
      </c>
      <c r="AC19" s="361" t="str">
        <f>IF(AB19&gt;KKM!$G$10," sangat baik ",IF(AB19&gt;KKM!$H$10," baik ",IF(AB19&gt;=KKM!$I$10," cukup baik "," perlu bimbingan ")))</f>
        <v xml:space="preserve"> sangat baik </v>
      </c>
      <c r="AD19" s="353" t="str">
        <f t="shared" si="5"/>
        <v xml:space="preserve">FIRLY sangat baik  dalam merespon instruksi sangat sederhana dengan tindakan secara berterima dalam konteks sekolah  </v>
      </c>
      <c r="AE19" s="256"/>
      <c r="AF19" s="257" t="str">
        <f t="shared" si="2"/>
        <v xml:space="preserve"> sangat baik  dalam merespon instruksi sangat sederhana dengan tindakan secara berterima dalam konteks sekolah  </v>
      </c>
      <c r="AG19" s="257" t="str">
        <f t="shared" si="3"/>
        <v xml:space="preserve"> sangat baik  dalam merespon instruksi sangat sederhana dengan tindakan secara berterima dalam konteks sekolah  </v>
      </c>
      <c r="AH19" s="257" t="str">
        <f t="shared" si="6"/>
        <v xml:space="preserve"> sangat baik  dalam merespon instruksi sangat sederhana dengan tindakan secara berterima dalam konteks sekolah  , dan  sangat baik  dalam merespon instruksi sangat sederhana dengan tindakan secara berterima dalam konteks sekolah  </v>
      </c>
      <c r="AI19" s="257" t="str">
        <f t="shared" si="7"/>
        <v xml:space="preserve"> sangat baik  dalam merespon instruksi sangat sederhana dengan tindakan secara berterima dalam konteks sekolah  </v>
      </c>
      <c r="AJ19" s="258" t="str">
        <f t="shared" si="8"/>
        <v xml:space="preserve"> sangat baik  dalam merespon instruksi sangat sederhana dengan tindakan secara berterima dalam konteks sekolah  </v>
      </c>
      <c r="AK19" s="252" t="str">
        <f t="shared" si="9"/>
        <v xml:space="preserve">FIRLY sangat baik  dalam merespon instruksi sangat sederhana dengan tindakan secara berterima dalam konteks sekolah  </v>
      </c>
      <c r="AL19" s="153"/>
    </row>
    <row r="20" spans="2:38" ht="57" customHeight="1">
      <c r="B20" s="142">
        <v>16</v>
      </c>
      <c r="C20" s="143" t="str">
        <f>SISWA!B21</f>
        <v>1718250040320</v>
      </c>
      <c r="D20" s="144" t="str">
        <f>SISWA!E21</f>
        <v>HANA</v>
      </c>
      <c r="E20" s="159">
        <v>85</v>
      </c>
      <c r="F20" s="160"/>
      <c r="G20" s="160"/>
      <c r="H20" s="160"/>
      <c r="I20" s="160"/>
      <c r="J20" s="160"/>
      <c r="K20" s="160"/>
      <c r="L20" s="160"/>
      <c r="M20" s="159"/>
      <c r="N20" s="159"/>
      <c r="O20" s="159"/>
      <c r="P20" s="159"/>
      <c r="Q20" s="159"/>
      <c r="R20" s="159"/>
      <c r="S20" s="159"/>
      <c r="T20" s="159"/>
      <c r="U20" s="160"/>
      <c r="V20" s="160"/>
      <c r="W20" s="159"/>
      <c r="X20" s="354">
        <f t="shared" si="4"/>
        <v>85</v>
      </c>
      <c r="Y20" s="355" t="str">
        <f>IF(X20&gt;KKM!$G$10,"A",IF(X20&gt;KKM!$H$10,"B",IF(X20&gt;=KKM!$I$10,"C","D")))</f>
        <v>B</v>
      </c>
      <c r="Z20" s="356">
        <f t="shared" si="0"/>
        <v>85</v>
      </c>
      <c r="AA20" s="361" t="str">
        <f>IF(Z20&gt;KKM!$G$10," sangat baik ",IF(Z20&gt;KKM!$H$10," baik ",IF(Z20&gt;=KKM!$I$10," cukup baik "," perlu bimbingan ")))</f>
        <v xml:space="preserve"> baik </v>
      </c>
      <c r="AB20" s="357">
        <f t="shared" si="1"/>
        <v>85</v>
      </c>
      <c r="AC20" s="361" t="str">
        <f>IF(AB20&gt;KKM!$G$10," sangat baik ",IF(AB20&gt;KKM!$H$10," baik ",IF(AB20&gt;=KKM!$I$10," cukup baik "," perlu bimbingan ")))</f>
        <v xml:space="preserve"> baik </v>
      </c>
      <c r="AD20" s="353" t="str">
        <f t="shared" si="5"/>
        <v xml:space="preserve">HANA baik  dalam merespon instruksi sangat sederhana dengan tindakan secara berterima dalam konteks sekolah  </v>
      </c>
      <c r="AE20" s="256"/>
      <c r="AF20" s="257" t="str">
        <f t="shared" si="2"/>
        <v xml:space="preserve"> baik  dalam merespon instruksi sangat sederhana dengan tindakan secara berterima dalam konteks sekolah  </v>
      </c>
      <c r="AG20" s="257" t="str">
        <f t="shared" si="3"/>
        <v xml:space="preserve"> baik  dalam merespon instruksi sangat sederhana dengan tindakan secara berterima dalam konteks sekolah  </v>
      </c>
      <c r="AH20" s="257" t="str">
        <f t="shared" si="6"/>
        <v xml:space="preserve"> baik  dalam merespon instruksi sangat sederhana dengan tindakan secara berterima dalam konteks sekolah  , dan  baik  dalam merespon instruksi sangat sederhana dengan tindakan secara berterima dalam konteks sekolah  </v>
      </c>
      <c r="AI20" s="257" t="str">
        <f t="shared" si="7"/>
        <v xml:space="preserve"> baik  dalam merespon instruksi sangat sederhana dengan tindakan secara berterima dalam konteks sekolah  </v>
      </c>
      <c r="AJ20" s="258" t="str">
        <f t="shared" si="8"/>
        <v xml:space="preserve"> baik  dalam merespon instruksi sangat sederhana dengan tindakan secara berterima dalam konteks sekolah  </v>
      </c>
      <c r="AK20" s="252" t="str">
        <f t="shared" si="9"/>
        <v xml:space="preserve">HANA baik  dalam merespon instruksi sangat sederhana dengan tindakan secara berterima dalam konteks sekolah  </v>
      </c>
      <c r="AL20" s="153"/>
    </row>
    <row r="21" spans="2:38" ht="57" customHeight="1">
      <c r="B21" s="142">
        <v>17</v>
      </c>
      <c r="C21" s="143" t="str">
        <f>SISWA!B22</f>
        <v>1718250040321</v>
      </c>
      <c r="D21" s="144" t="str">
        <f>SISWA!E22</f>
        <v>MALLA</v>
      </c>
      <c r="E21" s="159">
        <v>91</v>
      </c>
      <c r="F21" s="160"/>
      <c r="G21" s="160"/>
      <c r="H21" s="160"/>
      <c r="I21" s="160"/>
      <c r="J21" s="160"/>
      <c r="K21" s="160"/>
      <c r="L21" s="160"/>
      <c r="M21" s="159"/>
      <c r="N21" s="159"/>
      <c r="O21" s="159"/>
      <c r="P21" s="159"/>
      <c r="Q21" s="159"/>
      <c r="R21" s="159"/>
      <c r="S21" s="159"/>
      <c r="T21" s="159"/>
      <c r="U21" s="160"/>
      <c r="V21" s="160"/>
      <c r="W21" s="159"/>
      <c r="X21" s="354">
        <f t="shared" si="4"/>
        <v>91</v>
      </c>
      <c r="Y21" s="355" t="str">
        <f>IF(X21&gt;KKM!$G$10,"A",IF(X21&gt;KKM!$H$10,"B",IF(X21&gt;=KKM!$I$10,"C","D")))</f>
        <v>A</v>
      </c>
      <c r="Z21" s="356">
        <f t="shared" si="0"/>
        <v>91</v>
      </c>
      <c r="AA21" s="361" t="str">
        <f>IF(Z21&gt;KKM!$G$10," sangat baik ",IF(Z21&gt;KKM!$H$10," baik ",IF(Z21&gt;=KKM!$I$10," cukup baik "," perlu bimbingan ")))</f>
        <v xml:space="preserve"> sangat baik </v>
      </c>
      <c r="AB21" s="357">
        <f t="shared" si="1"/>
        <v>91</v>
      </c>
      <c r="AC21" s="361" t="str">
        <f>IF(AB21&gt;KKM!$G$10," sangat baik ",IF(AB21&gt;KKM!$H$10," baik ",IF(AB21&gt;=KKM!$I$10," cukup baik "," perlu bimbingan ")))</f>
        <v xml:space="preserve"> sangat baik </v>
      </c>
      <c r="AD21" s="353" t="str">
        <f t="shared" si="5"/>
        <v xml:space="preserve">MALLA sangat baik  dalam merespon instruksi sangat sederhana dengan tindakan secara berterima dalam konteks sekolah  </v>
      </c>
      <c r="AE21" s="256"/>
      <c r="AF21" s="257" t="str">
        <f t="shared" si="2"/>
        <v xml:space="preserve"> sangat baik  dalam merespon instruksi sangat sederhana dengan tindakan secara berterima dalam konteks sekolah  </v>
      </c>
      <c r="AG21" s="257" t="str">
        <f t="shared" si="3"/>
        <v xml:space="preserve"> sangat baik  dalam merespon instruksi sangat sederhana dengan tindakan secara berterima dalam konteks sekolah  </v>
      </c>
      <c r="AH21" s="257" t="str">
        <f t="shared" si="6"/>
        <v xml:space="preserve"> sangat baik  dalam merespon instruksi sangat sederhana dengan tindakan secara berterima dalam konteks sekolah  , dan  sangat baik  dalam merespon instruksi sangat sederhana dengan tindakan secara berterima dalam konteks sekolah  </v>
      </c>
      <c r="AI21" s="257" t="str">
        <f t="shared" si="7"/>
        <v xml:space="preserve"> sangat baik  dalam merespon instruksi sangat sederhana dengan tindakan secara berterima dalam konteks sekolah  </v>
      </c>
      <c r="AJ21" s="258" t="str">
        <f t="shared" si="8"/>
        <v xml:space="preserve"> sangat baik  dalam merespon instruksi sangat sederhana dengan tindakan secara berterima dalam konteks sekolah  </v>
      </c>
      <c r="AK21" s="252" t="str">
        <f t="shared" si="9"/>
        <v xml:space="preserve">MALLA sangat baik  dalam merespon instruksi sangat sederhana dengan tindakan secara berterima dalam konteks sekolah  </v>
      </c>
      <c r="AL21" s="153"/>
    </row>
    <row r="22" spans="2:38" ht="57" customHeight="1">
      <c r="B22" s="142">
        <v>18</v>
      </c>
      <c r="C22" s="143" t="str">
        <f>SISWA!B23</f>
        <v>1718250040322</v>
      </c>
      <c r="D22" s="144" t="str">
        <f>SISWA!E23</f>
        <v>INTAN</v>
      </c>
      <c r="E22" s="159">
        <v>91</v>
      </c>
      <c r="F22" s="160"/>
      <c r="G22" s="160"/>
      <c r="H22" s="160"/>
      <c r="I22" s="160"/>
      <c r="J22" s="160"/>
      <c r="K22" s="160"/>
      <c r="L22" s="160"/>
      <c r="M22" s="159"/>
      <c r="N22" s="159"/>
      <c r="O22" s="159"/>
      <c r="P22" s="159"/>
      <c r="Q22" s="159"/>
      <c r="R22" s="159"/>
      <c r="S22" s="159"/>
      <c r="T22" s="159"/>
      <c r="U22" s="160"/>
      <c r="V22" s="160"/>
      <c r="W22" s="159"/>
      <c r="X22" s="354">
        <f t="shared" si="4"/>
        <v>91</v>
      </c>
      <c r="Y22" s="355" t="str">
        <f>IF(X22&gt;KKM!$G$10,"A",IF(X22&gt;KKM!$H$10,"B",IF(X22&gt;=KKM!$I$10,"C","D")))</f>
        <v>A</v>
      </c>
      <c r="Z22" s="356">
        <f t="shared" si="0"/>
        <v>91</v>
      </c>
      <c r="AA22" s="361" t="str">
        <f>IF(Z22&gt;KKM!$G$10," sangat baik ",IF(Z22&gt;KKM!$H$10," baik ",IF(Z22&gt;=KKM!$I$10," cukup baik "," perlu bimbingan ")))</f>
        <v xml:space="preserve"> sangat baik </v>
      </c>
      <c r="AB22" s="357">
        <f t="shared" si="1"/>
        <v>91</v>
      </c>
      <c r="AC22" s="361" t="str">
        <f>IF(AB22&gt;KKM!$G$10," sangat baik ",IF(AB22&gt;KKM!$H$10," baik ",IF(AB22&gt;=KKM!$I$10," cukup baik "," perlu bimbingan ")))</f>
        <v xml:space="preserve"> sangat baik </v>
      </c>
      <c r="AD22" s="353" t="str">
        <f t="shared" si="5"/>
        <v xml:space="preserve">INTAN sangat baik  dalam merespon instruksi sangat sederhana dengan tindakan secara berterima dalam konteks sekolah  </v>
      </c>
      <c r="AE22" s="256"/>
      <c r="AF22" s="257" t="str">
        <f t="shared" si="2"/>
        <v xml:space="preserve"> sangat baik  dalam merespon instruksi sangat sederhana dengan tindakan secara berterima dalam konteks sekolah  </v>
      </c>
      <c r="AG22" s="257" t="str">
        <f t="shared" si="3"/>
        <v xml:space="preserve"> sangat baik  dalam merespon instruksi sangat sederhana dengan tindakan secara berterima dalam konteks sekolah  </v>
      </c>
      <c r="AH22" s="257" t="str">
        <f t="shared" si="6"/>
        <v xml:space="preserve"> sangat baik  dalam merespon instruksi sangat sederhana dengan tindakan secara berterima dalam konteks sekolah  , dan  sangat baik  dalam merespon instruksi sangat sederhana dengan tindakan secara berterima dalam konteks sekolah  </v>
      </c>
      <c r="AI22" s="257" t="str">
        <f t="shared" si="7"/>
        <v xml:space="preserve"> sangat baik  dalam merespon instruksi sangat sederhana dengan tindakan secara berterima dalam konteks sekolah  </v>
      </c>
      <c r="AJ22" s="258" t="str">
        <f t="shared" si="8"/>
        <v xml:space="preserve"> sangat baik  dalam merespon instruksi sangat sederhana dengan tindakan secara berterima dalam konteks sekolah  </v>
      </c>
      <c r="AK22" s="252" t="str">
        <f t="shared" si="9"/>
        <v xml:space="preserve">INTAN sangat baik  dalam merespon instruksi sangat sederhana dengan tindakan secara berterima dalam konteks sekolah  </v>
      </c>
      <c r="AL22" s="153"/>
    </row>
    <row r="23" spans="2:38" ht="57" customHeight="1">
      <c r="B23" s="142">
        <v>19</v>
      </c>
      <c r="C23" s="143" t="str">
        <f>SISWA!B24</f>
        <v>1718250040323</v>
      </c>
      <c r="D23" s="144" t="str">
        <f>SISWA!E24</f>
        <v>JORDY</v>
      </c>
      <c r="E23" s="159">
        <v>88</v>
      </c>
      <c r="F23" s="160"/>
      <c r="G23" s="160"/>
      <c r="H23" s="160"/>
      <c r="I23" s="160"/>
      <c r="J23" s="160"/>
      <c r="K23" s="160"/>
      <c r="L23" s="160"/>
      <c r="M23" s="159"/>
      <c r="N23" s="159"/>
      <c r="O23" s="159"/>
      <c r="P23" s="159"/>
      <c r="Q23" s="159"/>
      <c r="R23" s="159"/>
      <c r="S23" s="159"/>
      <c r="T23" s="159"/>
      <c r="U23" s="160"/>
      <c r="V23" s="160"/>
      <c r="W23" s="159"/>
      <c r="X23" s="354">
        <f t="shared" si="4"/>
        <v>88</v>
      </c>
      <c r="Y23" s="355" t="str">
        <f>IF(X23&gt;KKM!$G$10,"A",IF(X23&gt;KKM!$H$10,"B",IF(X23&gt;=KKM!$I$10,"C","D")))</f>
        <v>A</v>
      </c>
      <c r="Z23" s="356">
        <f t="shared" si="0"/>
        <v>88</v>
      </c>
      <c r="AA23" s="361" t="str">
        <f>IF(Z23&gt;KKM!$G$10," sangat baik ",IF(Z23&gt;KKM!$H$10," baik ",IF(Z23&gt;=KKM!$I$10," cukup baik "," perlu bimbingan ")))</f>
        <v xml:space="preserve"> sangat baik </v>
      </c>
      <c r="AB23" s="357">
        <f t="shared" si="1"/>
        <v>88</v>
      </c>
      <c r="AC23" s="361" t="str">
        <f>IF(AB23&gt;KKM!$G$10," sangat baik ",IF(AB23&gt;KKM!$H$10," baik ",IF(AB23&gt;=KKM!$I$10," cukup baik "," perlu bimbingan ")))</f>
        <v xml:space="preserve"> sangat baik </v>
      </c>
      <c r="AD23" s="353" t="str">
        <f t="shared" si="5"/>
        <v xml:space="preserve">JORDY sangat baik  dalam merespon instruksi sangat sederhana dengan tindakan secara berterima dalam konteks sekolah  </v>
      </c>
      <c r="AE23" s="256"/>
      <c r="AF23" s="257" t="str">
        <f t="shared" si="2"/>
        <v xml:space="preserve"> sangat baik  dalam merespon instruksi sangat sederhana dengan tindakan secara berterima dalam konteks sekolah  </v>
      </c>
      <c r="AG23" s="257" t="str">
        <f t="shared" si="3"/>
        <v xml:space="preserve"> sangat baik  dalam merespon instruksi sangat sederhana dengan tindakan secara berterima dalam konteks sekolah  </v>
      </c>
      <c r="AH23" s="257" t="str">
        <f t="shared" si="6"/>
        <v xml:space="preserve"> sangat baik  dalam merespon instruksi sangat sederhana dengan tindakan secara berterima dalam konteks sekolah  , dan  sangat baik  dalam merespon instruksi sangat sederhana dengan tindakan secara berterima dalam konteks sekolah  </v>
      </c>
      <c r="AI23" s="257" t="str">
        <f t="shared" si="7"/>
        <v xml:space="preserve"> sangat baik  dalam merespon instruksi sangat sederhana dengan tindakan secara berterima dalam konteks sekolah  </v>
      </c>
      <c r="AJ23" s="258" t="str">
        <f t="shared" si="8"/>
        <v xml:space="preserve"> sangat baik  dalam merespon instruksi sangat sederhana dengan tindakan secara berterima dalam konteks sekolah  </v>
      </c>
      <c r="AK23" s="252" t="str">
        <f t="shared" si="9"/>
        <v xml:space="preserve">JORDY sangat baik  dalam merespon instruksi sangat sederhana dengan tindakan secara berterima dalam konteks sekolah  </v>
      </c>
      <c r="AL23" s="153"/>
    </row>
    <row r="24" spans="2:38" ht="57" customHeight="1">
      <c r="B24" s="142">
        <v>20</v>
      </c>
      <c r="C24" s="143" t="str">
        <f>SISWA!B25</f>
        <v>1718250040324</v>
      </c>
      <c r="D24" s="144" t="str">
        <f>SISWA!E25</f>
        <v>KURNIA</v>
      </c>
      <c r="E24" s="159">
        <v>85</v>
      </c>
      <c r="F24" s="160"/>
      <c r="G24" s="160"/>
      <c r="H24" s="160"/>
      <c r="I24" s="160"/>
      <c r="J24" s="160"/>
      <c r="K24" s="160"/>
      <c r="L24" s="160"/>
      <c r="M24" s="159"/>
      <c r="N24" s="159"/>
      <c r="O24" s="159"/>
      <c r="P24" s="159"/>
      <c r="Q24" s="159"/>
      <c r="R24" s="159"/>
      <c r="S24" s="159"/>
      <c r="T24" s="159"/>
      <c r="U24" s="160"/>
      <c r="V24" s="160"/>
      <c r="W24" s="159"/>
      <c r="X24" s="354">
        <f t="shared" si="4"/>
        <v>85</v>
      </c>
      <c r="Y24" s="355" t="str">
        <f>IF(X24&gt;KKM!$G$10,"A",IF(X24&gt;KKM!$H$10,"B",IF(X24&gt;=KKM!$I$10,"C","D")))</f>
        <v>B</v>
      </c>
      <c r="Z24" s="356">
        <f t="shared" si="0"/>
        <v>85</v>
      </c>
      <c r="AA24" s="361" t="str">
        <f>IF(Z24&gt;KKM!$G$10," sangat baik ",IF(Z24&gt;KKM!$H$10," baik ",IF(Z24&gt;=KKM!$I$10," cukup baik "," perlu bimbingan ")))</f>
        <v xml:space="preserve"> baik </v>
      </c>
      <c r="AB24" s="357">
        <f t="shared" si="1"/>
        <v>85</v>
      </c>
      <c r="AC24" s="361" t="str">
        <f>IF(AB24&gt;KKM!$G$10," sangat baik ",IF(AB24&gt;KKM!$H$10," baik ",IF(AB24&gt;=KKM!$I$10," cukup baik "," perlu bimbingan ")))</f>
        <v xml:space="preserve"> baik </v>
      </c>
      <c r="AD24" s="353" t="str">
        <f t="shared" si="5"/>
        <v xml:space="preserve">KURNIA baik  dalam merespon instruksi sangat sederhana dengan tindakan secara berterima dalam konteks sekolah  </v>
      </c>
      <c r="AE24" s="256"/>
      <c r="AF24" s="257" t="str">
        <f t="shared" si="2"/>
        <v xml:space="preserve"> baik  dalam merespon instruksi sangat sederhana dengan tindakan secara berterima dalam konteks sekolah  </v>
      </c>
      <c r="AG24" s="257" t="str">
        <f t="shared" si="3"/>
        <v xml:space="preserve"> baik  dalam merespon instruksi sangat sederhana dengan tindakan secara berterima dalam konteks sekolah  </v>
      </c>
      <c r="AH24" s="257" t="str">
        <f t="shared" si="6"/>
        <v xml:space="preserve"> baik  dalam merespon instruksi sangat sederhana dengan tindakan secara berterima dalam konteks sekolah  , dan  baik  dalam merespon instruksi sangat sederhana dengan tindakan secara berterima dalam konteks sekolah  </v>
      </c>
      <c r="AI24" s="257" t="str">
        <f t="shared" si="7"/>
        <v xml:space="preserve"> baik  dalam merespon instruksi sangat sederhana dengan tindakan secara berterima dalam konteks sekolah  </v>
      </c>
      <c r="AJ24" s="258" t="str">
        <f t="shared" si="8"/>
        <v xml:space="preserve"> baik  dalam merespon instruksi sangat sederhana dengan tindakan secara berterima dalam konteks sekolah  </v>
      </c>
      <c r="AK24" s="252" t="str">
        <f t="shared" si="9"/>
        <v xml:space="preserve">KURNIA baik  dalam merespon instruksi sangat sederhana dengan tindakan secara berterima dalam konteks sekolah  </v>
      </c>
      <c r="AL24" s="153"/>
    </row>
    <row r="25" spans="2:38" ht="57" customHeight="1">
      <c r="B25" s="142">
        <v>21</v>
      </c>
      <c r="C25" s="143" t="str">
        <f>SISWA!B26</f>
        <v>1718250040325</v>
      </c>
      <c r="D25" s="144" t="str">
        <f>SISWA!E26</f>
        <v>LATIZA</v>
      </c>
      <c r="E25" s="159">
        <v>100</v>
      </c>
      <c r="F25" s="160"/>
      <c r="G25" s="160"/>
      <c r="H25" s="160"/>
      <c r="I25" s="160"/>
      <c r="J25" s="160"/>
      <c r="K25" s="160"/>
      <c r="L25" s="160"/>
      <c r="M25" s="159"/>
      <c r="N25" s="159"/>
      <c r="O25" s="159"/>
      <c r="P25" s="159"/>
      <c r="Q25" s="159"/>
      <c r="R25" s="159"/>
      <c r="S25" s="159"/>
      <c r="T25" s="159"/>
      <c r="U25" s="160"/>
      <c r="V25" s="160"/>
      <c r="W25" s="159"/>
      <c r="X25" s="354">
        <f t="shared" si="4"/>
        <v>100</v>
      </c>
      <c r="Y25" s="355" t="str">
        <f>IF(X25&gt;KKM!$G$10,"A",IF(X25&gt;KKM!$H$10,"B",IF(X25&gt;=KKM!$I$10,"C","D")))</f>
        <v>A</v>
      </c>
      <c r="Z25" s="356">
        <f t="shared" si="0"/>
        <v>100</v>
      </c>
      <c r="AA25" s="361" t="str">
        <f>IF(Z25&gt;KKM!$G$10," sangat baik ",IF(Z25&gt;KKM!$H$10," baik ",IF(Z25&gt;=KKM!$I$10," cukup baik "," perlu bimbingan ")))</f>
        <v xml:space="preserve"> sangat baik </v>
      </c>
      <c r="AB25" s="357">
        <f t="shared" si="1"/>
        <v>100</v>
      </c>
      <c r="AC25" s="361" t="str">
        <f>IF(AB25&gt;KKM!$G$10," sangat baik ",IF(AB25&gt;KKM!$H$10," baik ",IF(AB25&gt;=KKM!$I$10," cukup baik "," perlu bimbingan ")))</f>
        <v xml:space="preserve"> sangat baik </v>
      </c>
      <c r="AD25" s="353" t="str">
        <f t="shared" si="5"/>
        <v xml:space="preserve">LATIZA sangat baik  dalam merespon instruksi sangat sederhana dengan tindakan secara berterima dalam konteks sekolah  </v>
      </c>
      <c r="AE25" s="256"/>
      <c r="AF25" s="257" t="str">
        <f t="shared" si="2"/>
        <v xml:space="preserve"> sangat baik  dalam merespon instruksi sangat sederhana dengan tindakan secara berterima dalam konteks sekolah  </v>
      </c>
      <c r="AG25" s="257" t="str">
        <f t="shared" si="3"/>
        <v xml:space="preserve"> sangat baik  dalam merespon instruksi sangat sederhana dengan tindakan secara berterima dalam konteks sekolah  </v>
      </c>
      <c r="AH25" s="257" t="str">
        <f t="shared" si="6"/>
        <v xml:space="preserve"> sangat baik  dalam merespon instruksi sangat sederhana dengan tindakan secara berterima dalam konteks sekolah  , dan  sangat baik  dalam merespon instruksi sangat sederhana dengan tindakan secara berterima dalam konteks sekolah  </v>
      </c>
      <c r="AI25" s="257" t="str">
        <f t="shared" si="7"/>
        <v xml:space="preserve"> sangat baik  dalam merespon instruksi sangat sederhana dengan tindakan secara berterima dalam konteks sekolah  </v>
      </c>
      <c r="AJ25" s="258" t="str">
        <f t="shared" si="8"/>
        <v xml:space="preserve"> sangat baik  dalam merespon instruksi sangat sederhana dengan tindakan secara berterima dalam konteks sekolah  </v>
      </c>
      <c r="AK25" s="252" t="str">
        <f t="shared" si="9"/>
        <v xml:space="preserve">LATIZA sangat baik  dalam merespon instruksi sangat sederhana dengan tindakan secara berterima dalam konteks sekolah  </v>
      </c>
      <c r="AL25" s="153"/>
    </row>
    <row r="26" spans="2:38" ht="57" customHeight="1">
      <c r="B26" s="142">
        <v>22</v>
      </c>
      <c r="C26" s="143" t="str">
        <f>SISWA!B27</f>
        <v>1718250040326</v>
      </c>
      <c r="D26" s="144" t="str">
        <f>SISWA!E27</f>
        <v>RIZKY</v>
      </c>
      <c r="E26" s="159">
        <v>91</v>
      </c>
      <c r="F26" s="160"/>
      <c r="G26" s="160"/>
      <c r="H26" s="160"/>
      <c r="I26" s="160"/>
      <c r="J26" s="160"/>
      <c r="K26" s="160"/>
      <c r="L26" s="160"/>
      <c r="M26" s="159"/>
      <c r="N26" s="159"/>
      <c r="O26" s="159"/>
      <c r="P26" s="159"/>
      <c r="Q26" s="159"/>
      <c r="R26" s="159"/>
      <c r="S26" s="159"/>
      <c r="T26" s="159"/>
      <c r="U26" s="160"/>
      <c r="V26" s="160"/>
      <c r="W26" s="159"/>
      <c r="X26" s="354">
        <f t="shared" si="4"/>
        <v>91</v>
      </c>
      <c r="Y26" s="355" t="str">
        <f>IF(X26&gt;KKM!$G$10,"A",IF(X26&gt;KKM!$H$10,"B",IF(X26&gt;=KKM!$I$10,"C","D")))</f>
        <v>A</v>
      </c>
      <c r="Z26" s="356">
        <f t="shared" si="0"/>
        <v>91</v>
      </c>
      <c r="AA26" s="361" t="str">
        <f>IF(Z26&gt;KKM!$G$10," sangat baik ",IF(Z26&gt;KKM!$H$10," baik ",IF(Z26&gt;=KKM!$I$10," cukup baik "," perlu bimbingan ")))</f>
        <v xml:space="preserve"> sangat baik </v>
      </c>
      <c r="AB26" s="357">
        <f t="shared" si="1"/>
        <v>91</v>
      </c>
      <c r="AC26" s="361" t="str">
        <f>IF(AB26&gt;KKM!$G$10," sangat baik ",IF(AB26&gt;KKM!$H$10," baik ",IF(AB26&gt;=KKM!$I$10," cukup baik "," perlu bimbingan ")))</f>
        <v xml:space="preserve"> sangat baik </v>
      </c>
      <c r="AD26" s="353" t="str">
        <f t="shared" si="5"/>
        <v xml:space="preserve">RIZKY sangat baik  dalam merespon instruksi sangat sederhana dengan tindakan secara berterima dalam konteks sekolah  </v>
      </c>
      <c r="AE26" s="256"/>
      <c r="AF26" s="257" t="str">
        <f t="shared" si="2"/>
        <v xml:space="preserve"> sangat baik  dalam merespon instruksi sangat sederhana dengan tindakan secara berterima dalam konteks sekolah  </v>
      </c>
      <c r="AG26" s="257" t="str">
        <f t="shared" si="3"/>
        <v xml:space="preserve"> sangat baik  dalam merespon instruksi sangat sederhana dengan tindakan secara berterima dalam konteks sekolah  </v>
      </c>
      <c r="AH26" s="257" t="str">
        <f t="shared" si="6"/>
        <v xml:space="preserve"> sangat baik  dalam merespon instruksi sangat sederhana dengan tindakan secara berterima dalam konteks sekolah  , dan  sangat baik  dalam merespon instruksi sangat sederhana dengan tindakan secara berterima dalam konteks sekolah  </v>
      </c>
      <c r="AI26" s="257" t="str">
        <f t="shared" si="7"/>
        <v xml:space="preserve"> sangat baik  dalam merespon instruksi sangat sederhana dengan tindakan secara berterima dalam konteks sekolah  </v>
      </c>
      <c r="AJ26" s="258" t="str">
        <f t="shared" si="8"/>
        <v xml:space="preserve"> sangat baik  dalam merespon instruksi sangat sederhana dengan tindakan secara berterima dalam konteks sekolah  </v>
      </c>
      <c r="AK26" s="252" t="str">
        <f t="shared" si="9"/>
        <v xml:space="preserve">RIZKY sangat baik  dalam merespon instruksi sangat sederhana dengan tindakan secara berterima dalam konteks sekolah  </v>
      </c>
      <c r="AL26" s="153"/>
    </row>
    <row r="27" spans="2:38" ht="57" customHeight="1">
      <c r="B27" s="142">
        <v>23</v>
      </c>
      <c r="C27" s="143" t="str">
        <f>SISWA!B28</f>
        <v>1718250040327</v>
      </c>
      <c r="D27" s="144" t="str">
        <f>SISWA!E28</f>
        <v>RAMADHANDANI</v>
      </c>
      <c r="E27" s="159">
        <v>91</v>
      </c>
      <c r="F27" s="160"/>
      <c r="G27" s="160"/>
      <c r="H27" s="160"/>
      <c r="I27" s="160"/>
      <c r="J27" s="160"/>
      <c r="K27" s="160"/>
      <c r="L27" s="160"/>
      <c r="M27" s="159"/>
      <c r="N27" s="159"/>
      <c r="O27" s="159"/>
      <c r="P27" s="159"/>
      <c r="Q27" s="159"/>
      <c r="R27" s="159"/>
      <c r="S27" s="159"/>
      <c r="T27" s="159"/>
      <c r="U27" s="160"/>
      <c r="V27" s="160"/>
      <c r="W27" s="159"/>
      <c r="X27" s="354">
        <f t="shared" si="4"/>
        <v>91</v>
      </c>
      <c r="Y27" s="355" t="str">
        <f>IF(X27&gt;KKM!$G$10,"A",IF(X27&gt;KKM!$H$10,"B",IF(X27&gt;=KKM!$I$10,"C","D")))</f>
        <v>A</v>
      </c>
      <c r="Z27" s="356">
        <f t="shared" si="0"/>
        <v>91</v>
      </c>
      <c r="AA27" s="361" t="str">
        <f>IF(Z27&gt;KKM!$G$10," sangat baik ",IF(Z27&gt;KKM!$H$10," baik ",IF(Z27&gt;=KKM!$I$10," cukup baik "," perlu bimbingan ")))</f>
        <v xml:space="preserve"> sangat baik </v>
      </c>
      <c r="AB27" s="357">
        <f t="shared" si="1"/>
        <v>91</v>
      </c>
      <c r="AC27" s="361" t="str">
        <f>IF(AB27&gt;KKM!$G$10," sangat baik ",IF(AB27&gt;KKM!$H$10," baik ",IF(AB27&gt;=KKM!$I$10," cukup baik "," perlu bimbingan ")))</f>
        <v xml:space="preserve"> sangat baik </v>
      </c>
      <c r="AD27" s="353" t="str">
        <f t="shared" si="5"/>
        <v xml:space="preserve">RAMADHANDANI sangat baik  dalam merespon instruksi sangat sederhana dengan tindakan secara berterima dalam konteks sekolah  </v>
      </c>
      <c r="AE27" s="256"/>
      <c r="AF27" s="257" t="str">
        <f t="shared" si="2"/>
        <v xml:space="preserve"> sangat baik  dalam merespon instruksi sangat sederhana dengan tindakan secara berterima dalam konteks sekolah  </v>
      </c>
      <c r="AG27" s="257" t="str">
        <f t="shared" si="3"/>
        <v xml:space="preserve"> sangat baik  dalam merespon instruksi sangat sederhana dengan tindakan secara berterima dalam konteks sekolah  </v>
      </c>
      <c r="AH27" s="257" t="str">
        <f t="shared" si="6"/>
        <v xml:space="preserve"> sangat baik  dalam merespon instruksi sangat sederhana dengan tindakan secara berterima dalam konteks sekolah  , dan  sangat baik  dalam merespon instruksi sangat sederhana dengan tindakan secara berterima dalam konteks sekolah  </v>
      </c>
      <c r="AI27" s="257" t="str">
        <f t="shared" si="7"/>
        <v xml:space="preserve"> sangat baik  dalam merespon instruksi sangat sederhana dengan tindakan secara berterima dalam konteks sekolah  </v>
      </c>
      <c r="AJ27" s="258" t="str">
        <f t="shared" si="8"/>
        <v xml:space="preserve"> sangat baik  dalam merespon instruksi sangat sederhana dengan tindakan secara berterima dalam konteks sekolah  </v>
      </c>
      <c r="AK27" s="252" t="str">
        <f t="shared" si="9"/>
        <v xml:space="preserve">RAMADHANDANI sangat baik  dalam merespon instruksi sangat sederhana dengan tindakan secara berterima dalam konteks sekolah  </v>
      </c>
      <c r="AL27" s="153"/>
    </row>
    <row r="28" spans="2:38" ht="57" customHeight="1">
      <c r="B28" s="142">
        <v>24</v>
      </c>
      <c r="C28" s="143" t="str">
        <f>SISWA!B29</f>
        <v>1718250040328</v>
      </c>
      <c r="D28" s="144" t="str">
        <f>SISWA!E29</f>
        <v>SYAEPUL</v>
      </c>
      <c r="E28" s="159">
        <v>91</v>
      </c>
      <c r="F28" s="160"/>
      <c r="G28" s="160"/>
      <c r="H28" s="160"/>
      <c r="I28" s="160"/>
      <c r="J28" s="160"/>
      <c r="K28" s="160"/>
      <c r="L28" s="160"/>
      <c r="M28" s="159"/>
      <c r="N28" s="159"/>
      <c r="O28" s="159"/>
      <c r="P28" s="159"/>
      <c r="Q28" s="159"/>
      <c r="R28" s="159"/>
      <c r="S28" s="159"/>
      <c r="T28" s="159"/>
      <c r="U28" s="160"/>
      <c r="V28" s="160"/>
      <c r="W28" s="159"/>
      <c r="X28" s="354">
        <f t="shared" si="4"/>
        <v>91</v>
      </c>
      <c r="Y28" s="355" t="str">
        <f>IF(X28&gt;KKM!$G$10,"A",IF(X28&gt;KKM!$H$10,"B",IF(X28&gt;=KKM!$I$10,"C","D")))</f>
        <v>A</v>
      </c>
      <c r="Z28" s="356">
        <f t="shared" si="0"/>
        <v>91</v>
      </c>
      <c r="AA28" s="361" t="str">
        <f>IF(Z28&gt;KKM!$G$10," sangat baik ",IF(Z28&gt;KKM!$H$10," baik ",IF(Z28&gt;=KKM!$I$10," cukup baik "," perlu bimbingan ")))</f>
        <v xml:space="preserve"> sangat baik </v>
      </c>
      <c r="AB28" s="357">
        <f t="shared" si="1"/>
        <v>91</v>
      </c>
      <c r="AC28" s="361" t="str">
        <f>IF(AB28&gt;KKM!$G$10," sangat baik ",IF(AB28&gt;KKM!$H$10," baik ",IF(AB28&gt;=KKM!$I$10," cukup baik "," perlu bimbingan ")))</f>
        <v xml:space="preserve"> sangat baik </v>
      </c>
      <c r="AD28" s="353" t="str">
        <f t="shared" si="5"/>
        <v xml:space="preserve">SYAEPUL sangat baik  dalam merespon instruksi sangat sederhana dengan tindakan secara berterima dalam konteks sekolah  </v>
      </c>
      <c r="AE28" s="256"/>
      <c r="AF28" s="257" t="str">
        <f t="shared" si="2"/>
        <v xml:space="preserve"> sangat baik  dalam merespon instruksi sangat sederhana dengan tindakan secara berterima dalam konteks sekolah  </v>
      </c>
      <c r="AG28" s="257" t="str">
        <f t="shared" si="3"/>
        <v xml:space="preserve"> sangat baik  dalam merespon instruksi sangat sederhana dengan tindakan secara berterima dalam konteks sekolah  </v>
      </c>
      <c r="AH28" s="257" t="str">
        <f t="shared" si="6"/>
        <v xml:space="preserve"> sangat baik  dalam merespon instruksi sangat sederhana dengan tindakan secara berterima dalam konteks sekolah  , dan  sangat baik  dalam merespon instruksi sangat sederhana dengan tindakan secara berterima dalam konteks sekolah  </v>
      </c>
      <c r="AI28" s="257" t="str">
        <f t="shared" si="7"/>
        <v xml:space="preserve"> sangat baik  dalam merespon instruksi sangat sederhana dengan tindakan secara berterima dalam konteks sekolah  </v>
      </c>
      <c r="AJ28" s="258" t="str">
        <f t="shared" si="8"/>
        <v xml:space="preserve"> sangat baik  dalam merespon instruksi sangat sederhana dengan tindakan secara berterima dalam konteks sekolah  </v>
      </c>
      <c r="AK28" s="252" t="str">
        <f t="shared" si="9"/>
        <v xml:space="preserve">SYAEPUL sangat baik  dalam merespon instruksi sangat sederhana dengan tindakan secara berterima dalam konteks sekolah  </v>
      </c>
      <c r="AL28" s="153"/>
    </row>
    <row r="29" spans="2:38" ht="57" customHeight="1">
      <c r="B29" s="142">
        <v>25</v>
      </c>
      <c r="C29" s="143" t="str">
        <f>SISWA!B30</f>
        <v>1718250040329</v>
      </c>
      <c r="D29" s="144" t="str">
        <f>SISWA!E30</f>
        <v>ALIF</v>
      </c>
      <c r="E29" s="159">
        <v>94</v>
      </c>
      <c r="F29" s="160"/>
      <c r="G29" s="160"/>
      <c r="H29" s="160"/>
      <c r="I29" s="160"/>
      <c r="J29" s="160"/>
      <c r="K29" s="160"/>
      <c r="L29" s="160"/>
      <c r="M29" s="159"/>
      <c r="N29" s="159"/>
      <c r="O29" s="159"/>
      <c r="P29" s="159"/>
      <c r="Q29" s="159"/>
      <c r="R29" s="159"/>
      <c r="S29" s="159"/>
      <c r="T29" s="159"/>
      <c r="U29" s="160"/>
      <c r="V29" s="160"/>
      <c r="W29" s="159"/>
      <c r="X29" s="354">
        <f t="shared" si="4"/>
        <v>94</v>
      </c>
      <c r="Y29" s="355" t="str">
        <f>IF(X29&gt;KKM!$G$10,"A",IF(X29&gt;KKM!$H$10,"B",IF(X29&gt;=KKM!$I$10,"C","D")))</f>
        <v>A</v>
      </c>
      <c r="Z29" s="356">
        <f t="shared" si="0"/>
        <v>94</v>
      </c>
      <c r="AA29" s="361" t="str">
        <f>IF(Z29&gt;KKM!$G$10," sangat baik ",IF(Z29&gt;KKM!$H$10," baik ",IF(Z29&gt;=KKM!$I$10," cukup baik "," perlu bimbingan ")))</f>
        <v xml:space="preserve"> sangat baik </v>
      </c>
      <c r="AB29" s="357">
        <f t="shared" si="1"/>
        <v>94</v>
      </c>
      <c r="AC29" s="361" t="str">
        <f>IF(AB29&gt;KKM!$G$10," sangat baik ",IF(AB29&gt;KKM!$H$10," baik ",IF(AB29&gt;=KKM!$I$10," cukup baik "," perlu bimbingan ")))</f>
        <v xml:space="preserve"> sangat baik </v>
      </c>
      <c r="AD29" s="353" t="str">
        <f t="shared" si="5"/>
        <v xml:space="preserve">ALIF sangat baik  dalam merespon instruksi sangat sederhana dengan tindakan secara berterima dalam konteks sekolah  </v>
      </c>
      <c r="AE29" s="256"/>
      <c r="AF29" s="257" t="str">
        <f t="shared" si="2"/>
        <v xml:space="preserve"> sangat baik  dalam merespon instruksi sangat sederhana dengan tindakan secara berterima dalam konteks sekolah  </v>
      </c>
      <c r="AG29" s="257" t="str">
        <f t="shared" si="3"/>
        <v xml:space="preserve"> sangat baik  dalam merespon instruksi sangat sederhana dengan tindakan secara berterima dalam konteks sekolah  </v>
      </c>
      <c r="AH29" s="257" t="str">
        <f t="shared" si="6"/>
        <v xml:space="preserve"> sangat baik  dalam merespon instruksi sangat sederhana dengan tindakan secara berterima dalam konteks sekolah  , dan  sangat baik  dalam merespon instruksi sangat sederhana dengan tindakan secara berterima dalam konteks sekolah  </v>
      </c>
      <c r="AI29" s="257" t="str">
        <f t="shared" si="7"/>
        <v xml:space="preserve"> sangat baik  dalam merespon instruksi sangat sederhana dengan tindakan secara berterima dalam konteks sekolah  </v>
      </c>
      <c r="AJ29" s="258" t="str">
        <f t="shared" si="8"/>
        <v xml:space="preserve"> sangat baik  dalam merespon instruksi sangat sederhana dengan tindakan secara berterima dalam konteks sekolah  </v>
      </c>
      <c r="AK29" s="252" t="str">
        <f t="shared" si="9"/>
        <v xml:space="preserve">ALIF sangat baik  dalam merespon instruksi sangat sederhana dengan tindakan secara berterima dalam konteks sekolah  </v>
      </c>
      <c r="AL29" s="153"/>
    </row>
    <row r="30" spans="2:38" ht="57" customHeight="1">
      <c r="B30" s="142">
        <v>26</v>
      </c>
      <c r="C30" s="143" t="str">
        <f>SISWA!B31</f>
        <v>1718250040330</v>
      </c>
      <c r="D30" s="144" t="str">
        <f>SISWA!E31</f>
        <v>HIZKIEL</v>
      </c>
      <c r="E30" s="159">
        <v>91</v>
      </c>
      <c r="F30" s="160"/>
      <c r="G30" s="160"/>
      <c r="H30" s="160"/>
      <c r="I30" s="160"/>
      <c r="J30" s="160"/>
      <c r="K30" s="160"/>
      <c r="L30" s="160"/>
      <c r="M30" s="159"/>
      <c r="N30" s="159"/>
      <c r="O30" s="159"/>
      <c r="P30" s="159"/>
      <c r="Q30" s="159"/>
      <c r="R30" s="159"/>
      <c r="S30" s="159"/>
      <c r="T30" s="159"/>
      <c r="U30" s="160"/>
      <c r="V30" s="160"/>
      <c r="W30" s="159"/>
      <c r="X30" s="354">
        <f t="shared" si="4"/>
        <v>91</v>
      </c>
      <c r="Y30" s="355" t="str">
        <f>IF(X30&gt;KKM!$G$10,"A",IF(X30&gt;KKM!$H$10,"B",IF(X30&gt;=KKM!$I$10,"C","D")))</f>
        <v>A</v>
      </c>
      <c r="Z30" s="356">
        <f t="shared" si="0"/>
        <v>91</v>
      </c>
      <c r="AA30" s="361" t="str">
        <f>IF(Z30&gt;KKM!$G$10," sangat baik ",IF(Z30&gt;KKM!$H$10," baik ",IF(Z30&gt;=KKM!$I$10," cukup baik "," perlu bimbingan ")))</f>
        <v xml:space="preserve"> sangat baik </v>
      </c>
      <c r="AB30" s="357">
        <f t="shared" si="1"/>
        <v>91</v>
      </c>
      <c r="AC30" s="361" t="str">
        <f>IF(AB30&gt;KKM!$G$10," sangat baik ",IF(AB30&gt;KKM!$H$10," baik ",IF(AB30&gt;=KKM!$I$10," cukup baik "," perlu bimbingan ")))</f>
        <v xml:space="preserve"> sangat baik </v>
      </c>
      <c r="AD30" s="353" t="str">
        <f t="shared" si="5"/>
        <v xml:space="preserve">HIZKIEL sangat baik  dalam merespon instruksi sangat sederhana dengan tindakan secara berterima dalam konteks sekolah  </v>
      </c>
      <c r="AE30" s="256"/>
      <c r="AF30" s="257" t="str">
        <f t="shared" si="2"/>
        <v xml:space="preserve"> sangat baik  dalam merespon instruksi sangat sederhana dengan tindakan secara berterima dalam konteks sekolah  </v>
      </c>
      <c r="AG30" s="257" t="str">
        <f t="shared" si="3"/>
        <v xml:space="preserve"> sangat baik  dalam merespon instruksi sangat sederhana dengan tindakan secara berterima dalam konteks sekolah  </v>
      </c>
      <c r="AH30" s="257" t="str">
        <f t="shared" si="6"/>
        <v xml:space="preserve"> sangat baik  dalam merespon instruksi sangat sederhana dengan tindakan secara berterima dalam konteks sekolah  , dan  sangat baik  dalam merespon instruksi sangat sederhana dengan tindakan secara berterima dalam konteks sekolah  </v>
      </c>
      <c r="AI30" s="257" t="str">
        <f t="shared" si="7"/>
        <v xml:space="preserve"> sangat baik  dalam merespon instruksi sangat sederhana dengan tindakan secara berterima dalam konteks sekolah  </v>
      </c>
      <c r="AJ30" s="258" t="str">
        <f t="shared" si="8"/>
        <v xml:space="preserve"> sangat baik  dalam merespon instruksi sangat sederhana dengan tindakan secara berterima dalam konteks sekolah  </v>
      </c>
      <c r="AK30" s="252" t="str">
        <f t="shared" si="9"/>
        <v xml:space="preserve">HIZKIEL sangat baik  dalam merespon instruksi sangat sederhana dengan tindakan secara berterima dalam konteks sekolah  </v>
      </c>
      <c r="AL30" s="153"/>
    </row>
    <row r="31" spans="2:38" ht="57" customHeight="1">
      <c r="B31" s="142">
        <v>27</v>
      </c>
      <c r="C31" s="143" t="str">
        <f>SISWA!B32</f>
        <v>1718250040331</v>
      </c>
      <c r="D31" s="144" t="str">
        <f>SISWA!E32</f>
        <v>LAEL</v>
      </c>
      <c r="E31" s="159">
        <v>97</v>
      </c>
      <c r="F31" s="160"/>
      <c r="G31" s="160"/>
      <c r="H31" s="160"/>
      <c r="I31" s="160"/>
      <c r="J31" s="160"/>
      <c r="K31" s="160"/>
      <c r="L31" s="160"/>
      <c r="M31" s="159"/>
      <c r="N31" s="159"/>
      <c r="O31" s="159"/>
      <c r="P31" s="159"/>
      <c r="Q31" s="159"/>
      <c r="R31" s="159"/>
      <c r="S31" s="159"/>
      <c r="T31" s="159"/>
      <c r="U31" s="160"/>
      <c r="V31" s="160"/>
      <c r="W31" s="159"/>
      <c r="X31" s="354">
        <f t="shared" si="4"/>
        <v>97</v>
      </c>
      <c r="Y31" s="355" t="str">
        <f>IF(X31&gt;KKM!$G$10,"A",IF(X31&gt;KKM!$H$10,"B",IF(X31&gt;=KKM!$I$10,"C","D")))</f>
        <v>A</v>
      </c>
      <c r="Z31" s="356">
        <f t="shared" si="0"/>
        <v>97</v>
      </c>
      <c r="AA31" s="361" t="str">
        <f>IF(Z31&gt;KKM!$G$10," sangat baik ",IF(Z31&gt;KKM!$H$10," baik ",IF(Z31&gt;=KKM!$I$10," cukup baik "," perlu bimbingan ")))</f>
        <v xml:space="preserve"> sangat baik </v>
      </c>
      <c r="AB31" s="357">
        <f t="shared" si="1"/>
        <v>97</v>
      </c>
      <c r="AC31" s="361" t="str">
        <f>IF(AB31&gt;KKM!$G$10," sangat baik ",IF(AB31&gt;KKM!$H$10," baik ",IF(AB31&gt;=KKM!$I$10," cukup baik "," perlu bimbingan ")))</f>
        <v xml:space="preserve"> sangat baik </v>
      </c>
      <c r="AD31" s="353" t="str">
        <f t="shared" si="5"/>
        <v xml:space="preserve">LAEL sangat baik  dalam merespon instruksi sangat sederhana dengan tindakan secara berterima dalam konteks sekolah  </v>
      </c>
      <c r="AE31" s="256"/>
      <c r="AF31" s="257" t="str">
        <f t="shared" si="2"/>
        <v xml:space="preserve"> sangat baik  dalam merespon instruksi sangat sederhana dengan tindakan secara berterima dalam konteks sekolah  </v>
      </c>
      <c r="AG31" s="257" t="str">
        <f t="shared" si="3"/>
        <v xml:space="preserve"> sangat baik  dalam merespon instruksi sangat sederhana dengan tindakan secara berterima dalam konteks sekolah  </v>
      </c>
      <c r="AH31" s="257" t="str">
        <f t="shared" si="6"/>
        <v xml:space="preserve"> sangat baik  dalam merespon instruksi sangat sederhana dengan tindakan secara berterima dalam konteks sekolah  , dan  sangat baik  dalam merespon instruksi sangat sederhana dengan tindakan secara berterima dalam konteks sekolah  </v>
      </c>
      <c r="AI31" s="257" t="str">
        <f t="shared" si="7"/>
        <v xml:space="preserve"> sangat baik  dalam merespon instruksi sangat sederhana dengan tindakan secara berterima dalam konteks sekolah  </v>
      </c>
      <c r="AJ31" s="258" t="str">
        <f t="shared" si="8"/>
        <v xml:space="preserve"> sangat baik  dalam merespon instruksi sangat sederhana dengan tindakan secara berterima dalam konteks sekolah  </v>
      </c>
      <c r="AK31" s="252" t="str">
        <f t="shared" si="9"/>
        <v xml:space="preserve">LAEL sangat baik  dalam merespon instruksi sangat sederhana dengan tindakan secara berterima dalam konteks sekolah  </v>
      </c>
      <c r="AL31" s="153"/>
    </row>
    <row r="32" spans="2:38" ht="57" customHeight="1">
      <c r="B32" s="142">
        <v>28</v>
      </c>
      <c r="C32" s="143" t="str">
        <f>SISWA!B33</f>
        <v>1718250040332</v>
      </c>
      <c r="D32" s="144" t="str">
        <f>SISWA!E33</f>
        <v>NABIL</v>
      </c>
      <c r="E32" s="159">
        <v>88</v>
      </c>
      <c r="F32" s="160"/>
      <c r="G32" s="160"/>
      <c r="H32" s="160"/>
      <c r="I32" s="160"/>
      <c r="J32" s="160"/>
      <c r="K32" s="160"/>
      <c r="L32" s="160"/>
      <c r="M32" s="159"/>
      <c r="N32" s="159"/>
      <c r="O32" s="159"/>
      <c r="P32" s="159"/>
      <c r="Q32" s="159"/>
      <c r="R32" s="159"/>
      <c r="S32" s="159"/>
      <c r="T32" s="159"/>
      <c r="U32" s="160"/>
      <c r="V32" s="160"/>
      <c r="W32" s="159"/>
      <c r="X32" s="354">
        <f t="shared" si="4"/>
        <v>88</v>
      </c>
      <c r="Y32" s="355" t="str">
        <f>IF(X32&gt;KKM!$G$10,"A",IF(X32&gt;KKM!$H$10,"B",IF(X32&gt;=KKM!$I$10,"C","D")))</f>
        <v>A</v>
      </c>
      <c r="Z32" s="356">
        <f t="shared" si="0"/>
        <v>88</v>
      </c>
      <c r="AA32" s="361" t="str">
        <f>IF(Z32&gt;KKM!$G$10," sangat baik ",IF(Z32&gt;KKM!$H$10," baik ",IF(Z32&gt;=KKM!$I$10," cukup baik "," perlu bimbingan ")))</f>
        <v xml:space="preserve"> sangat baik </v>
      </c>
      <c r="AB32" s="357">
        <f t="shared" si="1"/>
        <v>88</v>
      </c>
      <c r="AC32" s="361" t="str">
        <f>IF(AB32&gt;KKM!$G$10," sangat baik ",IF(AB32&gt;KKM!$H$10," baik ",IF(AB32&gt;=KKM!$I$10," cukup baik "," perlu bimbingan ")))</f>
        <v xml:space="preserve"> sangat baik </v>
      </c>
      <c r="AD32" s="353" t="str">
        <f t="shared" si="5"/>
        <v xml:space="preserve">NABIL sangat baik  dalam merespon instruksi sangat sederhana dengan tindakan secara berterima dalam konteks sekolah  </v>
      </c>
      <c r="AE32" s="256"/>
      <c r="AF32" s="257" t="str">
        <f t="shared" si="2"/>
        <v xml:space="preserve"> sangat baik  dalam merespon instruksi sangat sederhana dengan tindakan secara berterima dalam konteks sekolah  </v>
      </c>
      <c r="AG32" s="257" t="str">
        <f t="shared" si="3"/>
        <v xml:space="preserve"> sangat baik  dalam merespon instruksi sangat sederhana dengan tindakan secara berterima dalam konteks sekolah  </v>
      </c>
      <c r="AH32" s="257" t="str">
        <f t="shared" si="6"/>
        <v xml:space="preserve"> sangat baik  dalam merespon instruksi sangat sederhana dengan tindakan secara berterima dalam konteks sekolah  , dan  sangat baik  dalam merespon instruksi sangat sederhana dengan tindakan secara berterima dalam konteks sekolah  </v>
      </c>
      <c r="AI32" s="257" t="str">
        <f t="shared" si="7"/>
        <v xml:space="preserve"> sangat baik  dalam merespon instruksi sangat sederhana dengan tindakan secara berterima dalam konteks sekolah  </v>
      </c>
      <c r="AJ32" s="258" t="str">
        <f t="shared" si="8"/>
        <v xml:space="preserve"> sangat baik  dalam merespon instruksi sangat sederhana dengan tindakan secara berterima dalam konteks sekolah  </v>
      </c>
      <c r="AK32" s="252" t="str">
        <f t="shared" si="9"/>
        <v xml:space="preserve">NABIL sangat baik  dalam merespon instruksi sangat sederhana dengan tindakan secara berterima dalam konteks sekolah  </v>
      </c>
      <c r="AL32" s="153"/>
    </row>
    <row r="33" spans="2:38" ht="57" customHeight="1">
      <c r="B33" s="142">
        <v>29</v>
      </c>
      <c r="C33" s="143" t="str">
        <f>SISWA!B34</f>
        <v>1718250040333</v>
      </c>
      <c r="D33" s="144" t="str">
        <f>SISWA!E34</f>
        <v>RASYA</v>
      </c>
      <c r="E33" s="159">
        <v>91</v>
      </c>
      <c r="F33" s="160"/>
      <c r="G33" s="160"/>
      <c r="H33" s="160"/>
      <c r="I33" s="160"/>
      <c r="J33" s="160"/>
      <c r="K33" s="160"/>
      <c r="L33" s="160"/>
      <c r="M33" s="159"/>
      <c r="N33" s="159"/>
      <c r="O33" s="159"/>
      <c r="P33" s="159"/>
      <c r="Q33" s="159"/>
      <c r="R33" s="159"/>
      <c r="S33" s="159"/>
      <c r="T33" s="159"/>
      <c r="U33" s="160"/>
      <c r="V33" s="160"/>
      <c r="W33" s="159"/>
      <c r="X33" s="354">
        <f t="shared" si="4"/>
        <v>91</v>
      </c>
      <c r="Y33" s="355" t="str">
        <f>IF(X33&gt;KKM!$G$10,"A",IF(X33&gt;KKM!$H$10,"B",IF(X33&gt;=KKM!$I$10,"C","D")))</f>
        <v>A</v>
      </c>
      <c r="Z33" s="356">
        <f t="shared" si="0"/>
        <v>91</v>
      </c>
      <c r="AA33" s="361" t="str">
        <f>IF(Z33&gt;KKM!$G$10," sangat baik ",IF(Z33&gt;KKM!$H$10," baik ",IF(Z33&gt;=KKM!$I$10," cukup baik "," perlu bimbingan ")))</f>
        <v xml:space="preserve"> sangat baik </v>
      </c>
      <c r="AB33" s="357">
        <f t="shared" si="1"/>
        <v>91</v>
      </c>
      <c r="AC33" s="361" t="str">
        <f>IF(AB33&gt;KKM!$G$10," sangat baik ",IF(AB33&gt;KKM!$H$10," baik ",IF(AB33&gt;=KKM!$I$10," cukup baik "," perlu bimbingan ")))</f>
        <v xml:space="preserve"> sangat baik </v>
      </c>
      <c r="AD33" s="353" t="str">
        <f t="shared" si="5"/>
        <v xml:space="preserve">RASYA sangat baik  dalam merespon instruksi sangat sederhana dengan tindakan secara berterima dalam konteks sekolah  </v>
      </c>
      <c r="AE33" s="256"/>
      <c r="AF33" s="257" t="str">
        <f t="shared" si="2"/>
        <v xml:space="preserve"> sangat baik  dalam merespon instruksi sangat sederhana dengan tindakan secara berterima dalam konteks sekolah  </v>
      </c>
      <c r="AG33" s="257" t="str">
        <f t="shared" si="3"/>
        <v xml:space="preserve"> sangat baik  dalam merespon instruksi sangat sederhana dengan tindakan secara berterima dalam konteks sekolah  </v>
      </c>
      <c r="AH33" s="257" t="str">
        <f t="shared" si="6"/>
        <v xml:space="preserve"> sangat baik  dalam merespon instruksi sangat sederhana dengan tindakan secara berterima dalam konteks sekolah  , dan  sangat baik  dalam merespon instruksi sangat sederhana dengan tindakan secara berterima dalam konteks sekolah  </v>
      </c>
      <c r="AI33" s="257" t="str">
        <f t="shared" si="7"/>
        <v xml:space="preserve"> sangat baik  dalam merespon instruksi sangat sederhana dengan tindakan secara berterima dalam konteks sekolah  </v>
      </c>
      <c r="AJ33" s="258" t="str">
        <f t="shared" si="8"/>
        <v xml:space="preserve"> sangat baik  dalam merespon instruksi sangat sederhana dengan tindakan secara berterima dalam konteks sekolah  </v>
      </c>
      <c r="AK33" s="252" t="str">
        <f t="shared" si="9"/>
        <v xml:space="preserve">RASYA sangat baik  dalam merespon instruksi sangat sederhana dengan tindakan secara berterima dalam konteks sekolah  </v>
      </c>
      <c r="AL33" s="153"/>
    </row>
    <row r="34" spans="2:38" ht="57" customHeight="1">
      <c r="B34" s="142">
        <v>30</v>
      </c>
      <c r="C34" s="143" t="str">
        <f>SISWA!B35</f>
        <v>1718250040334</v>
      </c>
      <c r="D34" s="144" t="str">
        <f>SISWA!E35</f>
        <v>RIZKI</v>
      </c>
      <c r="E34" s="159">
        <v>97</v>
      </c>
      <c r="F34" s="160"/>
      <c r="G34" s="160"/>
      <c r="H34" s="160"/>
      <c r="I34" s="160"/>
      <c r="J34" s="160"/>
      <c r="K34" s="160"/>
      <c r="L34" s="160"/>
      <c r="M34" s="159"/>
      <c r="N34" s="159"/>
      <c r="O34" s="159"/>
      <c r="P34" s="159"/>
      <c r="Q34" s="159"/>
      <c r="R34" s="159"/>
      <c r="S34" s="159"/>
      <c r="T34" s="159"/>
      <c r="U34" s="160"/>
      <c r="V34" s="160"/>
      <c r="W34" s="159"/>
      <c r="X34" s="354">
        <f t="shared" si="4"/>
        <v>97</v>
      </c>
      <c r="Y34" s="355" t="str">
        <f>IF(X34&gt;KKM!$G$10,"A",IF(X34&gt;KKM!$H$10,"B",IF(X34&gt;=KKM!$I$10,"C","D")))</f>
        <v>A</v>
      </c>
      <c r="Z34" s="356">
        <f t="shared" si="0"/>
        <v>97</v>
      </c>
      <c r="AA34" s="361" t="str">
        <f>IF(Z34&gt;KKM!$G$10," sangat baik ",IF(Z34&gt;KKM!$H$10," baik ",IF(Z34&gt;=KKM!$I$10," cukup baik "," perlu bimbingan ")))</f>
        <v xml:space="preserve"> sangat baik </v>
      </c>
      <c r="AB34" s="357">
        <f t="shared" si="1"/>
        <v>97</v>
      </c>
      <c r="AC34" s="361" t="str">
        <f>IF(AB34&gt;KKM!$G$10," sangat baik ",IF(AB34&gt;KKM!$H$10," baik ",IF(AB34&gt;=KKM!$I$10," cukup baik "," perlu bimbingan ")))</f>
        <v xml:space="preserve"> sangat baik </v>
      </c>
      <c r="AD34" s="353" t="str">
        <f t="shared" si="5"/>
        <v xml:space="preserve">RIZKI sangat baik  dalam merespon instruksi sangat sederhana dengan tindakan secara berterima dalam konteks sekolah  </v>
      </c>
      <c r="AE34" s="256"/>
      <c r="AF34" s="257" t="str">
        <f t="shared" si="2"/>
        <v xml:space="preserve"> sangat baik  dalam merespon instruksi sangat sederhana dengan tindakan secara berterima dalam konteks sekolah  </v>
      </c>
      <c r="AG34" s="257" t="str">
        <f t="shared" si="3"/>
        <v xml:space="preserve"> sangat baik  dalam merespon instruksi sangat sederhana dengan tindakan secara berterima dalam konteks sekolah  </v>
      </c>
      <c r="AH34" s="257" t="str">
        <f t="shared" si="6"/>
        <v xml:space="preserve"> sangat baik  dalam merespon instruksi sangat sederhana dengan tindakan secara berterima dalam konteks sekolah  , dan  sangat baik  dalam merespon instruksi sangat sederhana dengan tindakan secara berterima dalam konteks sekolah  </v>
      </c>
      <c r="AI34" s="257" t="str">
        <f t="shared" si="7"/>
        <v xml:space="preserve"> sangat baik  dalam merespon instruksi sangat sederhana dengan tindakan secara berterima dalam konteks sekolah  </v>
      </c>
      <c r="AJ34" s="258" t="str">
        <f t="shared" si="8"/>
        <v xml:space="preserve"> sangat baik  dalam merespon instruksi sangat sederhana dengan tindakan secara berterima dalam konteks sekolah  </v>
      </c>
      <c r="AK34" s="252" t="str">
        <f t="shared" si="9"/>
        <v xml:space="preserve">RIZKI sangat baik  dalam merespon instruksi sangat sederhana dengan tindakan secara berterima dalam konteks sekolah  </v>
      </c>
      <c r="AL34" s="153"/>
    </row>
    <row r="35" spans="2:38" ht="57" customHeight="1">
      <c r="B35" s="142">
        <v>31</v>
      </c>
      <c r="C35" s="143" t="str">
        <f>SISWA!B36</f>
        <v>1718250040335</v>
      </c>
      <c r="D35" s="144" t="str">
        <f>SISWA!E36</f>
        <v>SATRIA</v>
      </c>
      <c r="E35" s="159">
        <v>100</v>
      </c>
      <c r="F35" s="160"/>
      <c r="G35" s="160"/>
      <c r="H35" s="160"/>
      <c r="I35" s="160"/>
      <c r="J35" s="160"/>
      <c r="K35" s="160"/>
      <c r="L35" s="160"/>
      <c r="M35" s="159"/>
      <c r="N35" s="159"/>
      <c r="O35" s="159"/>
      <c r="P35" s="159"/>
      <c r="Q35" s="159"/>
      <c r="R35" s="159"/>
      <c r="S35" s="159"/>
      <c r="T35" s="159"/>
      <c r="U35" s="160"/>
      <c r="V35" s="160"/>
      <c r="W35" s="159"/>
      <c r="X35" s="354">
        <f t="shared" si="4"/>
        <v>100</v>
      </c>
      <c r="Y35" s="355" t="str">
        <f>IF(X35&gt;KKM!$G$10,"A",IF(X35&gt;KKM!$H$10,"B",IF(X35&gt;=KKM!$I$10,"C","D")))</f>
        <v>A</v>
      </c>
      <c r="Z35" s="356">
        <f t="shared" si="0"/>
        <v>100</v>
      </c>
      <c r="AA35" s="361" t="str">
        <f>IF(Z35&gt;KKM!$G$10," sangat baik ",IF(Z35&gt;KKM!$H$10," baik ",IF(Z35&gt;=KKM!$I$10," cukup baik "," perlu bimbingan ")))</f>
        <v xml:space="preserve"> sangat baik </v>
      </c>
      <c r="AB35" s="357">
        <f t="shared" si="1"/>
        <v>100</v>
      </c>
      <c r="AC35" s="361" t="str">
        <f>IF(AB35&gt;KKM!$G$10," sangat baik ",IF(AB35&gt;KKM!$H$10," baik ",IF(AB35&gt;=KKM!$I$10," cukup baik "," perlu bimbingan ")))</f>
        <v xml:space="preserve"> sangat baik </v>
      </c>
      <c r="AD35" s="353" t="str">
        <f t="shared" si="5"/>
        <v xml:space="preserve">SATRIA sangat baik  dalam merespon instruksi sangat sederhana dengan tindakan secara berterima dalam konteks sekolah  </v>
      </c>
      <c r="AE35" s="256"/>
      <c r="AF35" s="257" t="str">
        <f t="shared" si="2"/>
        <v xml:space="preserve"> sangat baik  dalam merespon instruksi sangat sederhana dengan tindakan secara berterima dalam konteks sekolah  </v>
      </c>
      <c r="AG35" s="257" t="str">
        <f t="shared" si="3"/>
        <v xml:space="preserve"> sangat baik  dalam merespon instruksi sangat sederhana dengan tindakan secara berterima dalam konteks sekolah  </v>
      </c>
      <c r="AH35" s="257" t="str">
        <f t="shared" si="6"/>
        <v xml:space="preserve"> sangat baik  dalam merespon instruksi sangat sederhana dengan tindakan secara berterima dalam konteks sekolah  , dan  sangat baik  dalam merespon instruksi sangat sederhana dengan tindakan secara berterima dalam konteks sekolah  </v>
      </c>
      <c r="AI35" s="257" t="str">
        <f t="shared" si="7"/>
        <v xml:space="preserve"> sangat baik  dalam merespon instruksi sangat sederhana dengan tindakan secara berterima dalam konteks sekolah  </v>
      </c>
      <c r="AJ35" s="258" t="str">
        <f t="shared" si="8"/>
        <v xml:space="preserve"> sangat baik  dalam merespon instruksi sangat sederhana dengan tindakan secara berterima dalam konteks sekolah  </v>
      </c>
      <c r="AK35" s="252" t="str">
        <f t="shared" si="9"/>
        <v xml:space="preserve">SATRIA sangat baik  dalam merespon instruksi sangat sederhana dengan tindakan secara berterima dalam konteks sekolah  </v>
      </c>
      <c r="AL35" s="153"/>
    </row>
    <row r="36" spans="2:38" ht="57" customHeight="1">
      <c r="B36" s="142">
        <v>32</v>
      </c>
      <c r="C36" s="143" t="str">
        <f>SISWA!B37</f>
        <v>1718250040336</v>
      </c>
      <c r="D36" s="144" t="str">
        <f>SISWA!E37</f>
        <v>NADIA</v>
      </c>
      <c r="E36" s="159">
        <v>97</v>
      </c>
      <c r="F36" s="160"/>
      <c r="G36" s="160"/>
      <c r="H36" s="160"/>
      <c r="I36" s="160"/>
      <c r="J36" s="160"/>
      <c r="K36" s="160"/>
      <c r="L36" s="160"/>
      <c r="M36" s="159"/>
      <c r="N36" s="159"/>
      <c r="O36" s="159"/>
      <c r="P36" s="159"/>
      <c r="Q36" s="159"/>
      <c r="R36" s="159"/>
      <c r="S36" s="159"/>
      <c r="T36" s="159"/>
      <c r="U36" s="160"/>
      <c r="V36" s="160"/>
      <c r="W36" s="159"/>
      <c r="X36" s="354">
        <f t="shared" si="4"/>
        <v>97</v>
      </c>
      <c r="Y36" s="355" t="str">
        <f>IF(X36&gt;KKM!$G$10,"A",IF(X36&gt;KKM!$H$10,"B",IF(X36&gt;=KKM!$I$10,"C","D")))</f>
        <v>A</v>
      </c>
      <c r="Z36" s="356">
        <f t="shared" si="0"/>
        <v>97</v>
      </c>
      <c r="AA36" s="361" t="str">
        <f>IF(Z36&gt;KKM!$G$10," sangat baik ",IF(Z36&gt;KKM!$H$10," baik ",IF(Z36&gt;=KKM!$I$10," cukup baik "," perlu bimbingan ")))</f>
        <v xml:space="preserve"> sangat baik </v>
      </c>
      <c r="AB36" s="357">
        <f t="shared" si="1"/>
        <v>97</v>
      </c>
      <c r="AC36" s="361" t="str">
        <f>IF(AB36&gt;KKM!$G$10," sangat baik ",IF(AB36&gt;KKM!$H$10," baik ",IF(AB36&gt;=KKM!$I$10," cukup baik "," perlu bimbingan ")))</f>
        <v xml:space="preserve"> sangat baik </v>
      </c>
      <c r="AD36" s="353" t="str">
        <f t="shared" si="5"/>
        <v xml:space="preserve">NADIA sangat baik  dalam merespon instruksi sangat sederhana dengan tindakan secara berterima dalam konteks sekolah  </v>
      </c>
      <c r="AE36" s="256"/>
      <c r="AF36" s="257" t="str">
        <f t="shared" si="2"/>
        <v xml:space="preserve"> sangat baik  dalam merespon instruksi sangat sederhana dengan tindakan secara berterima dalam konteks sekolah  </v>
      </c>
      <c r="AG36" s="257" t="str">
        <f t="shared" si="3"/>
        <v xml:space="preserve"> sangat baik  dalam merespon instruksi sangat sederhana dengan tindakan secara berterima dalam konteks sekolah  </v>
      </c>
      <c r="AH36" s="257" t="str">
        <f t="shared" si="6"/>
        <v xml:space="preserve"> sangat baik  dalam merespon instruksi sangat sederhana dengan tindakan secara berterima dalam konteks sekolah  , dan  sangat baik  dalam merespon instruksi sangat sederhana dengan tindakan secara berterima dalam konteks sekolah  </v>
      </c>
      <c r="AI36" s="257" t="str">
        <f t="shared" si="7"/>
        <v xml:space="preserve"> sangat baik  dalam merespon instruksi sangat sederhana dengan tindakan secara berterima dalam konteks sekolah  </v>
      </c>
      <c r="AJ36" s="258" t="str">
        <f t="shared" si="8"/>
        <v xml:space="preserve"> sangat baik  dalam merespon instruksi sangat sederhana dengan tindakan secara berterima dalam konteks sekolah  </v>
      </c>
      <c r="AK36" s="252" t="str">
        <f t="shared" si="9"/>
        <v xml:space="preserve">NADIA sangat baik  dalam merespon instruksi sangat sederhana dengan tindakan secara berterima dalam konteks sekolah  </v>
      </c>
      <c r="AL36" s="153"/>
    </row>
    <row r="37" spans="2:38" ht="57" customHeight="1">
      <c r="B37" s="142">
        <v>33</v>
      </c>
      <c r="C37" s="143" t="str">
        <f>SISWA!B38</f>
        <v>1718250040337</v>
      </c>
      <c r="D37" s="144" t="str">
        <f>SISWA!E38</f>
        <v>NAFILA</v>
      </c>
      <c r="E37" s="159">
        <v>85</v>
      </c>
      <c r="F37" s="160"/>
      <c r="G37" s="160"/>
      <c r="H37" s="160"/>
      <c r="I37" s="160"/>
      <c r="J37" s="160"/>
      <c r="K37" s="160"/>
      <c r="L37" s="160"/>
      <c r="M37" s="159"/>
      <c r="N37" s="159"/>
      <c r="O37" s="159"/>
      <c r="P37" s="159"/>
      <c r="Q37" s="159"/>
      <c r="R37" s="159"/>
      <c r="S37" s="159"/>
      <c r="T37" s="159"/>
      <c r="U37" s="160"/>
      <c r="V37" s="160"/>
      <c r="W37" s="159"/>
      <c r="X37" s="354">
        <f t="shared" si="4"/>
        <v>85</v>
      </c>
      <c r="Y37" s="355" t="str">
        <f>IF(X37&gt;KKM!$G$10,"A",IF(X37&gt;KKM!$H$10,"B",IF(X37&gt;=KKM!$I$10,"C","D")))</f>
        <v>B</v>
      </c>
      <c r="Z37" s="356">
        <f t="shared" si="0"/>
        <v>85</v>
      </c>
      <c r="AA37" s="361" t="str">
        <f>IF(Z37&gt;KKM!$G$10," sangat baik ",IF(Z37&gt;KKM!$H$10," baik ",IF(Z37&gt;=KKM!$I$10," cukup baik "," perlu bimbingan ")))</f>
        <v xml:space="preserve"> baik </v>
      </c>
      <c r="AB37" s="357">
        <f t="shared" si="1"/>
        <v>85</v>
      </c>
      <c r="AC37" s="361" t="str">
        <f>IF(AB37&gt;KKM!$G$10," sangat baik ",IF(AB37&gt;KKM!$H$10," baik ",IF(AB37&gt;=KKM!$I$10," cukup baik "," perlu bimbingan ")))</f>
        <v xml:space="preserve"> baik </v>
      </c>
      <c r="AD37" s="353" t="str">
        <f t="shared" si="5"/>
        <v xml:space="preserve">NAFILA baik  dalam merespon instruksi sangat sederhana dengan tindakan secara berterima dalam konteks sekolah  </v>
      </c>
      <c r="AE37" s="256"/>
      <c r="AF37" s="257" t="str">
        <f t="shared" si="2"/>
        <v xml:space="preserve"> baik  dalam merespon instruksi sangat sederhana dengan tindakan secara berterima dalam konteks sekolah  </v>
      </c>
      <c r="AG37" s="257" t="str">
        <f t="shared" si="3"/>
        <v xml:space="preserve"> baik  dalam merespon instruksi sangat sederhana dengan tindakan secara berterima dalam konteks sekolah  </v>
      </c>
      <c r="AH37" s="257" t="str">
        <f t="shared" si="6"/>
        <v xml:space="preserve"> baik  dalam merespon instruksi sangat sederhana dengan tindakan secara berterima dalam konteks sekolah  , dan  baik  dalam merespon instruksi sangat sederhana dengan tindakan secara berterima dalam konteks sekolah  </v>
      </c>
      <c r="AI37" s="257" t="str">
        <f t="shared" si="7"/>
        <v xml:space="preserve"> baik  dalam merespon instruksi sangat sederhana dengan tindakan secara berterima dalam konteks sekolah  </v>
      </c>
      <c r="AJ37" s="258" t="str">
        <f t="shared" si="8"/>
        <v xml:space="preserve"> baik  dalam merespon instruksi sangat sederhana dengan tindakan secara berterima dalam konteks sekolah  </v>
      </c>
      <c r="AK37" s="252" t="str">
        <f t="shared" si="9"/>
        <v xml:space="preserve">NAFILA baik  dalam merespon instruksi sangat sederhana dengan tindakan secara berterima dalam konteks sekolah  </v>
      </c>
      <c r="AL37" s="153"/>
    </row>
    <row r="38" spans="2:38" ht="57" customHeight="1">
      <c r="B38" s="142">
        <v>34</v>
      </c>
      <c r="C38" s="143" t="str">
        <f>SISWA!B39</f>
        <v>1718250040338</v>
      </c>
      <c r="D38" s="144" t="str">
        <f>SISWA!E39</f>
        <v>NAZZALA</v>
      </c>
      <c r="E38" s="159">
        <v>97</v>
      </c>
      <c r="F38" s="160"/>
      <c r="G38" s="160"/>
      <c r="H38" s="160"/>
      <c r="I38" s="160"/>
      <c r="J38" s="160"/>
      <c r="K38" s="160"/>
      <c r="L38" s="160"/>
      <c r="M38" s="159"/>
      <c r="N38" s="159"/>
      <c r="O38" s="159"/>
      <c r="P38" s="159"/>
      <c r="Q38" s="159"/>
      <c r="R38" s="159"/>
      <c r="S38" s="159"/>
      <c r="T38" s="159"/>
      <c r="U38" s="160"/>
      <c r="V38" s="160"/>
      <c r="W38" s="159"/>
      <c r="X38" s="354">
        <f t="shared" si="4"/>
        <v>97</v>
      </c>
      <c r="Y38" s="355" t="str">
        <f>IF(X38&gt;KKM!$G$10,"A",IF(X38&gt;KKM!$H$10,"B",IF(X38&gt;=KKM!$I$10,"C","D")))</f>
        <v>A</v>
      </c>
      <c r="Z38" s="356">
        <f t="shared" si="0"/>
        <v>97</v>
      </c>
      <c r="AA38" s="361" t="str">
        <f>IF(Z38&gt;KKM!$G$10," sangat baik ",IF(Z38&gt;KKM!$H$10," baik ",IF(Z38&gt;=KKM!$I$10," cukup baik "," perlu bimbingan ")))</f>
        <v xml:space="preserve"> sangat baik </v>
      </c>
      <c r="AB38" s="357">
        <f t="shared" si="1"/>
        <v>97</v>
      </c>
      <c r="AC38" s="361" t="str">
        <f>IF(AB38&gt;KKM!$G$10," sangat baik ",IF(AB38&gt;KKM!$H$10," baik ",IF(AB38&gt;=KKM!$I$10," cukup baik "," perlu bimbingan ")))</f>
        <v xml:space="preserve"> sangat baik </v>
      </c>
      <c r="AD38" s="353" t="str">
        <f t="shared" si="5"/>
        <v xml:space="preserve">NAZZALA sangat baik  dalam merespon instruksi sangat sederhana dengan tindakan secara berterima dalam konteks sekolah  </v>
      </c>
      <c r="AE38" s="256"/>
      <c r="AF38" s="257" t="str">
        <f t="shared" si="2"/>
        <v xml:space="preserve"> sangat baik  dalam merespon instruksi sangat sederhana dengan tindakan secara berterima dalam konteks sekolah  </v>
      </c>
      <c r="AG38" s="257" t="str">
        <f t="shared" si="3"/>
        <v xml:space="preserve"> sangat baik  dalam merespon instruksi sangat sederhana dengan tindakan secara berterima dalam konteks sekolah  </v>
      </c>
      <c r="AH38" s="257" t="str">
        <f t="shared" si="6"/>
        <v xml:space="preserve"> sangat baik  dalam merespon instruksi sangat sederhana dengan tindakan secara berterima dalam konteks sekolah  , dan  sangat baik  dalam merespon instruksi sangat sederhana dengan tindakan secara berterima dalam konteks sekolah  </v>
      </c>
      <c r="AI38" s="257" t="str">
        <f t="shared" si="7"/>
        <v xml:space="preserve"> sangat baik  dalam merespon instruksi sangat sederhana dengan tindakan secara berterima dalam konteks sekolah  </v>
      </c>
      <c r="AJ38" s="258" t="str">
        <f t="shared" si="8"/>
        <v xml:space="preserve"> sangat baik  dalam merespon instruksi sangat sederhana dengan tindakan secara berterima dalam konteks sekolah  </v>
      </c>
      <c r="AK38" s="252" t="str">
        <f t="shared" si="9"/>
        <v xml:space="preserve">NAZZALA sangat baik  dalam merespon instruksi sangat sederhana dengan tindakan secara berterima dalam konteks sekolah  </v>
      </c>
      <c r="AL38" s="153"/>
    </row>
    <row r="39" spans="2:38" ht="57" customHeight="1">
      <c r="B39" s="142">
        <v>35</v>
      </c>
      <c r="C39" s="143" t="str">
        <f>SISWA!B40</f>
        <v>1718250040339</v>
      </c>
      <c r="D39" s="144" t="str">
        <f>SISWA!E40</f>
        <v>RAFAREL</v>
      </c>
      <c r="E39" s="159">
        <v>97</v>
      </c>
      <c r="F39" s="160"/>
      <c r="G39" s="160"/>
      <c r="H39" s="160"/>
      <c r="I39" s="160"/>
      <c r="J39" s="160"/>
      <c r="K39" s="160"/>
      <c r="L39" s="160"/>
      <c r="M39" s="159"/>
      <c r="N39" s="159"/>
      <c r="O39" s="159"/>
      <c r="P39" s="159"/>
      <c r="Q39" s="159"/>
      <c r="R39" s="159"/>
      <c r="S39" s="159"/>
      <c r="T39" s="159"/>
      <c r="U39" s="160"/>
      <c r="V39" s="160"/>
      <c r="W39" s="159"/>
      <c r="X39" s="354">
        <f t="shared" si="4"/>
        <v>97</v>
      </c>
      <c r="Y39" s="355" t="str">
        <f>IF(X39&gt;KKM!$G$10,"A",IF(X39&gt;KKM!$H$10,"B",IF(X39&gt;=KKM!$I$10,"C","D")))</f>
        <v>A</v>
      </c>
      <c r="Z39" s="356">
        <f t="shared" si="0"/>
        <v>97</v>
      </c>
      <c r="AA39" s="361" t="str">
        <f>IF(Z39&gt;KKM!$G$10," sangat baik ",IF(Z39&gt;KKM!$H$10," baik ",IF(Z39&gt;=KKM!$I$10," cukup baik "," perlu bimbingan ")))</f>
        <v xml:space="preserve"> sangat baik </v>
      </c>
      <c r="AB39" s="357">
        <f t="shared" si="1"/>
        <v>97</v>
      </c>
      <c r="AC39" s="361" t="str">
        <f>IF(AB39&gt;KKM!$G$10," sangat baik ",IF(AB39&gt;KKM!$H$10," baik ",IF(AB39&gt;=KKM!$I$10," cukup baik "," perlu bimbingan ")))</f>
        <v xml:space="preserve"> sangat baik </v>
      </c>
      <c r="AD39" s="353" t="str">
        <f t="shared" si="5"/>
        <v xml:space="preserve">RAFAREL sangat baik  dalam merespon instruksi sangat sederhana dengan tindakan secara berterima dalam konteks sekolah  </v>
      </c>
      <c r="AE39" s="256"/>
      <c r="AF39" s="257" t="str">
        <f t="shared" si="2"/>
        <v xml:space="preserve"> sangat baik  dalam merespon instruksi sangat sederhana dengan tindakan secara berterima dalam konteks sekolah  </v>
      </c>
      <c r="AG39" s="257" t="str">
        <f t="shared" si="3"/>
        <v xml:space="preserve"> sangat baik  dalam merespon instruksi sangat sederhana dengan tindakan secara berterima dalam konteks sekolah  </v>
      </c>
      <c r="AH39" s="257" t="str">
        <f t="shared" si="6"/>
        <v xml:space="preserve"> sangat baik  dalam merespon instruksi sangat sederhana dengan tindakan secara berterima dalam konteks sekolah  , dan  sangat baik  dalam merespon instruksi sangat sederhana dengan tindakan secara berterima dalam konteks sekolah  </v>
      </c>
      <c r="AI39" s="257" t="str">
        <f t="shared" si="7"/>
        <v xml:space="preserve"> sangat baik  dalam merespon instruksi sangat sederhana dengan tindakan secara berterima dalam konteks sekolah  </v>
      </c>
      <c r="AJ39" s="258" t="str">
        <f t="shared" si="8"/>
        <v xml:space="preserve"> sangat baik  dalam merespon instruksi sangat sederhana dengan tindakan secara berterima dalam konteks sekolah  </v>
      </c>
      <c r="AK39" s="252" t="str">
        <f t="shared" si="9"/>
        <v xml:space="preserve">RAFAREL sangat baik  dalam merespon instruksi sangat sederhana dengan tindakan secara berterima dalam konteks sekolah  </v>
      </c>
      <c r="AL39" s="153"/>
    </row>
    <row r="40" spans="2:38" ht="57" customHeight="1">
      <c r="B40" s="142">
        <v>36</v>
      </c>
      <c r="C40" s="143" t="str">
        <f>SISWA!B41</f>
        <v>1718250040340</v>
      </c>
      <c r="D40" s="144" t="str">
        <f>SISWA!E41</f>
        <v>RAKHA</v>
      </c>
      <c r="E40" s="159">
        <v>94</v>
      </c>
      <c r="F40" s="160"/>
      <c r="G40" s="160"/>
      <c r="H40" s="160"/>
      <c r="I40" s="160"/>
      <c r="J40" s="160"/>
      <c r="K40" s="160"/>
      <c r="L40" s="160"/>
      <c r="M40" s="159"/>
      <c r="N40" s="159"/>
      <c r="O40" s="159"/>
      <c r="P40" s="159"/>
      <c r="Q40" s="159"/>
      <c r="R40" s="159"/>
      <c r="S40" s="159"/>
      <c r="T40" s="159"/>
      <c r="U40" s="160"/>
      <c r="V40" s="160"/>
      <c r="W40" s="159"/>
      <c r="X40" s="354">
        <f t="shared" si="4"/>
        <v>94</v>
      </c>
      <c r="Y40" s="355" t="str">
        <f>IF(X40&gt;KKM!$G$10,"A",IF(X40&gt;KKM!$H$10,"B",IF(X40&gt;=KKM!$I$10,"C","D")))</f>
        <v>A</v>
      </c>
      <c r="Z40" s="356">
        <f t="shared" si="0"/>
        <v>94</v>
      </c>
      <c r="AA40" s="361" t="str">
        <f>IF(Z40&gt;KKM!$G$10," sangat baik ",IF(Z40&gt;KKM!$H$10," baik ",IF(Z40&gt;=KKM!$I$10," cukup baik "," perlu bimbingan ")))</f>
        <v xml:space="preserve"> sangat baik </v>
      </c>
      <c r="AB40" s="357">
        <f t="shared" si="1"/>
        <v>94</v>
      </c>
      <c r="AC40" s="361" t="str">
        <f>IF(AB40&gt;KKM!$G$10," sangat baik ",IF(AB40&gt;KKM!$H$10," baik ",IF(AB40&gt;=KKM!$I$10," cukup baik "," perlu bimbingan ")))</f>
        <v xml:space="preserve"> sangat baik </v>
      </c>
      <c r="AD40" s="353" t="str">
        <f t="shared" si="5"/>
        <v xml:space="preserve">RAKHA sangat baik  dalam merespon instruksi sangat sederhana dengan tindakan secara berterima dalam konteks sekolah  </v>
      </c>
      <c r="AE40" s="256"/>
      <c r="AF40" s="257" t="str">
        <f t="shared" si="2"/>
        <v xml:space="preserve"> sangat baik  dalam merespon instruksi sangat sederhana dengan tindakan secara berterima dalam konteks sekolah  </v>
      </c>
      <c r="AG40" s="257" t="str">
        <f t="shared" si="3"/>
        <v xml:space="preserve"> sangat baik  dalam merespon instruksi sangat sederhana dengan tindakan secara berterima dalam konteks sekolah  </v>
      </c>
      <c r="AH40" s="257" t="str">
        <f t="shared" si="6"/>
        <v xml:space="preserve"> sangat baik  dalam merespon instruksi sangat sederhana dengan tindakan secara berterima dalam konteks sekolah  , dan  sangat baik  dalam merespon instruksi sangat sederhana dengan tindakan secara berterima dalam konteks sekolah  </v>
      </c>
      <c r="AI40" s="257" t="str">
        <f t="shared" si="7"/>
        <v xml:space="preserve"> sangat baik  dalam merespon instruksi sangat sederhana dengan tindakan secara berterima dalam konteks sekolah  </v>
      </c>
      <c r="AJ40" s="258" t="str">
        <f t="shared" si="8"/>
        <v xml:space="preserve"> sangat baik  dalam merespon instruksi sangat sederhana dengan tindakan secara berterima dalam konteks sekolah  </v>
      </c>
      <c r="AK40" s="252" t="str">
        <f t="shared" si="9"/>
        <v xml:space="preserve">RAKHA sangat baik  dalam merespon instruksi sangat sederhana dengan tindakan secara berterima dalam konteks sekolah  </v>
      </c>
      <c r="AL40" s="153"/>
    </row>
    <row r="41" spans="2:38" ht="57" customHeight="1">
      <c r="B41" s="142">
        <v>37</v>
      </c>
      <c r="C41" s="143" t="str">
        <f>SISWA!B42</f>
        <v>1718250040341</v>
      </c>
      <c r="D41" s="144" t="str">
        <f>SISWA!E42</f>
        <v>RYU</v>
      </c>
      <c r="E41" s="159">
        <v>85</v>
      </c>
      <c r="F41" s="160"/>
      <c r="G41" s="160"/>
      <c r="H41" s="160"/>
      <c r="I41" s="160"/>
      <c r="J41" s="160"/>
      <c r="K41" s="160"/>
      <c r="L41" s="160"/>
      <c r="M41" s="159"/>
      <c r="N41" s="159"/>
      <c r="O41" s="159"/>
      <c r="P41" s="159"/>
      <c r="Q41" s="159"/>
      <c r="R41" s="159"/>
      <c r="S41" s="159"/>
      <c r="T41" s="159"/>
      <c r="U41" s="160"/>
      <c r="V41" s="160"/>
      <c r="W41" s="159"/>
      <c r="X41" s="354">
        <f t="shared" si="4"/>
        <v>85</v>
      </c>
      <c r="Y41" s="355" t="str">
        <f>IF(X41&gt;KKM!$G$10,"A",IF(X41&gt;KKM!$H$10,"B",IF(X41&gt;=KKM!$I$10,"C","D")))</f>
        <v>B</v>
      </c>
      <c r="Z41" s="356">
        <f t="shared" si="0"/>
        <v>85</v>
      </c>
      <c r="AA41" s="361" t="str">
        <f>IF(Z41&gt;KKM!$G$10," sangat baik ",IF(Z41&gt;KKM!$H$10," baik ",IF(Z41&gt;=KKM!$I$10," cukup baik "," perlu bimbingan ")))</f>
        <v xml:space="preserve"> baik </v>
      </c>
      <c r="AB41" s="357">
        <f t="shared" si="1"/>
        <v>85</v>
      </c>
      <c r="AC41" s="361" t="str">
        <f>IF(AB41&gt;KKM!$G$10," sangat baik ",IF(AB41&gt;KKM!$H$10," baik ",IF(AB41&gt;=KKM!$I$10," cukup baik "," perlu bimbingan ")))</f>
        <v xml:space="preserve"> baik </v>
      </c>
      <c r="AD41" s="353" t="str">
        <f t="shared" si="5"/>
        <v xml:space="preserve">RYU baik  dalam merespon instruksi sangat sederhana dengan tindakan secara berterima dalam konteks sekolah  </v>
      </c>
      <c r="AE41" s="256"/>
      <c r="AF41" s="257" t="str">
        <f t="shared" si="2"/>
        <v xml:space="preserve"> baik  dalam merespon instruksi sangat sederhana dengan tindakan secara berterima dalam konteks sekolah  </v>
      </c>
      <c r="AG41" s="257" t="str">
        <f t="shared" si="3"/>
        <v xml:space="preserve"> baik  dalam merespon instruksi sangat sederhana dengan tindakan secara berterima dalam konteks sekolah  </v>
      </c>
      <c r="AH41" s="257" t="str">
        <f t="shared" si="6"/>
        <v xml:space="preserve"> baik  dalam merespon instruksi sangat sederhana dengan tindakan secara berterima dalam konteks sekolah  , dan  baik  dalam merespon instruksi sangat sederhana dengan tindakan secara berterima dalam konteks sekolah  </v>
      </c>
      <c r="AI41" s="257" t="str">
        <f t="shared" si="7"/>
        <v xml:space="preserve"> baik  dalam merespon instruksi sangat sederhana dengan tindakan secara berterima dalam konteks sekolah  </v>
      </c>
      <c r="AJ41" s="258" t="str">
        <f t="shared" si="8"/>
        <v xml:space="preserve"> baik  dalam merespon instruksi sangat sederhana dengan tindakan secara berterima dalam konteks sekolah  </v>
      </c>
      <c r="AK41" s="252" t="str">
        <f t="shared" si="9"/>
        <v xml:space="preserve">RYU baik  dalam merespon instruksi sangat sederhana dengan tindakan secara berterima dalam konteks sekolah  </v>
      </c>
      <c r="AL41" s="153"/>
    </row>
    <row r="42" spans="2:38" ht="57" customHeight="1">
      <c r="B42" s="142">
        <v>38</v>
      </c>
      <c r="C42" s="143" t="str">
        <f>SISWA!B43</f>
        <v>1718250040342</v>
      </c>
      <c r="D42" s="144" t="str">
        <f>SISWA!E43</f>
        <v>SAEPUL</v>
      </c>
      <c r="E42" s="159">
        <v>91</v>
      </c>
      <c r="F42" s="160"/>
      <c r="G42" s="160"/>
      <c r="H42" s="160"/>
      <c r="I42" s="160"/>
      <c r="J42" s="160"/>
      <c r="K42" s="160"/>
      <c r="L42" s="160"/>
      <c r="M42" s="159"/>
      <c r="N42" s="159"/>
      <c r="O42" s="159"/>
      <c r="P42" s="159"/>
      <c r="Q42" s="159"/>
      <c r="R42" s="159"/>
      <c r="S42" s="159"/>
      <c r="T42" s="159"/>
      <c r="U42" s="160"/>
      <c r="V42" s="160"/>
      <c r="W42" s="159"/>
      <c r="X42" s="354">
        <f t="shared" si="4"/>
        <v>91</v>
      </c>
      <c r="Y42" s="355" t="str">
        <f>IF(X42&gt;KKM!$G$10,"A",IF(X42&gt;KKM!$H$10,"B",IF(X42&gt;=KKM!$I$10,"C","D")))</f>
        <v>A</v>
      </c>
      <c r="Z42" s="356">
        <f t="shared" si="0"/>
        <v>91</v>
      </c>
      <c r="AA42" s="361" t="str">
        <f>IF(Z42&gt;KKM!$G$10," sangat baik ",IF(Z42&gt;KKM!$H$10," baik ",IF(Z42&gt;=KKM!$I$10," cukup baik "," perlu bimbingan ")))</f>
        <v xml:space="preserve"> sangat baik </v>
      </c>
      <c r="AB42" s="357">
        <f t="shared" si="1"/>
        <v>91</v>
      </c>
      <c r="AC42" s="361" t="str">
        <f>IF(AB42&gt;KKM!$G$10," sangat baik ",IF(AB42&gt;KKM!$H$10," baik ",IF(AB42&gt;=KKM!$I$10," cukup baik "," perlu bimbingan ")))</f>
        <v xml:space="preserve"> sangat baik </v>
      </c>
      <c r="AD42" s="353" t="str">
        <f t="shared" si="5"/>
        <v xml:space="preserve">SAEPUL sangat baik  dalam merespon instruksi sangat sederhana dengan tindakan secara berterima dalam konteks sekolah  </v>
      </c>
      <c r="AE42" s="256"/>
      <c r="AF42" s="257" t="str">
        <f t="shared" si="2"/>
        <v xml:space="preserve"> sangat baik  dalam merespon instruksi sangat sederhana dengan tindakan secara berterima dalam konteks sekolah  </v>
      </c>
      <c r="AG42" s="257" t="str">
        <f t="shared" si="3"/>
        <v xml:space="preserve"> sangat baik  dalam merespon instruksi sangat sederhana dengan tindakan secara berterima dalam konteks sekolah  </v>
      </c>
      <c r="AH42" s="257" t="str">
        <f t="shared" si="6"/>
        <v xml:space="preserve"> sangat baik  dalam merespon instruksi sangat sederhana dengan tindakan secara berterima dalam konteks sekolah  , dan  sangat baik  dalam merespon instruksi sangat sederhana dengan tindakan secara berterima dalam konteks sekolah  </v>
      </c>
      <c r="AI42" s="257" t="str">
        <f t="shared" si="7"/>
        <v xml:space="preserve"> sangat baik  dalam merespon instruksi sangat sederhana dengan tindakan secara berterima dalam konteks sekolah  </v>
      </c>
      <c r="AJ42" s="258" t="str">
        <f t="shared" si="8"/>
        <v xml:space="preserve"> sangat baik  dalam merespon instruksi sangat sederhana dengan tindakan secara berterima dalam konteks sekolah  </v>
      </c>
      <c r="AK42" s="252" t="str">
        <f t="shared" si="9"/>
        <v xml:space="preserve">SAEPUL sangat baik  dalam merespon instruksi sangat sederhana dengan tindakan secara berterima dalam konteks sekolah  </v>
      </c>
      <c r="AL42" s="153"/>
    </row>
    <row r="43" spans="2:38" ht="57" customHeight="1">
      <c r="B43" s="142">
        <v>39</v>
      </c>
      <c r="C43" s="143" t="str">
        <f>SISWA!B44</f>
        <v>1718250040343</v>
      </c>
      <c r="D43" s="144" t="str">
        <f>SISWA!E44</f>
        <v>SALMA</v>
      </c>
      <c r="E43" s="159">
        <v>91</v>
      </c>
      <c r="F43" s="160"/>
      <c r="G43" s="160"/>
      <c r="H43" s="160"/>
      <c r="I43" s="160"/>
      <c r="J43" s="160"/>
      <c r="K43" s="160"/>
      <c r="L43" s="160"/>
      <c r="M43" s="159"/>
      <c r="N43" s="159"/>
      <c r="O43" s="159"/>
      <c r="P43" s="159"/>
      <c r="Q43" s="159"/>
      <c r="R43" s="159"/>
      <c r="S43" s="159"/>
      <c r="T43" s="159"/>
      <c r="U43" s="160"/>
      <c r="V43" s="160"/>
      <c r="W43" s="159"/>
      <c r="X43" s="354">
        <f t="shared" si="4"/>
        <v>91</v>
      </c>
      <c r="Y43" s="355" t="str">
        <f>IF(X43&gt;KKM!$G$10,"A",IF(X43&gt;KKM!$H$10,"B",IF(X43&gt;=KKM!$I$10,"C","D")))</f>
        <v>A</v>
      </c>
      <c r="Z43" s="356">
        <f t="shared" si="0"/>
        <v>91</v>
      </c>
      <c r="AA43" s="361" t="str">
        <f>IF(Z43&gt;KKM!$G$10," sangat baik ",IF(Z43&gt;KKM!$H$10," baik ",IF(Z43&gt;=KKM!$I$10," cukup baik "," perlu bimbingan ")))</f>
        <v xml:space="preserve"> sangat baik </v>
      </c>
      <c r="AB43" s="357">
        <f t="shared" si="1"/>
        <v>91</v>
      </c>
      <c r="AC43" s="361" t="str">
        <f>IF(AB43&gt;KKM!$G$10," sangat baik ",IF(AB43&gt;KKM!$H$10," baik ",IF(AB43&gt;=KKM!$I$10," cukup baik "," perlu bimbingan ")))</f>
        <v xml:space="preserve"> sangat baik </v>
      </c>
      <c r="AD43" s="353" t="str">
        <f t="shared" si="5"/>
        <v xml:space="preserve">SALMA sangat baik  dalam merespon instruksi sangat sederhana dengan tindakan secara berterima dalam konteks sekolah  </v>
      </c>
      <c r="AE43" s="256"/>
      <c r="AF43" s="257" t="str">
        <f t="shared" si="2"/>
        <v xml:space="preserve"> sangat baik  dalam merespon instruksi sangat sederhana dengan tindakan secara berterima dalam konteks sekolah  </v>
      </c>
      <c r="AG43" s="257" t="str">
        <f t="shared" si="3"/>
        <v xml:space="preserve"> sangat baik  dalam merespon instruksi sangat sederhana dengan tindakan secara berterima dalam konteks sekolah  </v>
      </c>
      <c r="AH43" s="257" t="str">
        <f t="shared" si="6"/>
        <v xml:space="preserve"> sangat baik  dalam merespon instruksi sangat sederhana dengan tindakan secara berterima dalam konteks sekolah  , dan  sangat baik  dalam merespon instruksi sangat sederhana dengan tindakan secara berterima dalam konteks sekolah  </v>
      </c>
      <c r="AI43" s="257" t="str">
        <f t="shared" si="7"/>
        <v xml:space="preserve"> sangat baik  dalam merespon instruksi sangat sederhana dengan tindakan secara berterima dalam konteks sekolah  </v>
      </c>
      <c r="AJ43" s="258" t="str">
        <f t="shared" si="8"/>
        <v xml:space="preserve"> sangat baik  dalam merespon instruksi sangat sederhana dengan tindakan secara berterima dalam konteks sekolah  </v>
      </c>
      <c r="AK43" s="252" t="str">
        <f t="shared" si="9"/>
        <v xml:space="preserve">SALMA sangat baik  dalam merespon instruksi sangat sederhana dengan tindakan secara berterima dalam konteks sekolah  </v>
      </c>
      <c r="AL43" s="153"/>
    </row>
    <row r="44" spans="2:38" ht="57" customHeight="1">
      <c r="B44" s="142">
        <v>40</v>
      </c>
      <c r="C44" s="143" t="str">
        <f>SISWA!B45</f>
        <v>1718250040344</v>
      </c>
      <c r="D44" s="144" t="str">
        <f>SISWA!E45</f>
        <v>SYAKILA</v>
      </c>
      <c r="E44" s="159">
        <v>97</v>
      </c>
      <c r="F44" s="160"/>
      <c r="G44" s="160"/>
      <c r="H44" s="160"/>
      <c r="I44" s="160"/>
      <c r="J44" s="160"/>
      <c r="K44" s="160"/>
      <c r="L44" s="160"/>
      <c r="M44" s="159"/>
      <c r="N44" s="159"/>
      <c r="O44" s="159"/>
      <c r="P44" s="159"/>
      <c r="Q44" s="159"/>
      <c r="R44" s="159"/>
      <c r="S44" s="159"/>
      <c r="T44" s="159"/>
      <c r="U44" s="160"/>
      <c r="V44" s="160"/>
      <c r="W44" s="159"/>
      <c r="X44" s="354">
        <f t="shared" si="4"/>
        <v>97</v>
      </c>
      <c r="Y44" s="355" t="str">
        <f>IF(X44&gt;KKM!$G$10,"A",IF(X44&gt;KKM!$H$10,"B",IF(X44&gt;=KKM!$I$10,"C","D")))</f>
        <v>A</v>
      </c>
      <c r="Z44" s="356">
        <f t="shared" si="0"/>
        <v>97</v>
      </c>
      <c r="AA44" s="361" t="str">
        <f>IF(Z44&gt;KKM!$G$10," sangat baik ",IF(Z44&gt;KKM!$H$10," baik ",IF(Z44&gt;=KKM!$I$10," cukup baik "," perlu bimbingan ")))</f>
        <v xml:space="preserve"> sangat baik </v>
      </c>
      <c r="AB44" s="357">
        <f t="shared" si="1"/>
        <v>97</v>
      </c>
      <c r="AC44" s="361" t="str">
        <f>IF(AB44&gt;KKM!$G$10," sangat baik ",IF(AB44&gt;KKM!$H$10," baik ",IF(AB44&gt;=KKM!$I$10," cukup baik "," perlu bimbingan ")))</f>
        <v xml:space="preserve"> sangat baik </v>
      </c>
      <c r="AD44" s="353" t="str">
        <f t="shared" si="5"/>
        <v xml:space="preserve">SYAKILA sangat baik  dalam merespon instruksi sangat sederhana dengan tindakan secara berterima dalam konteks sekolah  </v>
      </c>
      <c r="AE44" s="256"/>
      <c r="AF44" s="257" t="str">
        <f t="shared" si="2"/>
        <v xml:space="preserve"> sangat baik  dalam merespon instruksi sangat sederhana dengan tindakan secara berterima dalam konteks sekolah  </v>
      </c>
      <c r="AG44" s="257" t="str">
        <f t="shared" si="3"/>
        <v xml:space="preserve"> sangat baik  dalam merespon instruksi sangat sederhana dengan tindakan secara berterima dalam konteks sekolah  </v>
      </c>
      <c r="AH44" s="257" t="str">
        <f t="shared" si="6"/>
        <v xml:space="preserve"> sangat baik  dalam merespon instruksi sangat sederhana dengan tindakan secara berterima dalam konteks sekolah  , dan  sangat baik  dalam merespon instruksi sangat sederhana dengan tindakan secara berterima dalam konteks sekolah  </v>
      </c>
      <c r="AI44" s="257" t="str">
        <f t="shared" si="7"/>
        <v xml:space="preserve"> sangat baik  dalam merespon instruksi sangat sederhana dengan tindakan secara berterima dalam konteks sekolah  </v>
      </c>
      <c r="AJ44" s="258" t="str">
        <f t="shared" si="8"/>
        <v xml:space="preserve"> sangat baik  dalam merespon instruksi sangat sederhana dengan tindakan secara berterima dalam konteks sekolah  </v>
      </c>
      <c r="AK44" s="252" t="str">
        <f t="shared" si="9"/>
        <v xml:space="preserve">SYAKILA sangat baik  dalam merespon instruksi sangat sederhana dengan tindakan secara berterima dalam konteks sekolah  </v>
      </c>
      <c r="AL44" s="153"/>
    </row>
    <row r="45" spans="2:38" ht="57" customHeight="1">
      <c r="B45" s="142">
        <v>41</v>
      </c>
      <c r="C45" s="143" t="str">
        <f>SISWA!B46</f>
        <v>1718250040345</v>
      </c>
      <c r="D45" s="144" t="str">
        <f>SISWA!E46</f>
        <v>SYIFA</v>
      </c>
      <c r="E45" s="159">
        <v>85</v>
      </c>
      <c r="F45" s="160"/>
      <c r="G45" s="160"/>
      <c r="H45" s="160"/>
      <c r="I45" s="160"/>
      <c r="J45" s="160"/>
      <c r="K45" s="160"/>
      <c r="L45" s="160"/>
      <c r="M45" s="159"/>
      <c r="N45" s="159"/>
      <c r="O45" s="159"/>
      <c r="P45" s="159"/>
      <c r="Q45" s="159"/>
      <c r="R45" s="159"/>
      <c r="S45" s="159"/>
      <c r="T45" s="159"/>
      <c r="U45" s="160"/>
      <c r="V45" s="160"/>
      <c r="W45" s="159"/>
      <c r="X45" s="354">
        <f t="shared" si="4"/>
        <v>85</v>
      </c>
      <c r="Y45" s="355" t="str">
        <f>IF(X45&gt;KKM!$G$10,"A",IF(X45&gt;KKM!$H$10,"B",IF(X45&gt;=KKM!$I$10,"C","D")))</f>
        <v>B</v>
      </c>
      <c r="Z45" s="356">
        <f t="shared" si="0"/>
        <v>85</v>
      </c>
      <c r="AA45" s="361" t="str">
        <f>IF(Z45&gt;KKM!$G$10," sangat baik ",IF(Z45&gt;KKM!$H$10," baik ",IF(Z45&gt;=KKM!$I$10," cukup baik "," perlu bimbingan ")))</f>
        <v xml:space="preserve"> baik </v>
      </c>
      <c r="AB45" s="357">
        <f t="shared" si="1"/>
        <v>85</v>
      </c>
      <c r="AC45" s="361" t="str">
        <f>IF(AB45&gt;KKM!$G$10," sangat baik ",IF(AB45&gt;KKM!$H$10," baik ",IF(AB45&gt;=KKM!$I$10," cukup baik "," perlu bimbingan ")))</f>
        <v xml:space="preserve"> baik </v>
      </c>
      <c r="AD45" s="353" t="str">
        <f t="shared" si="5"/>
        <v xml:space="preserve">SYIFA baik  dalam merespon instruksi sangat sederhana dengan tindakan secara berterima dalam konteks sekolah  </v>
      </c>
      <c r="AE45" s="256"/>
      <c r="AF45" s="257" t="str">
        <f t="shared" si="2"/>
        <v xml:space="preserve"> baik  dalam merespon instruksi sangat sederhana dengan tindakan secara berterima dalam konteks sekolah  </v>
      </c>
      <c r="AG45" s="257" t="str">
        <f t="shared" si="3"/>
        <v xml:space="preserve"> baik  dalam merespon instruksi sangat sederhana dengan tindakan secara berterima dalam konteks sekolah  </v>
      </c>
      <c r="AH45" s="257" t="str">
        <f t="shared" si="6"/>
        <v xml:space="preserve"> baik  dalam merespon instruksi sangat sederhana dengan tindakan secara berterima dalam konteks sekolah  , dan  baik  dalam merespon instruksi sangat sederhana dengan tindakan secara berterima dalam konteks sekolah  </v>
      </c>
      <c r="AI45" s="257" t="str">
        <f t="shared" si="7"/>
        <v xml:space="preserve"> baik  dalam merespon instruksi sangat sederhana dengan tindakan secara berterima dalam konteks sekolah  </v>
      </c>
      <c r="AJ45" s="258" t="str">
        <f t="shared" si="8"/>
        <v xml:space="preserve"> baik  dalam merespon instruksi sangat sederhana dengan tindakan secara berterima dalam konteks sekolah  </v>
      </c>
      <c r="AK45" s="252" t="str">
        <f t="shared" si="9"/>
        <v xml:space="preserve">SYIFA baik  dalam merespon instruksi sangat sederhana dengan tindakan secara berterima dalam konteks sekolah  </v>
      </c>
      <c r="AL45" s="153"/>
    </row>
    <row r="46" spans="2:38" ht="57" customHeight="1">
      <c r="B46" s="142">
        <v>42</v>
      </c>
      <c r="C46" s="143" t="str">
        <f>SISWA!B47</f>
        <v>1718250040346</v>
      </c>
      <c r="D46" s="144" t="str">
        <f>SISWA!E47</f>
        <v>WAFDAN</v>
      </c>
      <c r="E46" s="159">
        <v>100</v>
      </c>
      <c r="F46" s="160"/>
      <c r="G46" s="160"/>
      <c r="H46" s="160"/>
      <c r="I46" s="160"/>
      <c r="J46" s="160"/>
      <c r="K46" s="160"/>
      <c r="L46" s="160"/>
      <c r="M46" s="159"/>
      <c r="N46" s="159"/>
      <c r="O46" s="159"/>
      <c r="P46" s="159"/>
      <c r="Q46" s="159"/>
      <c r="R46" s="159"/>
      <c r="S46" s="159"/>
      <c r="T46" s="159"/>
      <c r="U46" s="160"/>
      <c r="V46" s="160"/>
      <c r="W46" s="159"/>
      <c r="X46" s="354">
        <f t="shared" si="4"/>
        <v>100</v>
      </c>
      <c r="Y46" s="355" t="str">
        <f>IF(X46&gt;KKM!$G$10,"A",IF(X46&gt;KKM!$H$10,"B",IF(X46&gt;=KKM!$I$10,"C","D")))</f>
        <v>A</v>
      </c>
      <c r="Z46" s="356">
        <f t="shared" si="0"/>
        <v>100</v>
      </c>
      <c r="AA46" s="361" t="str">
        <f>IF(Z46&gt;KKM!$G$10," sangat baik ",IF(Z46&gt;KKM!$H$10," baik ",IF(Z46&gt;=KKM!$I$10," cukup baik "," perlu bimbingan ")))</f>
        <v xml:space="preserve"> sangat baik </v>
      </c>
      <c r="AB46" s="357">
        <f t="shared" si="1"/>
        <v>100</v>
      </c>
      <c r="AC46" s="361" t="str">
        <f>IF(AB46&gt;KKM!$G$10," sangat baik ",IF(AB46&gt;KKM!$H$10," baik ",IF(AB46&gt;=KKM!$I$10," cukup baik "," perlu bimbingan ")))</f>
        <v xml:space="preserve"> sangat baik </v>
      </c>
      <c r="AD46" s="353" t="str">
        <f t="shared" si="5"/>
        <v xml:space="preserve">WAFDAN sangat baik  dalam merespon instruksi sangat sederhana dengan tindakan secara berterima dalam konteks sekolah  </v>
      </c>
      <c r="AE46" s="256"/>
      <c r="AF46" s="257" t="str">
        <f t="shared" si="2"/>
        <v xml:space="preserve"> sangat baik  dalam merespon instruksi sangat sederhana dengan tindakan secara berterima dalam konteks sekolah  </v>
      </c>
      <c r="AG46" s="257" t="str">
        <f t="shared" si="3"/>
        <v xml:space="preserve"> sangat baik  dalam merespon instruksi sangat sederhana dengan tindakan secara berterima dalam konteks sekolah  </v>
      </c>
      <c r="AH46" s="257" t="str">
        <f t="shared" si="6"/>
        <v xml:space="preserve"> sangat baik  dalam merespon instruksi sangat sederhana dengan tindakan secara berterima dalam konteks sekolah  , dan  sangat baik  dalam merespon instruksi sangat sederhana dengan tindakan secara berterima dalam konteks sekolah  </v>
      </c>
      <c r="AI46" s="257" t="str">
        <f t="shared" si="7"/>
        <v xml:space="preserve"> sangat baik  dalam merespon instruksi sangat sederhana dengan tindakan secara berterima dalam konteks sekolah  </v>
      </c>
      <c r="AJ46" s="258" t="str">
        <f t="shared" si="8"/>
        <v xml:space="preserve"> sangat baik  dalam merespon instruksi sangat sederhana dengan tindakan secara berterima dalam konteks sekolah  </v>
      </c>
      <c r="AK46" s="252" t="str">
        <f t="shared" si="9"/>
        <v xml:space="preserve">WAFDAN sangat baik  dalam merespon instruksi sangat sederhana dengan tindakan secara berterima dalam konteks sekolah  </v>
      </c>
      <c r="AL46" s="153"/>
    </row>
    <row r="47" spans="2:38" ht="57" customHeight="1">
      <c r="B47" s="142">
        <v>43</v>
      </c>
      <c r="C47" s="143" t="str">
        <f>SISWA!B48</f>
        <v>1718250040347</v>
      </c>
      <c r="D47" s="144" t="str">
        <f>SISWA!E48</f>
        <v>ZEVA</v>
      </c>
      <c r="E47" s="159">
        <v>94</v>
      </c>
      <c r="F47" s="160"/>
      <c r="G47" s="160"/>
      <c r="H47" s="160"/>
      <c r="I47" s="160"/>
      <c r="J47" s="160"/>
      <c r="K47" s="160"/>
      <c r="L47" s="160"/>
      <c r="M47" s="159"/>
      <c r="N47" s="159"/>
      <c r="O47" s="159"/>
      <c r="P47" s="159"/>
      <c r="Q47" s="159"/>
      <c r="R47" s="159"/>
      <c r="S47" s="159"/>
      <c r="T47" s="159"/>
      <c r="U47" s="160"/>
      <c r="V47" s="160"/>
      <c r="W47" s="159"/>
      <c r="X47" s="354">
        <f t="shared" si="4"/>
        <v>94</v>
      </c>
      <c r="Y47" s="355" t="str">
        <f>IF(X47&gt;KKM!$G$10,"A",IF(X47&gt;KKM!$H$10,"B",IF(X47&gt;=KKM!$I$10,"C","D")))</f>
        <v>A</v>
      </c>
      <c r="Z47" s="356">
        <f t="shared" si="0"/>
        <v>94</v>
      </c>
      <c r="AA47" s="361" t="str">
        <f>IF(Z47&gt;KKM!$G$10," sangat baik ",IF(Z47&gt;KKM!$H$10," baik ",IF(Z47&gt;=KKM!$I$10," cukup baik "," perlu bimbingan ")))</f>
        <v xml:space="preserve"> sangat baik </v>
      </c>
      <c r="AB47" s="357">
        <f t="shared" si="1"/>
        <v>94</v>
      </c>
      <c r="AC47" s="361" t="str">
        <f>IF(AB47&gt;KKM!$G$10," sangat baik ",IF(AB47&gt;KKM!$H$10," baik ",IF(AB47&gt;=KKM!$I$10," cukup baik "," perlu bimbingan ")))</f>
        <v xml:space="preserve"> sangat baik </v>
      </c>
      <c r="AD47" s="353" t="str">
        <f t="shared" si="5"/>
        <v xml:space="preserve">ZEVA sangat baik  dalam merespon instruksi sangat sederhana dengan tindakan secara berterima dalam konteks sekolah  </v>
      </c>
      <c r="AE47" s="256"/>
      <c r="AF47" s="257" t="str">
        <f t="shared" si="2"/>
        <v xml:space="preserve"> sangat baik  dalam merespon instruksi sangat sederhana dengan tindakan secara berterima dalam konteks sekolah  </v>
      </c>
      <c r="AG47" s="257" t="str">
        <f t="shared" si="3"/>
        <v xml:space="preserve"> sangat baik  dalam merespon instruksi sangat sederhana dengan tindakan secara berterima dalam konteks sekolah  </v>
      </c>
      <c r="AH47" s="257" t="str">
        <f t="shared" si="6"/>
        <v xml:space="preserve"> sangat baik  dalam merespon instruksi sangat sederhana dengan tindakan secara berterima dalam konteks sekolah  , dan  sangat baik  dalam merespon instruksi sangat sederhana dengan tindakan secara berterima dalam konteks sekolah  </v>
      </c>
      <c r="AI47" s="257" t="str">
        <f t="shared" si="7"/>
        <v xml:space="preserve"> sangat baik  dalam merespon instruksi sangat sederhana dengan tindakan secara berterima dalam konteks sekolah  </v>
      </c>
      <c r="AJ47" s="258" t="str">
        <f t="shared" si="8"/>
        <v xml:space="preserve"> sangat baik  dalam merespon instruksi sangat sederhana dengan tindakan secara berterima dalam konteks sekolah  </v>
      </c>
      <c r="AK47" s="252" t="str">
        <f t="shared" si="9"/>
        <v xml:space="preserve">ZEVA sangat baik  dalam merespon instruksi sangat sederhana dengan tindakan secara berterima dalam konteks sekolah  </v>
      </c>
      <c r="AL47" s="153"/>
    </row>
    <row r="48" spans="2:38" ht="57" customHeight="1">
      <c r="B48" s="142">
        <v>44</v>
      </c>
      <c r="C48" s="143">
        <f>SISWA!B49</f>
        <v>0</v>
      </c>
      <c r="D48" s="144">
        <f>SISWA!E49</f>
        <v>0</v>
      </c>
      <c r="E48" s="159"/>
      <c r="F48" s="160"/>
      <c r="G48" s="160"/>
      <c r="H48" s="160"/>
      <c r="I48" s="160"/>
      <c r="J48" s="160"/>
      <c r="K48" s="160"/>
      <c r="L48" s="160"/>
      <c r="M48" s="159"/>
      <c r="N48" s="159"/>
      <c r="O48" s="159"/>
      <c r="P48" s="159"/>
      <c r="Q48" s="159"/>
      <c r="R48" s="159"/>
      <c r="S48" s="159"/>
      <c r="T48" s="159"/>
      <c r="U48" s="160"/>
      <c r="V48" s="160"/>
      <c r="W48" s="159"/>
      <c r="X48" s="354" t="e">
        <f t="shared" si="4"/>
        <v>#DIV/0!</v>
      </c>
      <c r="Y48" s="355" t="e">
        <f>IF(X48&gt;KKM!$G$10,"A",IF(X48&gt;KKM!$H$10,"B",IF(X48&gt;=KKM!$I$10,"C","D")))</f>
        <v>#DIV/0!</v>
      </c>
      <c r="Z48" s="356">
        <f t="shared" si="0"/>
        <v>0</v>
      </c>
      <c r="AA48" s="361" t="str">
        <f>IF(Z48&gt;KKM!$G$10," sangat baik ",IF(Z48&gt;KKM!$H$10," baik ",IF(Z48&gt;=KKM!$I$10," cukup baik "," perlu bimbingan ")))</f>
        <v xml:space="preserve"> perlu bimbingan </v>
      </c>
      <c r="AB48" s="357">
        <f t="shared" si="1"/>
        <v>0</v>
      </c>
      <c r="AC48" s="361" t="str">
        <f>IF(AB48&gt;KKM!$G$10," sangat baik ",IF(AB48&gt;KKM!$H$10," baik ",IF(AB48&gt;=KKM!$I$10," cukup baik "," perlu bimbingan ")))</f>
        <v xml:space="preserve"> perlu bimbingan </v>
      </c>
      <c r="AD48" s="353" t="str">
        <f t="shared" si="5"/>
        <v xml:space="preserve"> </v>
      </c>
      <c r="AE48" s="256"/>
      <c r="AF48" s="257" t="e">
        <f t="shared" si="2"/>
        <v>#N/A</v>
      </c>
      <c r="AG48" s="257" t="e">
        <f t="shared" si="3"/>
        <v>#N/A</v>
      </c>
      <c r="AH48" s="257" t="e">
        <f t="shared" si="6"/>
        <v>#N/A</v>
      </c>
      <c r="AI48" s="257" t="e">
        <f t="shared" si="7"/>
        <v>#N/A</v>
      </c>
      <c r="AJ48" s="258" t="e">
        <f t="shared" si="8"/>
        <v>#N/A</v>
      </c>
      <c r="AK48" s="252" t="e">
        <f t="shared" si="9"/>
        <v>#N/A</v>
      </c>
      <c r="AL48" s="153"/>
    </row>
    <row r="49" spans="2:38" ht="57" customHeight="1">
      <c r="B49" s="142">
        <v>45</v>
      </c>
      <c r="C49" s="143">
        <f>SISWA!B50</f>
        <v>0</v>
      </c>
      <c r="D49" s="144">
        <f>SISWA!E50</f>
        <v>0</v>
      </c>
      <c r="E49" s="159"/>
      <c r="F49" s="160"/>
      <c r="G49" s="160"/>
      <c r="H49" s="160"/>
      <c r="I49" s="160"/>
      <c r="J49" s="160"/>
      <c r="K49" s="160"/>
      <c r="L49" s="160"/>
      <c r="M49" s="159"/>
      <c r="N49" s="159"/>
      <c r="O49" s="159"/>
      <c r="P49" s="159"/>
      <c r="Q49" s="159"/>
      <c r="R49" s="159"/>
      <c r="S49" s="159"/>
      <c r="T49" s="159"/>
      <c r="U49" s="160"/>
      <c r="V49" s="160"/>
      <c r="W49" s="159"/>
      <c r="X49" s="354" t="e">
        <f t="shared" si="4"/>
        <v>#DIV/0!</v>
      </c>
      <c r="Y49" s="355" t="e">
        <f>IF(X49&gt;KKM!$G$10,"A",IF(X49&gt;KKM!$H$10,"B",IF(X49&gt;=KKM!$I$10,"C","D")))</f>
        <v>#DIV/0!</v>
      </c>
      <c r="Z49" s="356">
        <f t="shared" si="0"/>
        <v>0</v>
      </c>
      <c r="AA49" s="361" t="str">
        <f>IF(Z49&gt;KKM!$G$10," sangat baik ",IF(Z49&gt;KKM!$H$10," baik ",IF(Z49&gt;=KKM!$I$10," cukup baik "," perlu bimbingan ")))</f>
        <v xml:space="preserve"> perlu bimbingan </v>
      </c>
      <c r="AB49" s="357">
        <f t="shared" si="1"/>
        <v>0</v>
      </c>
      <c r="AC49" s="361" t="str">
        <f>IF(AB49&gt;KKM!$G$10," sangat baik ",IF(AB49&gt;KKM!$H$10," baik ",IF(AB49&gt;=KKM!$I$10," cukup baik "," perlu bimbingan ")))</f>
        <v xml:space="preserve"> perlu bimbingan </v>
      </c>
      <c r="AD49" s="353" t="str">
        <f t="shared" si="5"/>
        <v xml:space="preserve"> </v>
      </c>
      <c r="AE49" s="256"/>
      <c r="AF49" s="257" t="e">
        <f t="shared" si="2"/>
        <v>#N/A</v>
      </c>
      <c r="AG49" s="257" t="e">
        <f t="shared" si="3"/>
        <v>#N/A</v>
      </c>
      <c r="AH49" s="257" t="e">
        <f t="shared" si="6"/>
        <v>#N/A</v>
      </c>
      <c r="AI49" s="257" t="e">
        <f t="shared" si="7"/>
        <v>#N/A</v>
      </c>
      <c r="AJ49" s="258" t="e">
        <f t="shared" si="8"/>
        <v>#N/A</v>
      </c>
      <c r="AK49" s="252" t="e">
        <f t="shared" si="9"/>
        <v>#N/A</v>
      </c>
      <c r="AL49" s="153"/>
    </row>
    <row r="50" spans="2:38" ht="57" customHeight="1">
      <c r="B50" s="142">
        <v>46</v>
      </c>
      <c r="C50" s="143">
        <f>SISWA!B51</f>
        <v>0</v>
      </c>
      <c r="D50" s="144">
        <f>SISWA!E51</f>
        <v>0</v>
      </c>
      <c r="E50" s="159"/>
      <c r="F50" s="160"/>
      <c r="G50" s="160"/>
      <c r="H50" s="160"/>
      <c r="I50" s="160"/>
      <c r="J50" s="160"/>
      <c r="K50" s="160"/>
      <c r="L50" s="160"/>
      <c r="M50" s="159"/>
      <c r="N50" s="159"/>
      <c r="O50" s="159"/>
      <c r="P50" s="159"/>
      <c r="Q50" s="159"/>
      <c r="R50" s="159"/>
      <c r="S50" s="159"/>
      <c r="T50" s="159"/>
      <c r="U50" s="160"/>
      <c r="V50" s="160"/>
      <c r="W50" s="159"/>
      <c r="X50" s="354" t="e">
        <f t="shared" si="4"/>
        <v>#DIV/0!</v>
      </c>
      <c r="Y50" s="355" t="e">
        <f>IF(X50&gt;KKM!$G$10,"A",IF(X50&gt;KKM!$H$10,"B",IF(X50&gt;=KKM!$I$10,"C","D")))</f>
        <v>#DIV/0!</v>
      </c>
      <c r="Z50" s="356">
        <f t="shared" si="0"/>
        <v>0</v>
      </c>
      <c r="AA50" s="361" t="str">
        <f>IF(Z50&gt;KKM!$G$10," sangat baik ",IF(Z50&gt;KKM!$H$10," baik ",IF(Z50&gt;=KKM!$I$10," cukup baik "," perlu bimbingan ")))</f>
        <v xml:space="preserve"> perlu bimbingan </v>
      </c>
      <c r="AB50" s="357">
        <f t="shared" si="1"/>
        <v>0</v>
      </c>
      <c r="AC50" s="361" t="str">
        <f>IF(AB50&gt;KKM!$G$10," sangat baik ",IF(AB50&gt;KKM!$H$10," baik ",IF(AB50&gt;=KKM!$I$10," cukup baik "," perlu bimbingan ")))</f>
        <v xml:space="preserve"> perlu bimbingan </v>
      </c>
      <c r="AD50" s="353" t="str">
        <f t="shared" si="5"/>
        <v xml:space="preserve"> </v>
      </c>
      <c r="AE50" s="256"/>
      <c r="AF50" s="257" t="e">
        <f t="shared" si="2"/>
        <v>#N/A</v>
      </c>
      <c r="AG50" s="257" t="e">
        <f t="shared" si="3"/>
        <v>#N/A</v>
      </c>
      <c r="AH50" s="257" t="e">
        <f t="shared" si="6"/>
        <v>#N/A</v>
      </c>
      <c r="AI50" s="257" t="e">
        <f t="shared" si="7"/>
        <v>#N/A</v>
      </c>
      <c r="AJ50" s="258" t="e">
        <f t="shared" si="8"/>
        <v>#N/A</v>
      </c>
      <c r="AK50" s="252" t="e">
        <f t="shared" si="9"/>
        <v>#N/A</v>
      </c>
      <c r="AL50" s="153"/>
    </row>
    <row r="51" spans="2:38" ht="57" customHeight="1">
      <c r="B51" s="142">
        <v>47</v>
      </c>
      <c r="C51" s="143">
        <f>SISWA!B52</f>
        <v>0</v>
      </c>
      <c r="D51" s="144">
        <f>SISWA!E52</f>
        <v>0</v>
      </c>
      <c r="E51" s="159"/>
      <c r="F51" s="160"/>
      <c r="G51" s="160"/>
      <c r="H51" s="160"/>
      <c r="I51" s="160"/>
      <c r="J51" s="160"/>
      <c r="K51" s="160"/>
      <c r="L51" s="160"/>
      <c r="M51" s="159"/>
      <c r="N51" s="159"/>
      <c r="O51" s="159"/>
      <c r="P51" s="159"/>
      <c r="Q51" s="159"/>
      <c r="R51" s="159"/>
      <c r="S51" s="159"/>
      <c r="T51" s="159"/>
      <c r="U51" s="160"/>
      <c r="V51" s="160"/>
      <c r="W51" s="159"/>
      <c r="X51" s="354" t="e">
        <f t="shared" si="4"/>
        <v>#DIV/0!</v>
      </c>
      <c r="Y51" s="355" t="e">
        <f>IF(X51&gt;KKM!$G$10,"A",IF(X51&gt;KKM!$H$10,"B",IF(X51&gt;=KKM!$I$10,"C","D")))</f>
        <v>#DIV/0!</v>
      </c>
      <c r="Z51" s="356">
        <f t="shared" si="0"/>
        <v>0</v>
      </c>
      <c r="AA51" s="361" t="str">
        <f>IF(Z51&gt;KKM!$G$10," sangat baik ",IF(Z51&gt;KKM!$H$10," baik ",IF(Z51&gt;=KKM!$I$10," cukup baik "," perlu bimbingan ")))</f>
        <v xml:space="preserve"> perlu bimbingan </v>
      </c>
      <c r="AB51" s="357">
        <f t="shared" si="1"/>
        <v>0</v>
      </c>
      <c r="AC51" s="361" t="str">
        <f>IF(AB51&gt;KKM!$G$10," sangat baik ",IF(AB51&gt;KKM!$H$10," baik ",IF(AB51&gt;=KKM!$I$10," cukup baik "," perlu bimbingan ")))</f>
        <v xml:space="preserve"> perlu bimbingan </v>
      </c>
      <c r="AD51" s="353" t="str">
        <f t="shared" si="5"/>
        <v xml:space="preserve"> </v>
      </c>
      <c r="AE51" s="256"/>
      <c r="AF51" s="257" t="e">
        <f t="shared" si="2"/>
        <v>#N/A</v>
      </c>
      <c r="AG51" s="257" t="e">
        <f t="shared" si="3"/>
        <v>#N/A</v>
      </c>
      <c r="AH51" s="257" t="e">
        <f t="shared" si="6"/>
        <v>#N/A</v>
      </c>
      <c r="AI51" s="257" t="e">
        <f t="shared" si="7"/>
        <v>#N/A</v>
      </c>
      <c r="AJ51" s="258" t="e">
        <f t="shared" si="8"/>
        <v>#N/A</v>
      </c>
      <c r="AK51" s="252" t="e">
        <f t="shared" si="9"/>
        <v>#N/A</v>
      </c>
      <c r="AL51" s="153"/>
    </row>
    <row r="52" spans="2:38" ht="57" customHeight="1">
      <c r="B52" s="142">
        <v>48</v>
      </c>
      <c r="C52" s="143">
        <f>SISWA!B53</f>
        <v>0</v>
      </c>
      <c r="D52" s="144">
        <f>SISWA!E53</f>
        <v>0</v>
      </c>
      <c r="E52" s="159"/>
      <c r="F52" s="160"/>
      <c r="G52" s="160"/>
      <c r="H52" s="160"/>
      <c r="I52" s="160"/>
      <c r="J52" s="160"/>
      <c r="K52" s="160"/>
      <c r="L52" s="160"/>
      <c r="M52" s="159"/>
      <c r="N52" s="159"/>
      <c r="O52" s="159"/>
      <c r="P52" s="159"/>
      <c r="Q52" s="159"/>
      <c r="R52" s="159"/>
      <c r="S52" s="159"/>
      <c r="T52" s="159"/>
      <c r="U52" s="160"/>
      <c r="V52" s="160"/>
      <c r="W52" s="159"/>
      <c r="X52" s="354" t="e">
        <f t="shared" si="4"/>
        <v>#DIV/0!</v>
      </c>
      <c r="Y52" s="355" t="e">
        <f>IF(X52&gt;KKM!$G$10,"A",IF(X52&gt;KKM!$H$10,"B",IF(X52&gt;=KKM!$I$10,"C","D")))</f>
        <v>#DIV/0!</v>
      </c>
      <c r="Z52" s="356">
        <f t="shared" si="0"/>
        <v>0</v>
      </c>
      <c r="AA52" s="361" t="str">
        <f>IF(Z52&gt;KKM!$G$10," sangat baik ",IF(Z52&gt;KKM!$H$10," baik ",IF(Z52&gt;=KKM!$I$10," cukup baik "," perlu bimbingan ")))</f>
        <v xml:space="preserve"> perlu bimbingan </v>
      </c>
      <c r="AB52" s="357">
        <f t="shared" si="1"/>
        <v>0</v>
      </c>
      <c r="AC52" s="361" t="str">
        <f>IF(AB52&gt;KKM!$G$10," sangat baik ",IF(AB52&gt;KKM!$H$10," baik ",IF(AB52&gt;=KKM!$I$10," cukup baik "," perlu bimbingan ")))</f>
        <v xml:space="preserve"> perlu bimbingan </v>
      </c>
      <c r="AD52" s="353" t="str">
        <f t="shared" si="5"/>
        <v xml:space="preserve"> </v>
      </c>
      <c r="AE52" s="256"/>
      <c r="AF52" s="257" t="e">
        <f t="shared" si="2"/>
        <v>#N/A</v>
      </c>
      <c r="AG52" s="257" t="e">
        <f t="shared" si="3"/>
        <v>#N/A</v>
      </c>
      <c r="AH52" s="257" t="e">
        <f t="shared" si="6"/>
        <v>#N/A</v>
      </c>
      <c r="AI52" s="257" t="e">
        <f t="shared" si="7"/>
        <v>#N/A</v>
      </c>
      <c r="AJ52" s="258" t="e">
        <f t="shared" si="8"/>
        <v>#N/A</v>
      </c>
      <c r="AK52" s="252" t="e">
        <f t="shared" si="9"/>
        <v>#N/A</v>
      </c>
      <c r="AL52" s="153"/>
    </row>
    <row r="53" spans="2:38" ht="57" customHeight="1">
      <c r="B53" s="142">
        <v>49</v>
      </c>
      <c r="C53" s="143">
        <f>SISWA!B54</f>
        <v>0</v>
      </c>
      <c r="D53" s="144">
        <f>SISWA!E54</f>
        <v>0</v>
      </c>
      <c r="E53" s="159"/>
      <c r="F53" s="160"/>
      <c r="G53" s="160"/>
      <c r="H53" s="160"/>
      <c r="I53" s="160"/>
      <c r="J53" s="160"/>
      <c r="K53" s="160"/>
      <c r="L53" s="160"/>
      <c r="M53" s="159"/>
      <c r="N53" s="159"/>
      <c r="O53" s="159"/>
      <c r="P53" s="159"/>
      <c r="Q53" s="159"/>
      <c r="R53" s="159"/>
      <c r="S53" s="159"/>
      <c r="T53" s="159"/>
      <c r="U53" s="160"/>
      <c r="V53" s="160"/>
      <c r="W53" s="159"/>
      <c r="X53" s="354" t="e">
        <f t="shared" si="4"/>
        <v>#DIV/0!</v>
      </c>
      <c r="Y53" s="355" t="e">
        <f>IF(X53&gt;KKM!$G$10,"A",IF(X53&gt;KKM!$H$10,"B",IF(X53&gt;=KKM!$I$10,"C","D")))</f>
        <v>#DIV/0!</v>
      </c>
      <c r="Z53" s="356">
        <f t="shared" si="0"/>
        <v>0</v>
      </c>
      <c r="AA53" s="361" t="str">
        <f>IF(Z53&gt;KKM!$G$10," sangat baik ",IF(Z53&gt;KKM!$H$10," baik ",IF(Z53&gt;=KKM!$I$10," cukup baik "," perlu bimbingan ")))</f>
        <v xml:space="preserve"> perlu bimbingan </v>
      </c>
      <c r="AB53" s="357">
        <f t="shared" si="1"/>
        <v>0</v>
      </c>
      <c r="AC53" s="361" t="str">
        <f>IF(AB53&gt;KKM!$G$10," sangat baik ",IF(AB53&gt;KKM!$H$10," baik ",IF(AB53&gt;=KKM!$I$10," cukup baik "," perlu bimbingan ")))</f>
        <v xml:space="preserve"> perlu bimbingan </v>
      </c>
      <c r="AD53" s="353" t="str">
        <f t="shared" si="5"/>
        <v xml:space="preserve"> </v>
      </c>
      <c r="AE53" s="256"/>
      <c r="AF53" s="257" t="e">
        <f t="shared" si="2"/>
        <v>#N/A</v>
      </c>
      <c r="AG53" s="257" t="e">
        <f t="shared" si="3"/>
        <v>#N/A</v>
      </c>
      <c r="AH53" s="257" t="e">
        <f t="shared" si="6"/>
        <v>#N/A</v>
      </c>
      <c r="AI53" s="257" t="e">
        <f t="shared" si="7"/>
        <v>#N/A</v>
      </c>
      <c r="AJ53" s="258" t="e">
        <f t="shared" si="8"/>
        <v>#N/A</v>
      </c>
      <c r="AK53" s="252" t="e">
        <f t="shared" si="9"/>
        <v>#N/A</v>
      </c>
      <c r="AL53" s="153"/>
    </row>
    <row r="54" spans="2:38" ht="57" customHeight="1">
      <c r="B54" s="142">
        <v>50</v>
      </c>
      <c r="C54" s="143">
        <f>SISWA!B55</f>
        <v>0</v>
      </c>
      <c r="D54" s="144">
        <f>SISWA!E55</f>
        <v>0</v>
      </c>
      <c r="E54" s="159"/>
      <c r="F54" s="160"/>
      <c r="G54" s="160"/>
      <c r="H54" s="160"/>
      <c r="I54" s="160"/>
      <c r="J54" s="160"/>
      <c r="K54" s="160"/>
      <c r="L54" s="160"/>
      <c r="M54" s="159"/>
      <c r="N54" s="159"/>
      <c r="O54" s="159"/>
      <c r="P54" s="159"/>
      <c r="Q54" s="159"/>
      <c r="R54" s="159"/>
      <c r="S54" s="159"/>
      <c r="T54" s="159"/>
      <c r="U54" s="160"/>
      <c r="V54" s="160"/>
      <c r="W54" s="159"/>
      <c r="X54" s="354" t="e">
        <f t="shared" si="4"/>
        <v>#DIV/0!</v>
      </c>
      <c r="Y54" s="355" t="e">
        <f>IF(X54&gt;KKM!$G$10,"A",IF(X54&gt;KKM!$H$10,"B",IF(X54&gt;=KKM!$I$10,"C","D")))</f>
        <v>#DIV/0!</v>
      </c>
      <c r="Z54" s="356">
        <f t="shared" si="0"/>
        <v>0</v>
      </c>
      <c r="AA54" s="361" t="str">
        <f>IF(Z54&gt;KKM!$G$10," sangat baik ",IF(Z54&gt;KKM!$H$10," baik ",IF(Z54&gt;=KKM!$I$10," cukup baik "," perlu bimbingan ")))</f>
        <v xml:space="preserve"> perlu bimbingan </v>
      </c>
      <c r="AB54" s="357">
        <f t="shared" si="1"/>
        <v>0</v>
      </c>
      <c r="AC54" s="361" t="str">
        <f>IF(AB54&gt;KKM!$G$10," sangat baik ",IF(AB54&gt;KKM!$H$10," baik ",IF(AB54&gt;=KKM!$I$10," cukup baik "," perlu bimbingan ")))</f>
        <v xml:space="preserve"> perlu bimbingan </v>
      </c>
      <c r="AD54" s="353" t="str">
        <f t="shared" si="5"/>
        <v xml:space="preserve"> </v>
      </c>
      <c r="AE54" s="256"/>
      <c r="AF54" s="257" t="e">
        <f t="shared" si="2"/>
        <v>#N/A</v>
      </c>
      <c r="AG54" s="257" t="e">
        <f t="shared" si="3"/>
        <v>#N/A</v>
      </c>
      <c r="AH54" s="257" t="e">
        <f t="shared" si="6"/>
        <v>#N/A</v>
      </c>
      <c r="AI54" s="257" t="e">
        <f t="shared" si="7"/>
        <v>#N/A</v>
      </c>
      <c r="AJ54" s="258" t="e">
        <f t="shared" si="8"/>
        <v>#N/A</v>
      </c>
      <c r="AK54" s="252" t="e">
        <f t="shared" si="9"/>
        <v>#N/A</v>
      </c>
      <c r="AL54" s="153"/>
    </row>
    <row r="55" spans="2:38" ht="15.75">
      <c r="B55" s="154"/>
      <c r="C55" s="154"/>
      <c r="D55" s="154"/>
      <c r="E55" s="159"/>
      <c r="F55" s="160"/>
      <c r="G55" s="160"/>
      <c r="H55" s="160"/>
      <c r="I55" s="160"/>
      <c r="J55" s="160"/>
      <c r="K55" s="160"/>
      <c r="L55" s="160"/>
      <c r="M55" s="159"/>
      <c r="N55" s="159"/>
      <c r="O55" s="159"/>
      <c r="P55" s="159"/>
      <c r="Q55" s="159"/>
      <c r="R55" s="159"/>
      <c r="S55" s="159"/>
      <c r="T55" s="159"/>
      <c r="U55" s="160"/>
      <c r="V55" s="160"/>
      <c r="W55" s="159"/>
      <c r="X55" s="147"/>
      <c r="Y55" s="148"/>
      <c r="Z55" s="149"/>
      <c r="AA55" s="149"/>
      <c r="AB55" s="149"/>
      <c r="AC55" s="149"/>
      <c r="AD55" s="150"/>
      <c r="AE55" s="151"/>
      <c r="AF55" s="152"/>
      <c r="AG55" s="155"/>
      <c r="AH55" s="155"/>
      <c r="AI55" s="155"/>
      <c r="AJ55" s="155"/>
      <c r="AK55" s="155"/>
      <c r="AL55" s="153"/>
    </row>
  </sheetData>
  <mergeCells count="11">
    <mergeCell ref="AD2:AD4"/>
    <mergeCell ref="Z3:AA3"/>
    <mergeCell ref="AB3:AC3"/>
    <mergeCell ref="B1:AC1"/>
    <mergeCell ref="B2:B4"/>
    <mergeCell ref="C2:C4"/>
    <mergeCell ref="D2:D4"/>
    <mergeCell ref="E2:W2"/>
    <mergeCell ref="X2:X4"/>
    <mergeCell ref="Y2:Y4"/>
    <mergeCell ref="Z2:AC2"/>
  </mergeCell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P55"/>
  <sheetViews>
    <sheetView zoomScale="85" zoomScaleNormal="85" workbookViewId="0">
      <pane xSplit="4" ySplit="4" topLeftCell="E45" activePane="bottomRight" state="frozen"/>
      <selection pane="topRight" activeCell="E1" sqref="E1"/>
      <selection pane="bottomLeft" activeCell="A5" sqref="A5"/>
      <selection pane="bottomRight"/>
    </sheetView>
  </sheetViews>
  <sheetFormatPr defaultColWidth="0" defaultRowHeight="15"/>
  <cols>
    <col min="1" max="1" width="23.42578125" style="507" customWidth="1"/>
    <col min="2" max="2" width="4.42578125" style="137" customWidth="1"/>
    <col min="3" max="3" width="6.42578125" style="137" customWidth="1"/>
    <col min="4" max="4" width="28.7109375" style="137" customWidth="1"/>
    <col min="5" max="10" width="6.7109375" style="137" customWidth="1"/>
    <col min="11" max="18" width="6.7109375" style="137" hidden="1" customWidth="1"/>
    <col min="19" max="22" width="6.7109375" style="137" customWidth="1"/>
    <col min="23" max="24" width="4.7109375" style="137" customWidth="1"/>
    <col min="25" max="25" width="5.140625" style="137" customWidth="1"/>
    <col min="26" max="26" width="10.7109375" style="137" customWidth="1"/>
    <col min="27" max="27" width="5.140625" style="137" customWidth="1"/>
    <col min="28" max="28" width="11.28515625" style="137" customWidth="1"/>
    <col min="29" max="29" width="104" style="137" customWidth="1"/>
    <col min="30" max="30" width="29.85546875" style="137" customWidth="1"/>
    <col min="31" max="36" width="10.7109375" style="137" hidden="1" customWidth="1"/>
    <col min="37" max="44" width="9.140625" style="137" hidden="1" customWidth="1"/>
    <col min="45" max="48" width="9.140625" style="137" customWidth="1"/>
    <col min="49" max="54" width="5" style="137" hidden="1" customWidth="1"/>
    <col min="55" max="56" width="0" style="137" hidden="1" customWidth="1"/>
    <col min="57" max="70" width="10.7109375" style="137" hidden="1" customWidth="1"/>
    <col min="71" max="82" width="9.140625" style="137" hidden="1" customWidth="1"/>
    <col min="83" max="84" width="0" style="137" hidden="1" customWidth="1"/>
    <col min="85" max="92" width="9.140625" style="137" hidden="1" customWidth="1"/>
    <col min="93" max="94" width="0" style="137" hidden="1" customWidth="1"/>
    <col min="95" max="16384" width="9.140625" style="137" hidden="1"/>
  </cols>
  <sheetData>
    <row r="1" spans="1:37" s="510" customFormat="1" ht="45.75" customHeight="1">
      <c r="B1" s="685" t="str">
        <f>KKM!X9&amp;" (PENGETAHUAN)"</f>
        <v>BAHASA INGGRIS (PENGETAHUAN)</v>
      </c>
      <c r="C1" s="685"/>
      <c r="D1" s="685"/>
      <c r="E1" s="685"/>
      <c r="F1" s="685"/>
      <c r="G1" s="685"/>
      <c r="H1" s="685"/>
      <c r="I1" s="685"/>
      <c r="J1" s="685"/>
      <c r="K1" s="685"/>
      <c r="L1" s="685"/>
      <c r="M1" s="685"/>
      <c r="N1" s="685"/>
      <c r="O1" s="685"/>
      <c r="P1" s="685"/>
      <c r="Q1" s="685"/>
      <c r="R1" s="685"/>
      <c r="S1" s="685"/>
      <c r="T1" s="685"/>
      <c r="U1" s="685"/>
      <c r="V1" s="685"/>
      <c r="W1" s="685"/>
      <c r="X1" s="685"/>
      <c r="Y1" s="685"/>
      <c r="Z1" s="685"/>
      <c r="AA1" s="685"/>
      <c r="AB1" s="685"/>
    </row>
    <row r="2" spans="1:37" ht="23.25" customHeight="1">
      <c r="B2" s="716" t="s">
        <v>4</v>
      </c>
      <c r="C2" s="717" t="s">
        <v>5</v>
      </c>
      <c r="D2" s="718" t="s">
        <v>52</v>
      </c>
      <c r="E2" s="719" t="s">
        <v>0</v>
      </c>
      <c r="F2" s="719"/>
      <c r="G2" s="719"/>
      <c r="H2" s="719"/>
      <c r="I2" s="719"/>
      <c r="J2" s="719"/>
      <c r="K2" s="719"/>
      <c r="L2" s="719"/>
      <c r="M2" s="719"/>
      <c r="N2" s="719"/>
      <c r="O2" s="719"/>
      <c r="P2" s="719"/>
      <c r="Q2" s="719"/>
      <c r="R2" s="719"/>
      <c r="S2" s="719"/>
      <c r="T2" s="719"/>
      <c r="U2" s="719"/>
      <c r="V2" s="719"/>
      <c r="W2" s="720" t="s">
        <v>13</v>
      </c>
      <c r="X2" s="721" t="s">
        <v>14</v>
      </c>
      <c r="Y2" s="722" t="s">
        <v>266</v>
      </c>
      <c r="Z2" s="723"/>
      <c r="AA2" s="723"/>
      <c r="AB2" s="723"/>
      <c r="AC2" s="678" t="s">
        <v>3</v>
      </c>
      <c r="AD2" s="2"/>
      <c r="AE2" s="2"/>
      <c r="AF2" s="2"/>
      <c r="AG2" s="2"/>
      <c r="AH2" s="2"/>
      <c r="AI2" s="2"/>
      <c r="AJ2" s="253"/>
    </row>
    <row r="3" spans="1:37" ht="94.5" customHeight="1">
      <c r="B3" s="716"/>
      <c r="C3" s="717"/>
      <c r="D3" s="718"/>
      <c r="E3" s="408" t="str">
        <f>'KI-KD'!$C137</f>
        <v xml:space="preserve">merespon instruksi sangat sederhana dengan tindakan secara berterima dalam konteks sekolah  </v>
      </c>
      <c r="F3" s="408" t="str">
        <f>'KI-KD'!$C138</f>
        <v xml:space="preserve">merespon instruksi sangat sederhana secara verbal </v>
      </c>
      <c r="G3" s="408" t="str">
        <f>'KI-KD'!$C139</f>
        <v xml:space="preserve">bercakap-cakap untuk menyertai tindakan secara berterima yang melibatkan tindak tutur: memberi contoh melakukan sesuatu, memberi aba-aba, dan memberi petunjuk 
</v>
      </c>
      <c r="H3" s="408" t="str">
        <f>'KI-KD'!$C140</f>
        <v xml:space="preserve">bercakap-cakap untuk meminta/memberi jasa/barang secara berterima yang melibatkan tindak tutur: meminta bantuan, memberi bantuan, meminta barang, dan memberi barang 
</v>
      </c>
      <c r="I3" s="408" t="str">
        <f>'KI-KD'!$C141</f>
        <v xml:space="preserve">bercakap-cakap untuk meminta/memberi informasi secara berterima yang melibatkan tindak tutur: memberi informasi, memberi pendapat, dan meminta kejelasan 
</v>
      </c>
      <c r="J3" s="408" t="str">
        <f>'KI-KD'!$C142</f>
        <v xml:space="preserve">mengungkapkan kesantunan secara berterima yang melibatkan ungkapan: Do you mind... dan Shall we... </v>
      </c>
      <c r="K3" s="408" t="str">
        <f>'KI-KD'!$C146</f>
        <v>menyalin dan menulis kalimat sangat sederhana secara tepat dan berterima seperti: ucapan selamat, ucapan terima kasih, dan ucapan simpati</v>
      </c>
      <c r="L3" s="408" t="str">
        <f>'KI-KD'!$C146</f>
        <v>menyalin dan menulis kalimat sangat sederhana secara tepat dan berterima seperti: ucapan selamat, ucapan terima kasih, dan ucapan simpati</v>
      </c>
      <c r="M3" s="408" t="str">
        <f>'KI-KD'!$C146</f>
        <v>menyalin dan menulis kalimat sangat sederhana secara tepat dan berterima seperti: ucapan selamat, ucapan terima kasih, dan ucapan simpati</v>
      </c>
      <c r="N3" s="408" t="str">
        <f>'KI-KD'!$C146</f>
        <v>menyalin dan menulis kalimat sangat sederhana secara tepat dan berterima seperti: ucapan selamat, ucapan terima kasih, dan ucapan simpati</v>
      </c>
      <c r="O3" s="408" t="str">
        <f>'KI-KD'!$C146</f>
        <v>menyalin dan menulis kalimat sangat sederhana secara tepat dan berterima seperti: ucapan selamat, ucapan terima kasih, dan ucapan simpati</v>
      </c>
      <c r="P3" s="408" t="str">
        <f>'KI-KD'!$C146</f>
        <v>menyalin dan menulis kalimat sangat sederhana secara tepat dan berterima seperti: ucapan selamat, ucapan terima kasih, dan ucapan simpati</v>
      </c>
      <c r="Q3" s="408" t="str">
        <f>'KI-KD'!$C146</f>
        <v>menyalin dan menulis kalimat sangat sederhana secara tepat dan berterima seperti: ucapan selamat, ucapan terima kasih, dan ucapan simpati</v>
      </c>
      <c r="R3" s="408" t="str">
        <f>'KI-KD'!$C146</f>
        <v>menyalin dan menulis kalimat sangat sederhana secara tepat dan berterima seperti: ucapan selamat, ucapan terima kasih, dan ucapan simpati</v>
      </c>
      <c r="S3" s="408" t="str">
        <f>'KI-KD'!$C143</f>
        <v xml:space="preserve">membaca nyaring dengan ucapan, tekanan, dan intonasi secara tepat dan berterima yang melibatkan: kata, frasa, kalimat sangat sederhana, dan teks sangat sederhana 
</v>
      </c>
      <c r="T3" s="408" t="str">
        <f>'KI-KD'!$C144</f>
        <v xml:space="preserve">memahami kalimat, pesan tertulis, dan teks dekriptif bergambar sangat sederhana secara tepat dan berterima </v>
      </c>
      <c r="U3" s="408" t="str">
        <f>'KI-KD'!$C145</f>
        <v xml:space="preserve">mengeja kalimat sangat sederhana secara tepat dan berterima </v>
      </c>
      <c r="V3" s="408" t="str">
        <f>'KI-KD'!$C146</f>
        <v>menyalin dan menulis kalimat sangat sederhana secara tepat dan berterima seperti: ucapan selamat, ucapan terima kasih, dan ucapan simpati</v>
      </c>
      <c r="W3" s="720"/>
      <c r="X3" s="721"/>
      <c r="Y3" s="712" t="s">
        <v>267</v>
      </c>
      <c r="Z3" s="713"/>
      <c r="AA3" s="714" t="s">
        <v>268</v>
      </c>
      <c r="AB3" s="715"/>
      <c r="AC3" s="679"/>
      <c r="AD3" s="2"/>
      <c r="AE3" s="2"/>
      <c r="AF3" s="2"/>
      <c r="AG3" s="2"/>
      <c r="AH3" s="2"/>
      <c r="AI3" s="2"/>
      <c r="AJ3" s="253"/>
    </row>
    <row r="4" spans="1:37" s="141" customFormat="1" ht="25.5" customHeight="1">
      <c r="A4" s="509"/>
      <c r="B4" s="716"/>
      <c r="C4" s="717"/>
      <c r="D4" s="718"/>
      <c r="E4" s="140" t="str">
        <f>'KI-KD'!$B137</f>
        <v>5.1</v>
      </c>
      <c r="F4" s="140" t="str">
        <f>'KI-KD'!$B138</f>
        <v>5.2</v>
      </c>
      <c r="G4" s="140" t="str">
        <f>'KI-KD'!$B139</f>
        <v>6.1</v>
      </c>
      <c r="H4" s="140" t="str">
        <f>'KI-KD'!$B140</f>
        <v>6.2</v>
      </c>
      <c r="I4" s="140" t="str">
        <f>'KI-KD'!$B141</f>
        <v>6.3</v>
      </c>
      <c r="J4" s="140" t="str">
        <f>'KI-KD'!$B142</f>
        <v>6.4</v>
      </c>
      <c r="K4" s="140" t="str">
        <f>'KI-KD'!$B140</f>
        <v>6.2</v>
      </c>
      <c r="L4" s="140" t="str">
        <f>'KI-KD'!$B140</f>
        <v>6.2</v>
      </c>
      <c r="M4" s="140" t="str">
        <f>'KI-KD'!$B140</f>
        <v>6.2</v>
      </c>
      <c r="N4" s="140" t="str">
        <f>'KI-KD'!$B140</f>
        <v>6.2</v>
      </c>
      <c r="O4" s="140" t="str">
        <f>'KI-KD'!$B140</f>
        <v>6.2</v>
      </c>
      <c r="P4" s="140" t="str">
        <f>'KI-KD'!$B140</f>
        <v>6.2</v>
      </c>
      <c r="Q4" s="140" t="str">
        <f>'KI-KD'!$B140</f>
        <v>6.2</v>
      </c>
      <c r="R4" s="140" t="str">
        <f>'KI-KD'!$B140</f>
        <v>6.2</v>
      </c>
      <c r="S4" s="140" t="str">
        <f>'KI-KD'!$B143</f>
        <v>7.1</v>
      </c>
      <c r="T4" s="140" t="str">
        <f>'KI-KD'!$B144</f>
        <v>7.2</v>
      </c>
      <c r="U4" s="140" t="str">
        <f>'KI-KD'!$B145</f>
        <v>8.1</v>
      </c>
      <c r="V4" s="140" t="str">
        <f>'KI-KD'!$B146</f>
        <v>8.2</v>
      </c>
      <c r="W4" s="720"/>
      <c r="X4" s="721"/>
      <c r="Y4" s="248" t="s">
        <v>269</v>
      </c>
      <c r="Z4" s="249" t="s">
        <v>3</v>
      </c>
      <c r="AA4" s="250" t="s">
        <v>269</v>
      </c>
      <c r="AB4" s="251" t="s">
        <v>3</v>
      </c>
      <c r="AC4" s="680"/>
      <c r="AD4" s="2"/>
      <c r="AE4" s="254" t="s">
        <v>270</v>
      </c>
      <c r="AF4" s="254" t="s">
        <v>271</v>
      </c>
      <c r="AG4" s="254" t="s">
        <v>272</v>
      </c>
      <c r="AH4" s="254" t="s">
        <v>273</v>
      </c>
      <c r="AI4" s="255" t="s">
        <v>266</v>
      </c>
      <c r="AJ4" s="252"/>
    </row>
    <row r="5" spans="1:37" ht="54" customHeight="1">
      <c r="B5" s="142">
        <v>1</v>
      </c>
      <c r="C5" s="143" t="str">
        <f>SISWA!B6</f>
        <v>1718250040305</v>
      </c>
      <c r="D5" s="144" t="str">
        <f>SISWA!E6</f>
        <v>YAHYA</v>
      </c>
      <c r="E5" s="159">
        <v>98</v>
      </c>
      <c r="F5" s="160"/>
      <c r="G5" s="160">
        <v>98</v>
      </c>
      <c r="H5" s="160"/>
      <c r="I5" s="160"/>
      <c r="J5" s="159"/>
      <c r="K5" s="159"/>
      <c r="L5" s="159"/>
      <c r="M5" s="159"/>
      <c r="N5" s="159"/>
      <c r="O5" s="159"/>
      <c r="P5" s="159"/>
      <c r="Q5" s="159"/>
      <c r="R5" s="160"/>
      <c r="S5" s="160">
        <v>96</v>
      </c>
      <c r="T5" s="160"/>
      <c r="U5" s="160">
        <v>96</v>
      </c>
      <c r="V5" s="159"/>
      <c r="W5" s="354">
        <f>ROUND((AVERAGE(E5:V5)),0)</f>
        <v>97</v>
      </c>
      <c r="X5" s="355" t="str">
        <f>IF(W5&gt;KKM!$G$10,"A",IF(W5&gt;KKM!$H$10,"B",IF(W5&gt;=KKM!$I$10,"C","D")))</f>
        <v>A</v>
      </c>
      <c r="Y5" s="356">
        <f t="shared" ref="Y5:Y54" si="0">MAX(E5:V5)</f>
        <v>98</v>
      </c>
      <c r="Z5" s="361" t="str">
        <f>IF(Y5&gt;KKM!$G$10," sangat baik ",IF(Y5&gt;KKM!$H$10," baik ",IF(Y5&gt;=KKM!$I$10," cukup baik "," perlu bimbingan ")))</f>
        <v xml:space="preserve"> sangat baik </v>
      </c>
      <c r="AA5" s="357">
        <f t="shared" ref="AA5:AA54" si="1">MIN(E5:V5)</f>
        <v>96</v>
      </c>
      <c r="AB5" s="361" t="str">
        <f>IF(AA5&gt;KKM!$G$10," sangat baik ",IF(AA5&gt;KKM!$H$10," baik ",IF(AA5&gt;=KKM!$I$10," cukup baik "," perlu bimbingan ")))</f>
        <v xml:space="preserve"> sangat baik </v>
      </c>
      <c r="AC5" s="353" t="str">
        <f>IFERROR(AJ5," ")</f>
        <v xml:space="preserve">YAHYA sangat baik  dalam merespon instruksi sangat sederhana dengan tindakan secara berterima dalam konteks sekolah  , dan  sangat baik  dalam membaca nyaring dengan ucapan, tekanan, dan intonasi secara tepat dan berterima yang melibatkan: kata, frasa, kalimat sangat sederhana, dan teks sangat sederhana 
</v>
      </c>
      <c r="AD5" s="256"/>
      <c r="AE5" s="257" t="str">
        <f t="shared" ref="AE5:AE54" si="2">Z5&amp;" dalam "&amp;INDEX($E$3:$V$3,MATCH(Y5,$E5:$V5,0))</f>
        <v xml:space="preserve"> sangat baik  dalam merespon instruksi sangat sederhana dengan tindakan secara berterima dalam konteks sekolah  </v>
      </c>
      <c r="AF5" s="257" t="str">
        <f t="shared" ref="AF5:AF54" si="3">AB5&amp;" dalam "&amp;INDEX($E$3:$V$3,MATCH(AA5,$E5:$V5,0))</f>
        <v xml:space="preserve"> sangat baik  dalam membaca nyaring dengan ucapan, tekanan, dan intonasi secara tepat dan berterima yang melibatkan: kata, frasa, kalimat sangat sederhana, dan teks sangat sederhana 
</v>
      </c>
      <c r="AG5" s="257" t="str">
        <f>AE5&amp;", dan "&amp;AF5</f>
        <v xml:space="preserve"> sangat baik  dalam merespon instruksi sangat sederhana dengan tindakan secara berterima dalam konteks sekolah  , dan  sangat baik  dalam membaca nyaring dengan ucapan, tekanan, dan intonasi secara tepat dan berterima yang melibatkan: kata, frasa, kalimat sangat sederhana, dan teks sangat sederhana 
</v>
      </c>
      <c r="AH5" s="257" t="str">
        <f>IF(AE5=AF5,AE5," ")</f>
        <v xml:space="preserve"> </v>
      </c>
      <c r="AI5" s="258" t="str">
        <f>IF(AH5=" ",AG5,AH5)</f>
        <v xml:space="preserve"> sangat baik  dalam merespon instruksi sangat sederhana dengan tindakan secara berterima dalam konteks sekolah  , dan  sangat baik  dalam membaca nyaring dengan ucapan, tekanan, dan intonasi secara tepat dan berterima yang melibatkan: kata, frasa, kalimat sangat sederhana, dan teks sangat sederhana 
</v>
      </c>
      <c r="AJ5" s="252" t="str">
        <f>CONCATENATE(D5,AI5)</f>
        <v xml:space="preserve">YAHYA sangat baik  dalam merespon instruksi sangat sederhana dengan tindakan secara berterima dalam konteks sekolah  , dan  sangat baik  dalam membaca nyaring dengan ucapan, tekanan, dan intonasi secara tepat dan berterima yang melibatkan: kata, frasa, kalimat sangat sederhana, dan teks sangat sederhana 
</v>
      </c>
      <c r="AK5" s="153"/>
    </row>
    <row r="6" spans="1:37" ht="54" customHeight="1">
      <c r="B6" s="142">
        <v>2</v>
      </c>
      <c r="C6" s="143" t="str">
        <f>SISWA!B7</f>
        <v>1718250040306</v>
      </c>
      <c r="D6" s="144" t="str">
        <f>SISWA!E7</f>
        <v>ADHWA</v>
      </c>
      <c r="E6" s="159">
        <v>86</v>
      </c>
      <c r="F6" s="160"/>
      <c r="G6" s="160">
        <v>86</v>
      </c>
      <c r="H6" s="160"/>
      <c r="I6" s="160"/>
      <c r="J6" s="159" t="s">
        <v>766</v>
      </c>
      <c r="K6" s="159"/>
      <c r="L6" s="159"/>
      <c r="M6" s="159"/>
      <c r="N6" s="159"/>
      <c r="O6" s="159"/>
      <c r="P6" s="159"/>
      <c r="Q6" s="159"/>
      <c r="R6" s="160"/>
      <c r="S6" s="160">
        <v>94</v>
      </c>
      <c r="T6" s="160"/>
      <c r="U6" s="160">
        <v>94</v>
      </c>
      <c r="V6" s="159" t="s">
        <v>766</v>
      </c>
      <c r="W6" s="354">
        <f t="shared" ref="W6:W54" si="4">ROUND((AVERAGE(E6:V6)),0)</f>
        <v>90</v>
      </c>
      <c r="X6" s="355" t="str">
        <f>IF(W6&gt;KKM!$G$10,"A",IF(W6&gt;KKM!$H$10,"B",IF(W6&gt;=KKM!$I$10,"C","D")))</f>
        <v>A</v>
      </c>
      <c r="Y6" s="356">
        <f t="shared" si="0"/>
        <v>94</v>
      </c>
      <c r="Z6" s="361" t="str">
        <f>IF(Y6&gt;KKM!$G$10," sangat baik ",IF(Y6&gt;KKM!$H$10," baik ",IF(Y6&gt;=KKM!$I$10," cukup baik "," perlu bimbingan ")))</f>
        <v xml:space="preserve"> sangat baik </v>
      </c>
      <c r="AA6" s="357">
        <f t="shared" si="1"/>
        <v>86</v>
      </c>
      <c r="AB6" s="361" t="str">
        <f>IF(AA6&gt;KKM!$G$10," sangat baik ",IF(AA6&gt;KKM!$H$10," baik ",IF(AA6&gt;=KKM!$I$10," cukup baik "," perlu bimbingan ")))</f>
        <v xml:space="preserve"> baik </v>
      </c>
      <c r="AC6" s="353" t="str">
        <f t="shared" ref="AC6:AC54" si="5">IFERROR(AJ6," ")</f>
        <v xml:space="preserve">ADHWA sangat baik  dalam membaca nyaring dengan ucapan, tekanan, dan intonasi secara tepat dan berterima yang melibatkan: kata, frasa, kalimat sangat sederhana, dan teks sangat sederhana 
, dan  baik  dalam merespon instruksi sangat sederhana dengan tindakan secara berterima dalam konteks sekolah  </v>
      </c>
      <c r="AD6" s="256"/>
      <c r="AE6" s="257" t="str">
        <f t="shared" si="2"/>
        <v xml:space="preserve"> sangat baik  dalam membaca nyaring dengan ucapan, tekanan, dan intonasi secara tepat dan berterima yang melibatkan: kata, frasa, kalimat sangat sederhana, dan teks sangat sederhana 
</v>
      </c>
      <c r="AF6" s="257" t="str">
        <f t="shared" si="3"/>
        <v xml:space="preserve"> baik  dalam merespon instruksi sangat sederhana dengan tindakan secara berterima dalam konteks sekolah  </v>
      </c>
      <c r="AG6" s="257" t="str">
        <f t="shared" ref="AG6:AG54" si="6">AE6&amp;", dan "&amp;AF6</f>
        <v xml:space="preserve"> sangat baik  dalam membaca nyaring dengan ucapan, tekanan, dan intonasi secara tepat dan berterima yang melibatkan: kata, frasa, kalimat sangat sederhana, dan teks sangat sederhana 
, dan  baik  dalam merespon instruksi sangat sederhana dengan tindakan secara berterima dalam konteks sekolah  </v>
      </c>
      <c r="AH6" s="257" t="str">
        <f t="shared" ref="AH6:AH54" si="7">IF(AE6=AF6,AE6," ")</f>
        <v xml:space="preserve"> </v>
      </c>
      <c r="AI6" s="258" t="str">
        <f t="shared" ref="AI6:AI54" si="8">IF(AH6=" ",AG6,AH6)</f>
        <v xml:space="preserve"> sangat baik  dalam membaca nyaring dengan ucapan, tekanan, dan intonasi secara tepat dan berterima yang melibatkan: kata, frasa, kalimat sangat sederhana, dan teks sangat sederhana 
, dan  baik  dalam merespon instruksi sangat sederhana dengan tindakan secara berterima dalam konteks sekolah  </v>
      </c>
      <c r="AJ6" s="252" t="str">
        <f t="shared" ref="AJ6:AJ54" si="9">CONCATENATE(D6,AI6)</f>
        <v xml:space="preserve">ADHWA sangat baik  dalam membaca nyaring dengan ucapan, tekanan, dan intonasi secara tepat dan berterima yang melibatkan: kata, frasa, kalimat sangat sederhana, dan teks sangat sederhana 
, dan  baik  dalam merespon instruksi sangat sederhana dengan tindakan secara berterima dalam konteks sekolah  </v>
      </c>
      <c r="AK6" s="153"/>
    </row>
    <row r="7" spans="1:37" ht="54" customHeight="1">
      <c r="B7" s="142">
        <v>3</v>
      </c>
      <c r="C7" s="143" t="str">
        <f>SISWA!B8</f>
        <v xml:space="preserve"> 1718250040307</v>
      </c>
      <c r="D7" s="144" t="str">
        <f>SISWA!E8</f>
        <v>ANDHIKA</v>
      </c>
      <c r="E7" s="159">
        <v>90</v>
      </c>
      <c r="F7" s="160"/>
      <c r="G7" s="160">
        <v>90</v>
      </c>
      <c r="H7" s="160"/>
      <c r="I7" s="160"/>
      <c r="J7" s="159"/>
      <c r="K7" s="159"/>
      <c r="L7" s="159"/>
      <c r="M7" s="159"/>
      <c r="N7" s="159"/>
      <c r="O7" s="159"/>
      <c r="P7" s="159"/>
      <c r="Q7" s="159"/>
      <c r="R7" s="160"/>
      <c r="S7" s="160">
        <v>94</v>
      </c>
      <c r="T7" s="160"/>
      <c r="U7" s="160">
        <v>94</v>
      </c>
      <c r="V7" s="159"/>
      <c r="W7" s="354">
        <f t="shared" si="4"/>
        <v>92</v>
      </c>
      <c r="X7" s="355" t="str">
        <f>IF(W7&gt;KKM!$G$10,"A",IF(W7&gt;KKM!$H$10,"B",IF(W7&gt;=KKM!$I$10,"C","D")))</f>
        <v>A</v>
      </c>
      <c r="Y7" s="356">
        <f t="shared" si="0"/>
        <v>94</v>
      </c>
      <c r="Z7" s="361" t="str">
        <f>IF(Y7&gt;KKM!$G$10," sangat baik ",IF(Y7&gt;KKM!$H$10," baik ",IF(Y7&gt;=KKM!$I$10," cukup baik "," perlu bimbingan ")))</f>
        <v xml:space="preserve"> sangat baik </v>
      </c>
      <c r="AA7" s="357">
        <f t="shared" si="1"/>
        <v>90</v>
      </c>
      <c r="AB7" s="361" t="str">
        <f>IF(AA7&gt;KKM!$G$10," sangat baik ",IF(AA7&gt;KKM!$H$10," baik ",IF(AA7&gt;=KKM!$I$10," cukup baik "," perlu bimbingan ")))</f>
        <v xml:space="preserve"> sangat baik </v>
      </c>
      <c r="AC7" s="353" t="str">
        <f t="shared" si="5"/>
        <v xml:space="preserve">ANDHIKA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D7" s="256"/>
      <c r="AE7" s="257" t="str">
        <f t="shared" si="2"/>
        <v xml:space="preserve"> sangat baik  dalam membaca nyaring dengan ucapan, tekanan, dan intonasi secara tepat dan berterima yang melibatkan: kata, frasa, kalimat sangat sederhana, dan teks sangat sederhana 
</v>
      </c>
      <c r="AF7" s="257" t="str">
        <f t="shared" si="3"/>
        <v xml:space="preserve"> sangat baik  dalam merespon instruksi sangat sederhana dengan tindakan secara berterima dalam konteks sekolah  </v>
      </c>
      <c r="AG7" s="257" t="str">
        <f t="shared" si="6"/>
        <v xml:space="preserve">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H7" s="257" t="str">
        <f t="shared" si="7"/>
        <v xml:space="preserve"> </v>
      </c>
      <c r="AI7" s="258" t="str">
        <f t="shared" si="8"/>
        <v xml:space="preserve">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J7" s="252" t="str">
        <f t="shared" si="9"/>
        <v xml:space="preserve">ANDHIKA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K7" s="153"/>
    </row>
    <row r="8" spans="1:37" ht="54" customHeight="1">
      <c r="B8" s="142">
        <v>4</v>
      </c>
      <c r="C8" s="143" t="str">
        <f>SISWA!B9</f>
        <v xml:space="preserve"> 1718250040308</v>
      </c>
      <c r="D8" s="144" t="str">
        <f>SISWA!E9</f>
        <v>ANGGARA</v>
      </c>
      <c r="E8" s="159">
        <v>74</v>
      </c>
      <c r="F8" s="160"/>
      <c r="G8" s="160">
        <v>72</v>
      </c>
      <c r="H8" s="160"/>
      <c r="I8" s="160"/>
      <c r="J8" s="159"/>
      <c r="K8" s="159"/>
      <c r="L8" s="159"/>
      <c r="M8" s="159"/>
      <c r="N8" s="159"/>
      <c r="O8" s="159"/>
      <c r="P8" s="159"/>
      <c r="Q8" s="159"/>
      <c r="R8" s="160"/>
      <c r="S8" s="160">
        <v>77</v>
      </c>
      <c r="T8" s="160"/>
      <c r="U8" s="160">
        <v>77</v>
      </c>
      <c r="V8" s="159"/>
      <c r="W8" s="354">
        <f t="shared" si="4"/>
        <v>75</v>
      </c>
      <c r="X8" s="355" t="str">
        <f>IF(W8&gt;KKM!$G$10,"A",IF(W8&gt;KKM!$H$10,"B",IF(W8&gt;=KKM!$I$10,"C","D")))</f>
        <v>C</v>
      </c>
      <c r="Y8" s="356">
        <f t="shared" si="0"/>
        <v>77</v>
      </c>
      <c r="Z8" s="361" t="str">
        <f>IF(Y8&gt;KKM!$G$10," sangat baik ",IF(Y8&gt;KKM!$H$10," baik ",IF(Y8&gt;=KKM!$I$10," cukup baik "," perlu bimbingan ")))</f>
        <v xml:space="preserve"> baik </v>
      </c>
      <c r="AA8" s="357">
        <f t="shared" si="1"/>
        <v>72</v>
      </c>
      <c r="AB8" s="361" t="str">
        <f>IF(AA8&gt;KKM!$G$10," sangat baik ",IF(AA8&gt;KKM!$H$10," baik ",IF(AA8&gt;=KKM!$I$10," cukup baik "," perlu bimbingan ")))</f>
        <v xml:space="preserve"> cukup baik </v>
      </c>
      <c r="AC8" s="353" t="str">
        <f t="shared" si="5"/>
        <v xml:space="preserve">ANGGARA baik  dalam membaca nyaring dengan ucapan, tekanan, dan intonasi secara tepat dan berterima yang melibatkan: kata, frasa, kalimat sangat sederhana, dan teks sangat sederhana 
, dan  cukup baik  dalam bercakap-cakap untuk menyertai tindakan secara berterima yang melibatkan tindak tutur: memberi contoh melakukan sesuatu, memberi aba-aba, dan memberi petunjuk 
</v>
      </c>
      <c r="AD8" s="256"/>
      <c r="AE8" s="257" t="str">
        <f t="shared" si="2"/>
        <v xml:space="preserve"> baik  dalam membaca nyaring dengan ucapan, tekanan, dan intonasi secara tepat dan berterima yang melibatkan: kata, frasa, kalimat sangat sederhana, dan teks sangat sederhana 
</v>
      </c>
      <c r="AF8" s="257" t="str">
        <f t="shared" si="3"/>
        <v xml:space="preserve"> cukup baik  dalam bercakap-cakap untuk menyertai tindakan secara berterima yang melibatkan tindak tutur: memberi contoh melakukan sesuatu, memberi aba-aba, dan memberi petunjuk 
</v>
      </c>
      <c r="AG8" s="257" t="str">
        <f t="shared" si="6"/>
        <v xml:space="preserve"> baik  dalam membaca nyaring dengan ucapan, tekanan, dan intonasi secara tepat dan berterima yang melibatkan: kata, frasa, kalimat sangat sederhana, dan teks sangat sederhana 
, dan  cukup baik  dalam bercakap-cakap untuk menyertai tindakan secara berterima yang melibatkan tindak tutur: memberi contoh melakukan sesuatu, memberi aba-aba, dan memberi petunjuk 
</v>
      </c>
      <c r="AH8" s="257" t="str">
        <f t="shared" si="7"/>
        <v xml:space="preserve"> </v>
      </c>
      <c r="AI8" s="258" t="str">
        <f t="shared" si="8"/>
        <v xml:space="preserve"> baik  dalam membaca nyaring dengan ucapan, tekanan, dan intonasi secara tepat dan berterima yang melibatkan: kata, frasa, kalimat sangat sederhana, dan teks sangat sederhana 
, dan  cukup baik  dalam bercakap-cakap untuk menyertai tindakan secara berterima yang melibatkan tindak tutur: memberi contoh melakukan sesuatu, memberi aba-aba, dan memberi petunjuk 
</v>
      </c>
      <c r="AJ8" s="252" t="str">
        <f t="shared" si="9"/>
        <v xml:space="preserve">ANGGARA baik  dalam membaca nyaring dengan ucapan, tekanan, dan intonasi secara tepat dan berterima yang melibatkan: kata, frasa, kalimat sangat sederhana, dan teks sangat sederhana 
, dan  cukup baik  dalam bercakap-cakap untuk menyertai tindakan secara berterima yang melibatkan tindak tutur: memberi contoh melakukan sesuatu, memberi aba-aba, dan memberi petunjuk 
</v>
      </c>
      <c r="AK8" s="153"/>
    </row>
    <row r="9" spans="1:37" ht="54" customHeight="1">
      <c r="B9" s="142">
        <v>5</v>
      </c>
      <c r="C9" s="143" t="str">
        <f>SISWA!B10</f>
        <v>1718250040309</v>
      </c>
      <c r="D9" s="144" t="str">
        <f>SISWA!E10</f>
        <v>ARIA</v>
      </c>
      <c r="E9" s="159">
        <v>82</v>
      </c>
      <c r="F9" s="160"/>
      <c r="G9" s="160">
        <v>83</v>
      </c>
      <c r="H9" s="160"/>
      <c r="I9" s="160"/>
      <c r="J9" s="159"/>
      <c r="K9" s="159"/>
      <c r="L9" s="159"/>
      <c r="M9" s="159"/>
      <c r="N9" s="159"/>
      <c r="O9" s="159"/>
      <c r="P9" s="159"/>
      <c r="Q9" s="159"/>
      <c r="R9" s="160"/>
      <c r="S9" s="160">
        <v>76</v>
      </c>
      <c r="T9" s="160"/>
      <c r="U9" s="160">
        <v>76</v>
      </c>
      <c r="V9" s="159"/>
      <c r="W9" s="354">
        <f t="shared" si="4"/>
        <v>79</v>
      </c>
      <c r="X9" s="355" t="str">
        <f>IF(W9&gt;KKM!$G$10,"A",IF(W9&gt;KKM!$H$10,"B",IF(W9&gt;=KKM!$I$10,"C","D")))</f>
        <v>B</v>
      </c>
      <c r="Y9" s="356">
        <f t="shared" si="0"/>
        <v>83</v>
      </c>
      <c r="Z9" s="361" t="str">
        <f>IF(Y9&gt;KKM!$G$10," sangat baik ",IF(Y9&gt;KKM!$H$10," baik ",IF(Y9&gt;=KKM!$I$10," cukup baik "," perlu bimbingan ")))</f>
        <v xml:space="preserve"> baik </v>
      </c>
      <c r="AA9" s="357">
        <f t="shared" si="1"/>
        <v>76</v>
      </c>
      <c r="AB9" s="361" t="str">
        <f>IF(AA9&gt;KKM!$G$10," sangat baik ",IF(AA9&gt;KKM!$H$10," baik ",IF(AA9&gt;=KKM!$I$10," cukup baik "," perlu bimbingan ")))</f>
        <v xml:space="preserve"> cukup baik </v>
      </c>
      <c r="AC9" s="353" t="str">
        <f t="shared" si="5"/>
        <v xml:space="preserve">ARIA baik  dalam bercakap-cakap untuk menyertai tindakan secara berterima yang melibatkan tindak tutur: memberi contoh melakukan sesuatu, memberi aba-aba, dan memberi petunjuk 
, dan  cukup baik  dalam membaca nyaring dengan ucapan, tekanan, dan intonasi secara tepat dan berterima yang melibatkan: kata, frasa, kalimat sangat sederhana, dan teks sangat sederhana 
</v>
      </c>
      <c r="AD9" s="256"/>
      <c r="AE9" s="257" t="str">
        <f t="shared" si="2"/>
        <v xml:space="preserve"> baik  dalam bercakap-cakap untuk menyertai tindakan secara berterima yang melibatkan tindak tutur: memberi contoh melakukan sesuatu, memberi aba-aba, dan memberi petunjuk 
</v>
      </c>
      <c r="AF9" s="257" t="str">
        <f t="shared" si="3"/>
        <v xml:space="preserve"> cukup baik  dalam membaca nyaring dengan ucapan, tekanan, dan intonasi secara tepat dan berterima yang melibatkan: kata, frasa, kalimat sangat sederhana, dan teks sangat sederhana 
</v>
      </c>
      <c r="AG9" s="257" t="str">
        <f t="shared" si="6"/>
        <v xml:space="preserve"> baik  dalam bercakap-cakap untuk menyertai tindakan secara berterima yang melibatkan tindak tutur: memberi contoh melakukan sesuatu, memberi aba-aba, dan memberi petunjuk 
, dan  cukup baik  dalam membaca nyaring dengan ucapan, tekanan, dan intonasi secara tepat dan berterima yang melibatkan: kata, frasa, kalimat sangat sederhana, dan teks sangat sederhana 
</v>
      </c>
      <c r="AH9" s="257" t="str">
        <f t="shared" si="7"/>
        <v xml:space="preserve"> </v>
      </c>
      <c r="AI9" s="258" t="str">
        <f t="shared" si="8"/>
        <v xml:space="preserve"> baik  dalam bercakap-cakap untuk menyertai tindakan secara berterima yang melibatkan tindak tutur: memberi contoh melakukan sesuatu, memberi aba-aba, dan memberi petunjuk 
, dan  cukup baik  dalam membaca nyaring dengan ucapan, tekanan, dan intonasi secara tepat dan berterima yang melibatkan: kata, frasa, kalimat sangat sederhana, dan teks sangat sederhana 
</v>
      </c>
      <c r="AJ9" s="252" t="str">
        <f t="shared" si="9"/>
        <v xml:space="preserve">ARIA baik  dalam bercakap-cakap untuk menyertai tindakan secara berterima yang melibatkan tindak tutur: memberi contoh melakukan sesuatu, memberi aba-aba, dan memberi petunjuk 
, dan  cukup baik  dalam membaca nyaring dengan ucapan, tekanan, dan intonasi secara tepat dan berterima yang melibatkan: kata, frasa, kalimat sangat sederhana, dan teks sangat sederhana 
</v>
      </c>
      <c r="AK9" s="153"/>
    </row>
    <row r="10" spans="1:37" ht="54" customHeight="1">
      <c r="B10" s="142">
        <v>6</v>
      </c>
      <c r="C10" s="143" t="str">
        <f>SISWA!B11</f>
        <v>1718250040310</v>
      </c>
      <c r="D10" s="144" t="str">
        <f>SISWA!E11</f>
        <v>CAHAYA</v>
      </c>
      <c r="E10" s="159">
        <v>88</v>
      </c>
      <c r="F10" s="160"/>
      <c r="G10" s="160">
        <v>86</v>
      </c>
      <c r="H10" s="160"/>
      <c r="I10" s="160"/>
      <c r="J10" s="159"/>
      <c r="K10" s="159"/>
      <c r="L10" s="159"/>
      <c r="M10" s="159"/>
      <c r="N10" s="159"/>
      <c r="O10" s="159"/>
      <c r="P10" s="159"/>
      <c r="Q10" s="159"/>
      <c r="R10" s="160"/>
      <c r="S10" s="160">
        <v>88</v>
      </c>
      <c r="T10" s="160"/>
      <c r="U10" s="160">
        <v>84</v>
      </c>
      <c r="V10" s="159"/>
      <c r="W10" s="354">
        <f t="shared" si="4"/>
        <v>87</v>
      </c>
      <c r="X10" s="355" t="str">
        <f>IF(W10&gt;KKM!$G$10,"A",IF(W10&gt;KKM!$H$10,"B",IF(W10&gt;=KKM!$I$10,"C","D")))</f>
        <v>B</v>
      </c>
      <c r="Y10" s="356">
        <f t="shared" si="0"/>
        <v>88</v>
      </c>
      <c r="Z10" s="361" t="str">
        <f>IF(Y10&gt;KKM!$G$10," sangat baik ",IF(Y10&gt;KKM!$H$10," baik ",IF(Y10&gt;=KKM!$I$10," cukup baik "," perlu bimbingan ")))</f>
        <v xml:space="preserve"> sangat baik </v>
      </c>
      <c r="AA10" s="357">
        <f t="shared" si="1"/>
        <v>84</v>
      </c>
      <c r="AB10" s="361" t="str">
        <f>IF(AA10&gt;KKM!$G$10," sangat baik ",IF(AA10&gt;KKM!$H$10," baik ",IF(AA10&gt;=KKM!$I$10," cukup baik "," perlu bimbingan ")))</f>
        <v xml:space="preserve"> baik </v>
      </c>
      <c r="AC10" s="353" t="str">
        <f t="shared" si="5"/>
        <v xml:space="preserve">CAHAYA sangat baik  dalam merespon instruksi sangat sederhana dengan tindakan secara berterima dalam konteks sekolah  , dan  baik  dalam mengeja kalimat sangat sederhana secara tepat dan berterima </v>
      </c>
      <c r="AD10" s="256"/>
      <c r="AE10" s="257" t="str">
        <f t="shared" si="2"/>
        <v xml:space="preserve"> sangat baik  dalam merespon instruksi sangat sederhana dengan tindakan secara berterima dalam konteks sekolah  </v>
      </c>
      <c r="AF10" s="257" t="str">
        <f t="shared" si="3"/>
        <v xml:space="preserve"> baik  dalam mengeja kalimat sangat sederhana secara tepat dan berterima </v>
      </c>
      <c r="AG10" s="257" t="str">
        <f t="shared" si="6"/>
        <v xml:space="preserve"> sangat baik  dalam merespon instruksi sangat sederhana dengan tindakan secara berterima dalam konteks sekolah  , dan  baik  dalam mengeja kalimat sangat sederhana secara tepat dan berterima </v>
      </c>
      <c r="AH10" s="257" t="str">
        <f t="shared" si="7"/>
        <v xml:space="preserve"> </v>
      </c>
      <c r="AI10" s="258" t="str">
        <f t="shared" si="8"/>
        <v xml:space="preserve"> sangat baik  dalam merespon instruksi sangat sederhana dengan tindakan secara berterima dalam konteks sekolah  , dan  baik  dalam mengeja kalimat sangat sederhana secara tepat dan berterima </v>
      </c>
      <c r="AJ10" s="252" t="str">
        <f t="shared" si="9"/>
        <v xml:space="preserve">CAHAYA sangat baik  dalam merespon instruksi sangat sederhana dengan tindakan secara berterima dalam konteks sekolah  , dan  baik  dalam mengeja kalimat sangat sederhana secara tepat dan berterima </v>
      </c>
      <c r="AK10" s="153"/>
    </row>
    <row r="11" spans="1:37" ht="54" customHeight="1">
      <c r="B11" s="142">
        <v>7</v>
      </c>
      <c r="C11" s="143" t="str">
        <f>SISWA!B12</f>
        <v>1718250040311</v>
      </c>
      <c r="D11" s="144" t="str">
        <f>SISWA!E12</f>
        <v>CALISTA</v>
      </c>
      <c r="E11" s="159">
        <v>70</v>
      </c>
      <c r="F11" s="160"/>
      <c r="G11" s="160">
        <v>70</v>
      </c>
      <c r="H11" s="160"/>
      <c r="I11" s="160"/>
      <c r="J11" s="159"/>
      <c r="K11" s="159"/>
      <c r="L11" s="159"/>
      <c r="M11" s="159"/>
      <c r="N11" s="159"/>
      <c r="O11" s="159"/>
      <c r="P11" s="159"/>
      <c r="Q11" s="159"/>
      <c r="R11" s="160"/>
      <c r="S11" s="160">
        <v>78</v>
      </c>
      <c r="T11" s="160"/>
      <c r="U11" s="160">
        <v>72</v>
      </c>
      <c r="V11" s="159"/>
      <c r="W11" s="354">
        <f t="shared" si="4"/>
        <v>73</v>
      </c>
      <c r="X11" s="355" t="str">
        <f>IF(W11&gt;KKM!$G$10,"A",IF(W11&gt;KKM!$H$10,"B",IF(W11&gt;=KKM!$I$10,"C","D")))</f>
        <v>C</v>
      </c>
      <c r="Y11" s="356">
        <f t="shared" si="0"/>
        <v>78</v>
      </c>
      <c r="Z11" s="361" t="str">
        <f>IF(Y11&gt;KKM!$G$10," sangat baik ",IF(Y11&gt;KKM!$H$10," baik ",IF(Y11&gt;=KKM!$I$10," cukup baik "," perlu bimbingan ")))</f>
        <v xml:space="preserve"> baik </v>
      </c>
      <c r="AA11" s="357">
        <f t="shared" si="1"/>
        <v>70</v>
      </c>
      <c r="AB11" s="361" t="str">
        <f>IF(AA11&gt;KKM!$G$10," sangat baik ",IF(AA11&gt;KKM!$H$10," baik ",IF(AA11&gt;=KKM!$I$10," cukup baik "," perlu bimbingan ")))</f>
        <v xml:space="preserve"> cukup baik </v>
      </c>
      <c r="AC11" s="353" t="str">
        <f t="shared" si="5"/>
        <v xml:space="preserve">CALISTA baik  dalam membaca nyaring dengan ucapan, tekanan, dan intonasi secara tepat dan berterima yang melibatkan: kata, frasa, kalimat sangat sederhana, dan teks sangat sederhana 
, dan  cukup baik  dalam merespon instruksi sangat sederhana dengan tindakan secara berterima dalam konteks sekolah  </v>
      </c>
      <c r="AD11" s="256"/>
      <c r="AE11" s="257" t="str">
        <f t="shared" si="2"/>
        <v xml:space="preserve"> baik  dalam membaca nyaring dengan ucapan, tekanan, dan intonasi secara tepat dan berterima yang melibatkan: kata, frasa, kalimat sangat sederhana, dan teks sangat sederhana 
</v>
      </c>
      <c r="AF11" s="257" t="str">
        <f t="shared" si="3"/>
        <v xml:space="preserve"> cukup baik  dalam merespon instruksi sangat sederhana dengan tindakan secara berterima dalam konteks sekolah  </v>
      </c>
      <c r="AG11" s="257" t="str">
        <f t="shared" si="6"/>
        <v xml:space="preserve"> baik  dalam membaca nyaring dengan ucapan, tekanan, dan intonasi secara tepat dan berterima yang melibatkan: kata, frasa, kalimat sangat sederhana, dan teks sangat sederhana 
, dan  cukup baik  dalam merespon instruksi sangat sederhana dengan tindakan secara berterima dalam konteks sekolah  </v>
      </c>
      <c r="AH11" s="257" t="str">
        <f t="shared" si="7"/>
        <v xml:space="preserve"> </v>
      </c>
      <c r="AI11" s="258" t="str">
        <f t="shared" si="8"/>
        <v xml:space="preserve"> baik  dalam membaca nyaring dengan ucapan, tekanan, dan intonasi secara tepat dan berterima yang melibatkan: kata, frasa, kalimat sangat sederhana, dan teks sangat sederhana 
, dan  cukup baik  dalam merespon instruksi sangat sederhana dengan tindakan secara berterima dalam konteks sekolah  </v>
      </c>
      <c r="AJ11" s="252" t="str">
        <f t="shared" si="9"/>
        <v xml:space="preserve">CALISTA baik  dalam membaca nyaring dengan ucapan, tekanan, dan intonasi secara tepat dan berterima yang melibatkan: kata, frasa, kalimat sangat sederhana, dan teks sangat sederhana 
, dan  cukup baik  dalam merespon instruksi sangat sederhana dengan tindakan secara berterima dalam konteks sekolah  </v>
      </c>
      <c r="AK11" s="153"/>
    </row>
    <row r="12" spans="1:37" ht="54" customHeight="1">
      <c r="B12" s="142">
        <v>8</v>
      </c>
      <c r="C12" s="143" t="str">
        <f>SISWA!B13</f>
        <v>1718250040312</v>
      </c>
      <c r="D12" s="144" t="str">
        <f>SISWA!E13</f>
        <v>CARISSA</v>
      </c>
      <c r="E12" s="159">
        <v>90</v>
      </c>
      <c r="F12" s="160"/>
      <c r="G12" s="160">
        <v>90</v>
      </c>
      <c r="H12" s="160"/>
      <c r="I12" s="160"/>
      <c r="J12" s="159"/>
      <c r="K12" s="159"/>
      <c r="L12" s="159"/>
      <c r="M12" s="159"/>
      <c r="N12" s="159"/>
      <c r="O12" s="159"/>
      <c r="P12" s="159"/>
      <c r="Q12" s="159"/>
      <c r="R12" s="160"/>
      <c r="S12" s="160">
        <v>92</v>
      </c>
      <c r="T12" s="160"/>
      <c r="U12" s="160">
        <v>92</v>
      </c>
      <c r="V12" s="159"/>
      <c r="W12" s="354">
        <f t="shared" si="4"/>
        <v>91</v>
      </c>
      <c r="X12" s="355" t="str">
        <f>IF(W12&gt;KKM!$G$10,"A",IF(W12&gt;KKM!$H$10,"B",IF(W12&gt;=KKM!$I$10,"C","D")))</f>
        <v>A</v>
      </c>
      <c r="Y12" s="356">
        <f t="shared" si="0"/>
        <v>92</v>
      </c>
      <c r="Z12" s="361" t="str">
        <f>IF(Y12&gt;KKM!$G$10," sangat baik ",IF(Y12&gt;KKM!$H$10," baik ",IF(Y12&gt;=KKM!$I$10," cukup baik "," perlu bimbingan ")))</f>
        <v xml:space="preserve"> sangat baik </v>
      </c>
      <c r="AA12" s="357">
        <f t="shared" si="1"/>
        <v>90</v>
      </c>
      <c r="AB12" s="361" t="str">
        <f>IF(AA12&gt;KKM!$G$10," sangat baik ",IF(AA12&gt;KKM!$H$10," baik ",IF(AA12&gt;=KKM!$I$10," cukup baik "," perlu bimbingan ")))</f>
        <v xml:space="preserve"> sangat baik </v>
      </c>
      <c r="AC12" s="353" t="str">
        <f t="shared" si="5"/>
        <v xml:space="preserve">CARISSA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D12" s="256"/>
      <c r="AE12" s="257" t="str">
        <f t="shared" si="2"/>
        <v xml:space="preserve"> sangat baik  dalam membaca nyaring dengan ucapan, tekanan, dan intonasi secara tepat dan berterima yang melibatkan: kata, frasa, kalimat sangat sederhana, dan teks sangat sederhana 
</v>
      </c>
      <c r="AF12" s="257" t="str">
        <f t="shared" si="3"/>
        <v xml:space="preserve"> sangat baik  dalam merespon instruksi sangat sederhana dengan tindakan secara berterima dalam konteks sekolah  </v>
      </c>
      <c r="AG12" s="257" t="str">
        <f t="shared" si="6"/>
        <v xml:space="preserve">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H12" s="257" t="str">
        <f t="shared" si="7"/>
        <v xml:space="preserve"> </v>
      </c>
      <c r="AI12" s="258" t="str">
        <f t="shared" si="8"/>
        <v xml:space="preserve">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J12" s="252" t="str">
        <f t="shared" si="9"/>
        <v xml:space="preserve">CARISSA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K12" s="153"/>
    </row>
    <row r="13" spans="1:37" ht="54" customHeight="1">
      <c r="B13" s="142">
        <v>9</v>
      </c>
      <c r="C13" s="143" t="str">
        <f>SISWA!B14</f>
        <v>1718250040313</v>
      </c>
      <c r="D13" s="144" t="str">
        <f>SISWA!E14</f>
        <v>CHAIDAR</v>
      </c>
      <c r="E13" s="159">
        <v>90</v>
      </c>
      <c r="F13" s="160"/>
      <c r="G13" s="160">
        <v>86</v>
      </c>
      <c r="H13" s="160"/>
      <c r="I13" s="160"/>
      <c r="J13" s="159"/>
      <c r="K13" s="159"/>
      <c r="L13" s="159"/>
      <c r="M13" s="159"/>
      <c r="N13" s="159"/>
      <c r="O13" s="159"/>
      <c r="P13" s="159"/>
      <c r="Q13" s="159"/>
      <c r="R13" s="160"/>
      <c r="S13" s="160">
        <v>88</v>
      </c>
      <c r="T13" s="160"/>
      <c r="U13" s="160">
        <v>88</v>
      </c>
      <c r="V13" s="159"/>
      <c r="W13" s="354">
        <f t="shared" si="4"/>
        <v>88</v>
      </c>
      <c r="X13" s="355" t="str">
        <f>IF(W13&gt;KKM!$G$10,"A",IF(W13&gt;KKM!$H$10,"B",IF(W13&gt;=KKM!$I$10,"C","D")))</f>
        <v>A</v>
      </c>
      <c r="Y13" s="356">
        <f t="shared" si="0"/>
        <v>90</v>
      </c>
      <c r="Z13" s="361" t="str">
        <f>IF(Y13&gt;KKM!$G$10," sangat baik ",IF(Y13&gt;KKM!$H$10," baik ",IF(Y13&gt;=KKM!$I$10," cukup baik "," perlu bimbingan ")))</f>
        <v xml:space="preserve"> sangat baik </v>
      </c>
      <c r="AA13" s="357">
        <f t="shared" si="1"/>
        <v>86</v>
      </c>
      <c r="AB13" s="361" t="str">
        <f>IF(AA13&gt;KKM!$G$10," sangat baik ",IF(AA13&gt;KKM!$H$10," baik ",IF(AA13&gt;=KKM!$I$10," cukup baik "," perlu bimbingan ")))</f>
        <v xml:space="preserve"> baik </v>
      </c>
      <c r="AC13" s="353" t="str">
        <f t="shared" si="5"/>
        <v xml:space="preserve">CHAIDAR sangat baik  dalam merespon instruksi sangat sederhana dengan tindakan secara berterima dalam konteks sekolah  , dan  baik  dalam bercakap-cakap untuk menyertai tindakan secara berterima yang melibatkan tindak tutur: memberi contoh melakukan sesuatu, memberi aba-aba, dan memberi petunjuk 
</v>
      </c>
      <c r="AD13" s="256"/>
      <c r="AE13" s="257" t="str">
        <f t="shared" si="2"/>
        <v xml:space="preserve"> sangat baik  dalam merespon instruksi sangat sederhana dengan tindakan secara berterima dalam konteks sekolah  </v>
      </c>
      <c r="AF13" s="257" t="str">
        <f t="shared" si="3"/>
        <v xml:space="preserve"> baik  dalam bercakap-cakap untuk menyertai tindakan secara berterima yang melibatkan tindak tutur: memberi contoh melakukan sesuatu, memberi aba-aba, dan memberi petunjuk 
</v>
      </c>
      <c r="AG13" s="257" t="str">
        <f t="shared" si="6"/>
        <v xml:space="preserve"> sangat baik  dalam merespon instruksi sangat sederhana dengan tindakan secara berterima dalam konteks sekolah  , dan  baik  dalam bercakap-cakap untuk menyertai tindakan secara berterima yang melibatkan tindak tutur: memberi contoh melakukan sesuatu, memberi aba-aba, dan memberi petunjuk 
</v>
      </c>
      <c r="AH13" s="257" t="str">
        <f t="shared" si="7"/>
        <v xml:space="preserve"> </v>
      </c>
      <c r="AI13" s="258" t="str">
        <f t="shared" si="8"/>
        <v xml:space="preserve"> sangat baik  dalam merespon instruksi sangat sederhana dengan tindakan secara berterima dalam konteks sekolah  , dan  baik  dalam bercakap-cakap untuk menyertai tindakan secara berterima yang melibatkan tindak tutur: memberi contoh melakukan sesuatu, memberi aba-aba, dan memberi petunjuk 
</v>
      </c>
      <c r="AJ13" s="252" t="str">
        <f t="shared" si="9"/>
        <v xml:space="preserve">CHAIDAR sangat baik  dalam merespon instruksi sangat sederhana dengan tindakan secara berterima dalam konteks sekolah  , dan  baik  dalam bercakap-cakap untuk menyertai tindakan secara berterima yang melibatkan tindak tutur: memberi contoh melakukan sesuatu, memberi aba-aba, dan memberi petunjuk 
</v>
      </c>
      <c r="AK13" s="153"/>
    </row>
    <row r="14" spans="1:37" ht="54" customHeight="1">
      <c r="B14" s="142">
        <v>10</v>
      </c>
      <c r="C14" s="143" t="str">
        <f>SISWA!B15</f>
        <v>1718250040314</v>
      </c>
      <c r="D14" s="144" t="str">
        <f>SISWA!E15</f>
        <v>DAVKA</v>
      </c>
      <c r="E14" s="159">
        <v>90</v>
      </c>
      <c r="F14" s="160"/>
      <c r="G14" s="160">
        <v>88</v>
      </c>
      <c r="H14" s="160"/>
      <c r="I14" s="160" t="s">
        <v>766</v>
      </c>
      <c r="J14" s="159"/>
      <c r="K14" s="159"/>
      <c r="L14" s="159"/>
      <c r="M14" s="159"/>
      <c r="N14" s="159"/>
      <c r="O14" s="159"/>
      <c r="P14" s="159"/>
      <c r="Q14" s="159"/>
      <c r="R14" s="160"/>
      <c r="S14" s="160">
        <v>92</v>
      </c>
      <c r="T14" s="160"/>
      <c r="U14" s="160">
        <v>92</v>
      </c>
      <c r="V14" s="159"/>
      <c r="W14" s="354">
        <f t="shared" si="4"/>
        <v>91</v>
      </c>
      <c r="X14" s="355" t="str">
        <f>IF(W14&gt;KKM!$G$10,"A",IF(W14&gt;KKM!$H$10,"B",IF(W14&gt;=KKM!$I$10,"C","D")))</f>
        <v>A</v>
      </c>
      <c r="Y14" s="356">
        <f t="shared" si="0"/>
        <v>92</v>
      </c>
      <c r="Z14" s="361" t="str">
        <f>IF(Y14&gt;KKM!$G$10," sangat baik ",IF(Y14&gt;KKM!$H$10," baik ",IF(Y14&gt;=KKM!$I$10," cukup baik "," perlu bimbingan ")))</f>
        <v xml:space="preserve"> sangat baik </v>
      </c>
      <c r="AA14" s="357">
        <f t="shared" si="1"/>
        <v>88</v>
      </c>
      <c r="AB14" s="361" t="str">
        <f>IF(AA14&gt;KKM!$G$10," sangat baik ",IF(AA14&gt;KKM!$H$10," baik ",IF(AA14&gt;=KKM!$I$10," cukup baik "," perlu bimbingan ")))</f>
        <v xml:space="preserve"> sangat baik </v>
      </c>
      <c r="AC14" s="353" t="str">
        <f t="shared" si="5"/>
        <v xml:space="preserve">DAVKA sangat baik  dalam membaca nyaring dengan ucapan, tekanan, dan intonasi secara tepat dan berterima yang melibatkan: kata, frasa, kalimat sangat sederhana, dan teks sangat sederhana 
, dan  sangat baik  dalam bercakap-cakap untuk menyertai tindakan secara berterima yang melibatkan tindak tutur: memberi contoh melakukan sesuatu, memberi aba-aba, dan memberi petunjuk 
</v>
      </c>
      <c r="AD14" s="256"/>
      <c r="AE14" s="257" t="str">
        <f t="shared" si="2"/>
        <v xml:space="preserve"> sangat baik  dalam membaca nyaring dengan ucapan, tekanan, dan intonasi secara tepat dan berterima yang melibatkan: kata, frasa, kalimat sangat sederhana, dan teks sangat sederhana 
</v>
      </c>
      <c r="AF14" s="257" t="str">
        <f t="shared" si="3"/>
        <v xml:space="preserve"> sangat baik  dalam bercakap-cakap untuk menyertai tindakan secara berterima yang melibatkan tindak tutur: memberi contoh melakukan sesuatu, memberi aba-aba, dan memberi petunjuk 
</v>
      </c>
      <c r="AG14" s="257" t="str">
        <f t="shared" si="6"/>
        <v xml:space="preserve"> sangat baik  dalam membaca nyaring dengan ucapan, tekanan, dan intonasi secara tepat dan berterima yang melibatkan: kata, frasa, kalimat sangat sederhana, dan teks sangat sederhana 
, dan  sangat baik  dalam bercakap-cakap untuk menyertai tindakan secara berterima yang melibatkan tindak tutur: memberi contoh melakukan sesuatu, memberi aba-aba, dan memberi petunjuk 
</v>
      </c>
      <c r="AH14" s="257" t="str">
        <f t="shared" si="7"/>
        <v xml:space="preserve"> </v>
      </c>
      <c r="AI14" s="258" t="str">
        <f t="shared" si="8"/>
        <v xml:space="preserve"> sangat baik  dalam membaca nyaring dengan ucapan, tekanan, dan intonasi secara tepat dan berterima yang melibatkan: kata, frasa, kalimat sangat sederhana, dan teks sangat sederhana 
, dan  sangat baik  dalam bercakap-cakap untuk menyertai tindakan secara berterima yang melibatkan tindak tutur: memberi contoh melakukan sesuatu, memberi aba-aba, dan memberi petunjuk 
</v>
      </c>
      <c r="AJ14" s="252" t="str">
        <f t="shared" si="9"/>
        <v xml:space="preserve">DAVKA sangat baik  dalam membaca nyaring dengan ucapan, tekanan, dan intonasi secara tepat dan berterima yang melibatkan: kata, frasa, kalimat sangat sederhana, dan teks sangat sederhana 
, dan  sangat baik  dalam bercakap-cakap untuk menyertai tindakan secara berterima yang melibatkan tindak tutur: memberi contoh melakukan sesuatu, memberi aba-aba, dan memberi petunjuk 
</v>
      </c>
      <c r="AK14" s="153"/>
    </row>
    <row r="15" spans="1:37" ht="54" customHeight="1">
      <c r="B15" s="142">
        <v>11</v>
      </c>
      <c r="C15" s="143" t="str">
        <f>SISWA!B16</f>
        <v>1718250040315</v>
      </c>
      <c r="D15" s="144" t="str">
        <f>SISWA!E16</f>
        <v>DZIBRIL</v>
      </c>
      <c r="E15" s="159">
        <v>77</v>
      </c>
      <c r="F15" s="160"/>
      <c r="G15" s="160">
        <v>76</v>
      </c>
      <c r="H15" s="160"/>
      <c r="I15" s="160"/>
      <c r="J15" s="159" t="s">
        <v>766</v>
      </c>
      <c r="K15" s="159"/>
      <c r="L15" s="159"/>
      <c r="M15" s="159"/>
      <c r="N15" s="159"/>
      <c r="O15" s="159"/>
      <c r="P15" s="159"/>
      <c r="Q15" s="159"/>
      <c r="R15" s="160"/>
      <c r="S15" s="160">
        <v>74</v>
      </c>
      <c r="T15" s="160" t="s">
        <v>766</v>
      </c>
      <c r="U15" s="160">
        <v>73</v>
      </c>
      <c r="V15" s="159" t="s">
        <v>766</v>
      </c>
      <c r="W15" s="354">
        <f t="shared" si="4"/>
        <v>75</v>
      </c>
      <c r="X15" s="355" t="str">
        <f>IF(W15&gt;KKM!$G$10,"A",IF(W15&gt;KKM!$H$10,"B",IF(W15&gt;=KKM!$I$10,"C","D")))</f>
        <v>C</v>
      </c>
      <c r="Y15" s="356">
        <f t="shared" si="0"/>
        <v>77</v>
      </c>
      <c r="Z15" s="361" t="str">
        <f>IF(Y15&gt;KKM!$G$10," sangat baik ",IF(Y15&gt;KKM!$H$10," baik ",IF(Y15&gt;=KKM!$I$10," cukup baik "," perlu bimbingan ")))</f>
        <v xml:space="preserve"> baik </v>
      </c>
      <c r="AA15" s="357">
        <f t="shared" si="1"/>
        <v>73</v>
      </c>
      <c r="AB15" s="361" t="str">
        <f>IF(AA15&gt;KKM!$G$10," sangat baik ",IF(AA15&gt;KKM!$H$10," baik ",IF(AA15&gt;=KKM!$I$10," cukup baik "," perlu bimbingan ")))</f>
        <v xml:space="preserve"> cukup baik </v>
      </c>
      <c r="AC15" s="353" t="str">
        <f t="shared" si="5"/>
        <v xml:space="preserve">DZIBRIL baik  dalam merespon instruksi sangat sederhana dengan tindakan secara berterima dalam konteks sekolah  , dan  cukup baik  dalam mengeja kalimat sangat sederhana secara tepat dan berterima </v>
      </c>
      <c r="AD15" s="256"/>
      <c r="AE15" s="257" t="str">
        <f t="shared" si="2"/>
        <v xml:space="preserve"> baik  dalam merespon instruksi sangat sederhana dengan tindakan secara berterima dalam konteks sekolah  </v>
      </c>
      <c r="AF15" s="257" t="str">
        <f t="shared" si="3"/>
        <v xml:space="preserve"> cukup baik  dalam mengeja kalimat sangat sederhana secara tepat dan berterima </v>
      </c>
      <c r="AG15" s="257" t="str">
        <f t="shared" si="6"/>
        <v xml:space="preserve"> baik  dalam merespon instruksi sangat sederhana dengan tindakan secara berterima dalam konteks sekolah  , dan  cukup baik  dalam mengeja kalimat sangat sederhana secara tepat dan berterima </v>
      </c>
      <c r="AH15" s="257" t="str">
        <f t="shared" si="7"/>
        <v xml:space="preserve"> </v>
      </c>
      <c r="AI15" s="258" t="str">
        <f t="shared" si="8"/>
        <v xml:space="preserve"> baik  dalam merespon instruksi sangat sederhana dengan tindakan secara berterima dalam konteks sekolah  , dan  cukup baik  dalam mengeja kalimat sangat sederhana secara tepat dan berterima </v>
      </c>
      <c r="AJ15" s="252" t="str">
        <f t="shared" si="9"/>
        <v xml:space="preserve">DZIBRIL baik  dalam merespon instruksi sangat sederhana dengan tindakan secara berterima dalam konteks sekolah  , dan  cukup baik  dalam mengeja kalimat sangat sederhana secara tepat dan berterima </v>
      </c>
      <c r="AK15" s="153"/>
    </row>
    <row r="16" spans="1:37" ht="54" customHeight="1">
      <c r="B16" s="142">
        <v>12</v>
      </c>
      <c r="C16" s="143" t="str">
        <f>SISWA!B17</f>
        <v>1718250040316</v>
      </c>
      <c r="D16" s="144" t="str">
        <f>SISWA!E17</f>
        <v>ERICHA</v>
      </c>
      <c r="E16" s="159">
        <v>90</v>
      </c>
      <c r="F16" s="160"/>
      <c r="G16" s="160">
        <v>88</v>
      </c>
      <c r="H16" s="160"/>
      <c r="I16" s="160"/>
      <c r="J16" s="159"/>
      <c r="K16" s="159"/>
      <c r="L16" s="159"/>
      <c r="M16" s="159"/>
      <c r="N16" s="159"/>
      <c r="O16" s="159"/>
      <c r="P16" s="159"/>
      <c r="Q16" s="159"/>
      <c r="R16" s="160"/>
      <c r="S16" s="160">
        <v>86</v>
      </c>
      <c r="T16" s="160"/>
      <c r="U16" s="160">
        <v>84</v>
      </c>
      <c r="V16" s="159"/>
      <c r="W16" s="354">
        <f t="shared" si="4"/>
        <v>87</v>
      </c>
      <c r="X16" s="355" t="str">
        <f>IF(W16&gt;KKM!$G$10,"A",IF(W16&gt;KKM!$H$10,"B",IF(W16&gt;=KKM!$I$10,"C","D")))</f>
        <v>B</v>
      </c>
      <c r="Y16" s="356">
        <f t="shared" si="0"/>
        <v>90</v>
      </c>
      <c r="Z16" s="361" t="str">
        <f>IF(Y16&gt;KKM!$G$10," sangat baik ",IF(Y16&gt;KKM!$H$10," baik ",IF(Y16&gt;=KKM!$I$10," cukup baik "," perlu bimbingan ")))</f>
        <v xml:space="preserve"> sangat baik </v>
      </c>
      <c r="AA16" s="357">
        <f t="shared" si="1"/>
        <v>84</v>
      </c>
      <c r="AB16" s="361" t="str">
        <f>IF(AA16&gt;KKM!$G$10," sangat baik ",IF(AA16&gt;KKM!$H$10," baik ",IF(AA16&gt;=KKM!$I$10," cukup baik "," perlu bimbingan ")))</f>
        <v xml:space="preserve"> baik </v>
      </c>
      <c r="AC16" s="353" t="str">
        <f t="shared" si="5"/>
        <v xml:space="preserve">ERICHA sangat baik  dalam merespon instruksi sangat sederhana dengan tindakan secara berterima dalam konteks sekolah  , dan  baik  dalam mengeja kalimat sangat sederhana secara tepat dan berterima </v>
      </c>
      <c r="AD16" s="256"/>
      <c r="AE16" s="257" t="str">
        <f t="shared" si="2"/>
        <v xml:space="preserve"> sangat baik  dalam merespon instruksi sangat sederhana dengan tindakan secara berterima dalam konteks sekolah  </v>
      </c>
      <c r="AF16" s="257" t="str">
        <f t="shared" si="3"/>
        <v xml:space="preserve"> baik  dalam mengeja kalimat sangat sederhana secara tepat dan berterima </v>
      </c>
      <c r="AG16" s="257" t="str">
        <f t="shared" si="6"/>
        <v xml:space="preserve"> sangat baik  dalam merespon instruksi sangat sederhana dengan tindakan secara berterima dalam konteks sekolah  , dan  baik  dalam mengeja kalimat sangat sederhana secara tepat dan berterima </v>
      </c>
      <c r="AH16" s="257" t="str">
        <f t="shared" si="7"/>
        <v xml:space="preserve"> </v>
      </c>
      <c r="AI16" s="258" t="str">
        <f t="shared" si="8"/>
        <v xml:space="preserve"> sangat baik  dalam merespon instruksi sangat sederhana dengan tindakan secara berterima dalam konteks sekolah  , dan  baik  dalam mengeja kalimat sangat sederhana secara tepat dan berterima </v>
      </c>
      <c r="AJ16" s="252" t="str">
        <f t="shared" si="9"/>
        <v xml:space="preserve">ERICHA sangat baik  dalam merespon instruksi sangat sederhana dengan tindakan secara berterima dalam konteks sekolah  , dan  baik  dalam mengeja kalimat sangat sederhana secara tepat dan berterima </v>
      </c>
      <c r="AK16" s="153"/>
    </row>
    <row r="17" spans="2:37" ht="54" customHeight="1">
      <c r="B17" s="142">
        <v>13</v>
      </c>
      <c r="C17" s="143" t="str">
        <f>SISWA!B18</f>
        <v>1718250040317</v>
      </c>
      <c r="D17" s="144" t="str">
        <f>SISWA!E18</f>
        <v>HISYAM</v>
      </c>
      <c r="E17" s="159">
        <v>90</v>
      </c>
      <c r="F17" s="160"/>
      <c r="G17" s="160">
        <v>86</v>
      </c>
      <c r="H17" s="160"/>
      <c r="I17" s="160"/>
      <c r="J17" s="159"/>
      <c r="K17" s="159"/>
      <c r="L17" s="159"/>
      <c r="M17" s="159"/>
      <c r="N17" s="159"/>
      <c r="O17" s="159"/>
      <c r="P17" s="159"/>
      <c r="Q17" s="159"/>
      <c r="R17" s="160"/>
      <c r="S17" s="160">
        <v>86</v>
      </c>
      <c r="T17" s="160"/>
      <c r="U17" s="160">
        <v>90</v>
      </c>
      <c r="V17" s="159"/>
      <c r="W17" s="354">
        <f t="shared" si="4"/>
        <v>88</v>
      </c>
      <c r="X17" s="355" t="str">
        <f>IF(W17&gt;KKM!$G$10,"A",IF(W17&gt;KKM!$H$10,"B",IF(W17&gt;=KKM!$I$10,"C","D")))</f>
        <v>A</v>
      </c>
      <c r="Y17" s="356">
        <f t="shared" si="0"/>
        <v>90</v>
      </c>
      <c r="Z17" s="361" t="str">
        <f>IF(Y17&gt;KKM!$G$10," sangat baik ",IF(Y17&gt;KKM!$H$10," baik ",IF(Y17&gt;=KKM!$I$10," cukup baik "," perlu bimbingan ")))</f>
        <v xml:space="preserve"> sangat baik </v>
      </c>
      <c r="AA17" s="357">
        <f t="shared" si="1"/>
        <v>86</v>
      </c>
      <c r="AB17" s="361" t="str">
        <f>IF(AA17&gt;KKM!$G$10," sangat baik ",IF(AA17&gt;KKM!$H$10," baik ",IF(AA17&gt;=KKM!$I$10," cukup baik "," perlu bimbingan ")))</f>
        <v xml:space="preserve"> baik </v>
      </c>
      <c r="AC17" s="353" t="str">
        <f t="shared" si="5"/>
        <v xml:space="preserve">HISYAM sangat baik  dalam merespon instruksi sangat sederhana dengan tindakan secara berterima dalam konteks sekolah  , dan  baik  dalam bercakap-cakap untuk menyertai tindakan secara berterima yang melibatkan tindak tutur: memberi contoh melakukan sesuatu, memberi aba-aba, dan memberi petunjuk 
</v>
      </c>
      <c r="AD17" s="256"/>
      <c r="AE17" s="257" t="str">
        <f t="shared" si="2"/>
        <v xml:space="preserve"> sangat baik  dalam merespon instruksi sangat sederhana dengan tindakan secara berterima dalam konteks sekolah  </v>
      </c>
      <c r="AF17" s="257" t="str">
        <f t="shared" si="3"/>
        <v xml:space="preserve"> baik  dalam bercakap-cakap untuk menyertai tindakan secara berterima yang melibatkan tindak tutur: memberi contoh melakukan sesuatu, memberi aba-aba, dan memberi petunjuk 
</v>
      </c>
      <c r="AG17" s="257" t="str">
        <f t="shared" si="6"/>
        <v xml:space="preserve"> sangat baik  dalam merespon instruksi sangat sederhana dengan tindakan secara berterima dalam konteks sekolah  , dan  baik  dalam bercakap-cakap untuk menyertai tindakan secara berterima yang melibatkan tindak tutur: memberi contoh melakukan sesuatu, memberi aba-aba, dan memberi petunjuk 
</v>
      </c>
      <c r="AH17" s="257" t="str">
        <f t="shared" si="7"/>
        <v xml:space="preserve"> </v>
      </c>
      <c r="AI17" s="258" t="str">
        <f t="shared" si="8"/>
        <v xml:space="preserve"> sangat baik  dalam merespon instruksi sangat sederhana dengan tindakan secara berterima dalam konteks sekolah  , dan  baik  dalam bercakap-cakap untuk menyertai tindakan secara berterima yang melibatkan tindak tutur: memberi contoh melakukan sesuatu, memberi aba-aba, dan memberi petunjuk 
</v>
      </c>
      <c r="AJ17" s="252" t="str">
        <f t="shared" si="9"/>
        <v xml:space="preserve">HISYAM sangat baik  dalam merespon instruksi sangat sederhana dengan tindakan secara berterima dalam konteks sekolah  , dan  baik  dalam bercakap-cakap untuk menyertai tindakan secara berterima yang melibatkan tindak tutur: memberi contoh melakukan sesuatu, memberi aba-aba, dan memberi petunjuk 
</v>
      </c>
      <c r="AK17" s="153"/>
    </row>
    <row r="18" spans="2:37" ht="54" customHeight="1">
      <c r="B18" s="142">
        <v>14</v>
      </c>
      <c r="C18" s="143" t="str">
        <f>SISWA!B19</f>
        <v>1718250040318</v>
      </c>
      <c r="D18" s="144" t="str">
        <f>SISWA!E19</f>
        <v>FAUZI</v>
      </c>
      <c r="E18" s="159">
        <v>77</v>
      </c>
      <c r="F18" s="160"/>
      <c r="G18" s="160">
        <v>76</v>
      </c>
      <c r="H18" s="160"/>
      <c r="I18" s="160"/>
      <c r="J18" s="159"/>
      <c r="K18" s="159"/>
      <c r="L18" s="159"/>
      <c r="M18" s="159"/>
      <c r="N18" s="159"/>
      <c r="O18" s="159"/>
      <c r="P18" s="159"/>
      <c r="Q18" s="159"/>
      <c r="R18" s="160"/>
      <c r="S18" s="160">
        <v>74</v>
      </c>
      <c r="T18" s="160"/>
      <c r="U18" s="160">
        <v>73</v>
      </c>
      <c r="V18" s="159" t="s">
        <v>766</v>
      </c>
      <c r="W18" s="354">
        <f t="shared" si="4"/>
        <v>75</v>
      </c>
      <c r="X18" s="355" t="str">
        <f>IF(W18&gt;KKM!$G$10,"A",IF(W18&gt;KKM!$H$10,"B",IF(W18&gt;=KKM!$I$10,"C","D")))</f>
        <v>C</v>
      </c>
      <c r="Y18" s="356">
        <f t="shared" si="0"/>
        <v>77</v>
      </c>
      <c r="Z18" s="361" t="str">
        <f>IF(Y18&gt;KKM!$G$10," sangat baik ",IF(Y18&gt;KKM!$H$10," baik ",IF(Y18&gt;=KKM!$I$10," cukup baik "," perlu bimbingan ")))</f>
        <v xml:space="preserve"> baik </v>
      </c>
      <c r="AA18" s="357">
        <f t="shared" si="1"/>
        <v>73</v>
      </c>
      <c r="AB18" s="361" t="str">
        <f>IF(AA18&gt;KKM!$G$10," sangat baik ",IF(AA18&gt;KKM!$H$10," baik ",IF(AA18&gt;=KKM!$I$10," cukup baik "," perlu bimbingan ")))</f>
        <v xml:space="preserve"> cukup baik </v>
      </c>
      <c r="AC18" s="353" t="str">
        <f t="shared" si="5"/>
        <v xml:space="preserve">FAUZI baik  dalam merespon instruksi sangat sederhana dengan tindakan secara berterima dalam konteks sekolah  , dan  cukup baik  dalam mengeja kalimat sangat sederhana secara tepat dan berterima </v>
      </c>
      <c r="AD18" s="256"/>
      <c r="AE18" s="257" t="str">
        <f t="shared" si="2"/>
        <v xml:space="preserve"> baik  dalam merespon instruksi sangat sederhana dengan tindakan secara berterima dalam konteks sekolah  </v>
      </c>
      <c r="AF18" s="257" t="str">
        <f t="shared" si="3"/>
        <v xml:space="preserve"> cukup baik  dalam mengeja kalimat sangat sederhana secara tepat dan berterima </v>
      </c>
      <c r="AG18" s="257" t="str">
        <f t="shared" si="6"/>
        <v xml:space="preserve"> baik  dalam merespon instruksi sangat sederhana dengan tindakan secara berterima dalam konteks sekolah  , dan  cukup baik  dalam mengeja kalimat sangat sederhana secara tepat dan berterima </v>
      </c>
      <c r="AH18" s="257" t="str">
        <f t="shared" si="7"/>
        <v xml:space="preserve"> </v>
      </c>
      <c r="AI18" s="258" t="str">
        <f t="shared" si="8"/>
        <v xml:space="preserve"> baik  dalam merespon instruksi sangat sederhana dengan tindakan secara berterima dalam konteks sekolah  , dan  cukup baik  dalam mengeja kalimat sangat sederhana secara tepat dan berterima </v>
      </c>
      <c r="AJ18" s="252" t="str">
        <f t="shared" si="9"/>
        <v xml:space="preserve">FAUZI baik  dalam merespon instruksi sangat sederhana dengan tindakan secara berterima dalam konteks sekolah  , dan  cukup baik  dalam mengeja kalimat sangat sederhana secara tepat dan berterima </v>
      </c>
      <c r="AK18" s="153"/>
    </row>
    <row r="19" spans="2:37" ht="54" customHeight="1">
      <c r="B19" s="142">
        <v>15</v>
      </c>
      <c r="C19" s="143" t="str">
        <f>SISWA!B20</f>
        <v>1718250040319</v>
      </c>
      <c r="D19" s="144" t="str">
        <f>SISWA!E20</f>
        <v>FIRLY</v>
      </c>
      <c r="E19" s="159">
        <v>88</v>
      </c>
      <c r="F19" s="160"/>
      <c r="G19" s="160">
        <v>90</v>
      </c>
      <c r="H19" s="160"/>
      <c r="I19" s="160"/>
      <c r="J19" s="159"/>
      <c r="K19" s="159"/>
      <c r="L19" s="159"/>
      <c r="M19" s="159"/>
      <c r="N19" s="159"/>
      <c r="O19" s="159"/>
      <c r="P19" s="159"/>
      <c r="Q19" s="159"/>
      <c r="R19" s="160"/>
      <c r="S19" s="160">
        <v>92</v>
      </c>
      <c r="T19" s="160"/>
      <c r="U19" s="160">
        <v>90</v>
      </c>
      <c r="V19" s="159"/>
      <c r="W19" s="354">
        <f t="shared" si="4"/>
        <v>90</v>
      </c>
      <c r="X19" s="355" t="str">
        <f>IF(W19&gt;KKM!$G$10,"A",IF(W19&gt;KKM!$H$10,"B",IF(W19&gt;=KKM!$I$10,"C","D")))</f>
        <v>A</v>
      </c>
      <c r="Y19" s="356">
        <f t="shared" si="0"/>
        <v>92</v>
      </c>
      <c r="Z19" s="361" t="str">
        <f>IF(Y19&gt;KKM!$G$10," sangat baik ",IF(Y19&gt;KKM!$H$10," baik ",IF(Y19&gt;=KKM!$I$10," cukup baik "," perlu bimbingan ")))</f>
        <v xml:space="preserve"> sangat baik </v>
      </c>
      <c r="AA19" s="357">
        <f t="shared" si="1"/>
        <v>88</v>
      </c>
      <c r="AB19" s="361" t="str">
        <f>IF(AA19&gt;KKM!$G$10," sangat baik ",IF(AA19&gt;KKM!$H$10," baik ",IF(AA19&gt;=KKM!$I$10," cukup baik "," perlu bimbingan ")))</f>
        <v xml:space="preserve"> sangat baik </v>
      </c>
      <c r="AC19" s="353" t="str">
        <f t="shared" si="5"/>
        <v xml:space="preserve">FIRLY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D19" s="256"/>
      <c r="AE19" s="257" t="str">
        <f t="shared" si="2"/>
        <v xml:space="preserve"> sangat baik  dalam membaca nyaring dengan ucapan, tekanan, dan intonasi secara tepat dan berterima yang melibatkan: kata, frasa, kalimat sangat sederhana, dan teks sangat sederhana 
</v>
      </c>
      <c r="AF19" s="257" t="str">
        <f t="shared" si="3"/>
        <v xml:space="preserve"> sangat baik  dalam merespon instruksi sangat sederhana dengan tindakan secara berterima dalam konteks sekolah  </v>
      </c>
      <c r="AG19" s="257" t="str">
        <f t="shared" si="6"/>
        <v xml:space="preserve">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H19" s="257" t="str">
        <f t="shared" si="7"/>
        <v xml:space="preserve"> </v>
      </c>
      <c r="AI19" s="258" t="str">
        <f t="shared" si="8"/>
        <v xml:space="preserve">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J19" s="252" t="str">
        <f t="shared" si="9"/>
        <v xml:space="preserve">FIRLY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K19" s="153"/>
    </row>
    <row r="20" spans="2:37" ht="54" customHeight="1">
      <c r="B20" s="142">
        <v>16</v>
      </c>
      <c r="C20" s="143" t="str">
        <f>SISWA!B21</f>
        <v>1718250040320</v>
      </c>
      <c r="D20" s="144" t="str">
        <f>SISWA!E21</f>
        <v>HANA</v>
      </c>
      <c r="E20" s="159">
        <v>77</v>
      </c>
      <c r="F20" s="160"/>
      <c r="G20" s="160">
        <v>76</v>
      </c>
      <c r="H20" s="160"/>
      <c r="I20" s="160"/>
      <c r="J20" s="159"/>
      <c r="K20" s="159"/>
      <c r="L20" s="159"/>
      <c r="M20" s="159"/>
      <c r="N20" s="159"/>
      <c r="O20" s="159"/>
      <c r="P20" s="159"/>
      <c r="Q20" s="159"/>
      <c r="R20" s="160"/>
      <c r="S20" s="160">
        <v>74</v>
      </c>
      <c r="T20" s="160"/>
      <c r="U20" s="160">
        <v>73</v>
      </c>
      <c r="V20" s="159"/>
      <c r="W20" s="354">
        <f t="shared" si="4"/>
        <v>75</v>
      </c>
      <c r="X20" s="355" t="str">
        <f>IF(W20&gt;KKM!$G$10,"A",IF(W20&gt;KKM!$H$10,"B",IF(W20&gt;=KKM!$I$10,"C","D")))</f>
        <v>C</v>
      </c>
      <c r="Y20" s="356">
        <f t="shared" si="0"/>
        <v>77</v>
      </c>
      <c r="Z20" s="361" t="str">
        <f>IF(Y20&gt;KKM!$G$10," sangat baik ",IF(Y20&gt;KKM!$H$10," baik ",IF(Y20&gt;=KKM!$I$10," cukup baik "," perlu bimbingan ")))</f>
        <v xml:space="preserve"> baik </v>
      </c>
      <c r="AA20" s="357">
        <f t="shared" si="1"/>
        <v>73</v>
      </c>
      <c r="AB20" s="361" t="str">
        <f>IF(AA20&gt;KKM!$G$10," sangat baik ",IF(AA20&gt;KKM!$H$10," baik ",IF(AA20&gt;=KKM!$I$10," cukup baik "," perlu bimbingan ")))</f>
        <v xml:space="preserve"> cukup baik </v>
      </c>
      <c r="AC20" s="353" t="str">
        <f t="shared" si="5"/>
        <v xml:space="preserve">HANA baik  dalam merespon instruksi sangat sederhana dengan tindakan secara berterima dalam konteks sekolah  , dan  cukup baik  dalam mengeja kalimat sangat sederhana secara tepat dan berterima </v>
      </c>
      <c r="AD20" s="256"/>
      <c r="AE20" s="257" t="str">
        <f t="shared" si="2"/>
        <v xml:space="preserve"> baik  dalam merespon instruksi sangat sederhana dengan tindakan secara berterima dalam konteks sekolah  </v>
      </c>
      <c r="AF20" s="257" t="str">
        <f t="shared" si="3"/>
        <v xml:space="preserve"> cukup baik  dalam mengeja kalimat sangat sederhana secara tepat dan berterima </v>
      </c>
      <c r="AG20" s="257" t="str">
        <f t="shared" si="6"/>
        <v xml:space="preserve"> baik  dalam merespon instruksi sangat sederhana dengan tindakan secara berterima dalam konteks sekolah  , dan  cukup baik  dalam mengeja kalimat sangat sederhana secara tepat dan berterima </v>
      </c>
      <c r="AH20" s="257" t="str">
        <f t="shared" si="7"/>
        <v xml:space="preserve"> </v>
      </c>
      <c r="AI20" s="258" t="str">
        <f t="shared" si="8"/>
        <v xml:space="preserve"> baik  dalam merespon instruksi sangat sederhana dengan tindakan secara berterima dalam konteks sekolah  , dan  cukup baik  dalam mengeja kalimat sangat sederhana secara tepat dan berterima </v>
      </c>
      <c r="AJ20" s="252" t="str">
        <f t="shared" si="9"/>
        <v xml:space="preserve">HANA baik  dalam merespon instruksi sangat sederhana dengan tindakan secara berterima dalam konteks sekolah  , dan  cukup baik  dalam mengeja kalimat sangat sederhana secara tepat dan berterima </v>
      </c>
      <c r="AK20" s="153"/>
    </row>
    <row r="21" spans="2:37" ht="54" customHeight="1">
      <c r="B21" s="142">
        <v>17</v>
      </c>
      <c r="C21" s="143" t="str">
        <f>SISWA!B22</f>
        <v>1718250040321</v>
      </c>
      <c r="D21" s="144" t="str">
        <f>SISWA!E22</f>
        <v>MALLA</v>
      </c>
      <c r="E21" s="159">
        <v>87</v>
      </c>
      <c r="F21" s="160"/>
      <c r="G21" s="160">
        <v>86</v>
      </c>
      <c r="H21" s="160" t="s">
        <v>766</v>
      </c>
      <c r="I21" s="160"/>
      <c r="J21" s="159"/>
      <c r="K21" s="159"/>
      <c r="L21" s="159"/>
      <c r="M21" s="159"/>
      <c r="N21" s="159"/>
      <c r="O21" s="159"/>
      <c r="P21" s="159"/>
      <c r="Q21" s="159"/>
      <c r="R21" s="160"/>
      <c r="S21" s="160">
        <v>90</v>
      </c>
      <c r="T21" s="160"/>
      <c r="U21" s="160">
        <v>92</v>
      </c>
      <c r="V21" s="159"/>
      <c r="W21" s="354">
        <f t="shared" si="4"/>
        <v>89</v>
      </c>
      <c r="X21" s="355" t="str">
        <f>IF(W21&gt;KKM!$G$10,"A",IF(W21&gt;KKM!$H$10,"B",IF(W21&gt;=KKM!$I$10,"C","D")))</f>
        <v>A</v>
      </c>
      <c r="Y21" s="356">
        <f t="shared" si="0"/>
        <v>92</v>
      </c>
      <c r="Z21" s="361" t="str">
        <f>IF(Y21&gt;KKM!$G$10," sangat baik ",IF(Y21&gt;KKM!$H$10," baik ",IF(Y21&gt;=KKM!$I$10," cukup baik "," perlu bimbingan ")))</f>
        <v xml:space="preserve"> sangat baik </v>
      </c>
      <c r="AA21" s="357">
        <f t="shared" si="1"/>
        <v>86</v>
      </c>
      <c r="AB21" s="361" t="str">
        <f>IF(AA21&gt;KKM!$G$10," sangat baik ",IF(AA21&gt;KKM!$H$10," baik ",IF(AA21&gt;=KKM!$I$10," cukup baik "," perlu bimbingan ")))</f>
        <v xml:space="preserve"> baik </v>
      </c>
      <c r="AC21" s="353" t="str">
        <f t="shared" si="5"/>
        <v xml:space="preserve">MALLA sangat baik  dalam mengeja kalimat sangat sederhana secara tepat dan berterima , dan  baik  dalam bercakap-cakap untuk menyertai tindakan secara berterima yang melibatkan tindak tutur: memberi contoh melakukan sesuatu, memberi aba-aba, dan memberi petunjuk 
</v>
      </c>
      <c r="AD21" s="256"/>
      <c r="AE21" s="257" t="str">
        <f t="shared" si="2"/>
        <v xml:space="preserve"> sangat baik  dalam mengeja kalimat sangat sederhana secara tepat dan berterima </v>
      </c>
      <c r="AF21" s="257" t="str">
        <f t="shared" si="3"/>
        <v xml:space="preserve"> baik  dalam bercakap-cakap untuk menyertai tindakan secara berterima yang melibatkan tindak tutur: memberi contoh melakukan sesuatu, memberi aba-aba, dan memberi petunjuk 
</v>
      </c>
      <c r="AG21" s="257" t="str">
        <f t="shared" si="6"/>
        <v xml:space="preserve"> sangat baik  dalam mengeja kalimat sangat sederhana secara tepat dan berterima , dan  baik  dalam bercakap-cakap untuk menyertai tindakan secara berterima yang melibatkan tindak tutur: memberi contoh melakukan sesuatu, memberi aba-aba, dan memberi petunjuk 
</v>
      </c>
      <c r="AH21" s="257" t="str">
        <f t="shared" si="7"/>
        <v xml:space="preserve"> </v>
      </c>
      <c r="AI21" s="258" t="str">
        <f t="shared" si="8"/>
        <v xml:space="preserve"> sangat baik  dalam mengeja kalimat sangat sederhana secara tepat dan berterima , dan  baik  dalam bercakap-cakap untuk menyertai tindakan secara berterima yang melibatkan tindak tutur: memberi contoh melakukan sesuatu, memberi aba-aba, dan memberi petunjuk 
</v>
      </c>
      <c r="AJ21" s="252" t="str">
        <f t="shared" si="9"/>
        <v xml:space="preserve">MALLA sangat baik  dalam mengeja kalimat sangat sederhana secara tepat dan berterima , dan  baik  dalam bercakap-cakap untuk menyertai tindakan secara berterima yang melibatkan tindak tutur: memberi contoh melakukan sesuatu, memberi aba-aba, dan memberi petunjuk 
</v>
      </c>
      <c r="AK21" s="153"/>
    </row>
    <row r="22" spans="2:37" ht="54" customHeight="1">
      <c r="B22" s="142">
        <v>18</v>
      </c>
      <c r="C22" s="143" t="str">
        <f>SISWA!B23</f>
        <v>1718250040322</v>
      </c>
      <c r="D22" s="144" t="str">
        <f>SISWA!E23</f>
        <v>INTAN</v>
      </c>
      <c r="E22" s="159">
        <v>77</v>
      </c>
      <c r="F22" s="160"/>
      <c r="G22" s="160">
        <v>76</v>
      </c>
      <c r="H22" s="160"/>
      <c r="I22" s="160" t="s">
        <v>766</v>
      </c>
      <c r="J22" s="159"/>
      <c r="K22" s="159"/>
      <c r="L22" s="159"/>
      <c r="M22" s="159"/>
      <c r="N22" s="159"/>
      <c r="O22" s="159"/>
      <c r="P22" s="159"/>
      <c r="Q22" s="159"/>
      <c r="R22" s="160"/>
      <c r="S22" s="160">
        <v>74</v>
      </c>
      <c r="T22" s="160"/>
      <c r="U22" s="160">
        <v>73</v>
      </c>
      <c r="V22" s="159"/>
      <c r="W22" s="354">
        <f t="shared" si="4"/>
        <v>75</v>
      </c>
      <c r="X22" s="355" t="str">
        <f>IF(W22&gt;KKM!$G$10,"A",IF(W22&gt;KKM!$H$10,"B",IF(W22&gt;=KKM!$I$10,"C","D")))</f>
        <v>C</v>
      </c>
      <c r="Y22" s="356">
        <f t="shared" si="0"/>
        <v>77</v>
      </c>
      <c r="Z22" s="361" t="str">
        <f>IF(Y22&gt;KKM!$G$10," sangat baik ",IF(Y22&gt;KKM!$H$10," baik ",IF(Y22&gt;=KKM!$I$10," cukup baik "," perlu bimbingan ")))</f>
        <v xml:space="preserve"> baik </v>
      </c>
      <c r="AA22" s="357">
        <f t="shared" si="1"/>
        <v>73</v>
      </c>
      <c r="AB22" s="361" t="str">
        <f>IF(AA22&gt;KKM!$G$10," sangat baik ",IF(AA22&gt;KKM!$H$10," baik ",IF(AA22&gt;=KKM!$I$10," cukup baik "," perlu bimbingan ")))</f>
        <v xml:space="preserve"> cukup baik </v>
      </c>
      <c r="AC22" s="353" t="str">
        <f t="shared" si="5"/>
        <v xml:space="preserve">INTAN baik  dalam merespon instruksi sangat sederhana dengan tindakan secara berterima dalam konteks sekolah  , dan  cukup baik  dalam mengeja kalimat sangat sederhana secara tepat dan berterima </v>
      </c>
      <c r="AD22" s="256"/>
      <c r="AE22" s="257" t="str">
        <f t="shared" si="2"/>
        <v xml:space="preserve"> baik  dalam merespon instruksi sangat sederhana dengan tindakan secara berterima dalam konteks sekolah  </v>
      </c>
      <c r="AF22" s="257" t="str">
        <f t="shared" si="3"/>
        <v xml:space="preserve"> cukup baik  dalam mengeja kalimat sangat sederhana secara tepat dan berterima </v>
      </c>
      <c r="AG22" s="257" t="str">
        <f t="shared" si="6"/>
        <v xml:space="preserve"> baik  dalam merespon instruksi sangat sederhana dengan tindakan secara berterima dalam konteks sekolah  , dan  cukup baik  dalam mengeja kalimat sangat sederhana secara tepat dan berterima </v>
      </c>
      <c r="AH22" s="257" t="str">
        <f t="shared" si="7"/>
        <v xml:space="preserve"> </v>
      </c>
      <c r="AI22" s="258" t="str">
        <f t="shared" si="8"/>
        <v xml:space="preserve"> baik  dalam merespon instruksi sangat sederhana dengan tindakan secara berterima dalam konteks sekolah  , dan  cukup baik  dalam mengeja kalimat sangat sederhana secara tepat dan berterima </v>
      </c>
      <c r="AJ22" s="252" t="str">
        <f t="shared" si="9"/>
        <v xml:space="preserve">INTAN baik  dalam merespon instruksi sangat sederhana dengan tindakan secara berterima dalam konteks sekolah  , dan  cukup baik  dalam mengeja kalimat sangat sederhana secara tepat dan berterima </v>
      </c>
      <c r="AK22" s="153"/>
    </row>
    <row r="23" spans="2:37" ht="54" customHeight="1">
      <c r="B23" s="142">
        <v>19</v>
      </c>
      <c r="C23" s="143" t="str">
        <f>SISWA!B24</f>
        <v>1718250040323</v>
      </c>
      <c r="D23" s="144" t="str">
        <f>SISWA!E24</f>
        <v>JORDY</v>
      </c>
      <c r="E23" s="159">
        <v>70</v>
      </c>
      <c r="F23" s="160"/>
      <c r="G23" s="160">
        <v>80</v>
      </c>
      <c r="H23" s="160"/>
      <c r="I23" s="160"/>
      <c r="J23" s="159"/>
      <c r="K23" s="159"/>
      <c r="L23" s="159"/>
      <c r="M23" s="159"/>
      <c r="N23" s="159"/>
      <c r="O23" s="159"/>
      <c r="P23" s="159"/>
      <c r="Q23" s="159"/>
      <c r="R23" s="160"/>
      <c r="S23" s="160">
        <v>78</v>
      </c>
      <c r="T23" s="160"/>
      <c r="U23" s="160">
        <v>82</v>
      </c>
      <c r="V23" s="159"/>
      <c r="W23" s="354">
        <f t="shared" si="4"/>
        <v>78</v>
      </c>
      <c r="X23" s="355" t="str">
        <f>IF(W23&gt;KKM!$G$10,"A",IF(W23&gt;KKM!$H$10,"B",IF(W23&gt;=KKM!$I$10,"C","D")))</f>
        <v>B</v>
      </c>
      <c r="Y23" s="356">
        <f t="shared" si="0"/>
        <v>82</v>
      </c>
      <c r="Z23" s="361" t="str">
        <f>IF(Y23&gt;KKM!$G$10," sangat baik ",IF(Y23&gt;KKM!$H$10," baik ",IF(Y23&gt;=KKM!$I$10," cukup baik "," perlu bimbingan ")))</f>
        <v xml:space="preserve"> baik </v>
      </c>
      <c r="AA23" s="357">
        <f t="shared" si="1"/>
        <v>70</v>
      </c>
      <c r="AB23" s="361" t="str">
        <f>IF(AA23&gt;KKM!$G$10," sangat baik ",IF(AA23&gt;KKM!$H$10," baik ",IF(AA23&gt;=KKM!$I$10," cukup baik "," perlu bimbingan ")))</f>
        <v xml:space="preserve"> cukup baik </v>
      </c>
      <c r="AC23" s="353" t="str">
        <f t="shared" si="5"/>
        <v xml:space="preserve">JORDY baik  dalam mengeja kalimat sangat sederhana secara tepat dan berterima , dan  cukup baik  dalam merespon instruksi sangat sederhana dengan tindakan secara berterima dalam konteks sekolah  </v>
      </c>
      <c r="AD23" s="256"/>
      <c r="AE23" s="257" t="str">
        <f t="shared" si="2"/>
        <v xml:space="preserve"> baik  dalam mengeja kalimat sangat sederhana secara tepat dan berterima </v>
      </c>
      <c r="AF23" s="257" t="str">
        <f t="shared" si="3"/>
        <v xml:space="preserve"> cukup baik  dalam merespon instruksi sangat sederhana dengan tindakan secara berterima dalam konteks sekolah  </v>
      </c>
      <c r="AG23" s="257" t="str">
        <f t="shared" si="6"/>
        <v xml:space="preserve"> baik  dalam mengeja kalimat sangat sederhana secara tepat dan berterima , dan  cukup baik  dalam merespon instruksi sangat sederhana dengan tindakan secara berterima dalam konteks sekolah  </v>
      </c>
      <c r="AH23" s="257" t="str">
        <f t="shared" si="7"/>
        <v xml:space="preserve"> </v>
      </c>
      <c r="AI23" s="258" t="str">
        <f t="shared" si="8"/>
        <v xml:space="preserve"> baik  dalam mengeja kalimat sangat sederhana secara tepat dan berterima , dan  cukup baik  dalam merespon instruksi sangat sederhana dengan tindakan secara berterima dalam konteks sekolah  </v>
      </c>
      <c r="AJ23" s="252" t="str">
        <f t="shared" si="9"/>
        <v xml:space="preserve">JORDY baik  dalam mengeja kalimat sangat sederhana secara tepat dan berterima , dan  cukup baik  dalam merespon instruksi sangat sederhana dengan tindakan secara berterima dalam konteks sekolah  </v>
      </c>
      <c r="AK23" s="153"/>
    </row>
    <row r="24" spans="2:37" ht="54" customHeight="1">
      <c r="B24" s="142">
        <v>20</v>
      </c>
      <c r="C24" s="143" t="str">
        <f>SISWA!B25</f>
        <v>1718250040324</v>
      </c>
      <c r="D24" s="144" t="str">
        <f>SISWA!E25</f>
        <v>KURNIA</v>
      </c>
      <c r="E24" s="159">
        <v>77</v>
      </c>
      <c r="F24" s="160"/>
      <c r="G24" s="160">
        <v>76</v>
      </c>
      <c r="H24" s="160"/>
      <c r="I24" s="160"/>
      <c r="J24" s="159"/>
      <c r="K24" s="159"/>
      <c r="L24" s="159"/>
      <c r="M24" s="159"/>
      <c r="N24" s="159"/>
      <c r="O24" s="159"/>
      <c r="P24" s="159"/>
      <c r="Q24" s="159"/>
      <c r="R24" s="160"/>
      <c r="S24" s="160">
        <v>74</v>
      </c>
      <c r="T24" s="160"/>
      <c r="U24" s="160">
        <v>73</v>
      </c>
      <c r="V24" s="159"/>
      <c r="W24" s="354">
        <f t="shared" si="4"/>
        <v>75</v>
      </c>
      <c r="X24" s="355" t="str">
        <f>IF(W24&gt;KKM!$G$10,"A",IF(W24&gt;KKM!$H$10,"B",IF(W24&gt;=KKM!$I$10,"C","D")))</f>
        <v>C</v>
      </c>
      <c r="Y24" s="356">
        <f t="shared" si="0"/>
        <v>77</v>
      </c>
      <c r="Z24" s="361" t="str">
        <f>IF(Y24&gt;KKM!$G$10," sangat baik ",IF(Y24&gt;KKM!$H$10," baik ",IF(Y24&gt;=KKM!$I$10," cukup baik "," perlu bimbingan ")))</f>
        <v xml:space="preserve"> baik </v>
      </c>
      <c r="AA24" s="357">
        <f t="shared" si="1"/>
        <v>73</v>
      </c>
      <c r="AB24" s="361" t="str">
        <f>IF(AA24&gt;KKM!$G$10," sangat baik ",IF(AA24&gt;KKM!$H$10," baik ",IF(AA24&gt;=KKM!$I$10," cukup baik "," perlu bimbingan ")))</f>
        <v xml:space="preserve"> cukup baik </v>
      </c>
      <c r="AC24" s="353" t="str">
        <f t="shared" si="5"/>
        <v xml:space="preserve">KURNIA baik  dalam merespon instruksi sangat sederhana dengan tindakan secara berterima dalam konteks sekolah  , dan  cukup baik  dalam mengeja kalimat sangat sederhana secara tepat dan berterima </v>
      </c>
      <c r="AD24" s="256"/>
      <c r="AE24" s="257" t="str">
        <f t="shared" si="2"/>
        <v xml:space="preserve"> baik  dalam merespon instruksi sangat sederhana dengan tindakan secara berterima dalam konteks sekolah  </v>
      </c>
      <c r="AF24" s="257" t="str">
        <f t="shared" si="3"/>
        <v xml:space="preserve"> cukup baik  dalam mengeja kalimat sangat sederhana secara tepat dan berterima </v>
      </c>
      <c r="AG24" s="257" t="str">
        <f t="shared" si="6"/>
        <v xml:space="preserve"> baik  dalam merespon instruksi sangat sederhana dengan tindakan secara berterima dalam konteks sekolah  , dan  cukup baik  dalam mengeja kalimat sangat sederhana secara tepat dan berterima </v>
      </c>
      <c r="AH24" s="257" t="str">
        <f t="shared" si="7"/>
        <v xml:space="preserve"> </v>
      </c>
      <c r="AI24" s="258" t="str">
        <f t="shared" si="8"/>
        <v xml:space="preserve"> baik  dalam merespon instruksi sangat sederhana dengan tindakan secara berterima dalam konteks sekolah  , dan  cukup baik  dalam mengeja kalimat sangat sederhana secara tepat dan berterima </v>
      </c>
      <c r="AJ24" s="252" t="str">
        <f t="shared" si="9"/>
        <v xml:space="preserve">KURNIA baik  dalam merespon instruksi sangat sederhana dengan tindakan secara berterima dalam konteks sekolah  , dan  cukup baik  dalam mengeja kalimat sangat sederhana secara tepat dan berterima </v>
      </c>
      <c r="AK24" s="153"/>
    </row>
    <row r="25" spans="2:37" ht="54" customHeight="1">
      <c r="B25" s="142">
        <v>21</v>
      </c>
      <c r="C25" s="143" t="str">
        <f>SISWA!B26</f>
        <v>1718250040325</v>
      </c>
      <c r="D25" s="144" t="str">
        <f>SISWA!E26</f>
        <v>LATIZA</v>
      </c>
      <c r="E25" s="159">
        <v>98</v>
      </c>
      <c r="F25" s="160"/>
      <c r="G25" s="160">
        <v>98</v>
      </c>
      <c r="H25" s="160"/>
      <c r="I25" s="160"/>
      <c r="J25" s="159"/>
      <c r="K25" s="159"/>
      <c r="L25" s="159"/>
      <c r="M25" s="159"/>
      <c r="N25" s="159"/>
      <c r="O25" s="159"/>
      <c r="P25" s="159"/>
      <c r="Q25" s="159"/>
      <c r="R25" s="160"/>
      <c r="S25" s="160">
        <v>96</v>
      </c>
      <c r="T25" s="160"/>
      <c r="U25" s="160">
        <v>96</v>
      </c>
      <c r="V25" s="159"/>
      <c r="W25" s="354">
        <f t="shared" si="4"/>
        <v>97</v>
      </c>
      <c r="X25" s="355" t="str">
        <f>IF(W25&gt;KKM!$G$10,"A",IF(W25&gt;KKM!$H$10,"B",IF(W25&gt;=KKM!$I$10,"C","D")))</f>
        <v>A</v>
      </c>
      <c r="Y25" s="356">
        <f t="shared" si="0"/>
        <v>98</v>
      </c>
      <c r="Z25" s="361" t="str">
        <f>IF(Y25&gt;KKM!$G$10," sangat baik ",IF(Y25&gt;KKM!$H$10," baik ",IF(Y25&gt;=KKM!$I$10," cukup baik "," perlu bimbingan ")))</f>
        <v xml:space="preserve"> sangat baik </v>
      </c>
      <c r="AA25" s="357">
        <f t="shared" si="1"/>
        <v>96</v>
      </c>
      <c r="AB25" s="361" t="str">
        <f>IF(AA25&gt;KKM!$G$10," sangat baik ",IF(AA25&gt;KKM!$H$10," baik ",IF(AA25&gt;=KKM!$I$10," cukup baik "," perlu bimbingan ")))</f>
        <v xml:space="preserve"> sangat baik </v>
      </c>
      <c r="AC25" s="353" t="str">
        <f t="shared" si="5"/>
        <v xml:space="preserve">LATIZA sangat baik  dalam merespon instruksi sangat sederhana dengan tindakan secara berterima dalam konteks sekolah  , dan  sangat baik  dalam membaca nyaring dengan ucapan, tekanan, dan intonasi secara tepat dan berterima yang melibatkan: kata, frasa, kalimat sangat sederhana, dan teks sangat sederhana 
</v>
      </c>
      <c r="AD25" s="256"/>
      <c r="AE25" s="257" t="str">
        <f t="shared" si="2"/>
        <v xml:space="preserve"> sangat baik  dalam merespon instruksi sangat sederhana dengan tindakan secara berterima dalam konteks sekolah  </v>
      </c>
      <c r="AF25" s="257" t="str">
        <f t="shared" si="3"/>
        <v xml:space="preserve"> sangat baik  dalam membaca nyaring dengan ucapan, tekanan, dan intonasi secara tepat dan berterima yang melibatkan: kata, frasa, kalimat sangat sederhana, dan teks sangat sederhana 
</v>
      </c>
      <c r="AG25" s="257" t="str">
        <f t="shared" si="6"/>
        <v xml:space="preserve"> sangat baik  dalam merespon instruksi sangat sederhana dengan tindakan secara berterima dalam konteks sekolah  , dan  sangat baik  dalam membaca nyaring dengan ucapan, tekanan, dan intonasi secara tepat dan berterima yang melibatkan: kata, frasa, kalimat sangat sederhana, dan teks sangat sederhana 
</v>
      </c>
      <c r="AH25" s="257" t="str">
        <f t="shared" si="7"/>
        <v xml:space="preserve"> </v>
      </c>
      <c r="AI25" s="258" t="str">
        <f t="shared" si="8"/>
        <v xml:space="preserve"> sangat baik  dalam merespon instruksi sangat sederhana dengan tindakan secara berterima dalam konteks sekolah  , dan  sangat baik  dalam membaca nyaring dengan ucapan, tekanan, dan intonasi secara tepat dan berterima yang melibatkan: kata, frasa, kalimat sangat sederhana, dan teks sangat sederhana 
</v>
      </c>
      <c r="AJ25" s="252" t="str">
        <f t="shared" si="9"/>
        <v xml:space="preserve">LATIZA sangat baik  dalam merespon instruksi sangat sederhana dengan tindakan secara berterima dalam konteks sekolah  , dan  sangat baik  dalam membaca nyaring dengan ucapan, tekanan, dan intonasi secara tepat dan berterima yang melibatkan: kata, frasa, kalimat sangat sederhana, dan teks sangat sederhana 
</v>
      </c>
      <c r="AK25" s="153"/>
    </row>
    <row r="26" spans="2:37" ht="54" customHeight="1">
      <c r="B26" s="142">
        <v>22</v>
      </c>
      <c r="C26" s="143" t="str">
        <f>SISWA!B27</f>
        <v>1718250040326</v>
      </c>
      <c r="D26" s="144" t="str">
        <f>SISWA!E27</f>
        <v>RIZKY</v>
      </c>
      <c r="E26" s="159">
        <v>87</v>
      </c>
      <c r="F26" s="160"/>
      <c r="G26" s="160">
        <v>86</v>
      </c>
      <c r="H26" s="160"/>
      <c r="I26" s="160"/>
      <c r="J26" s="159"/>
      <c r="K26" s="159"/>
      <c r="L26" s="159"/>
      <c r="M26" s="159"/>
      <c r="N26" s="159"/>
      <c r="O26" s="159"/>
      <c r="P26" s="159"/>
      <c r="Q26" s="159"/>
      <c r="R26" s="160"/>
      <c r="S26" s="160">
        <v>76</v>
      </c>
      <c r="T26" s="160"/>
      <c r="U26" s="160">
        <v>70</v>
      </c>
      <c r="V26" s="159"/>
      <c r="W26" s="354">
        <f t="shared" si="4"/>
        <v>80</v>
      </c>
      <c r="X26" s="355" t="str">
        <f>IF(W26&gt;KKM!$G$10,"A",IF(W26&gt;KKM!$H$10,"B",IF(W26&gt;=KKM!$I$10,"C","D")))</f>
        <v>B</v>
      </c>
      <c r="Y26" s="356">
        <f t="shared" si="0"/>
        <v>87</v>
      </c>
      <c r="Z26" s="361" t="str">
        <f>IF(Y26&gt;KKM!$G$10," sangat baik ",IF(Y26&gt;KKM!$H$10," baik ",IF(Y26&gt;=KKM!$I$10," cukup baik "," perlu bimbingan ")))</f>
        <v xml:space="preserve"> baik </v>
      </c>
      <c r="AA26" s="357">
        <f t="shared" si="1"/>
        <v>70</v>
      </c>
      <c r="AB26" s="361" t="str">
        <f>IF(AA26&gt;KKM!$G$10," sangat baik ",IF(AA26&gt;KKM!$H$10," baik ",IF(AA26&gt;=KKM!$I$10," cukup baik "," perlu bimbingan ")))</f>
        <v xml:space="preserve"> cukup baik </v>
      </c>
      <c r="AC26" s="353" t="str">
        <f t="shared" si="5"/>
        <v xml:space="preserve">RIZKY baik  dalam merespon instruksi sangat sederhana dengan tindakan secara berterima dalam konteks sekolah  , dan  cukup baik  dalam mengeja kalimat sangat sederhana secara tepat dan berterima </v>
      </c>
      <c r="AD26" s="256"/>
      <c r="AE26" s="257" t="str">
        <f t="shared" si="2"/>
        <v xml:space="preserve"> baik  dalam merespon instruksi sangat sederhana dengan tindakan secara berterima dalam konteks sekolah  </v>
      </c>
      <c r="AF26" s="257" t="str">
        <f t="shared" si="3"/>
        <v xml:space="preserve"> cukup baik  dalam mengeja kalimat sangat sederhana secara tepat dan berterima </v>
      </c>
      <c r="AG26" s="257" t="str">
        <f t="shared" si="6"/>
        <v xml:space="preserve"> baik  dalam merespon instruksi sangat sederhana dengan tindakan secara berterima dalam konteks sekolah  , dan  cukup baik  dalam mengeja kalimat sangat sederhana secara tepat dan berterima </v>
      </c>
      <c r="AH26" s="257" t="str">
        <f t="shared" si="7"/>
        <v xml:space="preserve"> </v>
      </c>
      <c r="AI26" s="258" t="str">
        <f t="shared" si="8"/>
        <v xml:space="preserve"> baik  dalam merespon instruksi sangat sederhana dengan tindakan secara berterima dalam konteks sekolah  , dan  cukup baik  dalam mengeja kalimat sangat sederhana secara tepat dan berterima </v>
      </c>
      <c r="AJ26" s="252" t="str">
        <f t="shared" si="9"/>
        <v xml:space="preserve">RIZKY baik  dalam merespon instruksi sangat sederhana dengan tindakan secara berterima dalam konteks sekolah  , dan  cukup baik  dalam mengeja kalimat sangat sederhana secara tepat dan berterima </v>
      </c>
      <c r="AK26" s="153"/>
    </row>
    <row r="27" spans="2:37" ht="54" customHeight="1">
      <c r="B27" s="142">
        <v>23</v>
      </c>
      <c r="C27" s="143" t="str">
        <f>SISWA!B28</f>
        <v>1718250040327</v>
      </c>
      <c r="D27" s="144" t="str">
        <f>SISWA!E28</f>
        <v>RAMADHANDANI</v>
      </c>
      <c r="E27" s="159">
        <v>77</v>
      </c>
      <c r="F27" s="160"/>
      <c r="G27" s="160">
        <v>76</v>
      </c>
      <c r="H27" s="160"/>
      <c r="I27" s="160"/>
      <c r="J27" s="159" t="s">
        <v>766</v>
      </c>
      <c r="K27" s="159"/>
      <c r="L27" s="159"/>
      <c r="M27" s="159"/>
      <c r="N27" s="159"/>
      <c r="O27" s="159"/>
      <c r="P27" s="159"/>
      <c r="Q27" s="159"/>
      <c r="R27" s="160"/>
      <c r="S27" s="160">
        <v>74</v>
      </c>
      <c r="T27" s="160" t="s">
        <v>766</v>
      </c>
      <c r="U27" s="160">
        <v>73</v>
      </c>
      <c r="V27" s="159" t="s">
        <v>766</v>
      </c>
      <c r="W27" s="354">
        <f t="shared" si="4"/>
        <v>75</v>
      </c>
      <c r="X27" s="355" t="str">
        <f>IF(W27&gt;KKM!$G$10,"A",IF(W27&gt;KKM!$H$10,"B",IF(W27&gt;=KKM!$I$10,"C","D")))</f>
        <v>C</v>
      </c>
      <c r="Y27" s="356">
        <f t="shared" si="0"/>
        <v>77</v>
      </c>
      <c r="Z27" s="361" t="str">
        <f>IF(Y27&gt;KKM!$G$10," sangat baik ",IF(Y27&gt;KKM!$H$10," baik ",IF(Y27&gt;=KKM!$I$10," cukup baik "," perlu bimbingan ")))</f>
        <v xml:space="preserve"> baik </v>
      </c>
      <c r="AA27" s="357">
        <f t="shared" si="1"/>
        <v>73</v>
      </c>
      <c r="AB27" s="361" t="str">
        <f>IF(AA27&gt;KKM!$G$10," sangat baik ",IF(AA27&gt;KKM!$H$10," baik ",IF(AA27&gt;=KKM!$I$10," cukup baik "," perlu bimbingan ")))</f>
        <v xml:space="preserve"> cukup baik </v>
      </c>
      <c r="AC27" s="353" t="str">
        <f t="shared" si="5"/>
        <v xml:space="preserve">RAMADHANDANI baik  dalam merespon instruksi sangat sederhana dengan tindakan secara berterima dalam konteks sekolah  , dan  cukup baik  dalam mengeja kalimat sangat sederhana secara tepat dan berterima </v>
      </c>
      <c r="AD27" s="256"/>
      <c r="AE27" s="257" t="str">
        <f t="shared" si="2"/>
        <v xml:space="preserve"> baik  dalam merespon instruksi sangat sederhana dengan tindakan secara berterima dalam konteks sekolah  </v>
      </c>
      <c r="AF27" s="257" t="str">
        <f t="shared" si="3"/>
        <v xml:space="preserve"> cukup baik  dalam mengeja kalimat sangat sederhana secara tepat dan berterima </v>
      </c>
      <c r="AG27" s="257" t="str">
        <f t="shared" si="6"/>
        <v xml:space="preserve"> baik  dalam merespon instruksi sangat sederhana dengan tindakan secara berterima dalam konteks sekolah  , dan  cukup baik  dalam mengeja kalimat sangat sederhana secara tepat dan berterima </v>
      </c>
      <c r="AH27" s="257" t="str">
        <f t="shared" si="7"/>
        <v xml:space="preserve"> </v>
      </c>
      <c r="AI27" s="258" t="str">
        <f t="shared" si="8"/>
        <v xml:space="preserve"> baik  dalam merespon instruksi sangat sederhana dengan tindakan secara berterima dalam konteks sekolah  , dan  cukup baik  dalam mengeja kalimat sangat sederhana secara tepat dan berterima </v>
      </c>
      <c r="AJ27" s="252" t="str">
        <f t="shared" si="9"/>
        <v xml:space="preserve">RAMADHANDANI baik  dalam merespon instruksi sangat sederhana dengan tindakan secara berterima dalam konteks sekolah  , dan  cukup baik  dalam mengeja kalimat sangat sederhana secara tepat dan berterima </v>
      </c>
      <c r="AK27" s="153"/>
    </row>
    <row r="28" spans="2:37" ht="54" customHeight="1">
      <c r="B28" s="142">
        <v>24</v>
      </c>
      <c r="C28" s="143" t="str">
        <f>SISWA!B29</f>
        <v>1718250040328</v>
      </c>
      <c r="D28" s="144" t="str">
        <f>SISWA!E29</f>
        <v>SYAEPUL</v>
      </c>
      <c r="E28" s="159">
        <v>77</v>
      </c>
      <c r="F28" s="160"/>
      <c r="G28" s="160">
        <v>76</v>
      </c>
      <c r="H28" s="160" t="s">
        <v>766</v>
      </c>
      <c r="I28" s="160"/>
      <c r="J28" s="159" t="s">
        <v>766</v>
      </c>
      <c r="K28" s="159"/>
      <c r="L28" s="159"/>
      <c r="M28" s="159"/>
      <c r="N28" s="159"/>
      <c r="O28" s="159"/>
      <c r="P28" s="159"/>
      <c r="Q28" s="159"/>
      <c r="R28" s="160"/>
      <c r="S28" s="160">
        <v>74</v>
      </c>
      <c r="T28" s="160"/>
      <c r="U28" s="160">
        <v>73</v>
      </c>
      <c r="V28" s="159" t="s">
        <v>766</v>
      </c>
      <c r="W28" s="354">
        <f t="shared" si="4"/>
        <v>75</v>
      </c>
      <c r="X28" s="355" t="str">
        <f>IF(W28&gt;KKM!$G$10,"A",IF(W28&gt;KKM!$H$10,"B",IF(W28&gt;=KKM!$I$10,"C","D")))</f>
        <v>C</v>
      </c>
      <c r="Y28" s="356">
        <f t="shared" si="0"/>
        <v>77</v>
      </c>
      <c r="Z28" s="361" t="str">
        <f>IF(Y28&gt;KKM!$G$10," sangat baik ",IF(Y28&gt;KKM!$H$10," baik ",IF(Y28&gt;=KKM!$I$10," cukup baik "," perlu bimbingan ")))</f>
        <v xml:space="preserve"> baik </v>
      </c>
      <c r="AA28" s="357">
        <f t="shared" si="1"/>
        <v>73</v>
      </c>
      <c r="AB28" s="361" t="str">
        <f>IF(AA28&gt;KKM!$G$10," sangat baik ",IF(AA28&gt;KKM!$H$10," baik ",IF(AA28&gt;=KKM!$I$10," cukup baik "," perlu bimbingan ")))</f>
        <v xml:space="preserve"> cukup baik </v>
      </c>
      <c r="AC28" s="353" t="str">
        <f t="shared" si="5"/>
        <v xml:space="preserve">SYAEPUL baik  dalam merespon instruksi sangat sederhana dengan tindakan secara berterima dalam konteks sekolah  , dan  cukup baik  dalam mengeja kalimat sangat sederhana secara tepat dan berterima </v>
      </c>
      <c r="AD28" s="256"/>
      <c r="AE28" s="257" t="str">
        <f t="shared" si="2"/>
        <v xml:space="preserve"> baik  dalam merespon instruksi sangat sederhana dengan tindakan secara berterima dalam konteks sekolah  </v>
      </c>
      <c r="AF28" s="257" t="str">
        <f t="shared" si="3"/>
        <v xml:space="preserve"> cukup baik  dalam mengeja kalimat sangat sederhana secara tepat dan berterima </v>
      </c>
      <c r="AG28" s="257" t="str">
        <f t="shared" si="6"/>
        <v xml:space="preserve"> baik  dalam merespon instruksi sangat sederhana dengan tindakan secara berterima dalam konteks sekolah  , dan  cukup baik  dalam mengeja kalimat sangat sederhana secara tepat dan berterima </v>
      </c>
      <c r="AH28" s="257" t="str">
        <f t="shared" si="7"/>
        <v xml:space="preserve"> </v>
      </c>
      <c r="AI28" s="258" t="str">
        <f t="shared" si="8"/>
        <v xml:space="preserve"> baik  dalam merespon instruksi sangat sederhana dengan tindakan secara berterima dalam konteks sekolah  , dan  cukup baik  dalam mengeja kalimat sangat sederhana secara tepat dan berterima </v>
      </c>
      <c r="AJ28" s="252" t="str">
        <f t="shared" si="9"/>
        <v xml:space="preserve">SYAEPUL baik  dalam merespon instruksi sangat sederhana dengan tindakan secara berterima dalam konteks sekolah  , dan  cukup baik  dalam mengeja kalimat sangat sederhana secara tepat dan berterima </v>
      </c>
      <c r="AK28" s="153"/>
    </row>
    <row r="29" spans="2:37" ht="54" customHeight="1">
      <c r="B29" s="142">
        <v>25</v>
      </c>
      <c r="C29" s="143" t="str">
        <f>SISWA!B30</f>
        <v>1718250040329</v>
      </c>
      <c r="D29" s="144" t="str">
        <f>SISWA!E30</f>
        <v>ALIF</v>
      </c>
      <c r="E29" s="159">
        <v>75</v>
      </c>
      <c r="F29" s="160"/>
      <c r="G29" s="160">
        <v>72</v>
      </c>
      <c r="H29" s="160"/>
      <c r="I29" s="160"/>
      <c r="J29" s="159" t="s">
        <v>766</v>
      </c>
      <c r="K29" s="159"/>
      <c r="L29" s="159"/>
      <c r="M29" s="159"/>
      <c r="N29" s="159"/>
      <c r="O29" s="159"/>
      <c r="P29" s="159"/>
      <c r="Q29" s="159"/>
      <c r="R29" s="160"/>
      <c r="S29" s="160">
        <v>78</v>
      </c>
      <c r="T29" s="160"/>
      <c r="U29" s="160">
        <v>72</v>
      </c>
      <c r="V29" s="159"/>
      <c r="W29" s="354">
        <f t="shared" si="4"/>
        <v>74</v>
      </c>
      <c r="X29" s="355" t="str">
        <f>IF(W29&gt;KKM!$G$10,"A",IF(W29&gt;KKM!$H$10,"B",IF(W29&gt;=KKM!$I$10,"C","D")))</f>
        <v>C</v>
      </c>
      <c r="Y29" s="356">
        <f t="shared" si="0"/>
        <v>78</v>
      </c>
      <c r="Z29" s="361" t="str">
        <f>IF(Y29&gt;KKM!$G$10," sangat baik ",IF(Y29&gt;KKM!$H$10," baik ",IF(Y29&gt;=KKM!$I$10," cukup baik "," perlu bimbingan ")))</f>
        <v xml:space="preserve"> baik </v>
      </c>
      <c r="AA29" s="357">
        <f t="shared" si="1"/>
        <v>72</v>
      </c>
      <c r="AB29" s="361" t="str">
        <f>IF(AA29&gt;KKM!$G$10," sangat baik ",IF(AA29&gt;KKM!$H$10," baik ",IF(AA29&gt;=KKM!$I$10," cukup baik "," perlu bimbingan ")))</f>
        <v xml:space="preserve"> cukup baik </v>
      </c>
      <c r="AC29" s="353" t="str">
        <f t="shared" si="5"/>
        <v xml:space="preserve">ALIF baik  dalam membaca nyaring dengan ucapan, tekanan, dan intonasi secara tepat dan berterima yang melibatkan: kata, frasa, kalimat sangat sederhana, dan teks sangat sederhana 
, dan  cukup baik  dalam bercakap-cakap untuk menyertai tindakan secara berterima yang melibatkan tindak tutur: memberi contoh melakukan sesuatu, memberi aba-aba, dan memberi petunjuk 
</v>
      </c>
      <c r="AD29" s="256"/>
      <c r="AE29" s="257" t="str">
        <f t="shared" si="2"/>
        <v xml:space="preserve"> baik  dalam membaca nyaring dengan ucapan, tekanan, dan intonasi secara tepat dan berterima yang melibatkan: kata, frasa, kalimat sangat sederhana, dan teks sangat sederhana 
</v>
      </c>
      <c r="AF29" s="257" t="str">
        <f t="shared" si="3"/>
        <v xml:space="preserve"> cukup baik  dalam bercakap-cakap untuk menyertai tindakan secara berterima yang melibatkan tindak tutur: memberi contoh melakukan sesuatu, memberi aba-aba, dan memberi petunjuk 
</v>
      </c>
      <c r="AG29" s="257" t="str">
        <f t="shared" si="6"/>
        <v xml:space="preserve"> baik  dalam membaca nyaring dengan ucapan, tekanan, dan intonasi secara tepat dan berterima yang melibatkan: kata, frasa, kalimat sangat sederhana, dan teks sangat sederhana 
, dan  cukup baik  dalam bercakap-cakap untuk menyertai tindakan secara berterima yang melibatkan tindak tutur: memberi contoh melakukan sesuatu, memberi aba-aba, dan memberi petunjuk 
</v>
      </c>
      <c r="AH29" s="257" t="str">
        <f t="shared" si="7"/>
        <v xml:space="preserve"> </v>
      </c>
      <c r="AI29" s="258" t="str">
        <f t="shared" si="8"/>
        <v xml:space="preserve"> baik  dalam membaca nyaring dengan ucapan, tekanan, dan intonasi secara tepat dan berterima yang melibatkan: kata, frasa, kalimat sangat sederhana, dan teks sangat sederhana 
, dan  cukup baik  dalam bercakap-cakap untuk menyertai tindakan secara berterima yang melibatkan tindak tutur: memberi contoh melakukan sesuatu, memberi aba-aba, dan memberi petunjuk 
</v>
      </c>
      <c r="AJ29" s="252" t="str">
        <f t="shared" si="9"/>
        <v xml:space="preserve">ALIF baik  dalam membaca nyaring dengan ucapan, tekanan, dan intonasi secara tepat dan berterima yang melibatkan: kata, frasa, kalimat sangat sederhana, dan teks sangat sederhana 
, dan  cukup baik  dalam bercakap-cakap untuk menyertai tindakan secara berterima yang melibatkan tindak tutur: memberi contoh melakukan sesuatu, memberi aba-aba, dan memberi petunjuk 
</v>
      </c>
      <c r="AK29" s="153"/>
    </row>
    <row r="30" spans="2:37" ht="54" customHeight="1">
      <c r="B30" s="142">
        <v>26</v>
      </c>
      <c r="C30" s="143" t="str">
        <f>SISWA!B31</f>
        <v>1718250040330</v>
      </c>
      <c r="D30" s="144" t="str">
        <f>SISWA!E31</f>
        <v>HIZKIEL</v>
      </c>
      <c r="E30" s="159">
        <v>70</v>
      </c>
      <c r="F30" s="160"/>
      <c r="G30" s="160">
        <v>70</v>
      </c>
      <c r="H30" s="160"/>
      <c r="I30" s="160"/>
      <c r="J30" s="159"/>
      <c r="K30" s="159"/>
      <c r="L30" s="159"/>
      <c r="M30" s="159"/>
      <c r="N30" s="159"/>
      <c r="O30" s="159"/>
      <c r="P30" s="159"/>
      <c r="Q30" s="159"/>
      <c r="R30" s="160"/>
      <c r="S30" s="160">
        <v>70</v>
      </c>
      <c r="T30" s="160"/>
      <c r="U30" s="160">
        <v>70</v>
      </c>
      <c r="V30" s="159"/>
      <c r="W30" s="354">
        <f t="shared" si="4"/>
        <v>70</v>
      </c>
      <c r="X30" s="355" t="str">
        <f>IF(W30&gt;KKM!$G$10,"A",IF(W30&gt;KKM!$H$10,"B",IF(W30&gt;=KKM!$I$10,"C","D")))</f>
        <v>C</v>
      </c>
      <c r="Y30" s="356">
        <f t="shared" si="0"/>
        <v>70</v>
      </c>
      <c r="Z30" s="361" t="str">
        <f>IF(Y30&gt;KKM!$G$10," sangat baik ",IF(Y30&gt;KKM!$H$10," baik ",IF(Y30&gt;=KKM!$I$10," cukup baik "," perlu bimbingan ")))</f>
        <v xml:space="preserve"> cukup baik </v>
      </c>
      <c r="AA30" s="357">
        <f t="shared" si="1"/>
        <v>70</v>
      </c>
      <c r="AB30" s="361" t="str">
        <f>IF(AA30&gt;KKM!$G$10," sangat baik ",IF(AA30&gt;KKM!$H$10," baik ",IF(AA30&gt;=KKM!$I$10," cukup baik "," perlu bimbingan ")))</f>
        <v xml:space="preserve"> cukup baik </v>
      </c>
      <c r="AC30" s="353" t="str">
        <f t="shared" si="5"/>
        <v xml:space="preserve">HIZKIEL cukup baik  dalam merespon instruksi sangat sederhana dengan tindakan secara berterima dalam konteks sekolah  </v>
      </c>
      <c r="AD30" s="256"/>
      <c r="AE30" s="257" t="str">
        <f t="shared" si="2"/>
        <v xml:space="preserve"> cukup baik  dalam merespon instruksi sangat sederhana dengan tindakan secara berterima dalam konteks sekolah  </v>
      </c>
      <c r="AF30" s="257" t="str">
        <f t="shared" si="3"/>
        <v xml:space="preserve"> cukup baik  dalam merespon instruksi sangat sederhana dengan tindakan secara berterima dalam konteks sekolah  </v>
      </c>
      <c r="AG30" s="257" t="str">
        <f t="shared" si="6"/>
        <v xml:space="preserve"> cukup baik  dalam merespon instruksi sangat sederhana dengan tindakan secara berterima dalam konteks sekolah  , dan  cukup baik  dalam merespon instruksi sangat sederhana dengan tindakan secara berterima dalam konteks sekolah  </v>
      </c>
      <c r="AH30" s="257" t="str">
        <f t="shared" si="7"/>
        <v xml:space="preserve"> cukup baik  dalam merespon instruksi sangat sederhana dengan tindakan secara berterima dalam konteks sekolah  </v>
      </c>
      <c r="AI30" s="258" t="str">
        <f t="shared" si="8"/>
        <v xml:space="preserve"> cukup baik  dalam merespon instruksi sangat sederhana dengan tindakan secara berterima dalam konteks sekolah  </v>
      </c>
      <c r="AJ30" s="252" t="str">
        <f t="shared" si="9"/>
        <v xml:space="preserve">HIZKIEL cukup baik  dalam merespon instruksi sangat sederhana dengan tindakan secara berterima dalam konteks sekolah  </v>
      </c>
      <c r="AK30" s="153"/>
    </row>
    <row r="31" spans="2:37" ht="54" customHeight="1">
      <c r="B31" s="142">
        <v>27</v>
      </c>
      <c r="C31" s="143" t="str">
        <f>SISWA!B32</f>
        <v>1718250040331</v>
      </c>
      <c r="D31" s="144" t="str">
        <f>SISWA!E32</f>
        <v>LAEL</v>
      </c>
      <c r="E31" s="159">
        <v>98</v>
      </c>
      <c r="F31" s="160"/>
      <c r="G31" s="160">
        <v>98</v>
      </c>
      <c r="H31" s="160"/>
      <c r="I31" s="160"/>
      <c r="J31" s="159"/>
      <c r="K31" s="159"/>
      <c r="L31" s="159"/>
      <c r="M31" s="159"/>
      <c r="N31" s="159"/>
      <c r="O31" s="159"/>
      <c r="P31" s="159"/>
      <c r="Q31" s="159"/>
      <c r="R31" s="160"/>
      <c r="S31" s="160">
        <v>100</v>
      </c>
      <c r="T31" s="160"/>
      <c r="U31" s="160">
        <v>98</v>
      </c>
      <c r="V31" s="159" t="s">
        <v>766</v>
      </c>
      <c r="W31" s="354">
        <f t="shared" si="4"/>
        <v>99</v>
      </c>
      <c r="X31" s="355" t="str">
        <f>IF(W31&gt;KKM!$G$10,"A",IF(W31&gt;KKM!$H$10,"B",IF(W31&gt;=KKM!$I$10,"C","D")))</f>
        <v>A</v>
      </c>
      <c r="Y31" s="356">
        <f t="shared" si="0"/>
        <v>100</v>
      </c>
      <c r="Z31" s="361" t="str">
        <f>IF(Y31&gt;KKM!$G$10," sangat baik ",IF(Y31&gt;KKM!$H$10," baik ",IF(Y31&gt;=KKM!$I$10," cukup baik "," perlu bimbingan ")))</f>
        <v xml:space="preserve"> sangat baik </v>
      </c>
      <c r="AA31" s="357">
        <f t="shared" si="1"/>
        <v>98</v>
      </c>
      <c r="AB31" s="361" t="str">
        <f>IF(AA31&gt;KKM!$G$10," sangat baik ",IF(AA31&gt;KKM!$H$10," baik ",IF(AA31&gt;=KKM!$I$10," cukup baik "," perlu bimbingan ")))</f>
        <v xml:space="preserve"> sangat baik </v>
      </c>
      <c r="AC31" s="353" t="str">
        <f t="shared" si="5"/>
        <v xml:space="preserve">LAEL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D31" s="256"/>
      <c r="AE31" s="257" t="str">
        <f t="shared" si="2"/>
        <v xml:space="preserve"> sangat baik  dalam membaca nyaring dengan ucapan, tekanan, dan intonasi secara tepat dan berterima yang melibatkan: kata, frasa, kalimat sangat sederhana, dan teks sangat sederhana 
</v>
      </c>
      <c r="AF31" s="257" t="str">
        <f t="shared" si="3"/>
        <v xml:space="preserve"> sangat baik  dalam merespon instruksi sangat sederhana dengan tindakan secara berterima dalam konteks sekolah  </v>
      </c>
      <c r="AG31" s="257" t="str">
        <f t="shared" si="6"/>
        <v xml:space="preserve">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H31" s="257" t="str">
        <f t="shared" si="7"/>
        <v xml:space="preserve"> </v>
      </c>
      <c r="AI31" s="258" t="str">
        <f t="shared" si="8"/>
        <v xml:space="preserve">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J31" s="252" t="str">
        <f t="shared" si="9"/>
        <v xml:space="preserve">LAEL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K31" s="153"/>
    </row>
    <row r="32" spans="2:37" ht="54" customHeight="1">
      <c r="B32" s="142">
        <v>28</v>
      </c>
      <c r="C32" s="143" t="str">
        <f>SISWA!B33</f>
        <v>1718250040332</v>
      </c>
      <c r="D32" s="144" t="str">
        <f>SISWA!E33</f>
        <v>NABIL</v>
      </c>
      <c r="E32" s="159">
        <v>77</v>
      </c>
      <c r="F32" s="160"/>
      <c r="G32" s="160">
        <v>76</v>
      </c>
      <c r="H32" s="160"/>
      <c r="I32" s="160"/>
      <c r="J32" s="159" t="s">
        <v>766</v>
      </c>
      <c r="K32" s="159"/>
      <c r="L32" s="159"/>
      <c r="M32" s="159"/>
      <c r="N32" s="159"/>
      <c r="O32" s="159"/>
      <c r="P32" s="159"/>
      <c r="Q32" s="159"/>
      <c r="R32" s="160"/>
      <c r="S32" s="160">
        <v>74</v>
      </c>
      <c r="T32" s="160"/>
      <c r="U32" s="160">
        <v>73</v>
      </c>
      <c r="V32" s="159" t="s">
        <v>766</v>
      </c>
      <c r="W32" s="354">
        <f t="shared" si="4"/>
        <v>75</v>
      </c>
      <c r="X32" s="355" t="str">
        <f>IF(W32&gt;KKM!$G$10,"A",IF(W32&gt;KKM!$H$10,"B",IF(W32&gt;=KKM!$I$10,"C","D")))</f>
        <v>C</v>
      </c>
      <c r="Y32" s="356">
        <f t="shared" si="0"/>
        <v>77</v>
      </c>
      <c r="Z32" s="361" t="str">
        <f>IF(Y32&gt;KKM!$G$10," sangat baik ",IF(Y32&gt;KKM!$H$10," baik ",IF(Y32&gt;=KKM!$I$10," cukup baik "," perlu bimbingan ")))</f>
        <v xml:space="preserve"> baik </v>
      </c>
      <c r="AA32" s="357">
        <f t="shared" si="1"/>
        <v>73</v>
      </c>
      <c r="AB32" s="361" t="str">
        <f>IF(AA32&gt;KKM!$G$10," sangat baik ",IF(AA32&gt;KKM!$H$10," baik ",IF(AA32&gt;=KKM!$I$10," cukup baik "," perlu bimbingan ")))</f>
        <v xml:space="preserve"> cukup baik </v>
      </c>
      <c r="AC32" s="353" t="str">
        <f t="shared" si="5"/>
        <v xml:space="preserve">NABIL baik  dalam merespon instruksi sangat sederhana dengan tindakan secara berterima dalam konteks sekolah  , dan  cukup baik  dalam mengeja kalimat sangat sederhana secara tepat dan berterima </v>
      </c>
      <c r="AD32" s="256"/>
      <c r="AE32" s="257" t="str">
        <f t="shared" si="2"/>
        <v xml:space="preserve"> baik  dalam merespon instruksi sangat sederhana dengan tindakan secara berterima dalam konteks sekolah  </v>
      </c>
      <c r="AF32" s="257" t="str">
        <f t="shared" si="3"/>
        <v xml:space="preserve"> cukup baik  dalam mengeja kalimat sangat sederhana secara tepat dan berterima </v>
      </c>
      <c r="AG32" s="257" t="str">
        <f t="shared" si="6"/>
        <v xml:space="preserve"> baik  dalam merespon instruksi sangat sederhana dengan tindakan secara berterima dalam konteks sekolah  , dan  cukup baik  dalam mengeja kalimat sangat sederhana secara tepat dan berterima </v>
      </c>
      <c r="AH32" s="257" t="str">
        <f t="shared" si="7"/>
        <v xml:space="preserve"> </v>
      </c>
      <c r="AI32" s="258" t="str">
        <f t="shared" si="8"/>
        <v xml:space="preserve"> baik  dalam merespon instruksi sangat sederhana dengan tindakan secara berterima dalam konteks sekolah  , dan  cukup baik  dalam mengeja kalimat sangat sederhana secara tepat dan berterima </v>
      </c>
      <c r="AJ32" s="252" t="str">
        <f t="shared" si="9"/>
        <v xml:space="preserve">NABIL baik  dalam merespon instruksi sangat sederhana dengan tindakan secara berterima dalam konteks sekolah  , dan  cukup baik  dalam mengeja kalimat sangat sederhana secara tepat dan berterima </v>
      </c>
      <c r="AK32" s="153"/>
    </row>
    <row r="33" spans="2:37" ht="54" customHeight="1">
      <c r="B33" s="142">
        <v>29</v>
      </c>
      <c r="C33" s="143" t="str">
        <f>SISWA!B34</f>
        <v>1718250040333</v>
      </c>
      <c r="D33" s="144" t="str">
        <f>SISWA!E34</f>
        <v>RASYA</v>
      </c>
      <c r="E33" s="159">
        <v>70</v>
      </c>
      <c r="F33" s="160"/>
      <c r="G33" s="160">
        <v>80</v>
      </c>
      <c r="H33" s="160"/>
      <c r="I33" s="160"/>
      <c r="J33" s="159" t="s">
        <v>766</v>
      </c>
      <c r="K33" s="159"/>
      <c r="L33" s="159"/>
      <c r="M33" s="159"/>
      <c r="N33" s="159"/>
      <c r="O33" s="159"/>
      <c r="P33" s="159"/>
      <c r="Q33" s="159"/>
      <c r="R33" s="160"/>
      <c r="S33" s="160">
        <v>78</v>
      </c>
      <c r="T33" s="160"/>
      <c r="U33" s="160">
        <v>70</v>
      </c>
      <c r="V33" s="159"/>
      <c r="W33" s="354">
        <f t="shared" si="4"/>
        <v>75</v>
      </c>
      <c r="X33" s="355" t="str">
        <f>IF(W33&gt;KKM!$G$10,"A",IF(W33&gt;KKM!$H$10,"B",IF(W33&gt;=KKM!$I$10,"C","D")))</f>
        <v>C</v>
      </c>
      <c r="Y33" s="356">
        <f t="shared" si="0"/>
        <v>80</v>
      </c>
      <c r="Z33" s="361" t="str">
        <f>IF(Y33&gt;KKM!$G$10," sangat baik ",IF(Y33&gt;KKM!$H$10," baik ",IF(Y33&gt;=KKM!$I$10," cukup baik "," perlu bimbingan ")))</f>
        <v xml:space="preserve"> baik </v>
      </c>
      <c r="AA33" s="357">
        <f t="shared" si="1"/>
        <v>70</v>
      </c>
      <c r="AB33" s="361" t="str">
        <f>IF(AA33&gt;KKM!$G$10," sangat baik ",IF(AA33&gt;KKM!$H$10," baik ",IF(AA33&gt;=KKM!$I$10," cukup baik "," perlu bimbingan ")))</f>
        <v xml:space="preserve"> cukup baik </v>
      </c>
      <c r="AC33" s="353" t="str">
        <f t="shared" si="5"/>
        <v xml:space="preserve">RASYA baik  dalam bercakap-cakap untuk menyertai tindakan secara berterima yang melibatkan tindak tutur: memberi contoh melakukan sesuatu, memberi aba-aba, dan memberi petunjuk 
, dan  cukup baik  dalam merespon instruksi sangat sederhana dengan tindakan secara berterima dalam konteks sekolah  </v>
      </c>
      <c r="AD33" s="256"/>
      <c r="AE33" s="257" t="str">
        <f t="shared" si="2"/>
        <v xml:space="preserve"> baik  dalam bercakap-cakap untuk menyertai tindakan secara berterima yang melibatkan tindak tutur: memberi contoh melakukan sesuatu, memberi aba-aba, dan memberi petunjuk 
</v>
      </c>
      <c r="AF33" s="257" t="str">
        <f t="shared" si="3"/>
        <v xml:space="preserve"> cukup baik  dalam merespon instruksi sangat sederhana dengan tindakan secara berterima dalam konteks sekolah  </v>
      </c>
      <c r="AG33" s="257" t="str">
        <f t="shared" si="6"/>
        <v xml:space="preserve"> baik  dalam bercakap-cakap untuk menyertai tindakan secara berterima yang melibatkan tindak tutur: memberi contoh melakukan sesuatu, memberi aba-aba, dan memberi petunjuk 
, dan  cukup baik  dalam merespon instruksi sangat sederhana dengan tindakan secara berterima dalam konteks sekolah  </v>
      </c>
      <c r="AH33" s="257" t="str">
        <f t="shared" si="7"/>
        <v xml:space="preserve"> </v>
      </c>
      <c r="AI33" s="258" t="str">
        <f t="shared" si="8"/>
        <v xml:space="preserve"> baik  dalam bercakap-cakap untuk menyertai tindakan secara berterima yang melibatkan tindak tutur: memberi contoh melakukan sesuatu, memberi aba-aba, dan memberi petunjuk 
, dan  cukup baik  dalam merespon instruksi sangat sederhana dengan tindakan secara berterima dalam konteks sekolah  </v>
      </c>
      <c r="AJ33" s="252" t="str">
        <f t="shared" si="9"/>
        <v xml:space="preserve">RASYA baik  dalam bercakap-cakap untuk menyertai tindakan secara berterima yang melibatkan tindak tutur: memberi contoh melakukan sesuatu, memberi aba-aba, dan memberi petunjuk 
, dan  cukup baik  dalam merespon instruksi sangat sederhana dengan tindakan secara berterima dalam konteks sekolah  </v>
      </c>
      <c r="AK33" s="153"/>
    </row>
    <row r="34" spans="2:37" ht="54" customHeight="1">
      <c r="B34" s="142">
        <v>30</v>
      </c>
      <c r="C34" s="143" t="str">
        <f>SISWA!B35</f>
        <v>1718250040334</v>
      </c>
      <c r="D34" s="144" t="str">
        <f>SISWA!E35</f>
        <v>RIZKI</v>
      </c>
      <c r="E34" s="159">
        <v>90</v>
      </c>
      <c r="F34" s="160"/>
      <c r="G34" s="160">
        <v>88</v>
      </c>
      <c r="H34" s="160" t="s">
        <v>766</v>
      </c>
      <c r="I34" s="160" t="s">
        <v>766</v>
      </c>
      <c r="J34" s="159"/>
      <c r="K34" s="159"/>
      <c r="L34" s="159"/>
      <c r="M34" s="159"/>
      <c r="N34" s="159"/>
      <c r="O34" s="159"/>
      <c r="P34" s="159"/>
      <c r="Q34" s="159"/>
      <c r="R34" s="160"/>
      <c r="S34" s="160">
        <v>84</v>
      </c>
      <c r="T34" s="160"/>
      <c r="U34" s="160">
        <v>80</v>
      </c>
      <c r="V34" s="159" t="s">
        <v>766</v>
      </c>
      <c r="W34" s="354">
        <f t="shared" si="4"/>
        <v>86</v>
      </c>
      <c r="X34" s="355" t="str">
        <f>IF(W34&gt;KKM!$G$10,"A",IF(W34&gt;KKM!$H$10,"B",IF(W34&gt;=KKM!$I$10,"C","D")))</f>
        <v>B</v>
      </c>
      <c r="Y34" s="356">
        <f t="shared" si="0"/>
        <v>90</v>
      </c>
      <c r="Z34" s="361" t="str">
        <f>IF(Y34&gt;KKM!$G$10," sangat baik ",IF(Y34&gt;KKM!$H$10," baik ",IF(Y34&gt;=KKM!$I$10," cukup baik "," perlu bimbingan ")))</f>
        <v xml:space="preserve"> sangat baik </v>
      </c>
      <c r="AA34" s="357">
        <f t="shared" si="1"/>
        <v>80</v>
      </c>
      <c r="AB34" s="361" t="str">
        <f>IF(AA34&gt;KKM!$G$10," sangat baik ",IF(AA34&gt;KKM!$H$10," baik ",IF(AA34&gt;=KKM!$I$10," cukup baik "," perlu bimbingan ")))</f>
        <v xml:space="preserve"> baik </v>
      </c>
      <c r="AC34" s="353" t="str">
        <f t="shared" si="5"/>
        <v xml:space="preserve">RIZKI sangat baik  dalam merespon instruksi sangat sederhana dengan tindakan secara berterima dalam konteks sekolah  , dan  baik  dalam mengeja kalimat sangat sederhana secara tepat dan berterima </v>
      </c>
      <c r="AD34" s="256"/>
      <c r="AE34" s="257" t="str">
        <f t="shared" si="2"/>
        <v xml:space="preserve"> sangat baik  dalam merespon instruksi sangat sederhana dengan tindakan secara berterima dalam konteks sekolah  </v>
      </c>
      <c r="AF34" s="257" t="str">
        <f t="shared" si="3"/>
        <v xml:space="preserve"> baik  dalam mengeja kalimat sangat sederhana secara tepat dan berterima </v>
      </c>
      <c r="AG34" s="257" t="str">
        <f t="shared" si="6"/>
        <v xml:space="preserve"> sangat baik  dalam merespon instruksi sangat sederhana dengan tindakan secara berterima dalam konteks sekolah  , dan  baik  dalam mengeja kalimat sangat sederhana secara tepat dan berterima </v>
      </c>
      <c r="AH34" s="257" t="str">
        <f t="shared" si="7"/>
        <v xml:space="preserve"> </v>
      </c>
      <c r="AI34" s="258" t="str">
        <f t="shared" si="8"/>
        <v xml:space="preserve"> sangat baik  dalam merespon instruksi sangat sederhana dengan tindakan secara berterima dalam konteks sekolah  , dan  baik  dalam mengeja kalimat sangat sederhana secara tepat dan berterima </v>
      </c>
      <c r="AJ34" s="252" t="str">
        <f t="shared" si="9"/>
        <v xml:space="preserve">RIZKI sangat baik  dalam merespon instruksi sangat sederhana dengan tindakan secara berterima dalam konteks sekolah  , dan  baik  dalam mengeja kalimat sangat sederhana secara tepat dan berterima </v>
      </c>
      <c r="AK34" s="153"/>
    </row>
    <row r="35" spans="2:37" ht="54" customHeight="1">
      <c r="B35" s="142">
        <v>31</v>
      </c>
      <c r="C35" s="143" t="str">
        <f>SISWA!B36</f>
        <v>1718250040335</v>
      </c>
      <c r="D35" s="144" t="str">
        <f>SISWA!E36</f>
        <v>SATRIA</v>
      </c>
      <c r="E35" s="159">
        <v>70</v>
      </c>
      <c r="F35" s="160"/>
      <c r="G35" s="160">
        <v>80</v>
      </c>
      <c r="H35" s="160"/>
      <c r="I35" s="160" t="s">
        <v>766</v>
      </c>
      <c r="J35" s="159" t="s">
        <v>766</v>
      </c>
      <c r="K35" s="159"/>
      <c r="L35" s="159"/>
      <c r="M35" s="159"/>
      <c r="N35" s="159"/>
      <c r="O35" s="159"/>
      <c r="P35" s="159"/>
      <c r="Q35" s="159"/>
      <c r="R35" s="160"/>
      <c r="S35" s="160">
        <v>78</v>
      </c>
      <c r="T35" s="160"/>
      <c r="U35" s="160">
        <v>70</v>
      </c>
      <c r="V35" s="159"/>
      <c r="W35" s="354">
        <f t="shared" si="4"/>
        <v>75</v>
      </c>
      <c r="X35" s="355" t="str">
        <f>IF(W35&gt;KKM!$G$10,"A",IF(W35&gt;KKM!$H$10,"B",IF(W35&gt;=KKM!$I$10,"C","D")))</f>
        <v>C</v>
      </c>
      <c r="Y35" s="356">
        <f t="shared" si="0"/>
        <v>80</v>
      </c>
      <c r="Z35" s="361" t="str">
        <f>IF(Y35&gt;KKM!$G$10," sangat baik ",IF(Y35&gt;KKM!$H$10," baik ",IF(Y35&gt;=KKM!$I$10," cukup baik "," perlu bimbingan ")))</f>
        <v xml:space="preserve"> baik </v>
      </c>
      <c r="AA35" s="357">
        <f t="shared" si="1"/>
        <v>70</v>
      </c>
      <c r="AB35" s="361" t="str">
        <f>IF(AA35&gt;KKM!$G$10," sangat baik ",IF(AA35&gt;KKM!$H$10," baik ",IF(AA35&gt;=KKM!$I$10," cukup baik "," perlu bimbingan ")))</f>
        <v xml:space="preserve"> cukup baik </v>
      </c>
      <c r="AC35" s="353" t="str">
        <f t="shared" si="5"/>
        <v xml:space="preserve">SATRIA baik  dalam bercakap-cakap untuk menyertai tindakan secara berterima yang melibatkan tindak tutur: memberi contoh melakukan sesuatu, memberi aba-aba, dan memberi petunjuk 
, dan  cukup baik  dalam merespon instruksi sangat sederhana dengan tindakan secara berterima dalam konteks sekolah  </v>
      </c>
      <c r="AD35" s="256"/>
      <c r="AE35" s="257" t="str">
        <f t="shared" si="2"/>
        <v xml:space="preserve"> baik  dalam bercakap-cakap untuk menyertai tindakan secara berterima yang melibatkan tindak tutur: memberi contoh melakukan sesuatu, memberi aba-aba, dan memberi petunjuk 
</v>
      </c>
      <c r="AF35" s="257" t="str">
        <f t="shared" si="3"/>
        <v xml:space="preserve"> cukup baik  dalam merespon instruksi sangat sederhana dengan tindakan secara berterima dalam konteks sekolah  </v>
      </c>
      <c r="AG35" s="257" t="str">
        <f t="shared" si="6"/>
        <v xml:space="preserve"> baik  dalam bercakap-cakap untuk menyertai tindakan secara berterima yang melibatkan tindak tutur: memberi contoh melakukan sesuatu, memberi aba-aba, dan memberi petunjuk 
, dan  cukup baik  dalam merespon instruksi sangat sederhana dengan tindakan secara berterima dalam konteks sekolah  </v>
      </c>
      <c r="AH35" s="257" t="str">
        <f t="shared" si="7"/>
        <v xml:space="preserve"> </v>
      </c>
      <c r="AI35" s="258" t="str">
        <f t="shared" si="8"/>
        <v xml:space="preserve"> baik  dalam bercakap-cakap untuk menyertai tindakan secara berterima yang melibatkan tindak tutur: memberi contoh melakukan sesuatu, memberi aba-aba, dan memberi petunjuk 
, dan  cukup baik  dalam merespon instruksi sangat sederhana dengan tindakan secara berterima dalam konteks sekolah  </v>
      </c>
      <c r="AJ35" s="252" t="str">
        <f t="shared" si="9"/>
        <v xml:space="preserve">SATRIA baik  dalam bercakap-cakap untuk menyertai tindakan secara berterima yang melibatkan tindak tutur: memberi contoh melakukan sesuatu, memberi aba-aba, dan memberi petunjuk 
, dan  cukup baik  dalam merespon instruksi sangat sederhana dengan tindakan secara berterima dalam konteks sekolah  </v>
      </c>
      <c r="AK35" s="153"/>
    </row>
    <row r="36" spans="2:37" ht="54" customHeight="1">
      <c r="B36" s="142">
        <v>32</v>
      </c>
      <c r="C36" s="143" t="str">
        <f>SISWA!B37</f>
        <v>1718250040336</v>
      </c>
      <c r="D36" s="144" t="str">
        <f>SISWA!E37</f>
        <v>NADIA</v>
      </c>
      <c r="E36" s="159">
        <v>90</v>
      </c>
      <c r="F36" s="160"/>
      <c r="G36" s="160">
        <v>90</v>
      </c>
      <c r="H36" s="160"/>
      <c r="I36" s="160"/>
      <c r="J36" s="159"/>
      <c r="K36" s="159"/>
      <c r="L36" s="159"/>
      <c r="M36" s="159"/>
      <c r="N36" s="159"/>
      <c r="O36" s="159"/>
      <c r="P36" s="159"/>
      <c r="Q36" s="159"/>
      <c r="R36" s="160"/>
      <c r="S36" s="160">
        <v>98</v>
      </c>
      <c r="T36" s="160"/>
      <c r="U36" s="160">
        <v>98</v>
      </c>
      <c r="V36" s="159" t="s">
        <v>766</v>
      </c>
      <c r="W36" s="354">
        <f t="shared" si="4"/>
        <v>94</v>
      </c>
      <c r="X36" s="355" t="str">
        <f>IF(W36&gt;KKM!$G$10,"A",IF(W36&gt;KKM!$H$10,"B",IF(W36&gt;=KKM!$I$10,"C","D")))</f>
        <v>A</v>
      </c>
      <c r="Y36" s="356">
        <f t="shared" si="0"/>
        <v>98</v>
      </c>
      <c r="Z36" s="361" t="str">
        <f>IF(Y36&gt;KKM!$G$10," sangat baik ",IF(Y36&gt;KKM!$H$10," baik ",IF(Y36&gt;=KKM!$I$10," cukup baik "," perlu bimbingan ")))</f>
        <v xml:space="preserve"> sangat baik </v>
      </c>
      <c r="AA36" s="357">
        <f t="shared" si="1"/>
        <v>90</v>
      </c>
      <c r="AB36" s="361" t="str">
        <f>IF(AA36&gt;KKM!$G$10," sangat baik ",IF(AA36&gt;KKM!$H$10," baik ",IF(AA36&gt;=KKM!$I$10," cukup baik "," perlu bimbingan ")))</f>
        <v xml:space="preserve"> sangat baik </v>
      </c>
      <c r="AC36" s="353" t="str">
        <f t="shared" si="5"/>
        <v xml:space="preserve">NADIA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D36" s="256"/>
      <c r="AE36" s="257" t="str">
        <f t="shared" si="2"/>
        <v xml:space="preserve"> sangat baik  dalam membaca nyaring dengan ucapan, tekanan, dan intonasi secara tepat dan berterima yang melibatkan: kata, frasa, kalimat sangat sederhana, dan teks sangat sederhana 
</v>
      </c>
      <c r="AF36" s="257" t="str">
        <f t="shared" si="3"/>
        <v xml:space="preserve"> sangat baik  dalam merespon instruksi sangat sederhana dengan tindakan secara berterima dalam konteks sekolah  </v>
      </c>
      <c r="AG36" s="257" t="str">
        <f t="shared" si="6"/>
        <v xml:space="preserve">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H36" s="257" t="str">
        <f t="shared" si="7"/>
        <v xml:space="preserve"> </v>
      </c>
      <c r="AI36" s="258" t="str">
        <f t="shared" si="8"/>
        <v xml:space="preserve">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J36" s="252" t="str">
        <f t="shared" si="9"/>
        <v xml:space="preserve">NADIA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K36" s="153"/>
    </row>
    <row r="37" spans="2:37" ht="54" customHeight="1">
      <c r="B37" s="142">
        <v>33</v>
      </c>
      <c r="C37" s="143" t="str">
        <f>SISWA!B38</f>
        <v>1718250040337</v>
      </c>
      <c r="D37" s="144" t="str">
        <f>SISWA!E38</f>
        <v>NAFILA</v>
      </c>
      <c r="E37" s="159">
        <v>77</v>
      </c>
      <c r="F37" s="160"/>
      <c r="G37" s="160">
        <v>76</v>
      </c>
      <c r="H37" s="160"/>
      <c r="I37" s="160"/>
      <c r="J37" s="159" t="s">
        <v>766</v>
      </c>
      <c r="K37" s="159"/>
      <c r="L37" s="159"/>
      <c r="M37" s="159"/>
      <c r="N37" s="159"/>
      <c r="O37" s="159"/>
      <c r="P37" s="159"/>
      <c r="Q37" s="159"/>
      <c r="R37" s="160"/>
      <c r="S37" s="160">
        <v>74</v>
      </c>
      <c r="T37" s="160"/>
      <c r="U37" s="160">
        <v>73</v>
      </c>
      <c r="V37" s="159" t="s">
        <v>766</v>
      </c>
      <c r="W37" s="354">
        <f t="shared" si="4"/>
        <v>75</v>
      </c>
      <c r="X37" s="355" t="str">
        <f>IF(W37&gt;KKM!$G$10,"A",IF(W37&gt;KKM!$H$10,"B",IF(W37&gt;=KKM!$I$10,"C","D")))</f>
        <v>C</v>
      </c>
      <c r="Y37" s="356">
        <f t="shared" si="0"/>
        <v>77</v>
      </c>
      <c r="Z37" s="361" t="str">
        <f>IF(Y37&gt;KKM!$G$10," sangat baik ",IF(Y37&gt;KKM!$H$10," baik ",IF(Y37&gt;=KKM!$I$10," cukup baik "," perlu bimbingan ")))</f>
        <v xml:space="preserve"> baik </v>
      </c>
      <c r="AA37" s="357">
        <f t="shared" si="1"/>
        <v>73</v>
      </c>
      <c r="AB37" s="361" t="str">
        <f>IF(AA37&gt;KKM!$G$10," sangat baik ",IF(AA37&gt;KKM!$H$10," baik ",IF(AA37&gt;=KKM!$I$10," cukup baik "," perlu bimbingan ")))</f>
        <v xml:space="preserve"> cukup baik </v>
      </c>
      <c r="AC37" s="353" t="str">
        <f t="shared" si="5"/>
        <v xml:space="preserve">NAFILA baik  dalam merespon instruksi sangat sederhana dengan tindakan secara berterima dalam konteks sekolah  , dan  cukup baik  dalam mengeja kalimat sangat sederhana secara tepat dan berterima </v>
      </c>
      <c r="AD37" s="256"/>
      <c r="AE37" s="257" t="str">
        <f t="shared" si="2"/>
        <v xml:space="preserve"> baik  dalam merespon instruksi sangat sederhana dengan tindakan secara berterima dalam konteks sekolah  </v>
      </c>
      <c r="AF37" s="257" t="str">
        <f t="shared" si="3"/>
        <v xml:space="preserve"> cukup baik  dalam mengeja kalimat sangat sederhana secara tepat dan berterima </v>
      </c>
      <c r="AG37" s="257" t="str">
        <f t="shared" si="6"/>
        <v xml:space="preserve"> baik  dalam merespon instruksi sangat sederhana dengan tindakan secara berterima dalam konteks sekolah  , dan  cukup baik  dalam mengeja kalimat sangat sederhana secara tepat dan berterima </v>
      </c>
      <c r="AH37" s="257" t="str">
        <f t="shared" si="7"/>
        <v xml:space="preserve"> </v>
      </c>
      <c r="AI37" s="258" t="str">
        <f t="shared" si="8"/>
        <v xml:space="preserve"> baik  dalam merespon instruksi sangat sederhana dengan tindakan secara berterima dalam konteks sekolah  , dan  cukup baik  dalam mengeja kalimat sangat sederhana secara tepat dan berterima </v>
      </c>
      <c r="AJ37" s="252" t="str">
        <f t="shared" si="9"/>
        <v xml:space="preserve">NAFILA baik  dalam merespon instruksi sangat sederhana dengan tindakan secara berterima dalam konteks sekolah  , dan  cukup baik  dalam mengeja kalimat sangat sederhana secara tepat dan berterima </v>
      </c>
      <c r="AK37" s="153"/>
    </row>
    <row r="38" spans="2:37" ht="54" customHeight="1">
      <c r="B38" s="142">
        <v>34</v>
      </c>
      <c r="C38" s="143" t="str">
        <f>SISWA!B39</f>
        <v>1718250040338</v>
      </c>
      <c r="D38" s="144" t="str">
        <f>SISWA!E39</f>
        <v>NAZZALA</v>
      </c>
      <c r="E38" s="159">
        <v>90</v>
      </c>
      <c r="F38" s="160"/>
      <c r="G38" s="160">
        <v>88</v>
      </c>
      <c r="H38" s="160"/>
      <c r="I38" s="160"/>
      <c r="J38" s="159"/>
      <c r="K38" s="159"/>
      <c r="L38" s="159"/>
      <c r="M38" s="159"/>
      <c r="N38" s="159"/>
      <c r="O38" s="159"/>
      <c r="P38" s="159"/>
      <c r="Q38" s="159"/>
      <c r="R38" s="160"/>
      <c r="S38" s="160">
        <v>88</v>
      </c>
      <c r="T38" s="160"/>
      <c r="U38" s="160">
        <v>90</v>
      </c>
      <c r="V38" s="159"/>
      <c r="W38" s="354">
        <f t="shared" si="4"/>
        <v>89</v>
      </c>
      <c r="X38" s="355" t="str">
        <f>IF(W38&gt;KKM!$G$10,"A",IF(W38&gt;KKM!$H$10,"B",IF(W38&gt;=KKM!$I$10,"C","D")))</f>
        <v>A</v>
      </c>
      <c r="Y38" s="356">
        <f t="shared" si="0"/>
        <v>90</v>
      </c>
      <c r="Z38" s="361" t="str">
        <f>IF(Y38&gt;KKM!$G$10," sangat baik ",IF(Y38&gt;KKM!$H$10," baik ",IF(Y38&gt;=KKM!$I$10," cukup baik "," perlu bimbingan ")))</f>
        <v xml:space="preserve"> sangat baik </v>
      </c>
      <c r="AA38" s="357">
        <f t="shared" si="1"/>
        <v>88</v>
      </c>
      <c r="AB38" s="361" t="str">
        <f>IF(AA38&gt;KKM!$G$10," sangat baik ",IF(AA38&gt;KKM!$H$10," baik ",IF(AA38&gt;=KKM!$I$10," cukup baik "," perlu bimbingan ")))</f>
        <v xml:space="preserve"> sangat baik </v>
      </c>
      <c r="AC38" s="353" t="str">
        <f t="shared" si="5"/>
        <v xml:space="preserve">NAZZALA sangat baik  dalam merespon instruksi sangat sederhana dengan tindakan secara berterima dalam konteks sekolah  , dan  sangat baik  dalam bercakap-cakap untuk menyertai tindakan secara berterima yang melibatkan tindak tutur: memberi contoh melakukan sesuatu, memberi aba-aba, dan memberi petunjuk 
</v>
      </c>
      <c r="AD38" s="256"/>
      <c r="AE38" s="257" t="str">
        <f t="shared" si="2"/>
        <v xml:space="preserve"> sangat baik  dalam merespon instruksi sangat sederhana dengan tindakan secara berterima dalam konteks sekolah  </v>
      </c>
      <c r="AF38" s="257" t="str">
        <f t="shared" si="3"/>
        <v xml:space="preserve"> sangat baik  dalam bercakap-cakap untuk menyertai tindakan secara berterima yang melibatkan tindak tutur: memberi contoh melakukan sesuatu, memberi aba-aba, dan memberi petunjuk 
</v>
      </c>
      <c r="AG38" s="257" t="str">
        <f t="shared" si="6"/>
        <v xml:space="preserve"> sangat baik  dalam merespon instruksi sangat sederhana dengan tindakan secara berterima dalam konteks sekolah  , dan  sangat baik  dalam bercakap-cakap untuk menyertai tindakan secara berterima yang melibatkan tindak tutur: memberi contoh melakukan sesuatu, memberi aba-aba, dan memberi petunjuk 
</v>
      </c>
      <c r="AH38" s="257" t="str">
        <f t="shared" si="7"/>
        <v xml:space="preserve"> </v>
      </c>
      <c r="AI38" s="258" t="str">
        <f t="shared" si="8"/>
        <v xml:space="preserve"> sangat baik  dalam merespon instruksi sangat sederhana dengan tindakan secara berterima dalam konteks sekolah  , dan  sangat baik  dalam bercakap-cakap untuk menyertai tindakan secara berterima yang melibatkan tindak tutur: memberi contoh melakukan sesuatu, memberi aba-aba, dan memberi petunjuk 
</v>
      </c>
      <c r="AJ38" s="252" t="str">
        <f t="shared" si="9"/>
        <v xml:space="preserve">NAZZALA sangat baik  dalam merespon instruksi sangat sederhana dengan tindakan secara berterima dalam konteks sekolah  , dan  sangat baik  dalam bercakap-cakap untuk menyertai tindakan secara berterima yang melibatkan tindak tutur: memberi contoh melakukan sesuatu, memberi aba-aba, dan memberi petunjuk 
</v>
      </c>
      <c r="AK38" s="153"/>
    </row>
    <row r="39" spans="2:37" ht="54" customHeight="1">
      <c r="B39" s="142">
        <v>35</v>
      </c>
      <c r="C39" s="143" t="str">
        <f>SISWA!B40</f>
        <v>1718250040339</v>
      </c>
      <c r="D39" s="144" t="str">
        <f>SISWA!E40</f>
        <v>RAFAREL</v>
      </c>
      <c r="E39" s="595">
        <v>76</v>
      </c>
      <c r="F39" s="160"/>
      <c r="G39" s="160">
        <v>76</v>
      </c>
      <c r="H39" s="160"/>
      <c r="I39" s="160"/>
      <c r="J39" s="159"/>
      <c r="K39" s="159"/>
      <c r="L39" s="159"/>
      <c r="M39" s="159"/>
      <c r="N39" s="159"/>
      <c r="O39" s="159"/>
      <c r="P39" s="159"/>
      <c r="Q39" s="159"/>
      <c r="R39" s="160"/>
      <c r="S39" s="160">
        <v>70</v>
      </c>
      <c r="T39" s="160"/>
      <c r="U39" s="160">
        <v>70</v>
      </c>
      <c r="V39" s="159"/>
      <c r="W39" s="354">
        <f t="shared" si="4"/>
        <v>73</v>
      </c>
      <c r="X39" s="355" t="str">
        <f>IF(W39&gt;KKM!$G$10,"A",IF(W39&gt;KKM!$H$10,"B",IF(W39&gt;=KKM!$I$10,"C","D")))</f>
        <v>C</v>
      </c>
      <c r="Y39" s="356">
        <f t="shared" si="0"/>
        <v>76</v>
      </c>
      <c r="Z39" s="361" t="str">
        <f>IF(Y39&gt;KKM!$G$10," sangat baik ",IF(Y39&gt;KKM!$H$10," baik ",IF(Y39&gt;=KKM!$I$10," cukup baik "," perlu bimbingan ")))</f>
        <v xml:space="preserve"> cukup baik </v>
      </c>
      <c r="AA39" s="357">
        <f t="shared" si="1"/>
        <v>70</v>
      </c>
      <c r="AB39" s="361" t="str">
        <f>IF(AA39&gt;KKM!$G$10," sangat baik ",IF(AA39&gt;KKM!$H$10," baik ",IF(AA39&gt;=KKM!$I$10," cukup baik "," perlu bimbingan ")))</f>
        <v xml:space="preserve"> cukup baik </v>
      </c>
      <c r="AC39" s="353" t="str">
        <f t="shared" si="5"/>
        <v xml:space="preserve">RAFAREL cukup baik  dalam merespon instruksi sangat sederhana dengan tindakan secara berterima dalam konteks sekolah  , dan  cukup baik  dalam membaca nyaring dengan ucapan, tekanan, dan intonasi secara tepat dan berterima yang melibatkan: kata, frasa, kalimat sangat sederhana, dan teks sangat sederhana 
</v>
      </c>
      <c r="AD39" s="256"/>
      <c r="AE39" s="257" t="str">
        <f t="shared" si="2"/>
        <v xml:space="preserve"> cukup baik  dalam merespon instruksi sangat sederhana dengan tindakan secara berterima dalam konteks sekolah  </v>
      </c>
      <c r="AF39" s="257" t="str">
        <f t="shared" si="3"/>
        <v xml:space="preserve"> cukup baik  dalam membaca nyaring dengan ucapan, tekanan, dan intonasi secara tepat dan berterima yang melibatkan: kata, frasa, kalimat sangat sederhana, dan teks sangat sederhana 
</v>
      </c>
      <c r="AG39" s="257" t="str">
        <f t="shared" si="6"/>
        <v xml:space="preserve"> cukup baik  dalam merespon instruksi sangat sederhana dengan tindakan secara berterima dalam konteks sekolah  , dan  cukup baik  dalam membaca nyaring dengan ucapan, tekanan, dan intonasi secara tepat dan berterima yang melibatkan: kata, frasa, kalimat sangat sederhana, dan teks sangat sederhana 
</v>
      </c>
      <c r="AH39" s="257" t="str">
        <f t="shared" si="7"/>
        <v xml:space="preserve"> </v>
      </c>
      <c r="AI39" s="258" t="str">
        <f t="shared" si="8"/>
        <v xml:space="preserve"> cukup baik  dalam merespon instruksi sangat sederhana dengan tindakan secara berterima dalam konteks sekolah  , dan  cukup baik  dalam membaca nyaring dengan ucapan, tekanan, dan intonasi secara tepat dan berterima yang melibatkan: kata, frasa, kalimat sangat sederhana, dan teks sangat sederhana 
</v>
      </c>
      <c r="AJ39" s="252" t="str">
        <f t="shared" si="9"/>
        <v xml:space="preserve">RAFAREL cukup baik  dalam merespon instruksi sangat sederhana dengan tindakan secara berterima dalam konteks sekolah  , dan  cukup baik  dalam membaca nyaring dengan ucapan, tekanan, dan intonasi secara tepat dan berterima yang melibatkan: kata, frasa, kalimat sangat sederhana, dan teks sangat sederhana 
</v>
      </c>
      <c r="AK39" s="153"/>
    </row>
    <row r="40" spans="2:37" ht="54" customHeight="1">
      <c r="B40" s="142">
        <v>36</v>
      </c>
      <c r="C40" s="143" t="str">
        <f>SISWA!B41</f>
        <v>1718250040340</v>
      </c>
      <c r="D40" s="144" t="str">
        <f>SISWA!E41</f>
        <v>RAKHA</v>
      </c>
      <c r="E40" s="595">
        <v>90</v>
      </c>
      <c r="F40" s="160"/>
      <c r="G40" s="160">
        <v>88</v>
      </c>
      <c r="H40" s="160" t="s">
        <v>766</v>
      </c>
      <c r="I40" s="160"/>
      <c r="J40" s="159"/>
      <c r="K40" s="159"/>
      <c r="L40" s="159"/>
      <c r="M40" s="159"/>
      <c r="N40" s="159"/>
      <c r="O40" s="159"/>
      <c r="P40" s="159"/>
      <c r="Q40" s="159"/>
      <c r="R40" s="160"/>
      <c r="S40" s="160">
        <v>86</v>
      </c>
      <c r="T40" s="160"/>
      <c r="U40" s="160">
        <v>88</v>
      </c>
      <c r="V40" s="159"/>
      <c r="W40" s="354">
        <f t="shared" si="4"/>
        <v>88</v>
      </c>
      <c r="X40" s="355" t="str">
        <f>IF(W40&gt;KKM!$G$10,"A",IF(W40&gt;KKM!$H$10,"B",IF(W40&gt;=KKM!$I$10,"C","D")))</f>
        <v>A</v>
      </c>
      <c r="Y40" s="356">
        <f t="shared" si="0"/>
        <v>90</v>
      </c>
      <c r="Z40" s="361" t="str">
        <f>IF(Y40&gt;KKM!$G$10," sangat baik ",IF(Y40&gt;KKM!$H$10," baik ",IF(Y40&gt;=KKM!$I$10," cukup baik "," perlu bimbingan ")))</f>
        <v xml:space="preserve"> sangat baik </v>
      </c>
      <c r="AA40" s="357">
        <f t="shared" si="1"/>
        <v>86</v>
      </c>
      <c r="AB40" s="361" t="str">
        <f>IF(AA40&gt;KKM!$G$10," sangat baik ",IF(AA40&gt;KKM!$H$10," baik ",IF(AA40&gt;=KKM!$I$10," cukup baik "," perlu bimbingan ")))</f>
        <v xml:space="preserve"> baik </v>
      </c>
      <c r="AC40" s="353" t="str">
        <f t="shared" si="5"/>
        <v xml:space="preserve">RAKHA sangat baik  dalam merespon instruksi sangat sederhana dengan tindakan secara berterima dalam konteks sekolah  , dan  baik  dalam membaca nyaring dengan ucapan, tekanan, dan intonasi secara tepat dan berterima yang melibatkan: kata, frasa, kalimat sangat sederhana, dan teks sangat sederhana 
</v>
      </c>
      <c r="AD40" s="256"/>
      <c r="AE40" s="257" t="str">
        <f t="shared" si="2"/>
        <v xml:space="preserve"> sangat baik  dalam merespon instruksi sangat sederhana dengan tindakan secara berterima dalam konteks sekolah  </v>
      </c>
      <c r="AF40" s="257" t="str">
        <f t="shared" si="3"/>
        <v xml:space="preserve"> baik  dalam membaca nyaring dengan ucapan, tekanan, dan intonasi secara tepat dan berterima yang melibatkan: kata, frasa, kalimat sangat sederhana, dan teks sangat sederhana 
</v>
      </c>
      <c r="AG40" s="257" t="str">
        <f t="shared" si="6"/>
        <v xml:space="preserve"> sangat baik  dalam merespon instruksi sangat sederhana dengan tindakan secara berterima dalam konteks sekolah  , dan  baik  dalam membaca nyaring dengan ucapan, tekanan, dan intonasi secara tepat dan berterima yang melibatkan: kata, frasa, kalimat sangat sederhana, dan teks sangat sederhana 
</v>
      </c>
      <c r="AH40" s="257" t="str">
        <f t="shared" si="7"/>
        <v xml:space="preserve"> </v>
      </c>
      <c r="AI40" s="258" t="str">
        <f t="shared" si="8"/>
        <v xml:space="preserve"> sangat baik  dalam merespon instruksi sangat sederhana dengan tindakan secara berterima dalam konteks sekolah  , dan  baik  dalam membaca nyaring dengan ucapan, tekanan, dan intonasi secara tepat dan berterima yang melibatkan: kata, frasa, kalimat sangat sederhana, dan teks sangat sederhana 
</v>
      </c>
      <c r="AJ40" s="252" t="str">
        <f t="shared" si="9"/>
        <v xml:space="preserve">RAKHA sangat baik  dalam merespon instruksi sangat sederhana dengan tindakan secara berterima dalam konteks sekolah  , dan  baik  dalam membaca nyaring dengan ucapan, tekanan, dan intonasi secara tepat dan berterima yang melibatkan: kata, frasa, kalimat sangat sederhana, dan teks sangat sederhana 
</v>
      </c>
      <c r="AK40" s="153"/>
    </row>
    <row r="41" spans="2:37" ht="54" customHeight="1">
      <c r="B41" s="142">
        <v>37</v>
      </c>
      <c r="C41" s="143" t="str">
        <f>SISWA!B42</f>
        <v>1718250040341</v>
      </c>
      <c r="D41" s="144" t="str">
        <f>SISWA!E42</f>
        <v>RYU</v>
      </c>
      <c r="E41" s="595">
        <v>70</v>
      </c>
      <c r="F41" s="160"/>
      <c r="G41" s="160">
        <v>70</v>
      </c>
      <c r="H41" s="160"/>
      <c r="I41" s="160"/>
      <c r="J41" s="159"/>
      <c r="K41" s="159"/>
      <c r="L41" s="159"/>
      <c r="M41" s="159"/>
      <c r="N41" s="159"/>
      <c r="O41" s="159"/>
      <c r="P41" s="159"/>
      <c r="Q41" s="159"/>
      <c r="R41" s="160"/>
      <c r="S41" s="160">
        <v>70</v>
      </c>
      <c r="T41" s="160"/>
      <c r="U41" s="160">
        <v>70</v>
      </c>
      <c r="V41" s="159"/>
      <c r="W41" s="354">
        <f t="shared" si="4"/>
        <v>70</v>
      </c>
      <c r="X41" s="355" t="str">
        <f>IF(W41&gt;KKM!$G$10,"A",IF(W41&gt;KKM!$H$10,"B",IF(W41&gt;=KKM!$I$10,"C","D")))</f>
        <v>C</v>
      </c>
      <c r="Y41" s="356">
        <f t="shared" si="0"/>
        <v>70</v>
      </c>
      <c r="Z41" s="361" t="str">
        <f>IF(Y41&gt;KKM!$G$10," sangat baik ",IF(Y41&gt;KKM!$H$10," baik ",IF(Y41&gt;=KKM!$I$10," cukup baik "," perlu bimbingan ")))</f>
        <v xml:space="preserve"> cukup baik </v>
      </c>
      <c r="AA41" s="357">
        <f t="shared" si="1"/>
        <v>70</v>
      </c>
      <c r="AB41" s="361" t="str">
        <f>IF(AA41&gt;KKM!$G$10," sangat baik ",IF(AA41&gt;KKM!$H$10," baik ",IF(AA41&gt;=KKM!$I$10," cukup baik "," perlu bimbingan ")))</f>
        <v xml:space="preserve"> cukup baik </v>
      </c>
      <c r="AC41" s="353" t="str">
        <f t="shared" si="5"/>
        <v xml:space="preserve">RYU cukup baik  dalam merespon instruksi sangat sederhana dengan tindakan secara berterima dalam konteks sekolah  </v>
      </c>
      <c r="AD41" s="256"/>
      <c r="AE41" s="257" t="str">
        <f t="shared" si="2"/>
        <v xml:space="preserve"> cukup baik  dalam merespon instruksi sangat sederhana dengan tindakan secara berterima dalam konteks sekolah  </v>
      </c>
      <c r="AF41" s="257" t="str">
        <f t="shared" si="3"/>
        <v xml:space="preserve"> cukup baik  dalam merespon instruksi sangat sederhana dengan tindakan secara berterima dalam konteks sekolah  </v>
      </c>
      <c r="AG41" s="257" t="str">
        <f t="shared" si="6"/>
        <v xml:space="preserve"> cukup baik  dalam merespon instruksi sangat sederhana dengan tindakan secara berterima dalam konteks sekolah  , dan  cukup baik  dalam merespon instruksi sangat sederhana dengan tindakan secara berterima dalam konteks sekolah  </v>
      </c>
      <c r="AH41" s="257" t="str">
        <f t="shared" si="7"/>
        <v xml:space="preserve"> cukup baik  dalam merespon instruksi sangat sederhana dengan tindakan secara berterima dalam konteks sekolah  </v>
      </c>
      <c r="AI41" s="258" t="str">
        <f t="shared" si="8"/>
        <v xml:space="preserve"> cukup baik  dalam merespon instruksi sangat sederhana dengan tindakan secara berterima dalam konteks sekolah  </v>
      </c>
      <c r="AJ41" s="252" t="str">
        <f t="shared" si="9"/>
        <v xml:space="preserve">RYU cukup baik  dalam merespon instruksi sangat sederhana dengan tindakan secara berterima dalam konteks sekolah  </v>
      </c>
      <c r="AK41" s="153"/>
    </row>
    <row r="42" spans="2:37" ht="54" customHeight="1">
      <c r="B42" s="142">
        <v>38</v>
      </c>
      <c r="C42" s="143" t="str">
        <f>SISWA!B43</f>
        <v>1718250040342</v>
      </c>
      <c r="D42" s="144" t="str">
        <f>SISWA!E43</f>
        <v>SAEPUL</v>
      </c>
      <c r="E42" s="159">
        <v>70</v>
      </c>
      <c r="F42" s="160"/>
      <c r="G42" s="160">
        <v>70</v>
      </c>
      <c r="H42" s="160"/>
      <c r="I42" s="160"/>
      <c r="J42" s="159"/>
      <c r="K42" s="159"/>
      <c r="L42" s="159"/>
      <c r="M42" s="159"/>
      <c r="N42" s="159"/>
      <c r="O42" s="159"/>
      <c r="P42" s="159"/>
      <c r="Q42" s="159"/>
      <c r="R42" s="160"/>
      <c r="S42" s="160">
        <v>70</v>
      </c>
      <c r="T42" s="160"/>
      <c r="U42" s="160">
        <v>70</v>
      </c>
      <c r="V42" s="159"/>
      <c r="W42" s="354">
        <f t="shared" si="4"/>
        <v>70</v>
      </c>
      <c r="X42" s="355" t="str">
        <f>IF(W42&gt;KKM!$G$10,"A",IF(W42&gt;KKM!$H$10,"B",IF(W42&gt;=KKM!$I$10,"C","D")))</f>
        <v>C</v>
      </c>
      <c r="Y42" s="356">
        <f t="shared" si="0"/>
        <v>70</v>
      </c>
      <c r="Z42" s="361" t="str">
        <f>IF(Y42&gt;KKM!$G$10," sangat baik ",IF(Y42&gt;KKM!$H$10," baik ",IF(Y42&gt;=KKM!$I$10," cukup baik "," perlu bimbingan ")))</f>
        <v xml:space="preserve"> cukup baik </v>
      </c>
      <c r="AA42" s="357">
        <f t="shared" si="1"/>
        <v>70</v>
      </c>
      <c r="AB42" s="361" t="str">
        <f>IF(AA42&gt;KKM!$G$10," sangat baik ",IF(AA42&gt;KKM!$H$10," baik ",IF(AA42&gt;=KKM!$I$10," cukup baik "," perlu bimbingan ")))</f>
        <v xml:space="preserve"> cukup baik </v>
      </c>
      <c r="AC42" s="353" t="str">
        <f t="shared" si="5"/>
        <v xml:space="preserve">SAEPUL cukup baik  dalam merespon instruksi sangat sederhana dengan tindakan secara berterima dalam konteks sekolah  </v>
      </c>
      <c r="AD42" s="256"/>
      <c r="AE42" s="257" t="str">
        <f t="shared" si="2"/>
        <v xml:space="preserve"> cukup baik  dalam merespon instruksi sangat sederhana dengan tindakan secara berterima dalam konteks sekolah  </v>
      </c>
      <c r="AF42" s="257" t="str">
        <f t="shared" si="3"/>
        <v xml:space="preserve"> cukup baik  dalam merespon instruksi sangat sederhana dengan tindakan secara berterima dalam konteks sekolah  </v>
      </c>
      <c r="AG42" s="257" t="str">
        <f t="shared" si="6"/>
        <v xml:space="preserve"> cukup baik  dalam merespon instruksi sangat sederhana dengan tindakan secara berterima dalam konteks sekolah  , dan  cukup baik  dalam merespon instruksi sangat sederhana dengan tindakan secara berterima dalam konteks sekolah  </v>
      </c>
      <c r="AH42" s="257" t="str">
        <f t="shared" si="7"/>
        <v xml:space="preserve"> cukup baik  dalam merespon instruksi sangat sederhana dengan tindakan secara berterima dalam konteks sekolah  </v>
      </c>
      <c r="AI42" s="258" t="str">
        <f t="shared" si="8"/>
        <v xml:space="preserve"> cukup baik  dalam merespon instruksi sangat sederhana dengan tindakan secara berterima dalam konteks sekolah  </v>
      </c>
      <c r="AJ42" s="252" t="str">
        <f t="shared" si="9"/>
        <v xml:space="preserve">SAEPUL cukup baik  dalam merespon instruksi sangat sederhana dengan tindakan secara berterima dalam konteks sekolah  </v>
      </c>
      <c r="AK42" s="153"/>
    </row>
    <row r="43" spans="2:37" ht="54" customHeight="1">
      <c r="B43" s="142">
        <v>39</v>
      </c>
      <c r="C43" s="143" t="str">
        <f>SISWA!B44</f>
        <v>1718250040343</v>
      </c>
      <c r="D43" s="144" t="str">
        <f>SISWA!E44</f>
        <v>SALMA</v>
      </c>
      <c r="E43" s="159">
        <v>77</v>
      </c>
      <c r="F43" s="160"/>
      <c r="G43" s="160">
        <v>76</v>
      </c>
      <c r="H43" s="160"/>
      <c r="I43" s="160" t="s">
        <v>766</v>
      </c>
      <c r="J43" s="159" t="s">
        <v>766</v>
      </c>
      <c r="K43" s="159"/>
      <c r="L43" s="159"/>
      <c r="M43" s="159"/>
      <c r="N43" s="159"/>
      <c r="O43" s="159"/>
      <c r="P43" s="159"/>
      <c r="Q43" s="159"/>
      <c r="R43" s="160"/>
      <c r="S43" s="160">
        <v>74</v>
      </c>
      <c r="T43" s="160"/>
      <c r="U43" s="160">
        <v>73</v>
      </c>
      <c r="V43" s="159"/>
      <c r="W43" s="354">
        <f t="shared" si="4"/>
        <v>75</v>
      </c>
      <c r="X43" s="355" t="str">
        <f>IF(W43&gt;KKM!$G$10,"A",IF(W43&gt;KKM!$H$10,"B",IF(W43&gt;=KKM!$I$10,"C","D")))</f>
        <v>C</v>
      </c>
      <c r="Y43" s="356">
        <f t="shared" si="0"/>
        <v>77</v>
      </c>
      <c r="Z43" s="361" t="str">
        <f>IF(Y43&gt;KKM!$G$10," sangat baik ",IF(Y43&gt;KKM!$H$10," baik ",IF(Y43&gt;=KKM!$I$10," cukup baik "," perlu bimbingan ")))</f>
        <v xml:space="preserve"> baik </v>
      </c>
      <c r="AA43" s="357">
        <f t="shared" si="1"/>
        <v>73</v>
      </c>
      <c r="AB43" s="361" t="str">
        <f>IF(AA43&gt;KKM!$G$10," sangat baik ",IF(AA43&gt;KKM!$H$10," baik ",IF(AA43&gt;=KKM!$I$10," cukup baik "," perlu bimbingan ")))</f>
        <v xml:space="preserve"> cukup baik </v>
      </c>
      <c r="AC43" s="353" t="str">
        <f t="shared" si="5"/>
        <v xml:space="preserve">SALMA baik  dalam merespon instruksi sangat sederhana dengan tindakan secara berterima dalam konteks sekolah  , dan  cukup baik  dalam mengeja kalimat sangat sederhana secara tepat dan berterima </v>
      </c>
      <c r="AD43" s="256"/>
      <c r="AE43" s="257" t="str">
        <f t="shared" si="2"/>
        <v xml:space="preserve"> baik  dalam merespon instruksi sangat sederhana dengan tindakan secara berterima dalam konteks sekolah  </v>
      </c>
      <c r="AF43" s="257" t="str">
        <f t="shared" si="3"/>
        <v xml:space="preserve"> cukup baik  dalam mengeja kalimat sangat sederhana secara tepat dan berterima </v>
      </c>
      <c r="AG43" s="257" t="str">
        <f t="shared" si="6"/>
        <v xml:space="preserve"> baik  dalam merespon instruksi sangat sederhana dengan tindakan secara berterima dalam konteks sekolah  , dan  cukup baik  dalam mengeja kalimat sangat sederhana secara tepat dan berterima </v>
      </c>
      <c r="AH43" s="257" t="str">
        <f t="shared" si="7"/>
        <v xml:space="preserve"> </v>
      </c>
      <c r="AI43" s="258" t="str">
        <f t="shared" si="8"/>
        <v xml:space="preserve"> baik  dalam merespon instruksi sangat sederhana dengan tindakan secara berterima dalam konteks sekolah  , dan  cukup baik  dalam mengeja kalimat sangat sederhana secara tepat dan berterima </v>
      </c>
      <c r="AJ43" s="252" t="str">
        <f t="shared" si="9"/>
        <v xml:space="preserve">SALMA baik  dalam merespon instruksi sangat sederhana dengan tindakan secara berterima dalam konteks sekolah  , dan  cukup baik  dalam mengeja kalimat sangat sederhana secara tepat dan berterima </v>
      </c>
      <c r="AK43" s="153"/>
    </row>
    <row r="44" spans="2:37" ht="54" customHeight="1">
      <c r="B44" s="142">
        <v>40</v>
      </c>
      <c r="C44" s="143" t="str">
        <f>SISWA!B45</f>
        <v>1718250040344</v>
      </c>
      <c r="D44" s="144" t="str">
        <f>SISWA!E45</f>
        <v>SYAKILA</v>
      </c>
      <c r="E44" s="159">
        <v>90</v>
      </c>
      <c r="F44" s="160"/>
      <c r="G44" s="160">
        <v>90</v>
      </c>
      <c r="H44" s="160"/>
      <c r="I44" s="160" t="s">
        <v>766</v>
      </c>
      <c r="J44" s="159"/>
      <c r="K44" s="159"/>
      <c r="L44" s="159"/>
      <c r="M44" s="159"/>
      <c r="N44" s="159"/>
      <c r="O44" s="159"/>
      <c r="P44" s="159"/>
      <c r="Q44" s="159"/>
      <c r="R44" s="160"/>
      <c r="S44" s="160">
        <v>92</v>
      </c>
      <c r="T44" s="160"/>
      <c r="U44" s="160">
        <v>94</v>
      </c>
      <c r="V44" s="159"/>
      <c r="W44" s="354">
        <f t="shared" si="4"/>
        <v>92</v>
      </c>
      <c r="X44" s="355" t="str">
        <f>IF(W44&gt;KKM!$G$10,"A",IF(W44&gt;KKM!$H$10,"B",IF(W44&gt;=KKM!$I$10,"C","D")))</f>
        <v>A</v>
      </c>
      <c r="Y44" s="356">
        <f t="shared" si="0"/>
        <v>94</v>
      </c>
      <c r="Z44" s="361" t="str">
        <f>IF(Y44&gt;KKM!$G$10," sangat baik ",IF(Y44&gt;KKM!$H$10," baik ",IF(Y44&gt;=KKM!$I$10," cukup baik "," perlu bimbingan ")))</f>
        <v xml:space="preserve"> sangat baik </v>
      </c>
      <c r="AA44" s="357">
        <f t="shared" si="1"/>
        <v>90</v>
      </c>
      <c r="AB44" s="361" t="str">
        <f>IF(AA44&gt;KKM!$G$10," sangat baik ",IF(AA44&gt;KKM!$H$10," baik ",IF(AA44&gt;=KKM!$I$10," cukup baik "," perlu bimbingan ")))</f>
        <v xml:space="preserve"> sangat baik </v>
      </c>
      <c r="AC44" s="353" t="str">
        <f t="shared" si="5"/>
        <v xml:space="preserve">SYAKILA sangat baik  dalam mengeja kalimat sangat sederhana secara tepat dan berterima , dan  sangat baik  dalam merespon instruksi sangat sederhana dengan tindakan secara berterima dalam konteks sekolah  </v>
      </c>
      <c r="AD44" s="256"/>
      <c r="AE44" s="257" t="str">
        <f t="shared" si="2"/>
        <v xml:space="preserve"> sangat baik  dalam mengeja kalimat sangat sederhana secara tepat dan berterima </v>
      </c>
      <c r="AF44" s="257" t="str">
        <f t="shared" si="3"/>
        <v xml:space="preserve"> sangat baik  dalam merespon instruksi sangat sederhana dengan tindakan secara berterima dalam konteks sekolah  </v>
      </c>
      <c r="AG44" s="257" t="str">
        <f t="shared" si="6"/>
        <v xml:space="preserve"> sangat baik  dalam mengeja kalimat sangat sederhana secara tepat dan berterima , dan  sangat baik  dalam merespon instruksi sangat sederhana dengan tindakan secara berterima dalam konteks sekolah  </v>
      </c>
      <c r="AH44" s="257" t="str">
        <f t="shared" si="7"/>
        <v xml:space="preserve"> </v>
      </c>
      <c r="AI44" s="258" t="str">
        <f t="shared" si="8"/>
        <v xml:space="preserve"> sangat baik  dalam mengeja kalimat sangat sederhana secara tepat dan berterima , dan  sangat baik  dalam merespon instruksi sangat sederhana dengan tindakan secara berterima dalam konteks sekolah  </v>
      </c>
      <c r="AJ44" s="252" t="str">
        <f t="shared" si="9"/>
        <v xml:space="preserve">SYAKILA sangat baik  dalam mengeja kalimat sangat sederhana secara tepat dan berterima , dan  sangat baik  dalam merespon instruksi sangat sederhana dengan tindakan secara berterima dalam konteks sekolah  </v>
      </c>
      <c r="AK44" s="153"/>
    </row>
    <row r="45" spans="2:37" ht="54" customHeight="1">
      <c r="B45" s="142">
        <v>41</v>
      </c>
      <c r="C45" s="143" t="str">
        <f>SISWA!B46</f>
        <v>1718250040345</v>
      </c>
      <c r="D45" s="144" t="str">
        <f>SISWA!E46</f>
        <v>SYIFA</v>
      </c>
      <c r="E45" s="159">
        <v>77</v>
      </c>
      <c r="F45" s="160"/>
      <c r="G45" s="160">
        <v>76</v>
      </c>
      <c r="H45" s="160"/>
      <c r="I45" s="160"/>
      <c r="J45" s="159"/>
      <c r="K45" s="159"/>
      <c r="L45" s="159"/>
      <c r="M45" s="159"/>
      <c r="N45" s="159"/>
      <c r="O45" s="159"/>
      <c r="P45" s="159"/>
      <c r="Q45" s="159"/>
      <c r="R45" s="160"/>
      <c r="S45" s="160">
        <v>74</v>
      </c>
      <c r="T45" s="160"/>
      <c r="U45" s="160">
        <v>73</v>
      </c>
      <c r="V45" s="159"/>
      <c r="W45" s="354">
        <f t="shared" si="4"/>
        <v>75</v>
      </c>
      <c r="X45" s="355" t="str">
        <f>IF(W45&gt;KKM!$G$10,"A",IF(W45&gt;KKM!$H$10,"B",IF(W45&gt;=KKM!$I$10,"C","D")))</f>
        <v>C</v>
      </c>
      <c r="Y45" s="356">
        <f t="shared" si="0"/>
        <v>77</v>
      </c>
      <c r="Z45" s="361" t="str">
        <f>IF(Y45&gt;KKM!$G$10," sangat baik ",IF(Y45&gt;KKM!$H$10," baik ",IF(Y45&gt;=KKM!$I$10," cukup baik "," perlu bimbingan ")))</f>
        <v xml:space="preserve"> baik </v>
      </c>
      <c r="AA45" s="357">
        <f t="shared" si="1"/>
        <v>73</v>
      </c>
      <c r="AB45" s="361" t="str">
        <f>IF(AA45&gt;KKM!$G$10," sangat baik ",IF(AA45&gt;KKM!$H$10," baik ",IF(AA45&gt;=KKM!$I$10," cukup baik "," perlu bimbingan ")))</f>
        <v xml:space="preserve"> cukup baik </v>
      </c>
      <c r="AC45" s="353" t="str">
        <f t="shared" si="5"/>
        <v xml:space="preserve">SYIFA baik  dalam merespon instruksi sangat sederhana dengan tindakan secara berterima dalam konteks sekolah  , dan  cukup baik  dalam mengeja kalimat sangat sederhana secara tepat dan berterima </v>
      </c>
      <c r="AD45" s="256"/>
      <c r="AE45" s="257" t="str">
        <f t="shared" si="2"/>
        <v xml:space="preserve"> baik  dalam merespon instruksi sangat sederhana dengan tindakan secara berterima dalam konteks sekolah  </v>
      </c>
      <c r="AF45" s="257" t="str">
        <f t="shared" si="3"/>
        <v xml:space="preserve"> cukup baik  dalam mengeja kalimat sangat sederhana secara tepat dan berterima </v>
      </c>
      <c r="AG45" s="257" t="str">
        <f t="shared" si="6"/>
        <v xml:space="preserve"> baik  dalam merespon instruksi sangat sederhana dengan tindakan secara berterima dalam konteks sekolah  , dan  cukup baik  dalam mengeja kalimat sangat sederhana secara tepat dan berterima </v>
      </c>
      <c r="AH45" s="257" t="str">
        <f t="shared" si="7"/>
        <v xml:space="preserve"> </v>
      </c>
      <c r="AI45" s="258" t="str">
        <f t="shared" si="8"/>
        <v xml:space="preserve"> baik  dalam merespon instruksi sangat sederhana dengan tindakan secara berterima dalam konteks sekolah  , dan  cukup baik  dalam mengeja kalimat sangat sederhana secara tepat dan berterima </v>
      </c>
      <c r="AJ45" s="252" t="str">
        <f t="shared" si="9"/>
        <v xml:space="preserve">SYIFA baik  dalam merespon instruksi sangat sederhana dengan tindakan secara berterima dalam konteks sekolah  , dan  cukup baik  dalam mengeja kalimat sangat sederhana secara tepat dan berterima </v>
      </c>
      <c r="AK45" s="153"/>
    </row>
    <row r="46" spans="2:37" ht="54" customHeight="1">
      <c r="B46" s="142">
        <v>42</v>
      </c>
      <c r="C46" s="143" t="str">
        <f>SISWA!B47</f>
        <v>1718250040346</v>
      </c>
      <c r="D46" s="144" t="str">
        <f>SISWA!E47</f>
        <v>WAFDAN</v>
      </c>
      <c r="E46" s="159">
        <v>87</v>
      </c>
      <c r="F46" s="160"/>
      <c r="G46" s="160">
        <v>86</v>
      </c>
      <c r="H46" s="160"/>
      <c r="I46" s="160"/>
      <c r="J46" s="159"/>
      <c r="K46" s="159"/>
      <c r="L46" s="159"/>
      <c r="M46" s="159"/>
      <c r="N46" s="159"/>
      <c r="O46" s="159"/>
      <c r="P46" s="159"/>
      <c r="Q46" s="159"/>
      <c r="R46" s="160"/>
      <c r="S46" s="160">
        <v>88</v>
      </c>
      <c r="T46" s="160"/>
      <c r="U46" s="160">
        <v>90</v>
      </c>
      <c r="V46" s="159"/>
      <c r="W46" s="354">
        <f t="shared" si="4"/>
        <v>88</v>
      </c>
      <c r="X46" s="355" t="str">
        <f>IF(W46&gt;KKM!$G$10,"A",IF(W46&gt;KKM!$H$10,"B",IF(W46&gt;=KKM!$I$10,"C","D")))</f>
        <v>A</v>
      </c>
      <c r="Y46" s="356">
        <f t="shared" si="0"/>
        <v>90</v>
      </c>
      <c r="Z46" s="361" t="str">
        <f>IF(Y46&gt;KKM!$G$10," sangat baik ",IF(Y46&gt;KKM!$H$10," baik ",IF(Y46&gt;=KKM!$I$10," cukup baik "," perlu bimbingan ")))</f>
        <v xml:space="preserve"> sangat baik </v>
      </c>
      <c r="AA46" s="357">
        <f t="shared" si="1"/>
        <v>86</v>
      </c>
      <c r="AB46" s="361" t="str">
        <f>IF(AA46&gt;KKM!$G$10," sangat baik ",IF(AA46&gt;KKM!$H$10," baik ",IF(AA46&gt;=KKM!$I$10," cukup baik "," perlu bimbingan ")))</f>
        <v xml:space="preserve"> baik </v>
      </c>
      <c r="AC46" s="353" t="str">
        <f t="shared" si="5"/>
        <v xml:space="preserve">WAFDAN sangat baik  dalam mengeja kalimat sangat sederhana secara tepat dan berterima , dan  baik  dalam bercakap-cakap untuk menyertai tindakan secara berterima yang melibatkan tindak tutur: memberi contoh melakukan sesuatu, memberi aba-aba, dan memberi petunjuk 
</v>
      </c>
      <c r="AD46" s="256"/>
      <c r="AE46" s="257" t="str">
        <f t="shared" si="2"/>
        <v xml:space="preserve"> sangat baik  dalam mengeja kalimat sangat sederhana secara tepat dan berterima </v>
      </c>
      <c r="AF46" s="257" t="str">
        <f t="shared" si="3"/>
        <v xml:space="preserve"> baik  dalam bercakap-cakap untuk menyertai tindakan secara berterima yang melibatkan tindak tutur: memberi contoh melakukan sesuatu, memberi aba-aba, dan memberi petunjuk 
</v>
      </c>
      <c r="AG46" s="257" t="str">
        <f t="shared" si="6"/>
        <v xml:space="preserve"> sangat baik  dalam mengeja kalimat sangat sederhana secara tepat dan berterima , dan  baik  dalam bercakap-cakap untuk menyertai tindakan secara berterima yang melibatkan tindak tutur: memberi contoh melakukan sesuatu, memberi aba-aba, dan memberi petunjuk 
</v>
      </c>
      <c r="AH46" s="257" t="str">
        <f t="shared" si="7"/>
        <v xml:space="preserve"> </v>
      </c>
      <c r="AI46" s="258" t="str">
        <f t="shared" si="8"/>
        <v xml:space="preserve"> sangat baik  dalam mengeja kalimat sangat sederhana secara tepat dan berterima , dan  baik  dalam bercakap-cakap untuk menyertai tindakan secara berterima yang melibatkan tindak tutur: memberi contoh melakukan sesuatu, memberi aba-aba, dan memberi petunjuk 
</v>
      </c>
      <c r="AJ46" s="252" t="str">
        <f t="shared" si="9"/>
        <v xml:space="preserve">WAFDAN sangat baik  dalam mengeja kalimat sangat sederhana secara tepat dan berterima , dan  baik  dalam bercakap-cakap untuk menyertai tindakan secara berterima yang melibatkan tindak tutur: memberi contoh melakukan sesuatu, memberi aba-aba, dan memberi petunjuk 
</v>
      </c>
      <c r="AK46" s="153"/>
    </row>
    <row r="47" spans="2:37" ht="54" customHeight="1">
      <c r="B47" s="142">
        <v>43</v>
      </c>
      <c r="C47" s="143" t="str">
        <f>SISWA!B48</f>
        <v>1718250040347</v>
      </c>
      <c r="D47" s="144" t="str">
        <f>SISWA!E48</f>
        <v>ZEVA</v>
      </c>
      <c r="E47" s="159">
        <v>87</v>
      </c>
      <c r="F47" s="160"/>
      <c r="G47" s="160">
        <v>89</v>
      </c>
      <c r="H47" s="160"/>
      <c r="I47" s="160"/>
      <c r="J47" s="159"/>
      <c r="K47" s="159"/>
      <c r="L47" s="159"/>
      <c r="M47" s="159"/>
      <c r="N47" s="159"/>
      <c r="O47" s="159"/>
      <c r="P47" s="159"/>
      <c r="Q47" s="159"/>
      <c r="R47" s="160"/>
      <c r="S47" s="160">
        <v>78</v>
      </c>
      <c r="T47" s="160"/>
      <c r="U47" s="160">
        <v>75</v>
      </c>
      <c r="V47" s="159"/>
      <c r="W47" s="354">
        <f t="shared" si="4"/>
        <v>82</v>
      </c>
      <c r="X47" s="355" t="str">
        <f>IF(W47&gt;KKM!$G$10,"A",IF(W47&gt;KKM!$H$10,"B",IF(W47&gt;=KKM!$I$10,"C","D")))</f>
        <v>B</v>
      </c>
      <c r="Y47" s="356">
        <f t="shared" si="0"/>
        <v>89</v>
      </c>
      <c r="Z47" s="361" t="str">
        <f>IF(Y47&gt;KKM!$G$10," sangat baik ",IF(Y47&gt;KKM!$H$10," baik ",IF(Y47&gt;=KKM!$I$10," cukup baik "," perlu bimbingan ")))</f>
        <v xml:space="preserve"> sangat baik </v>
      </c>
      <c r="AA47" s="357">
        <f t="shared" si="1"/>
        <v>75</v>
      </c>
      <c r="AB47" s="361" t="str">
        <f>IF(AA47&gt;KKM!$G$10," sangat baik ",IF(AA47&gt;KKM!$H$10," baik ",IF(AA47&gt;=KKM!$I$10," cukup baik "," perlu bimbingan ")))</f>
        <v xml:space="preserve"> cukup baik </v>
      </c>
      <c r="AC47" s="353" t="str">
        <f t="shared" si="5"/>
        <v xml:space="preserve">ZEVA sangat baik  dalam bercakap-cakap untuk menyertai tindakan secara berterima yang melibatkan tindak tutur: memberi contoh melakukan sesuatu, memberi aba-aba, dan memberi petunjuk 
, dan  cukup baik  dalam mengeja kalimat sangat sederhana secara tepat dan berterima </v>
      </c>
      <c r="AD47" s="256"/>
      <c r="AE47" s="257" t="str">
        <f t="shared" si="2"/>
        <v xml:space="preserve"> sangat baik  dalam bercakap-cakap untuk menyertai tindakan secara berterima yang melibatkan tindak tutur: memberi contoh melakukan sesuatu, memberi aba-aba, dan memberi petunjuk 
</v>
      </c>
      <c r="AF47" s="257" t="str">
        <f t="shared" si="3"/>
        <v xml:space="preserve"> cukup baik  dalam mengeja kalimat sangat sederhana secara tepat dan berterima </v>
      </c>
      <c r="AG47" s="257" t="str">
        <f t="shared" si="6"/>
        <v xml:space="preserve"> sangat baik  dalam bercakap-cakap untuk menyertai tindakan secara berterima yang melibatkan tindak tutur: memberi contoh melakukan sesuatu, memberi aba-aba, dan memberi petunjuk 
, dan  cukup baik  dalam mengeja kalimat sangat sederhana secara tepat dan berterima </v>
      </c>
      <c r="AH47" s="257" t="str">
        <f t="shared" si="7"/>
        <v xml:space="preserve"> </v>
      </c>
      <c r="AI47" s="258" t="str">
        <f t="shared" si="8"/>
        <v xml:space="preserve"> sangat baik  dalam bercakap-cakap untuk menyertai tindakan secara berterima yang melibatkan tindak tutur: memberi contoh melakukan sesuatu, memberi aba-aba, dan memberi petunjuk 
, dan  cukup baik  dalam mengeja kalimat sangat sederhana secara tepat dan berterima </v>
      </c>
      <c r="AJ47" s="252" t="str">
        <f t="shared" si="9"/>
        <v xml:space="preserve">ZEVA sangat baik  dalam bercakap-cakap untuk menyertai tindakan secara berterima yang melibatkan tindak tutur: memberi contoh melakukan sesuatu, memberi aba-aba, dan memberi petunjuk 
, dan  cukup baik  dalam mengeja kalimat sangat sederhana secara tepat dan berterima </v>
      </c>
      <c r="AK47" s="153"/>
    </row>
    <row r="48" spans="2:37" ht="54" customHeight="1">
      <c r="B48" s="142">
        <v>44</v>
      </c>
      <c r="C48" s="143">
        <f>SISWA!B49</f>
        <v>0</v>
      </c>
      <c r="D48" s="144">
        <f>SISWA!E49</f>
        <v>0</v>
      </c>
      <c r="E48" s="159"/>
      <c r="F48" s="160"/>
      <c r="G48" s="160"/>
      <c r="H48" s="160"/>
      <c r="I48" s="160"/>
      <c r="J48" s="159"/>
      <c r="K48" s="159"/>
      <c r="L48" s="159"/>
      <c r="M48" s="159"/>
      <c r="N48" s="159"/>
      <c r="O48" s="159"/>
      <c r="P48" s="159"/>
      <c r="Q48" s="159"/>
      <c r="R48" s="160"/>
      <c r="S48" s="160"/>
      <c r="T48" s="160"/>
      <c r="U48" s="160" t="s">
        <v>766</v>
      </c>
      <c r="V48" s="159"/>
      <c r="W48" s="354" t="e">
        <f t="shared" si="4"/>
        <v>#DIV/0!</v>
      </c>
      <c r="X48" s="355" t="e">
        <f>IF(W48&gt;KKM!$G$10,"A",IF(W48&gt;KKM!$H$10,"B",IF(W48&gt;=KKM!$I$10,"C","D")))</f>
        <v>#DIV/0!</v>
      </c>
      <c r="Y48" s="356">
        <f t="shared" si="0"/>
        <v>0</v>
      </c>
      <c r="Z48" s="361" t="str">
        <f>IF(Y48&gt;KKM!$G$10," sangat baik ",IF(Y48&gt;KKM!$H$10," baik ",IF(Y48&gt;=KKM!$I$10," cukup baik "," perlu bimbingan ")))</f>
        <v xml:space="preserve"> perlu bimbingan </v>
      </c>
      <c r="AA48" s="357">
        <f t="shared" si="1"/>
        <v>0</v>
      </c>
      <c r="AB48" s="361" t="str">
        <f>IF(AA48&gt;KKM!$G$10," sangat baik ",IF(AA48&gt;KKM!$H$10," baik ",IF(AA48&gt;=KKM!$I$10," cukup baik "," perlu bimbingan ")))</f>
        <v xml:space="preserve"> perlu bimbingan </v>
      </c>
      <c r="AC48" s="353" t="str">
        <f t="shared" si="5"/>
        <v xml:space="preserve"> </v>
      </c>
      <c r="AD48" s="256"/>
      <c r="AE48" s="257" t="e">
        <f t="shared" si="2"/>
        <v>#N/A</v>
      </c>
      <c r="AF48" s="257" t="e">
        <f t="shared" si="3"/>
        <v>#N/A</v>
      </c>
      <c r="AG48" s="257" t="e">
        <f t="shared" si="6"/>
        <v>#N/A</v>
      </c>
      <c r="AH48" s="257" t="e">
        <f t="shared" si="7"/>
        <v>#N/A</v>
      </c>
      <c r="AI48" s="258" t="e">
        <f t="shared" si="8"/>
        <v>#N/A</v>
      </c>
      <c r="AJ48" s="252" t="e">
        <f t="shared" si="9"/>
        <v>#N/A</v>
      </c>
      <c r="AK48" s="153"/>
    </row>
    <row r="49" spans="2:37" ht="54" customHeight="1">
      <c r="B49" s="142">
        <v>45</v>
      </c>
      <c r="C49" s="143">
        <f>SISWA!B50</f>
        <v>0</v>
      </c>
      <c r="D49" s="144">
        <f>SISWA!E50</f>
        <v>0</v>
      </c>
      <c r="E49" s="159"/>
      <c r="F49" s="160"/>
      <c r="G49" s="160"/>
      <c r="H49" s="160"/>
      <c r="I49" s="160"/>
      <c r="J49" s="159"/>
      <c r="K49" s="159"/>
      <c r="L49" s="159"/>
      <c r="M49" s="159"/>
      <c r="N49" s="159"/>
      <c r="O49" s="159"/>
      <c r="P49" s="159"/>
      <c r="Q49" s="159"/>
      <c r="R49" s="160"/>
      <c r="S49" s="160"/>
      <c r="T49" s="160"/>
      <c r="U49" s="160"/>
      <c r="V49" s="159"/>
      <c r="W49" s="354" t="e">
        <f t="shared" si="4"/>
        <v>#DIV/0!</v>
      </c>
      <c r="X49" s="355" t="e">
        <f>IF(W49&gt;KKM!$G$10,"A",IF(W49&gt;KKM!$H$10,"B",IF(W49&gt;=KKM!$I$10,"C","D")))</f>
        <v>#DIV/0!</v>
      </c>
      <c r="Y49" s="356">
        <f t="shared" si="0"/>
        <v>0</v>
      </c>
      <c r="Z49" s="361" t="str">
        <f>IF(Y49&gt;KKM!$G$10," sangat baik ",IF(Y49&gt;KKM!$H$10," baik ",IF(Y49&gt;=KKM!$I$10," cukup baik "," perlu bimbingan ")))</f>
        <v xml:space="preserve"> perlu bimbingan </v>
      </c>
      <c r="AA49" s="357">
        <f t="shared" si="1"/>
        <v>0</v>
      </c>
      <c r="AB49" s="361" t="str">
        <f>IF(AA49&gt;KKM!$G$10," sangat baik ",IF(AA49&gt;KKM!$H$10," baik ",IF(AA49&gt;=KKM!$I$10," cukup baik "," perlu bimbingan ")))</f>
        <v xml:space="preserve"> perlu bimbingan </v>
      </c>
      <c r="AC49" s="353" t="str">
        <f t="shared" si="5"/>
        <v xml:space="preserve"> </v>
      </c>
      <c r="AD49" s="256"/>
      <c r="AE49" s="257" t="e">
        <f t="shared" si="2"/>
        <v>#N/A</v>
      </c>
      <c r="AF49" s="257" t="e">
        <f t="shared" si="3"/>
        <v>#N/A</v>
      </c>
      <c r="AG49" s="257" t="e">
        <f t="shared" si="6"/>
        <v>#N/A</v>
      </c>
      <c r="AH49" s="257" t="e">
        <f t="shared" si="7"/>
        <v>#N/A</v>
      </c>
      <c r="AI49" s="258" t="e">
        <f t="shared" si="8"/>
        <v>#N/A</v>
      </c>
      <c r="AJ49" s="252" t="e">
        <f t="shared" si="9"/>
        <v>#N/A</v>
      </c>
      <c r="AK49" s="153"/>
    </row>
    <row r="50" spans="2:37" ht="54" customHeight="1">
      <c r="B50" s="142">
        <v>46</v>
      </c>
      <c r="C50" s="143">
        <f>SISWA!B51</f>
        <v>0</v>
      </c>
      <c r="D50" s="144">
        <f>SISWA!E51</f>
        <v>0</v>
      </c>
      <c r="E50" s="159"/>
      <c r="F50" s="160"/>
      <c r="G50" s="160"/>
      <c r="H50" s="160"/>
      <c r="I50" s="160"/>
      <c r="J50" s="159"/>
      <c r="K50" s="159"/>
      <c r="L50" s="159"/>
      <c r="M50" s="159"/>
      <c r="N50" s="159"/>
      <c r="O50" s="159"/>
      <c r="P50" s="159"/>
      <c r="Q50" s="159"/>
      <c r="R50" s="160"/>
      <c r="S50" s="160"/>
      <c r="T50" s="160"/>
      <c r="U50" s="160"/>
      <c r="V50" s="159"/>
      <c r="W50" s="354" t="e">
        <f t="shared" si="4"/>
        <v>#DIV/0!</v>
      </c>
      <c r="X50" s="355" t="e">
        <f>IF(W50&gt;KKM!$G$10,"A",IF(W50&gt;KKM!$H$10,"B",IF(W50&gt;=KKM!$I$10,"C","D")))</f>
        <v>#DIV/0!</v>
      </c>
      <c r="Y50" s="356">
        <f t="shared" si="0"/>
        <v>0</v>
      </c>
      <c r="Z50" s="361" t="str">
        <f>IF(Y50&gt;KKM!$G$10," sangat baik ",IF(Y50&gt;KKM!$H$10," baik ",IF(Y50&gt;=KKM!$I$10," cukup baik "," perlu bimbingan ")))</f>
        <v xml:space="preserve"> perlu bimbingan </v>
      </c>
      <c r="AA50" s="357">
        <f t="shared" si="1"/>
        <v>0</v>
      </c>
      <c r="AB50" s="361" t="str">
        <f>IF(AA50&gt;KKM!$G$10," sangat baik ",IF(AA50&gt;KKM!$H$10," baik ",IF(AA50&gt;=KKM!$I$10," cukup baik "," perlu bimbingan ")))</f>
        <v xml:space="preserve"> perlu bimbingan </v>
      </c>
      <c r="AC50" s="353" t="str">
        <f t="shared" si="5"/>
        <v xml:space="preserve"> </v>
      </c>
      <c r="AD50" s="256"/>
      <c r="AE50" s="257" t="e">
        <f t="shared" si="2"/>
        <v>#N/A</v>
      </c>
      <c r="AF50" s="257" t="e">
        <f t="shared" si="3"/>
        <v>#N/A</v>
      </c>
      <c r="AG50" s="257" t="e">
        <f t="shared" si="6"/>
        <v>#N/A</v>
      </c>
      <c r="AH50" s="257" t="e">
        <f t="shared" si="7"/>
        <v>#N/A</v>
      </c>
      <c r="AI50" s="258" t="e">
        <f t="shared" si="8"/>
        <v>#N/A</v>
      </c>
      <c r="AJ50" s="252" t="e">
        <f t="shared" si="9"/>
        <v>#N/A</v>
      </c>
      <c r="AK50" s="153"/>
    </row>
    <row r="51" spans="2:37" ht="54" customHeight="1">
      <c r="B51" s="142">
        <v>47</v>
      </c>
      <c r="C51" s="143">
        <f>SISWA!B52</f>
        <v>0</v>
      </c>
      <c r="D51" s="144">
        <f>SISWA!E52</f>
        <v>0</v>
      </c>
      <c r="E51" s="159"/>
      <c r="F51" s="160"/>
      <c r="G51" s="160"/>
      <c r="H51" s="160"/>
      <c r="I51" s="160"/>
      <c r="J51" s="159"/>
      <c r="K51" s="159"/>
      <c r="L51" s="159"/>
      <c r="M51" s="159"/>
      <c r="N51" s="159"/>
      <c r="O51" s="159"/>
      <c r="P51" s="159"/>
      <c r="Q51" s="159"/>
      <c r="R51" s="160"/>
      <c r="S51" s="160"/>
      <c r="T51" s="160"/>
      <c r="U51" s="160"/>
      <c r="V51" s="159"/>
      <c r="W51" s="354" t="e">
        <f t="shared" si="4"/>
        <v>#DIV/0!</v>
      </c>
      <c r="X51" s="355" t="e">
        <f>IF(W51&gt;KKM!$G$10,"A",IF(W51&gt;KKM!$H$10,"B",IF(W51&gt;=KKM!$I$10,"C","D")))</f>
        <v>#DIV/0!</v>
      </c>
      <c r="Y51" s="356">
        <f t="shared" si="0"/>
        <v>0</v>
      </c>
      <c r="Z51" s="361" t="str">
        <f>IF(Y51&gt;KKM!$G$10," sangat baik ",IF(Y51&gt;KKM!$H$10," baik ",IF(Y51&gt;=KKM!$I$10," cukup baik "," perlu bimbingan ")))</f>
        <v xml:space="preserve"> perlu bimbingan </v>
      </c>
      <c r="AA51" s="357">
        <f t="shared" si="1"/>
        <v>0</v>
      </c>
      <c r="AB51" s="361" t="str">
        <f>IF(AA51&gt;KKM!$G$10," sangat baik ",IF(AA51&gt;KKM!$H$10," baik ",IF(AA51&gt;=KKM!$I$10," cukup baik "," perlu bimbingan ")))</f>
        <v xml:space="preserve"> perlu bimbingan </v>
      </c>
      <c r="AC51" s="353" t="str">
        <f t="shared" si="5"/>
        <v xml:space="preserve"> </v>
      </c>
      <c r="AD51" s="256"/>
      <c r="AE51" s="257" t="e">
        <f t="shared" si="2"/>
        <v>#N/A</v>
      </c>
      <c r="AF51" s="257" t="e">
        <f t="shared" si="3"/>
        <v>#N/A</v>
      </c>
      <c r="AG51" s="257" t="e">
        <f t="shared" si="6"/>
        <v>#N/A</v>
      </c>
      <c r="AH51" s="257" t="e">
        <f t="shared" si="7"/>
        <v>#N/A</v>
      </c>
      <c r="AI51" s="258" t="e">
        <f t="shared" si="8"/>
        <v>#N/A</v>
      </c>
      <c r="AJ51" s="252" t="e">
        <f t="shared" si="9"/>
        <v>#N/A</v>
      </c>
      <c r="AK51" s="153"/>
    </row>
    <row r="52" spans="2:37" ht="54" customHeight="1">
      <c r="B52" s="142">
        <v>48</v>
      </c>
      <c r="C52" s="143">
        <f>SISWA!B53</f>
        <v>0</v>
      </c>
      <c r="D52" s="144">
        <f>SISWA!E53</f>
        <v>0</v>
      </c>
      <c r="E52" s="159"/>
      <c r="F52" s="160"/>
      <c r="G52" s="160"/>
      <c r="H52" s="160"/>
      <c r="I52" s="160"/>
      <c r="J52" s="159"/>
      <c r="K52" s="159"/>
      <c r="L52" s="159"/>
      <c r="M52" s="159"/>
      <c r="N52" s="159"/>
      <c r="O52" s="159"/>
      <c r="P52" s="159"/>
      <c r="Q52" s="159"/>
      <c r="R52" s="160"/>
      <c r="S52" s="160"/>
      <c r="T52" s="160"/>
      <c r="U52" s="160"/>
      <c r="V52" s="159"/>
      <c r="W52" s="354" t="e">
        <f t="shared" si="4"/>
        <v>#DIV/0!</v>
      </c>
      <c r="X52" s="355" t="e">
        <f>IF(W52&gt;KKM!$G$10,"A",IF(W52&gt;KKM!$H$10,"B",IF(W52&gt;=KKM!$I$10,"C","D")))</f>
        <v>#DIV/0!</v>
      </c>
      <c r="Y52" s="356">
        <f t="shared" si="0"/>
        <v>0</v>
      </c>
      <c r="Z52" s="361" t="str">
        <f>IF(Y52&gt;KKM!$G$10," sangat baik ",IF(Y52&gt;KKM!$H$10," baik ",IF(Y52&gt;=KKM!$I$10," cukup baik "," perlu bimbingan ")))</f>
        <v xml:space="preserve"> perlu bimbingan </v>
      </c>
      <c r="AA52" s="357">
        <f t="shared" si="1"/>
        <v>0</v>
      </c>
      <c r="AB52" s="361" t="str">
        <f>IF(AA52&gt;KKM!$G$10," sangat baik ",IF(AA52&gt;KKM!$H$10," baik ",IF(AA52&gt;=KKM!$I$10," cukup baik "," perlu bimbingan ")))</f>
        <v xml:space="preserve"> perlu bimbingan </v>
      </c>
      <c r="AC52" s="353" t="str">
        <f t="shared" si="5"/>
        <v xml:space="preserve"> </v>
      </c>
      <c r="AD52" s="256"/>
      <c r="AE52" s="257" t="e">
        <f t="shared" si="2"/>
        <v>#N/A</v>
      </c>
      <c r="AF52" s="257" t="e">
        <f t="shared" si="3"/>
        <v>#N/A</v>
      </c>
      <c r="AG52" s="257" t="e">
        <f t="shared" si="6"/>
        <v>#N/A</v>
      </c>
      <c r="AH52" s="257" t="e">
        <f t="shared" si="7"/>
        <v>#N/A</v>
      </c>
      <c r="AI52" s="258" t="e">
        <f t="shared" si="8"/>
        <v>#N/A</v>
      </c>
      <c r="AJ52" s="252" t="e">
        <f t="shared" si="9"/>
        <v>#N/A</v>
      </c>
      <c r="AK52" s="153"/>
    </row>
    <row r="53" spans="2:37" ht="54" customHeight="1">
      <c r="B53" s="142">
        <v>49</v>
      </c>
      <c r="C53" s="143">
        <f>SISWA!B54</f>
        <v>0</v>
      </c>
      <c r="D53" s="144">
        <f>SISWA!E54</f>
        <v>0</v>
      </c>
      <c r="E53" s="159"/>
      <c r="F53" s="160"/>
      <c r="G53" s="160"/>
      <c r="H53" s="160"/>
      <c r="I53" s="160"/>
      <c r="J53" s="159"/>
      <c r="K53" s="159"/>
      <c r="L53" s="159"/>
      <c r="M53" s="159"/>
      <c r="N53" s="159"/>
      <c r="O53" s="159"/>
      <c r="P53" s="159"/>
      <c r="Q53" s="159"/>
      <c r="R53" s="160"/>
      <c r="S53" s="160"/>
      <c r="T53" s="160"/>
      <c r="U53" s="160"/>
      <c r="V53" s="159"/>
      <c r="W53" s="354" t="e">
        <f t="shared" si="4"/>
        <v>#DIV/0!</v>
      </c>
      <c r="X53" s="355" t="e">
        <f>IF(W53&gt;KKM!$G$10,"A",IF(W53&gt;KKM!$H$10,"B",IF(W53&gt;=KKM!$I$10,"C","D")))</f>
        <v>#DIV/0!</v>
      </c>
      <c r="Y53" s="356">
        <f t="shared" si="0"/>
        <v>0</v>
      </c>
      <c r="Z53" s="361" t="str">
        <f>IF(Y53&gt;KKM!$G$10," sangat baik ",IF(Y53&gt;KKM!$H$10," baik ",IF(Y53&gt;=KKM!$I$10," cukup baik "," perlu bimbingan ")))</f>
        <v xml:space="preserve"> perlu bimbingan </v>
      </c>
      <c r="AA53" s="357">
        <f t="shared" si="1"/>
        <v>0</v>
      </c>
      <c r="AB53" s="361" t="str">
        <f>IF(AA53&gt;KKM!$G$10," sangat baik ",IF(AA53&gt;KKM!$H$10," baik ",IF(AA53&gt;=KKM!$I$10," cukup baik "," perlu bimbingan ")))</f>
        <v xml:space="preserve"> perlu bimbingan </v>
      </c>
      <c r="AC53" s="353" t="str">
        <f t="shared" si="5"/>
        <v xml:space="preserve"> </v>
      </c>
      <c r="AD53" s="256"/>
      <c r="AE53" s="257" t="e">
        <f t="shared" si="2"/>
        <v>#N/A</v>
      </c>
      <c r="AF53" s="257" t="e">
        <f t="shared" si="3"/>
        <v>#N/A</v>
      </c>
      <c r="AG53" s="257" t="e">
        <f t="shared" si="6"/>
        <v>#N/A</v>
      </c>
      <c r="AH53" s="257" t="e">
        <f t="shared" si="7"/>
        <v>#N/A</v>
      </c>
      <c r="AI53" s="258" t="e">
        <f t="shared" si="8"/>
        <v>#N/A</v>
      </c>
      <c r="AJ53" s="252" t="e">
        <f t="shared" si="9"/>
        <v>#N/A</v>
      </c>
      <c r="AK53" s="153"/>
    </row>
    <row r="54" spans="2:37" ht="30" customHeight="1">
      <c r="B54" s="142">
        <v>50</v>
      </c>
      <c r="C54" s="143">
        <f>SISWA!B55</f>
        <v>0</v>
      </c>
      <c r="D54" s="144">
        <f>SISWA!E55</f>
        <v>0</v>
      </c>
      <c r="E54" s="159"/>
      <c r="F54" s="160"/>
      <c r="G54" s="160"/>
      <c r="H54" s="160"/>
      <c r="I54" s="160"/>
      <c r="J54" s="159"/>
      <c r="K54" s="159"/>
      <c r="L54" s="159"/>
      <c r="M54" s="159"/>
      <c r="N54" s="159"/>
      <c r="O54" s="159"/>
      <c r="P54" s="159"/>
      <c r="Q54" s="159"/>
      <c r="R54" s="160"/>
      <c r="S54" s="160"/>
      <c r="T54" s="160"/>
      <c r="U54" s="160"/>
      <c r="V54" s="159"/>
      <c r="W54" s="354" t="e">
        <f t="shared" si="4"/>
        <v>#DIV/0!</v>
      </c>
      <c r="X54" s="355" t="e">
        <f>IF(W54&gt;KKM!$G$10,"A",IF(W54&gt;KKM!$H$10,"B",IF(W54&gt;=KKM!$I$10,"C","D")))</f>
        <v>#DIV/0!</v>
      </c>
      <c r="Y54" s="356">
        <f t="shared" si="0"/>
        <v>0</v>
      </c>
      <c r="Z54" s="361" t="str">
        <f>IF(Y54&gt;KKM!$G$10," sangat baik ",IF(Y54&gt;KKM!$H$10," baik ",IF(Y54&gt;=KKM!$I$10," cukup baik "," perlu bimbingan ")))</f>
        <v xml:space="preserve"> perlu bimbingan </v>
      </c>
      <c r="AA54" s="357">
        <f t="shared" si="1"/>
        <v>0</v>
      </c>
      <c r="AB54" s="361" t="str">
        <f>IF(AA54&gt;KKM!$G$10," sangat baik ",IF(AA54&gt;KKM!$H$10," baik ",IF(AA54&gt;=KKM!$I$10," cukup baik "," perlu bimbingan ")))</f>
        <v xml:space="preserve"> perlu bimbingan </v>
      </c>
      <c r="AC54" s="353" t="str">
        <f t="shared" si="5"/>
        <v xml:space="preserve"> </v>
      </c>
      <c r="AD54" s="256"/>
      <c r="AE54" s="257" t="e">
        <f t="shared" si="2"/>
        <v>#N/A</v>
      </c>
      <c r="AF54" s="257" t="e">
        <f t="shared" si="3"/>
        <v>#N/A</v>
      </c>
      <c r="AG54" s="257" t="e">
        <f t="shared" si="6"/>
        <v>#N/A</v>
      </c>
      <c r="AH54" s="257" t="e">
        <f t="shared" si="7"/>
        <v>#N/A</v>
      </c>
      <c r="AI54" s="258" t="e">
        <f t="shared" si="8"/>
        <v>#N/A</v>
      </c>
      <c r="AJ54" s="252" t="e">
        <f t="shared" si="9"/>
        <v>#N/A</v>
      </c>
      <c r="AK54" s="153"/>
    </row>
    <row r="55" spans="2:37" ht="15.75">
      <c r="B55" s="154"/>
      <c r="C55" s="154"/>
      <c r="D55" s="154"/>
      <c r="E55" s="159"/>
      <c r="F55" s="160"/>
      <c r="G55" s="160"/>
      <c r="H55" s="160"/>
      <c r="I55" s="160"/>
      <c r="J55" s="159"/>
      <c r="K55" s="159"/>
      <c r="L55" s="159"/>
      <c r="M55" s="159"/>
      <c r="N55" s="159"/>
      <c r="O55" s="159"/>
      <c r="P55" s="159"/>
      <c r="Q55" s="159"/>
      <c r="R55" s="160"/>
      <c r="S55" s="160"/>
      <c r="T55" s="160"/>
      <c r="U55" s="160"/>
      <c r="V55" s="159"/>
      <c r="W55" s="147"/>
      <c r="X55" s="148"/>
      <c r="Y55" s="149"/>
      <c r="Z55" s="149"/>
      <c r="AA55" s="149"/>
      <c r="AB55" s="149"/>
      <c r="AC55" s="150"/>
      <c r="AD55" s="151"/>
      <c r="AE55" s="152"/>
      <c r="AF55" s="155"/>
      <c r="AG55" s="155"/>
      <c r="AH55" s="155"/>
      <c r="AI55" s="155"/>
      <c r="AJ55" s="155"/>
      <c r="AK55" s="153"/>
    </row>
  </sheetData>
  <mergeCells count="11">
    <mergeCell ref="AC2:AC4"/>
    <mergeCell ref="Y3:Z3"/>
    <mergeCell ref="AA3:AB3"/>
    <mergeCell ref="B1:AB1"/>
    <mergeCell ref="B2:B4"/>
    <mergeCell ref="C2:C4"/>
    <mergeCell ref="D2:D4"/>
    <mergeCell ref="E2:V2"/>
    <mergeCell ref="W2:W4"/>
    <mergeCell ref="X2:X4"/>
    <mergeCell ref="Y2:AB2"/>
  </mergeCell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GJ56"/>
  <sheetViews>
    <sheetView zoomScale="70" zoomScaleNormal="70" workbookViewId="0">
      <pane xSplit="4" ySplit="5" topLeftCell="E16" activePane="bottomRight" state="frozen"/>
      <selection pane="topRight" activeCell="E1" sqref="E1"/>
      <selection pane="bottomLeft" activeCell="A6" sqref="A6"/>
      <selection pane="bottomRight"/>
    </sheetView>
  </sheetViews>
  <sheetFormatPr defaultColWidth="0" defaultRowHeight="15"/>
  <cols>
    <col min="1" max="1" width="23.42578125" style="171" customWidth="1"/>
    <col min="2" max="2" width="4.42578125" style="137" customWidth="1"/>
    <col min="3" max="3" width="6.42578125" style="137" customWidth="1"/>
    <col min="4" max="4" width="28.7109375" style="137" customWidth="1"/>
    <col min="5" max="7" width="5.140625" style="137" customWidth="1"/>
    <col min="8" max="89" width="5.28515625" style="137" customWidth="1"/>
    <col min="90" max="90" width="10.5703125" style="137" customWidth="1"/>
    <col min="91" max="91" width="5.28515625" style="137" customWidth="1"/>
    <col min="92" max="92" width="10.85546875" style="137" customWidth="1"/>
    <col min="93" max="93" width="101.7109375" style="137" customWidth="1"/>
    <col min="94" max="94" width="41.28515625" style="137" customWidth="1"/>
    <col min="95" max="95" width="5" style="137" hidden="1" customWidth="1"/>
    <col min="96" max="96" width="4.7109375" style="137" hidden="1" customWidth="1"/>
    <col min="97" max="97" width="5.140625" style="137" hidden="1" customWidth="1"/>
    <col min="98" max="103" width="5" style="137" hidden="1" customWidth="1"/>
    <col min="104" max="104" width="4.85546875" style="137" hidden="1" customWidth="1"/>
    <col min="105" max="110" width="5" style="137" hidden="1" customWidth="1"/>
    <col min="111" max="111" width="7.85546875" style="137" hidden="1" customWidth="1"/>
    <col min="112" max="112" width="5" style="137" customWidth="1"/>
    <col min="113" max="118" width="5" style="137" hidden="1" customWidth="1"/>
    <col min="119" max="119" width="84.42578125" style="137" hidden="1" customWidth="1"/>
    <col min="120" max="120" width="29.85546875" style="137" hidden="1" customWidth="1"/>
    <col min="121" max="134" width="10.7109375" style="137" hidden="1" customWidth="1"/>
    <col min="135" max="144" width="9.140625" style="137" hidden="1" customWidth="1"/>
    <col min="145" max="145" width="0" style="137" hidden="1" customWidth="1"/>
    <col min="146" max="146" width="5" style="137" hidden="1" customWidth="1"/>
    <col min="147" max="148" width="0" style="137" hidden="1" customWidth="1"/>
    <col min="149" max="154" width="5" style="137" hidden="1" customWidth="1"/>
    <col min="155" max="155" width="84.42578125" style="137" hidden="1" customWidth="1"/>
    <col min="156" max="156" width="29.85546875" style="137" hidden="1" customWidth="1"/>
    <col min="157" max="170" width="10.7109375" style="137" hidden="1" customWidth="1"/>
    <col min="171" max="180" width="9.140625" style="137" hidden="1" customWidth="1"/>
    <col min="181" max="181" width="0" style="137" hidden="1" customWidth="1"/>
    <col min="182" max="190" width="9.140625" style="137" hidden="1" customWidth="1"/>
    <col min="191" max="192" width="0" style="137" hidden="1" customWidth="1"/>
    <col min="193" max="16384" width="9.140625" style="137" hidden="1"/>
  </cols>
  <sheetData>
    <row r="1" spans="1:118" s="512" customFormat="1" ht="45.75" customHeight="1">
      <c r="B1" s="513" t="s">
        <v>59</v>
      </c>
      <c r="C1" s="513"/>
      <c r="D1" s="513"/>
      <c r="E1" s="513"/>
      <c r="F1" s="513"/>
      <c r="G1" s="513"/>
      <c r="H1" s="513"/>
      <c r="I1" s="513"/>
      <c r="J1" s="513"/>
      <c r="K1" s="513"/>
      <c r="L1" s="513"/>
      <c r="M1" s="513"/>
      <c r="N1" s="513"/>
      <c r="O1" s="513"/>
      <c r="P1" s="513"/>
      <c r="Q1" s="513"/>
      <c r="R1" s="513"/>
      <c r="S1" s="513"/>
      <c r="T1" s="513"/>
      <c r="U1" s="513"/>
      <c r="V1" s="513"/>
      <c r="W1" s="513"/>
      <c r="X1" s="513"/>
      <c r="Y1" s="513"/>
      <c r="Z1" s="513"/>
      <c r="AA1" s="513"/>
      <c r="AB1" s="513"/>
      <c r="AC1" s="513"/>
      <c r="AD1" s="513"/>
      <c r="AE1" s="513"/>
      <c r="AF1" s="513"/>
      <c r="AG1" s="513"/>
      <c r="AH1" s="513"/>
      <c r="AI1" s="513"/>
      <c r="AJ1" s="513"/>
      <c r="AK1" s="513"/>
      <c r="AL1" s="513"/>
      <c r="AM1" s="513"/>
      <c r="AN1" s="513"/>
      <c r="AO1" s="513"/>
      <c r="AP1" s="513"/>
      <c r="AQ1" s="513"/>
      <c r="AR1" s="513"/>
      <c r="AS1" s="513"/>
      <c r="AT1" s="513"/>
      <c r="AU1" s="513"/>
      <c r="AV1" s="513"/>
      <c r="AW1" s="513"/>
      <c r="AX1" s="513"/>
      <c r="AY1" s="513"/>
      <c r="AZ1" s="513"/>
      <c r="BA1" s="513"/>
      <c r="BB1" s="513"/>
      <c r="BC1" s="513"/>
      <c r="BD1" s="513"/>
      <c r="BE1" s="513"/>
      <c r="BF1" s="513"/>
      <c r="BG1" s="513"/>
      <c r="BH1" s="513"/>
      <c r="BI1" s="513"/>
      <c r="BJ1" s="513"/>
      <c r="BK1" s="513"/>
      <c r="BL1" s="513"/>
      <c r="BM1" s="513"/>
      <c r="BN1" s="513"/>
      <c r="BO1" s="513"/>
      <c r="BP1" s="513"/>
      <c r="BQ1" s="513"/>
      <c r="BR1" s="513"/>
      <c r="BS1" s="513"/>
      <c r="BT1" s="513"/>
      <c r="BU1" s="513"/>
      <c r="BV1" s="513"/>
      <c r="BW1" s="513"/>
      <c r="BX1" s="513"/>
      <c r="BY1" s="513"/>
      <c r="BZ1" s="513"/>
      <c r="CA1" s="513"/>
      <c r="CB1" s="513"/>
      <c r="CC1" s="513"/>
      <c r="CD1" s="513"/>
      <c r="CE1" s="513"/>
      <c r="CF1" s="513"/>
      <c r="CG1" s="513"/>
      <c r="CH1" s="513"/>
      <c r="CI1" s="513"/>
      <c r="CJ1" s="513"/>
      <c r="CK1" s="513"/>
      <c r="CL1" s="513"/>
      <c r="CM1" s="513"/>
      <c r="CN1" s="513"/>
      <c r="CO1" s="513"/>
      <c r="CP1" s="513"/>
      <c r="CQ1" s="513"/>
      <c r="CR1" s="513"/>
      <c r="CS1" s="513"/>
      <c r="CT1" s="513"/>
      <c r="CU1" s="513"/>
      <c r="CV1" s="513"/>
      <c r="CW1" s="513"/>
      <c r="CX1" s="513"/>
      <c r="CY1" s="513"/>
      <c r="CZ1" s="513"/>
      <c r="DA1" s="513"/>
      <c r="DB1" s="513"/>
      <c r="DC1" s="513"/>
      <c r="DD1" s="513"/>
      <c r="DE1" s="513"/>
      <c r="DF1" s="513"/>
      <c r="DG1" s="513"/>
      <c r="DH1" s="513"/>
      <c r="DI1" s="513"/>
      <c r="DJ1" s="513"/>
      <c r="DK1" s="513"/>
      <c r="DL1" s="513"/>
      <c r="DM1" s="513"/>
      <c r="DN1" s="513"/>
    </row>
    <row r="2" spans="1:118" ht="31.5">
      <c r="B2" s="716" t="s">
        <v>4</v>
      </c>
      <c r="C2" s="717" t="s">
        <v>5</v>
      </c>
      <c r="D2" s="718" t="s">
        <v>52</v>
      </c>
      <c r="E2" s="689" t="s">
        <v>0</v>
      </c>
      <c r="F2" s="689"/>
      <c r="G2" s="689"/>
      <c r="H2" s="689"/>
      <c r="I2" s="689"/>
      <c r="J2" s="689"/>
      <c r="K2" s="689"/>
      <c r="L2" s="689"/>
      <c r="M2" s="689"/>
      <c r="N2" s="689"/>
      <c r="O2" s="689"/>
      <c r="P2" s="689"/>
      <c r="Q2" s="689"/>
      <c r="R2" s="689"/>
      <c r="S2" s="689"/>
      <c r="T2" s="689"/>
      <c r="U2" s="689"/>
      <c r="V2" s="689"/>
      <c r="W2" s="689"/>
      <c r="X2" s="689"/>
      <c r="Y2" s="689"/>
      <c r="Z2" s="689"/>
      <c r="AA2" s="689"/>
      <c r="AB2" s="689"/>
      <c r="AC2" s="689"/>
      <c r="AD2" s="689"/>
      <c r="AE2" s="689"/>
      <c r="AF2" s="689"/>
      <c r="AG2" s="689"/>
      <c r="AH2" s="689"/>
      <c r="AI2" s="689"/>
      <c r="AJ2" s="689"/>
      <c r="AK2" s="689"/>
      <c r="AL2" s="689"/>
      <c r="AM2" s="689"/>
      <c r="AN2" s="689"/>
      <c r="AO2" s="689"/>
      <c r="AP2" s="689"/>
      <c r="AQ2" s="689"/>
      <c r="AR2" s="689"/>
      <c r="AS2" s="689"/>
      <c r="AT2" s="689"/>
      <c r="AU2" s="689"/>
      <c r="AV2" s="689"/>
      <c r="AW2" s="689"/>
      <c r="AX2" s="689"/>
      <c r="AY2" s="689"/>
      <c r="AZ2" s="689"/>
      <c r="BA2" s="689"/>
      <c r="BB2" s="689"/>
      <c r="BC2" s="689"/>
      <c r="BD2" s="689"/>
      <c r="BE2" s="689"/>
      <c r="BF2" s="689"/>
      <c r="BG2" s="689"/>
      <c r="BH2" s="689"/>
      <c r="BI2" s="689"/>
      <c r="BJ2" s="689"/>
      <c r="BK2" s="689"/>
      <c r="BL2" s="689"/>
      <c r="BM2" s="689"/>
      <c r="BN2" s="689"/>
      <c r="BO2" s="689"/>
      <c r="BP2" s="689"/>
      <c r="BQ2" s="689"/>
      <c r="BR2" s="689"/>
      <c r="BS2" s="689"/>
      <c r="BT2" s="689"/>
      <c r="BU2" s="689"/>
      <c r="BV2" s="689"/>
      <c r="BW2" s="689"/>
      <c r="BX2" s="689"/>
      <c r="BY2" s="689"/>
      <c r="BZ2" s="689"/>
      <c r="CA2" s="689"/>
      <c r="CB2" s="689"/>
      <c r="CC2" s="689"/>
      <c r="CD2" s="689"/>
      <c r="CE2" s="689"/>
      <c r="CF2" s="689"/>
      <c r="CG2" s="689"/>
      <c r="CH2" s="689"/>
      <c r="CI2" s="690" t="s">
        <v>13</v>
      </c>
      <c r="CJ2" s="691" t="s">
        <v>14</v>
      </c>
      <c r="CK2" s="692" t="s">
        <v>266</v>
      </c>
      <c r="CL2" s="693"/>
      <c r="CM2" s="693"/>
      <c r="CN2" s="693"/>
      <c r="CO2" s="678" t="s">
        <v>3</v>
      </c>
      <c r="CV2" s="346"/>
    </row>
    <row r="3" spans="1:118" ht="23.25" customHeight="1">
      <c r="B3" s="716"/>
      <c r="C3" s="717"/>
      <c r="D3" s="718"/>
      <c r="E3" s="694" t="s">
        <v>292</v>
      </c>
      <c r="F3" s="695"/>
      <c r="G3" s="695"/>
      <c r="H3" s="695"/>
      <c r="I3" s="695"/>
      <c r="J3" s="695"/>
      <c r="K3" s="695"/>
      <c r="L3" s="695"/>
      <c r="M3" s="695"/>
      <c r="N3" s="695"/>
      <c r="O3" s="695"/>
      <c r="P3" s="695"/>
      <c r="Q3" s="695"/>
      <c r="R3" s="695"/>
      <c r="S3" s="695"/>
      <c r="T3" s="695"/>
      <c r="U3" s="695"/>
      <c r="V3" s="695"/>
      <c r="W3" s="695"/>
      <c r="X3" s="695"/>
      <c r="Y3" s="696"/>
      <c r="Z3" s="697" t="s">
        <v>293</v>
      </c>
      <c r="AA3" s="698"/>
      <c r="AB3" s="698"/>
      <c r="AC3" s="698"/>
      <c r="AD3" s="698"/>
      <c r="AE3" s="698"/>
      <c r="AF3" s="698"/>
      <c r="AG3" s="698"/>
      <c r="AH3" s="698"/>
      <c r="AI3" s="698"/>
      <c r="AJ3" s="698"/>
      <c r="AK3" s="699"/>
      <c r="AL3" s="700" t="s">
        <v>294</v>
      </c>
      <c r="AM3" s="701"/>
      <c r="AN3" s="701"/>
      <c r="AO3" s="701"/>
      <c r="AP3" s="701"/>
      <c r="AQ3" s="701"/>
      <c r="AR3" s="701"/>
      <c r="AS3" s="701"/>
      <c r="AT3" s="701"/>
      <c r="AU3" s="701"/>
      <c r="AV3" s="701"/>
      <c r="AW3" s="702"/>
      <c r="AX3" s="724" t="s">
        <v>295</v>
      </c>
      <c r="AY3" s="725"/>
      <c r="AZ3" s="725"/>
      <c r="BA3" s="725"/>
      <c r="BB3" s="725"/>
      <c r="BC3" s="725"/>
      <c r="BD3" s="725"/>
      <c r="BE3" s="725"/>
      <c r="BF3" s="725"/>
      <c r="BG3" s="725"/>
      <c r="BH3" s="725"/>
      <c r="BI3" s="726"/>
      <c r="BJ3" s="727" t="s">
        <v>296</v>
      </c>
      <c r="BK3" s="728"/>
      <c r="BL3" s="728"/>
      <c r="BM3" s="728"/>
      <c r="BN3" s="728"/>
      <c r="BO3" s="728"/>
      <c r="BP3" s="728"/>
      <c r="BQ3" s="728"/>
      <c r="BR3" s="728"/>
      <c r="BS3" s="728"/>
      <c r="BT3" s="728"/>
      <c r="BU3" s="729"/>
      <c r="BV3" s="730" t="s">
        <v>297</v>
      </c>
      <c r="BW3" s="731"/>
      <c r="BX3" s="731"/>
      <c r="BY3" s="731"/>
      <c r="BZ3" s="731"/>
      <c r="CA3" s="731"/>
      <c r="CB3" s="731"/>
      <c r="CC3" s="731"/>
      <c r="CD3" s="731"/>
      <c r="CE3" s="731"/>
      <c r="CF3" s="731"/>
      <c r="CG3" s="732"/>
      <c r="CH3" s="388"/>
      <c r="CI3" s="690"/>
      <c r="CJ3" s="691"/>
      <c r="CK3" s="403"/>
      <c r="CL3" s="404"/>
      <c r="CM3" s="404"/>
      <c r="CN3" s="404"/>
      <c r="CO3" s="679"/>
      <c r="CV3" s="346"/>
      <c r="DF3" s="385"/>
      <c r="DG3" s="502">
        <f>DEPAN!$E$23</f>
        <v>43</v>
      </c>
    </row>
    <row r="4" spans="1:118" ht="94.5" customHeight="1">
      <c r="B4" s="716"/>
      <c r="C4" s="717"/>
      <c r="D4" s="718"/>
      <c r="E4" s="410" t="str">
        <f>'KI-KD'!$F4</f>
        <v>membaca Q.S. at-Tīn dan Q.S. al-Mā’ūn dengan tartil.</v>
      </c>
      <c r="F4" s="410" t="str">
        <f>'KI-KD'!$F5</f>
        <v>menulis kalimat-kalimat dalam Q.S. at-Tīn dan Q.S. al-Mā’ūn dengan benar.</v>
      </c>
      <c r="G4" s="410" t="str">
        <f>'KI-KD'!$F6</f>
        <v>menunjukkan hafalan Q.S. at-Tīn dan Q.S. al-Mā’ūn dengan lancar</v>
      </c>
      <c r="H4" s="410" t="str">
        <f>'KI-KD'!$F7</f>
        <v xml:space="preserve">menunjukkan hafalan nama-nama Rasul Allah dan Rasul Ulul ‘Azmi
</v>
      </c>
      <c r="I4" s="410" t="str">
        <f>'KI-KD'!$F8</f>
        <v xml:space="preserve">mencontohkan sikap sederhana dalam kehidupan sehari-hari.
</v>
      </c>
      <c r="J4" s="410" t="str">
        <f>'KI-KD'!$F9</f>
        <v>mencontohkan sikap ikhlas beramal dalam kehidupan sehari-hari</v>
      </c>
      <c r="K4" s="410" t="str">
        <f>'KI-KD'!$F10</f>
        <v>mempraktikkan tata cara salat tarawih dan tadarus al-Qur'an</v>
      </c>
      <c r="L4" s="410" t="str">
        <f>'KI-KD'!$F11</f>
        <v>menceritakan kisah keteladanan Luqman sebagaimana terdapat dalam al-Qur'an.</v>
      </c>
      <c r="M4" s="410">
        <f>'KI-KD'!$F12</f>
        <v>0</v>
      </c>
      <c r="N4" s="410">
        <f>'KI-KD'!$F13</f>
        <v>0</v>
      </c>
      <c r="O4" s="410">
        <f>'KI-KD'!$F14</f>
        <v>0</v>
      </c>
      <c r="P4" s="410">
        <f>'KI-KD'!$F15</f>
        <v>0</v>
      </c>
      <c r="Q4" s="406">
        <f>'KI-KD'!$F16</f>
        <v>0</v>
      </c>
      <c r="R4" s="406">
        <f>'KI-KD'!$F17</f>
        <v>0</v>
      </c>
      <c r="S4" s="406">
        <f>'KI-KD'!$F18</f>
        <v>0</v>
      </c>
      <c r="T4" s="406">
        <f>'KI-KD'!$F19</f>
        <v>0</v>
      </c>
      <c r="U4" s="406">
        <f>'KI-KD'!$F20</f>
        <v>0</v>
      </c>
      <c r="V4" s="406">
        <f>'KI-KD'!$F21</f>
        <v>0</v>
      </c>
      <c r="W4" s="406">
        <f>'KI-KD'!$F22</f>
        <v>0</v>
      </c>
      <c r="X4" s="406">
        <f>'KI-KD'!$F23</f>
        <v>0</v>
      </c>
      <c r="Y4" s="406">
        <f>'KI-KD'!$F24</f>
        <v>0</v>
      </c>
      <c r="Z4" s="411">
        <f>'KI-KD'!$F150</f>
        <v>0</v>
      </c>
      <c r="AA4" s="411">
        <f>'KI-KD'!$F151</f>
        <v>0</v>
      </c>
      <c r="AB4" s="411">
        <f>'KI-KD'!$F152</f>
        <v>0</v>
      </c>
      <c r="AC4" s="411">
        <f>'KI-KD'!$F153</f>
        <v>0</v>
      </c>
      <c r="AD4" s="411">
        <f>'KI-KD'!$F154</f>
        <v>0</v>
      </c>
      <c r="AE4" s="411">
        <f>'KI-KD'!$F155</f>
        <v>0</v>
      </c>
      <c r="AF4" s="411">
        <f>'KI-KD'!$F156</f>
        <v>0</v>
      </c>
      <c r="AG4" s="411">
        <f>'KI-KD'!$F157</f>
        <v>0</v>
      </c>
      <c r="AH4" s="411">
        <f>'KI-KD'!$F158</f>
        <v>0</v>
      </c>
      <c r="AI4" s="411">
        <f>'KI-KD'!$F159</f>
        <v>0</v>
      </c>
      <c r="AJ4" s="411">
        <f>'KI-KD'!$F160</f>
        <v>0</v>
      </c>
      <c r="AK4" s="411">
        <f>'KI-KD'!$F161</f>
        <v>0</v>
      </c>
      <c r="AL4" s="412">
        <f>'KI-KD'!$F165</f>
        <v>0</v>
      </c>
      <c r="AM4" s="412">
        <f>'KI-KD'!$F166</f>
        <v>0</v>
      </c>
      <c r="AN4" s="412">
        <f>'KI-KD'!$F167</f>
        <v>0</v>
      </c>
      <c r="AO4" s="412">
        <f>'KI-KD'!$F168</f>
        <v>0</v>
      </c>
      <c r="AP4" s="412">
        <f>'KI-KD'!$F169</f>
        <v>0</v>
      </c>
      <c r="AQ4" s="412">
        <f>'KI-KD'!$F170</f>
        <v>0</v>
      </c>
      <c r="AR4" s="412">
        <f>'KI-KD'!$F171</f>
        <v>0</v>
      </c>
      <c r="AS4" s="412">
        <f>'KI-KD'!$F172</f>
        <v>0</v>
      </c>
      <c r="AT4" s="412">
        <f>'KI-KD'!$F173</f>
        <v>0</v>
      </c>
      <c r="AU4" s="412">
        <f>'KI-KD'!$F174</f>
        <v>0</v>
      </c>
      <c r="AV4" s="412">
        <f>'KI-KD'!$F175</f>
        <v>0</v>
      </c>
      <c r="AW4" s="412">
        <f>'KI-KD'!$F176</f>
        <v>0</v>
      </c>
      <c r="AX4" s="411">
        <f>'KI-KD'!$F180</f>
        <v>0</v>
      </c>
      <c r="AY4" s="411">
        <f>'KI-KD'!$F181</f>
        <v>0</v>
      </c>
      <c r="AZ4" s="411">
        <f>'KI-KD'!$F182</f>
        <v>0</v>
      </c>
      <c r="BA4" s="411">
        <f>'KI-KD'!$F183</f>
        <v>0</v>
      </c>
      <c r="BB4" s="411">
        <f>'KI-KD'!$F184</f>
        <v>0</v>
      </c>
      <c r="BC4" s="411">
        <f>'KI-KD'!$F185</f>
        <v>0</v>
      </c>
      <c r="BD4" s="411">
        <f>'KI-KD'!$F186</f>
        <v>0</v>
      </c>
      <c r="BE4" s="411">
        <f>'KI-KD'!$F187</f>
        <v>0</v>
      </c>
      <c r="BF4" s="411">
        <f>'KI-KD'!$F188</f>
        <v>0</v>
      </c>
      <c r="BG4" s="411">
        <f>'KI-KD'!$F189</f>
        <v>0</v>
      </c>
      <c r="BH4" s="411">
        <f>'KI-KD'!$F190</f>
        <v>0</v>
      </c>
      <c r="BI4" s="411">
        <f>'KI-KD'!$F191</f>
        <v>0</v>
      </c>
      <c r="BJ4" s="412">
        <f>'KI-KD'!$F195</f>
        <v>0</v>
      </c>
      <c r="BK4" s="412">
        <f>'KI-KD'!$F196</f>
        <v>0</v>
      </c>
      <c r="BL4" s="412">
        <f>'KI-KD'!$F197</f>
        <v>0</v>
      </c>
      <c r="BM4" s="412">
        <f>'KI-KD'!$F198</f>
        <v>0</v>
      </c>
      <c r="BN4" s="412">
        <f>'KI-KD'!$F199</f>
        <v>0</v>
      </c>
      <c r="BO4" s="412">
        <f>'KI-KD'!$F200</f>
        <v>0</v>
      </c>
      <c r="BP4" s="412">
        <f>'KI-KD'!$F201</f>
        <v>0</v>
      </c>
      <c r="BQ4" s="412">
        <f>'KI-KD'!$F202</f>
        <v>0</v>
      </c>
      <c r="BR4" s="412">
        <f>'KI-KD'!$F203</f>
        <v>0</v>
      </c>
      <c r="BS4" s="412">
        <f>'KI-KD'!$F204</f>
        <v>0</v>
      </c>
      <c r="BT4" s="412">
        <f>'KI-KD'!$F205</f>
        <v>0</v>
      </c>
      <c r="BU4" s="412">
        <f>'KI-KD'!$F206</f>
        <v>0</v>
      </c>
      <c r="BV4" s="411">
        <f>'KI-KD'!$F210</f>
        <v>0</v>
      </c>
      <c r="BW4" s="411">
        <f>'KI-KD'!$F211</f>
        <v>0</v>
      </c>
      <c r="BX4" s="411">
        <f>'KI-KD'!$F212</f>
        <v>0</v>
      </c>
      <c r="BY4" s="411">
        <f>'KI-KD'!$F213</f>
        <v>0</v>
      </c>
      <c r="BZ4" s="411">
        <f>'KI-KD'!$F214</f>
        <v>0</v>
      </c>
      <c r="CA4" s="411">
        <f>'KI-KD'!$F215</f>
        <v>0</v>
      </c>
      <c r="CB4" s="411">
        <f>'KI-KD'!$F216</f>
        <v>0</v>
      </c>
      <c r="CC4" s="411">
        <f>'KI-KD'!$F217</f>
        <v>0</v>
      </c>
      <c r="CD4" s="411">
        <f>'KI-KD'!$F218</f>
        <v>0</v>
      </c>
      <c r="CE4" s="411">
        <f>'KI-KD'!$F219</f>
        <v>0</v>
      </c>
      <c r="CF4" s="411">
        <f>'KI-KD'!$F220</f>
        <v>0</v>
      </c>
      <c r="CG4" s="411">
        <f>'KI-KD'!$F221</f>
        <v>0</v>
      </c>
      <c r="CH4" s="138"/>
      <c r="CI4" s="690"/>
      <c r="CJ4" s="691"/>
      <c r="CK4" s="681" t="s">
        <v>267</v>
      </c>
      <c r="CL4" s="682"/>
      <c r="CM4" s="683" t="s">
        <v>268</v>
      </c>
      <c r="CN4" s="684"/>
      <c r="CO4" s="679"/>
      <c r="CV4" s="346"/>
      <c r="DG4" s="469">
        <f>DG5-DG6</f>
        <v>43</v>
      </c>
    </row>
    <row r="5" spans="1:118" s="389" customFormat="1" ht="25.5" customHeight="1">
      <c r="A5" s="511"/>
      <c r="B5" s="716"/>
      <c r="C5" s="717"/>
      <c r="D5" s="718"/>
      <c r="E5" s="413" t="str">
        <f>'KI-KD'!$E4</f>
        <v>4.1.1</v>
      </c>
      <c r="F5" s="413" t="str">
        <f>'KI-KD'!$E5</f>
        <v>4.1.2</v>
      </c>
      <c r="G5" s="413" t="str">
        <f>'KI-KD'!$E6</f>
        <v>4.1.3</v>
      </c>
      <c r="H5" s="413" t="str">
        <f>'KI-KD'!$E7</f>
        <v>4.3</v>
      </c>
      <c r="I5" s="413" t="str">
        <f>'KI-KD'!$E8</f>
        <v>4.8</v>
      </c>
      <c r="J5" s="413" t="str">
        <f>'KI-KD'!$E9</f>
        <v>4.9</v>
      </c>
      <c r="K5" s="413" t="str">
        <f>'KI-KD'!$E10</f>
        <v>4.11</v>
      </c>
      <c r="L5" s="413" t="str">
        <f>'KI-KD'!$E11</f>
        <v>4.17</v>
      </c>
      <c r="M5" s="413">
        <f>'KI-KD'!$E12</f>
        <v>0</v>
      </c>
      <c r="N5" s="413">
        <f>'KI-KD'!$E13</f>
        <v>0</v>
      </c>
      <c r="O5" s="413">
        <f>'KI-KD'!$E14</f>
        <v>0</v>
      </c>
      <c r="P5" s="413">
        <f>'KI-KD'!$E15</f>
        <v>0</v>
      </c>
      <c r="Q5" s="407">
        <f>'KI-KD'!$E16</f>
        <v>0</v>
      </c>
      <c r="R5" s="407">
        <f>'KI-KD'!$E17</f>
        <v>0</v>
      </c>
      <c r="S5" s="407">
        <f>'KI-KD'!$E18</f>
        <v>0</v>
      </c>
      <c r="T5" s="407">
        <f>'KI-KD'!$E19</f>
        <v>0</v>
      </c>
      <c r="U5" s="407">
        <f>'KI-KD'!$E20</f>
        <v>0</v>
      </c>
      <c r="V5" s="407">
        <f>'KI-KD'!$E21</f>
        <v>0</v>
      </c>
      <c r="W5" s="407">
        <f>'KI-KD'!$E22</f>
        <v>0</v>
      </c>
      <c r="X5" s="407">
        <f>'KI-KD'!$E23</f>
        <v>0</v>
      </c>
      <c r="Y5" s="407">
        <f>'KI-KD'!$E24</f>
        <v>0</v>
      </c>
      <c r="Z5" s="414">
        <f>'KI-KD'!$E150</f>
        <v>0</v>
      </c>
      <c r="AA5" s="414">
        <f>'KI-KD'!$E151</f>
        <v>0</v>
      </c>
      <c r="AB5" s="414">
        <f>'KI-KD'!$E152</f>
        <v>0</v>
      </c>
      <c r="AC5" s="414">
        <f>'KI-KD'!$E153</f>
        <v>0</v>
      </c>
      <c r="AD5" s="414">
        <f>'KI-KD'!$E154</f>
        <v>4.5</v>
      </c>
      <c r="AE5" s="414">
        <f>'KI-KD'!$E155</f>
        <v>4.5999999999999996</v>
      </c>
      <c r="AF5" s="414">
        <f>'KI-KD'!$E156</f>
        <v>4.7</v>
      </c>
      <c r="AG5" s="414">
        <f>'KI-KD'!$E157</f>
        <v>4.8</v>
      </c>
      <c r="AH5" s="414">
        <f>'KI-KD'!$E158</f>
        <v>4.9000000000000004</v>
      </c>
      <c r="AI5" s="414" t="str">
        <f>'KI-KD'!$E159</f>
        <v>4.10</v>
      </c>
      <c r="AJ5" s="414" t="str">
        <f>'KI-KD'!$E160</f>
        <v>4.11</v>
      </c>
      <c r="AK5" s="414" t="str">
        <f>'KI-KD'!$E161</f>
        <v>4.12</v>
      </c>
      <c r="AL5" s="415">
        <f>'KI-KD'!$E165</f>
        <v>0</v>
      </c>
      <c r="AM5" s="415">
        <f>'KI-KD'!$E166</f>
        <v>0</v>
      </c>
      <c r="AN5" s="415">
        <f>'KI-KD'!$E167</f>
        <v>0</v>
      </c>
      <c r="AO5" s="415">
        <f>'KI-KD'!$E168</f>
        <v>0</v>
      </c>
      <c r="AP5" s="415">
        <f>'KI-KD'!$E169</f>
        <v>0</v>
      </c>
      <c r="AQ5" s="415">
        <f>'KI-KD'!$E170</f>
        <v>0</v>
      </c>
      <c r="AR5" s="415">
        <f>'KI-KD'!$E171</f>
        <v>0</v>
      </c>
      <c r="AS5" s="415">
        <f>'KI-KD'!$E172</f>
        <v>0</v>
      </c>
      <c r="AT5" s="415">
        <f>'KI-KD'!$E173</f>
        <v>0</v>
      </c>
      <c r="AU5" s="415">
        <f>'KI-KD'!$E174</f>
        <v>0</v>
      </c>
      <c r="AV5" s="415">
        <f>'KI-KD'!$E175</f>
        <v>0</v>
      </c>
      <c r="AW5" s="415">
        <f>'KI-KD'!$E176</f>
        <v>0</v>
      </c>
      <c r="AX5" s="414">
        <f>'KI-KD'!$E180</f>
        <v>0</v>
      </c>
      <c r="AY5" s="414">
        <f>'KI-KD'!$E181</f>
        <v>0</v>
      </c>
      <c r="AZ5" s="414">
        <f>'KI-KD'!$E182</f>
        <v>0</v>
      </c>
      <c r="BA5" s="414">
        <f>'KI-KD'!$E183</f>
        <v>0</v>
      </c>
      <c r="BB5" s="414">
        <f>'KI-KD'!$E184</f>
        <v>0</v>
      </c>
      <c r="BC5" s="414">
        <f>'KI-KD'!$E185</f>
        <v>0</v>
      </c>
      <c r="BD5" s="414">
        <f>'KI-KD'!$E186</f>
        <v>0</v>
      </c>
      <c r="BE5" s="414">
        <f>'KI-KD'!$E187</f>
        <v>0</v>
      </c>
      <c r="BF5" s="414">
        <f>'KI-KD'!$E188</f>
        <v>0</v>
      </c>
      <c r="BG5" s="414">
        <f>'KI-KD'!$E189</f>
        <v>0</v>
      </c>
      <c r="BH5" s="414">
        <f>'KI-KD'!$E190</f>
        <v>0</v>
      </c>
      <c r="BI5" s="414">
        <f>'KI-KD'!$E191</f>
        <v>0</v>
      </c>
      <c r="BJ5" s="415">
        <f>'KI-KD'!$E195</f>
        <v>0</v>
      </c>
      <c r="BK5" s="415">
        <f>'KI-KD'!$E196</f>
        <v>0</v>
      </c>
      <c r="BL5" s="415">
        <f>'KI-KD'!$E197</f>
        <v>0</v>
      </c>
      <c r="BM5" s="415">
        <f>'KI-KD'!$E198</f>
        <v>0</v>
      </c>
      <c r="BN5" s="415">
        <f>'KI-KD'!$E199</f>
        <v>0</v>
      </c>
      <c r="BO5" s="415">
        <f>'KI-KD'!$E200</f>
        <v>0</v>
      </c>
      <c r="BP5" s="415">
        <f>'KI-KD'!$E201</f>
        <v>0</v>
      </c>
      <c r="BQ5" s="415">
        <f>'KI-KD'!$E202</f>
        <v>0</v>
      </c>
      <c r="BR5" s="415">
        <f>'KI-KD'!$E203</f>
        <v>0</v>
      </c>
      <c r="BS5" s="415">
        <f>'KI-KD'!$E204</f>
        <v>0</v>
      </c>
      <c r="BT5" s="415">
        <f>'KI-KD'!$E205</f>
        <v>0</v>
      </c>
      <c r="BU5" s="415">
        <f>'KI-KD'!$E206</f>
        <v>0</v>
      </c>
      <c r="BV5" s="414">
        <f>'KI-KD'!$E210</f>
        <v>0</v>
      </c>
      <c r="BW5" s="414">
        <f>'KI-KD'!$E211</f>
        <v>0</v>
      </c>
      <c r="BX5" s="414">
        <f>'KI-KD'!$E212</f>
        <v>0</v>
      </c>
      <c r="BY5" s="414">
        <f>'KI-KD'!$E213</f>
        <v>0</v>
      </c>
      <c r="BZ5" s="414">
        <f>'KI-KD'!$E214</f>
        <v>0</v>
      </c>
      <c r="CA5" s="414">
        <f>'KI-KD'!$E215</f>
        <v>0</v>
      </c>
      <c r="CB5" s="414">
        <f>'KI-KD'!$E216</f>
        <v>0</v>
      </c>
      <c r="CC5" s="414">
        <f>'KI-KD'!$E217</f>
        <v>0</v>
      </c>
      <c r="CD5" s="414">
        <f>'KI-KD'!$E218</f>
        <v>0</v>
      </c>
      <c r="CE5" s="414">
        <f>'KI-KD'!$E219</f>
        <v>0</v>
      </c>
      <c r="CF5" s="414">
        <f>'KI-KD'!$E220</f>
        <v>0</v>
      </c>
      <c r="CG5" s="414">
        <f>'KI-KD'!$E221</f>
        <v>0</v>
      </c>
      <c r="CH5" s="413"/>
      <c r="CI5" s="690"/>
      <c r="CJ5" s="691"/>
      <c r="CK5" s="416" t="s">
        <v>269</v>
      </c>
      <c r="CL5" s="417" t="s">
        <v>3</v>
      </c>
      <c r="CM5" s="418" t="s">
        <v>269</v>
      </c>
      <c r="CN5" s="419" t="s">
        <v>3</v>
      </c>
      <c r="CO5" s="680"/>
      <c r="CP5" s="420"/>
      <c r="CQ5" s="421" t="s">
        <v>270</v>
      </c>
      <c r="CR5" s="421" t="s">
        <v>271</v>
      </c>
      <c r="CS5" s="421" t="s">
        <v>272</v>
      </c>
      <c r="CT5" s="421" t="s">
        <v>273</v>
      </c>
      <c r="CU5" s="422" t="s">
        <v>266</v>
      </c>
      <c r="CV5" s="423"/>
      <c r="DF5" s="141"/>
      <c r="DG5" s="141">
        <v>50</v>
      </c>
    </row>
    <row r="6" spans="1:118" ht="62.25" customHeight="1">
      <c r="B6" s="142">
        <v>1</v>
      </c>
      <c r="C6" s="143" t="str">
        <f>SISWA!B6</f>
        <v>1718250040305</v>
      </c>
      <c r="D6" s="144" t="str">
        <f>SISWA!E6</f>
        <v>YAHYA</v>
      </c>
      <c r="E6" s="159">
        <v>90</v>
      </c>
      <c r="F6" s="160">
        <v>90</v>
      </c>
      <c r="G6" s="160">
        <v>90</v>
      </c>
      <c r="H6" s="160">
        <v>90</v>
      </c>
      <c r="I6" s="160">
        <v>90</v>
      </c>
      <c r="J6" s="159">
        <v>90</v>
      </c>
      <c r="K6" s="159">
        <v>90</v>
      </c>
      <c r="L6" s="159">
        <v>90</v>
      </c>
      <c r="M6" s="159"/>
      <c r="N6" s="159"/>
      <c r="O6" s="159" t="s">
        <v>766</v>
      </c>
      <c r="P6" s="159"/>
      <c r="Q6" s="159"/>
      <c r="R6" s="159"/>
      <c r="S6" s="159"/>
      <c r="T6" s="159"/>
      <c r="U6" s="159"/>
      <c r="V6" s="159"/>
      <c r="W6" s="159"/>
      <c r="X6" s="159"/>
      <c r="Y6" s="159"/>
      <c r="Z6" s="387"/>
      <c r="AA6" s="387"/>
      <c r="AB6" s="387"/>
      <c r="AC6" s="387"/>
      <c r="AD6" s="387"/>
      <c r="AE6" s="387"/>
      <c r="AF6" s="387"/>
      <c r="AG6" s="387"/>
      <c r="AH6" s="387"/>
      <c r="AI6" s="387"/>
      <c r="AJ6" s="387"/>
      <c r="AK6" s="387"/>
      <c r="AL6" s="159"/>
      <c r="AM6" s="159"/>
      <c r="AN6" s="159"/>
      <c r="AO6" s="159"/>
      <c r="AP6" s="159"/>
      <c r="AQ6" s="159"/>
      <c r="AR6" s="159"/>
      <c r="AS6" s="159"/>
      <c r="AT6" s="159"/>
      <c r="AU6" s="159"/>
      <c r="AV6" s="159"/>
      <c r="AW6" s="159"/>
      <c r="AX6" s="387"/>
      <c r="AY6" s="387"/>
      <c r="AZ6" s="387"/>
      <c r="BA6" s="387"/>
      <c r="BB6" s="387"/>
      <c r="BC6" s="387"/>
      <c r="BD6" s="387"/>
      <c r="BE6" s="387"/>
      <c r="BF6" s="387"/>
      <c r="BG6" s="387"/>
      <c r="BH6" s="387"/>
      <c r="BI6" s="387"/>
      <c r="BJ6" s="159"/>
      <c r="BK6" s="159"/>
      <c r="BL6" s="159"/>
      <c r="BM6" s="159"/>
      <c r="BN6" s="159"/>
      <c r="BO6" s="159"/>
      <c r="BP6" s="159"/>
      <c r="BQ6" s="159"/>
      <c r="BR6" s="159"/>
      <c r="BS6" s="159"/>
      <c r="BT6" s="159"/>
      <c r="BU6" s="159"/>
      <c r="BV6" s="387"/>
      <c r="BW6" s="387"/>
      <c r="BX6" s="387"/>
      <c r="BY6" s="387"/>
      <c r="BZ6" s="387"/>
      <c r="CA6" s="387"/>
      <c r="CB6" s="387"/>
      <c r="CC6" s="387"/>
      <c r="CD6" s="387"/>
      <c r="CE6" s="387"/>
      <c r="CF6" s="387"/>
      <c r="CG6" s="387"/>
      <c r="CH6" s="145"/>
      <c r="CI6" s="354">
        <f>ROUND((AVERAGE(E6:CH6)),0)</f>
        <v>90</v>
      </c>
      <c r="CJ6" s="355" t="str">
        <f>IF(CI6&gt;KKM!$G$10,"A",IF(CI6&gt;KKM!$H$10,"B",IF(CI6&gt;=KKM!$I$10,"C","D")))</f>
        <v>A</v>
      </c>
      <c r="CK6" s="356">
        <f t="shared" ref="CK6" si="0">MAX(E6:CH6)</f>
        <v>90</v>
      </c>
      <c r="CL6" s="361" t="str">
        <f>IF(CK6&gt;KKM!$G$10," sangat baik ",IF(CK6&gt;KKM!$H$10," baik ",IF(CK6&gt;=KKM!$I$10," cukup baik "," perlu bimbingan ")))</f>
        <v xml:space="preserve"> sangat baik </v>
      </c>
      <c r="CM6" s="357">
        <f t="shared" ref="CM6" si="1">MIN(E6:CH6)</f>
        <v>90</v>
      </c>
      <c r="CN6" s="361" t="str">
        <f>IF(CM6&gt;KKM!$G$10," sangat baik ",IF(CM6&gt;KKM!$H$10," baik ",IF(CM6&gt;=KKM!$I$10," cukup baik "," perlu bimbingan ")))</f>
        <v xml:space="preserve"> sangat baik </v>
      </c>
      <c r="CO6" s="353" t="str">
        <f>IFERROR(CV6," ")</f>
        <v>YAHYA sangat baik  dalam membaca Q.S. at-Tīn dan Q.S. al-Mā’ūn dengan tartil.</v>
      </c>
      <c r="CP6" s="358"/>
      <c r="CQ6" s="359" t="str">
        <f t="shared" ref="CQ6:CQ55" si="2">CL6&amp;" dalam "&amp;INDEX($E$4:$CH$4,MATCH(CK6,$E6:$CH6,0))</f>
        <v xml:space="preserve"> sangat baik  dalam membaca Q.S. at-Tīn dan Q.S. al-Mā’ūn dengan tartil.</v>
      </c>
      <c r="CR6" s="359" t="str">
        <f t="shared" ref="CR6:CR55" si="3">CN6&amp;" dalam "&amp;INDEX($E$4:$CH$4,MATCH(CM6,$E6:$CH6,0))</f>
        <v xml:space="preserve"> sangat baik  dalam membaca Q.S. at-Tīn dan Q.S. al-Mā’ūn dengan tartil.</v>
      </c>
      <c r="CS6" s="359" t="str">
        <f>CQ6&amp;", dan "&amp;CR6</f>
        <v xml:space="preserve"> sangat baik  dalam membaca Q.S. at-Tīn dan Q.S. al-Mā’ūn dengan tartil., dan  sangat baik  dalam membaca Q.S. at-Tīn dan Q.S. al-Mā’ūn dengan tartil.</v>
      </c>
      <c r="CT6" s="359" t="str">
        <f>IF(CQ6=CR6,CQ6," ")</f>
        <v xml:space="preserve"> sangat baik  dalam membaca Q.S. at-Tīn dan Q.S. al-Mā’ūn dengan tartil.</v>
      </c>
      <c r="CU6" s="360" t="str">
        <f>IF(CT6=" ",CS6,CT6)</f>
        <v xml:space="preserve"> sangat baik  dalam membaca Q.S. at-Tīn dan Q.S. al-Mā’ūn dengan tartil.</v>
      </c>
      <c r="CV6" s="353" t="str">
        <f t="shared" ref="CV6:CV37" si="4">CONCATENATE(D6,CU6)</f>
        <v>YAHYA sangat baik  dalam membaca Q.S. at-Tīn dan Q.S. al-Mā’ūn dengan tartil.</v>
      </c>
      <c r="CW6" s="153"/>
      <c r="DF6" s="469">
        <f>IFERROR(CI6,"")</f>
        <v>90</v>
      </c>
      <c r="DG6" s="469">
        <f>COUNTBLANK(DF6:DF55)</f>
        <v>7</v>
      </c>
    </row>
    <row r="7" spans="1:118" ht="62.25" customHeight="1">
      <c r="B7" s="142">
        <v>2</v>
      </c>
      <c r="C7" s="143" t="str">
        <f>SISWA!B7</f>
        <v>1718250040306</v>
      </c>
      <c r="D7" s="144" t="str">
        <f>SISWA!E7</f>
        <v>ADHWA</v>
      </c>
      <c r="E7" s="159">
        <v>90</v>
      </c>
      <c r="F7" s="160">
        <v>90</v>
      </c>
      <c r="G7" s="160">
        <v>90</v>
      </c>
      <c r="H7" s="160">
        <v>90</v>
      </c>
      <c r="I7" s="160">
        <v>90</v>
      </c>
      <c r="J7" s="159">
        <v>90</v>
      </c>
      <c r="K7" s="159">
        <v>90</v>
      </c>
      <c r="L7" s="159">
        <v>90</v>
      </c>
      <c r="M7" s="159"/>
      <c r="N7" s="159"/>
      <c r="O7" s="159"/>
      <c r="P7" s="159"/>
      <c r="Q7" s="159"/>
      <c r="R7" s="159"/>
      <c r="S7" s="159"/>
      <c r="T7" s="159"/>
      <c r="U7" s="159"/>
      <c r="V7" s="159"/>
      <c r="W7" s="159"/>
      <c r="X7" s="159"/>
      <c r="Y7" s="159"/>
      <c r="Z7" s="387"/>
      <c r="AA7" s="387"/>
      <c r="AB7" s="387"/>
      <c r="AC7" s="387"/>
      <c r="AD7" s="387"/>
      <c r="AE7" s="387"/>
      <c r="AF7" s="387"/>
      <c r="AG7" s="387"/>
      <c r="AH7" s="387"/>
      <c r="AI7" s="387"/>
      <c r="AJ7" s="387"/>
      <c r="AK7" s="387"/>
      <c r="AL7" s="159"/>
      <c r="AM7" s="159"/>
      <c r="AN7" s="159"/>
      <c r="AO7" s="159"/>
      <c r="AP7" s="159"/>
      <c r="AQ7" s="159"/>
      <c r="AR7" s="159"/>
      <c r="AS7" s="159"/>
      <c r="AT7" s="159"/>
      <c r="AU7" s="159"/>
      <c r="AV7" s="159"/>
      <c r="AW7" s="159"/>
      <c r="AX7" s="387"/>
      <c r="AY7" s="387"/>
      <c r="AZ7" s="387"/>
      <c r="BA7" s="387"/>
      <c r="BB7" s="387"/>
      <c r="BC7" s="387"/>
      <c r="BD7" s="387"/>
      <c r="BE7" s="387"/>
      <c r="BF7" s="387"/>
      <c r="BG7" s="387"/>
      <c r="BH7" s="387"/>
      <c r="BI7" s="387"/>
      <c r="BJ7" s="159"/>
      <c r="BK7" s="159"/>
      <c r="BL7" s="159"/>
      <c r="BM7" s="159"/>
      <c r="BN7" s="159"/>
      <c r="BO7" s="159"/>
      <c r="BP7" s="159"/>
      <c r="BQ7" s="159"/>
      <c r="BR7" s="159"/>
      <c r="BS7" s="159"/>
      <c r="BT7" s="159"/>
      <c r="BU7" s="159"/>
      <c r="BV7" s="387"/>
      <c r="BW7" s="387"/>
      <c r="BX7" s="387"/>
      <c r="BY7" s="387"/>
      <c r="BZ7" s="387"/>
      <c r="CA7" s="387"/>
      <c r="CB7" s="387"/>
      <c r="CC7" s="387"/>
      <c r="CD7" s="387"/>
      <c r="CE7" s="387"/>
      <c r="CF7" s="387"/>
      <c r="CG7" s="387"/>
      <c r="CH7" s="145"/>
      <c r="CI7" s="354">
        <f t="shared" ref="CI7:CI55" si="5">ROUND((AVERAGE(E7:CH7)),0)</f>
        <v>90</v>
      </c>
      <c r="CJ7" s="355" t="str">
        <f>IF(CI7&gt;KKM!$G$10,"A",IF(CI7&gt;KKM!$H$10,"B",IF(CI7&gt;=KKM!$I$10,"C","D")))</f>
        <v>A</v>
      </c>
      <c r="CK7" s="356">
        <f t="shared" ref="CK7:CK55" si="6">MAX(E7:CH7)</f>
        <v>90</v>
      </c>
      <c r="CL7" s="361" t="str">
        <f>IF(CK7&gt;KKM!$G$10," sangat baik ",IF(CK7&gt;KKM!$H$10," baik ",IF(CK7&gt;=KKM!$I$10," cukup baik "," perlu bimbingan ")))</f>
        <v xml:space="preserve"> sangat baik </v>
      </c>
      <c r="CM7" s="357">
        <f t="shared" ref="CM7:CM55" si="7">MIN(E7:CH7)</f>
        <v>90</v>
      </c>
      <c r="CN7" s="361" t="str">
        <f>IF(CM7&gt;KKM!$G$10," sangat baik ",IF(CM7&gt;KKM!$H$10," baik ",IF(CM7&gt;=KKM!$I$10," cukup baik "," perlu bimbingan ")))</f>
        <v xml:space="preserve"> sangat baik </v>
      </c>
      <c r="CO7" s="353" t="str">
        <f t="shared" ref="CO7:CO55" si="8">IFERROR(CV7," ")</f>
        <v>ADHWA sangat baik  dalam membaca Q.S. at-Tīn dan Q.S. al-Mā’ūn dengan tartil.</v>
      </c>
      <c r="CP7" s="358"/>
      <c r="CQ7" s="359" t="str">
        <f t="shared" si="2"/>
        <v xml:space="preserve"> sangat baik  dalam membaca Q.S. at-Tīn dan Q.S. al-Mā’ūn dengan tartil.</v>
      </c>
      <c r="CR7" s="359" t="str">
        <f t="shared" si="3"/>
        <v xml:space="preserve"> sangat baik  dalam membaca Q.S. at-Tīn dan Q.S. al-Mā’ūn dengan tartil.</v>
      </c>
      <c r="CS7" s="359" t="str">
        <f t="shared" ref="CS7:CS55" si="9">CQ7&amp;", dan "&amp;CR7</f>
        <v xml:space="preserve"> sangat baik  dalam membaca Q.S. at-Tīn dan Q.S. al-Mā’ūn dengan tartil., dan  sangat baik  dalam membaca Q.S. at-Tīn dan Q.S. al-Mā’ūn dengan tartil.</v>
      </c>
      <c r="CT7" s="359" t="str">
        <f t="shared" ref="CT7:CT55" si="10">IF(CQ7=CR7,CQ7," ")</f>
        <v xml:space="preserve"> sangat baik  dalam membaca Q.S. at-Tīn dan Q.S. al-Mā’ūn dengan tartil.</v>
      </c>
      <c r="CU7" s="360" t="str">
        <f t="shared" ref="CU7:CU55" si="11">IF(CT7=" ",CS7,CT7)</f>
        <v xml:space="preserve"> sangat baik  dalam membaca Q.S. at-Tīn dan Q.S. al-Mā’ūn dengan tartil.</v>
      </c>
      <c r="CV7" s="353" t="str">
        <f t="shared" si="4"/>
        <v>ADHWA sangat baik  dalam membaca Q.S. at-Tīn dan Q.S. al-Mā’ūn dengan tartil.</v>
      </c>
      <c r="CW7" s="153"/>
      <c r="DF7" s="469">
        <f t="shared" ref="DF7:DF55" si="12">IFERROR(CI7,"")</f>
        <v>90</v>
      </c>
      <c r="DG7" s="503">
        <f>IFERROR(DG4/DG3,"0%")</f>
        <v>1</v>
      </c>
    </row>
    <row r="8" spans="1:118" ht="62.25" customHeight="1">
      <c r="B8" s="142">
        <v>3</v>
      </c>
      <c r="C8" s="143" t="str">
        <f>SISWA!B8</f>
        <v xml:space="preserve"> 1718250040307</v>
      </c>
      <c r="D8" s="144" t="str">
        <f>SISWA!E8</f>
        <v>ANDHIKA</v>
      </c>
      <c r="E8" s="159">
        <v>89</v>
      </c>
      <c r="F8" s="160">
        <v>89</v>
      </c>
      <c r="G8" s="160">
        <v>89</v>
      </c>
      <c r="H8" s="160">
        <v>89</v>
      </c>
      <c r="I8" s="160">
        <v>89</v>
      </c>
      <c r="J8" s="159">
        <v>89</v>
      </c>
      <c r="K8" s="159">
        <v>89</v>
      </c>
      <c r="L8" s="159">
        <v>89</v>
      </c>
      <c r="M8" s="159"/>
      <c r="N8" s="159"/>
      <c r="O8" s="159"/>
      <c r="P8" s="159"/>
      <c r="Q8" s="159"/>
      <c r="R8" s="159"/>
      <c r="S8" s="159"/>
      <c r="T8" s="159"/>
      <c r="U8" s="159"/>
      <c r="V8" s="159"/>
      <c r="W8" s="159"/>
      <c r="X8" s="159"/>
      <c r="Y8" s="159"/>
      <c r="Z8" s="387"/>
      <c r="AA8" s="387"/>
      <c r="AB8" s="387"/>
      <c r="AC8" s="387"/>
      <c r="AD8" s="387"/>
      <c r="AE8" s="387"/>
      <c r="AF8" s="387"/>
      <c r="AG8" s="387"/>
      <c r="AH8" s="387"/>
      <c r="AI8" s="387"/>
      <c r="AJ8" s="387"/>
      <c r="AK8" s="387"/>
      <c r="AL8" s="159"/>
      <c r="AM8" s="159"/>
      <c r="AN8" s="159"/>
      <c r="AO8" s="159"/>
      <c r="AP8" s="159"/>
      <c r="AQ8" s="159"/>
      <c r="AR8" s="159"/>
      <c r="AS8" s="159"/>
      <c r="AT8" s="159"/>
      <c r="AU8" s="159"/>
      <c r="AV8" s="159"/>
      <c r="AW8" s="159"/>
      <c r="AX8" s="387"/>
      <c r="AY8" s="387"/>
      <c r="AZ8" s="387"/>
      <c r="BA8" s="387"/>
      <c r="BB8" s="387"/>
      <c r="BC8" s="387"/>
      <c r="BD8" s="387"/>
      <c r="BE8" s="387"/>
      <c r="BF8" s="387"/>
      <c r="BG8" s="387"/>
      <c r="BH8" s="387"/>
      <c r="BI8" s="387"/>
      <c r="BJ8" s="159"/>
      <c r="BK8" s="159"/>
      <c r="BL8" s="159"/>
      <c r="BM8" s="159"/>
      <c r="BN8" s="159"/>
      <c r="BO8" s="159"/>
      <c r="BP8" s="159"/>
      <c r="BQ8" s="159"/>
      <c r="BR8" s="159"/>
      <c r="BS8" s="159"/>
      <c r="BT8" s="159"/>
      <c r="BU8" s="159"/>
      <c r="BV8" s="387"/>
      <c r="BW8" s="387"/>
      <c r="BX8" s="387"/>
      <c r="BY8" s="387"/>
      <c r="BZ8" s="387"/>
      <c r="CA8" s="387"/>
      <c r="CB8" s="387"/>
      <c r="CC8" s="387"/>
      <c r="CD8" s="387"/>
      <c r="CE8" s="387"/>
      <c r="CF8" s="387"/>
      <c r="CG8" s="387"/>
      <c r="CH8" s="145"/>
      <c r="CI8" s="354">
        <f t="shared" si="5"/>
        <v>89</v>
      </c>
      <c r="CJ8" s="355" t="str">
        <f>IF(CI8&gt;KKM!$G$10,"A",IF(CI8&gt;KKM!$H$10,"B",IF(CI8&gt;=KKM!$I$10,"C","D")))</f>
        <v>A</v>
      </c>
      <c r="CK8" s="356">
        <f t="shared" si="6"/>
        <v>89</v>
      </c>
      <c r="CL8" s="361" t="str">
        <f>IF(CK8&gt;KKM!$G$10," sangat baik ",IF(CK8&gt;KKM!$H$10," baik ",IF(CK8&gt;=KKM!$I$10," cukup baik "," perlu bimbingan ")))</f>
        <v xml:space="preserve"> sangat baik </v>
      </c>
      <c r="CM8" s="357">
        <f t="shared" si="7"/>
        <v>89</v>
      </c>
      <c r="CN8" s="361" t="str">
        <f>IF(CM8&gt;KKM!$G$10," sangat baik ",IF(CM8&gt;KKM!$H$10," baik ",IF(CM8&gt;=KKM!$I$10," cukup baik "," perlu bimbingan ")))</f>
        <v xml:space="preserve"> sangat baik </v>
      </c>
      <c r="CO8" s="353" t="str">
        <f t="shared" si="8"/>
        <v>ANDHIKA sangat baik  dalam membaca Q.S. at-Tīn dan Q.S. al-Mā’ūn dengan tartil.</v>
      </c>
      <c r="CP8" s="358"/>
      <c r="CQ8" s="359" t="str">
        <f t="shared" si="2"/>
        <v xml:space="preserve"> sangat baik  dalam membaca Q.S. at-Tīn dan Q.S. al-Mā’ūn dengan tartil.</v>
      </c>
      <c r="CR8" s="359" t="str">
        <f t="shared" si="3"/>
        <v xml:space="preserve"> sangat baik  dalam membaca Q.S. at-Tīn dan Q.S. al-Mā’ūn dengan tartil.</v>
      </c>
      <c r="CS8" s="359" t="str">
        <f t="shared" si="9"/>
        <v xml:space="preserve"> sangat baik  dalam membaca Q.S. at-Tīn dan Q.S. al-Mā’ūn dengan tartil., dan  sangat baik  dalam membaca Q.S. at-Tīn dan Q.S. al-Mā’ūn dengan tartil.</v>
      </c>
      <c r="CT8" s="359" t="str">
        <f t="shared" si="10"/>
        <v xml:space="preserve"> sangat baik  dalam membaca Q.S. at-Tīn dan Q.S. al-Mā’ūn dengan tartil.</v>
      </c>
      <c r="CU8" s="360" t="str">
        <f t="shared" si="11"/>
        <v xml:space="preserve"> sangat baik  dalam membaca Q.S. at-Tīn dan Q.S. al-Mā’ūn dengan tartil.</v>
      </c>
      <c r="CV8" s="353" t="str">
        <f t="shared" si="4"/>
        <v>ANDHIKA sangat baik  dalam membaca Q.S. at-Tīn dan Q.S. al-Mā’ūn dengan tartil.</v>
      </c>
      <c r="CW8" s="153"/>
      <c r="DF8" s="469">
        <f t="shared" si="12"/>
        <v>89</v>
      </c>
    </row>
    <row r="9" spans="1:118" ht="62.25" customHeight="1">
      <c r="B9" s="142">
        <v>4</v>
      </c>
      <c r="C9" s="143" t="str">
        <f>SISWA!B9</f>
        <v xml:space="preserve"> 1718250040308</v>
      </c>
      <c r="D9" s="144" t="str">
        <f>SISWA!E9</f>
        <v>ANGGARA</v>
      </c>
      <c r="E9" s="159">
        <v>90</v>
      </c>
      <c r="F9" s="160">
        <v>90</v>
      </c>
      <c r="G9" s="160">
        <v>90</v>
      </c>
      <c r="H9" s="160">
        <v>90</v>
      </c>
      <c r="I9" s="160">
        <v>90</v>
      </c>
      <c r="J9" s="159">
        <v>90</v>
      </c>
      <c r="K9" s="159">
        <v>90</v>
      </c>
      <c r="L9" s="159">
        <v>90</v>
      </c>
      <c r="M9" s="159"/>
      <c r="N9" s="159"/>
      <c r="O9" s="159"/>
      <c r="P9" s="159"/>
      <c r="Q9" s="159"/>
      <c r="R9" s="159"/>
      <c r="S9" s="159"/>
      <c r="T9" s="159"/>
      <c r="U9" s="159"/>
      <c r="V9" s="159"/>
      <c r="W9" s="159"/>
      <c r="X9" s="159"/>
      <c r="Y9" s="159"/>
      <c r="Z9" s="387"/>
      <c r="AA9" s="387"/>
      <c r="AB9" s="387"/>
      <c r="AC9" s="387"/>
      <c r="AD9" s="387"/>
      <c r="AE9" s="387"/>
      <c r="AF9" s="387"/>
      <c r="AG9" s="387"/>
      <c r="AH9" s="387"/>
      <c r="AI9" s="387"/>
      <c r="AJ9" s="387"/>
      <c r="AK9" s="387"/>
      <c r="AL9" s="159"/>
      <c r="AM9" s="159"/>
      <c r="AN9" s="159"/>
      <c r="AO9" s="159"/>
      <c r="AP9" s="159"/>
      <c r="AQ9" s="159"/>
      <c r="AR9" s="159"/>
      <c r="AS9" s="159"/>
      <c r="AT9" s="159"/>
      <c r="AU9" s="159"/>
      <c r="AV9" s="159"/>
      <c r="AW9" s="159"/>
      <c r="AX9" s="387"/>
      <c r="AY9" s="387"/>
      <c r="AZ9" s="387"/>
      <c r="BA9" s="387"/>
      <c r="BB9" s="387"/>
      <c r="BC9" s="387"/>
      <c r="BD9" s="387"/>
      <c r="BE9" s="387"/>
      <c r="BF9" s="387"/>
      <c r="BG9" s="387"/>
      <c r="BH9" s="387"/>
      <c r="BI9" s="387"/>
      <c r="BJ9" s="159"/>
      <c r="BK9" s="159"/>
      <c r="BL9" s="159"/>
      <c r="BM9" s="159"/>
      <c r="BN9" s="159"/>
      <c r="BO9" s="159"/>
      <c r="BP9" s="159"/>
      <c r="BQ9" s="159"/>
      <c r="BR9" s="159"/>
      <c r="BS9" s="159"/>
      <c r="BT9" s="159"/>
      <c r="BU9" s="159"/>
      <c r="BV9" s="387"/>
      <c r="BW9" s="387"/>
      <c r="BX9" s="387"/>
      <c r="BY9" s="387"/>
      <c r="BZ9" s="387"/>
      <c r="CA9" s="387"/>
      <c r="CB9" s="387"/>
      <c r="CC9" s="387"/>
      <c r="CD9" s="387"/>
      <c r="CE9" s="387"/>
      <c r="CF9" s="387"/>
      <c r="CG9" s="387"/>
      <c r="CH9" s="145"/>
      <c r="CI9" s="354">
        <f t="shared" si="5"/>
        <v>90</v>
      </c>
      <c r="CJ9" s="355" t="str">
        <f>IF(CI9&gt;KKM!$G$10,"A",IF(CI9&gt;KKM!$H$10,"B",IF(CI9&gt;=KKM!$I$10,"C","D")))</f>
        <v>A</v>
      </c>
      <c r="CK9" s="356">
        <f t="shared" si="6"/>
        <v>90</v>
      </c>
      <c r="CL9" s="361" t="str">
        <f>IF(CK9&gt;KKM!$G$10," sangat baik ",IF(CK9&gt;KKM!$H$10," baik ",IF(CK9&gt;=KKM!$I$10," cukup baik "," perlu bimbingan ")))</f>
        <v xml:space="preserve"> sangat baik </v>
      </c>
      <c r="CM9" s="357">
        <f t="shared" si="7"/>
        <v>90</v>
      </c>
      <c r="CN9" s="361" t="str">
        <f>IF(CM9&gt;KKM!$G$10," sangat baik ",IF(CM9&gt;KKM!$H$10," baik ",IF(CM9&gt;=KKM!$I$10," cukup baik "," perlu bimbingan ")))</f>
        <v xml:space="preserve"> sangat baik </v>
      </c>
      <c r="CO9" s="353" t="str">
        <f t="shared" si="8"/>
        <v>ANGGARA sangat baik  dalam membaca Q.S. at-Tīn dan Q.S. al-Mā’ūn dengan tartil.</v>
      </c>
      <c r="CP9" s="358"/>
      <c r="CQ9" s="359" t="str">
        <f t="shared" si="2"/>
        <v xml:space="preserve"> sangat baik  dalam membaca Q.S. at-Tīn dan Q.S. al-Mā’ūn dengan tartil.</v>
      </c>
      <c r="CR9" s="359" t="str">
        <f t="shared" si="3"/>
        <v xml:space="preserve"> sangat baik  dalam membaca Q.S. at-Tīn dan Q.S. al-Mā’ūn dengan tartil.</v>
      </c>
      <c r="CS9" s="359" t="str">
        <f t="shared" si="9"/>
        <v xml:space="preserve"> sangat baik  dalam membaca Q.S. at-Tīn dan Q.S. al-Mā’ūn dengan tartil., dan  sangat baik  dalam membaca Q.S. at-Tīn dan Q.S. al-Mā’ūn dengan tartil.</v>
      </c>
      <c r="CT9" s="359" t="str">
        <f t="shared" si="10"/>
        <v xml:space="preserve"> sangat baik  dalam membaca Q.S. at-Tīn dan Q.S. al-Mā’ūn dengan tartil.</v>
      </c>
      <c r="CU9" s="360" t="str">
        <f t="shared" si="11"/>
        <v xml:space="preserve"> sangat baik  dalam membaca Q.S. at-Tīn dan Q.S. al-Mā’ūn dengan tartil.</v>
      </c>
      <c r="CV9" s="353" t="str">
        <f t="shared" si="4"/>
        <v>ANGGARA sangat baik  dalam membaca Q.S. at-Tīn dan Q.S. al-Mā’ūn dengan tartil.</v>
      </c>
      <c r="CW9" s="153"/>
      <c r="DF9" s="469">
        <f t="shared" si="12"/>
        <v>90</v>
      </c>
    </row>
    <row r="10" spans="1:118" ht="62.25" customHeight="1">
      <c r="B10" s="142">
        <v>5</v>
      </c>
      <c r="C10" s="143" t="str">
        <f>SISWA!B10</f>
        <v>1718250040309</v>
      </c>
      <c r="D10" s="144" t="str">
        <f>SISWA!E10</f>
        <v>ARIA</v>
      </c>
      <c r="E10" s="159">
        <v>90</v>
      </c>
      <c r="F10" s="160">
        <v>90</v>
      </c>
      <c r="G10" s="160">
        <v>90</v>
      </c>
      <c r="H10" s="160">
        <v>90</v>
      </c>
      <c r="I10" s="160">
        <v>90</v>
      </c>
      <c r="J10" s="159">
        <v>90</v>
      </c>
      <c r="K10" s="159">
        <v>90</v>
      </c>
      <c r="L10" s="159">
        <v>90</v>
      </c>
      <c r="M10" s="159"/>
      <c r="N10" s="159"/>
      <c r="O10" s="159"/>
      <c r="P10" s="159"/>
      <c r="Q10" s="159"/>
      <c r="R10" s="159"/>
      <c r="S10" s="159"/>
      <c r="T10" s="159"/>
      <c r="U10" s="159"/>
      <c r="V10" s="159"/>
      <c r="W10" s="159"/>
      <c r="X10" s="159"/>
      <c r="Y10" s="159"/>
      <c r="Z10" s="387"/>
      <c r="AA10" s="387"/>
      <c r="AB10" s="387"/>
      <c r="AC10" s="387"/>
      <c r="AD10" s="387"/>
      <c r="AE10" s="387"/>
      <c r="AF10" s="387"/>
      <c r="AG10" s="387"/>
      <c r="AH10" s="387"/>
      <c r="AI10" s="387"/>
      <c r="AJ10" s="387"/>
      <c r="AK10" s="387"/>
      <c r="AL10" s="159"/>
      <c r="AM10" s="159"/>
      <c r="AN10" s="159"/>
      <c r="AO10" s="159"/>
      <c r="AP10" s="159"/>
      <c r="AQ10" s="159"/>
      <c r="AR10" s="159"/>
      <c r="AS10" s="159"/>
      <c r="AT10" s="159"/>
      <c r="AU10" s="159"/>
      <c r="AV10" s="159"/>
      <c r="AW10" s="159"/>
      <c r="AX10" s="387"/>
      <c r="AY10" s="387"/>
      <c r="AZ10" s="387"/>
      <c r="BA10" s="387"/>
      <c r="BB10" s="387"/>
      <c r="BC10" s="387"/>
      <c r="BD10" s="387"/>
      <c r="BE10" s="387"/>
      <c r="BF10" s="387"/>
      <c r="BG10" s="387"/>
      <c r="BH10" s="387"/>
      <c r="BI10" s="387"/>
      <c r="BJ10" s="159"/>
      <c r="BK10" s="159"/>
      <c r="BL10" s="159"/>
      <c r="BM10" s="159"/>
      <c r="BN10" s="159"/>
      <c r="BO10" s="159"/>
      <c r="BP10" s="159"/>
      <c r="BQ10" s="159"/>
      <c r="BR10" s="159"/>
      <c r="BS10" s="159"/>
      <c r="BT10" s="159"/>
      <c r="BU10" s="159"/>
      <c r="BV10" s="387"/>
      <c r="BW10" s="387"/>
      <c r="BX10" s="387"/>
      <c r="BY10" s="387"/>
      <c r="BZ10" s="387"/>
      <c r="CA10" s="387"/>
      <c r="CB10" s="387"/>
      <c r="CC10" s="387"/>
      <c r="CD10" s="387"/>
      <c r="CE10" s="387"/>
      <c r="CF10" s="387"/>
      <c r="CG10" s="387"/>
      <c r="CH10" s="145"/>
      <c r="CI10" s="354">
        <f t="shared" si="5"/>
        <v>90</v>
      </c>
      <c r="CJ10" s="355" t="str">
        <f>IF(CI10&gt;KKM!$G$10,"A",IF(CI10&gt;KKM!$H$10,"B",IF(CI10&gt;=KKM!$I$10,"C","D")))</f>
        <v>A</v>
      </c>
      <c r="CK10" s="356">
        <f t="shared" si="6"/>
        <v>90</v>
      </c>
      <c r="CL10" s="361" t="str">
        <f>IF(CK10&gt;KKM!$G$10," sangat baik ",IF(CK10&gt;KKM!$H$10," baik ",IF(CK10&gt;=KKM!$I$10," cukup baik "," perlu bimbingan ")))</f>
        <v xml:space="preserve"> sangat baik </v>
      </c>
      <c r="CM10" s="357">
        <f t="shared" si="7"/>
        <v>90</v>
      </c>
      <c r="CN10" s="361" t="str">
        <f>IF(CM10&gt;KKM!$G$10," sangat baik ",IF(CM10&gt;KKM!$H$10," baik ",IF(CM10&gt;=KKM!$I$10," cukup baik "," perlu bimbingan ")))</f>
        <v xml:space="preserve"> sangat baik </v>
      </c>
      <c r="CO10" s="353" t="str">
        <f t="shared" si="8"/>
        <v>ARIA sangat baik  dalam membaca Q.S. at-Tīn dan Q.S. al-Mā’ūn dengan tartil.</v>
      </c>
      <c r="CP10" s="358"/>
      <c r="CQ10" s="359" t="str">
        <f t="shared" si="2"/>
        <v xml:space="preserve"> sangat baik  dalam membaca Q.S. at-Tīn dan Q.S. al-Mā’ūn dengan tartil.</v>
      </c>
      <c r="CR10" s="359" t="str">
        <f t="shared" si="3"/>
        <v xml:space="preserve"> sangat baik  dalam membaca Q.S. at-Tīn dan Q.S. al-Mā’ūn dengan tartil.</v>
      </c>
      <c r="CS10" s="359" t="str">
        <f t="shared" si="9"/>
        <v xml:space="preserve"> sangat baik  dalam membaca Q.S. at-Tīn dan Q.S. al-Mā’ūn dengan tartil., dan  sangat baik  dalam membaca Q.S. at-Tīn dan Q.S. al-Mā’ūn dengan tartil.</v>
      </c>
      <c r="CT10" s="359" t="str">
        <f t="shared" si="10"/>
        <v xml:space="preserve"> sangat baik  dalam membaca Q.S. at-Tīn dan Q.S. al-Mā’ūn dengan tartil.</v>
      </c>
      <c r="CU10" s="360" t="str">
        <f t="shared" si="11"/>
        <v xml:space="preserve"> sangat baik  dalam membaca Q.S. at-Tīn dan Q.S. al-Mā’ūn dengan tartil.</v>
      </c>
      <c r="CV10" s="353" t="str">
        <f t="shared" si="4"/>
        <v>ARIA sangat baik  dalam membaca Q.S. at-Tīn dan Q.S. al-Mā’ūn dengan tartil.</v>
      </c>
      <c r="CW10" s="153"/>
      <c r="DF10" s="469">
        <f t="shared" si="12"/>
        <v>90</v>
      </c>
    </row>
    <row r="11" spans="1:118" ht="62.25" customHeight="1">
      <c r="B11" s="142">
        <v>6</v>
      </c>
      <c r="C11" s="143" t="str">
        <f>SISWA!B11</f>
        <v>1718250040310</v>
      </c>
      <c r="D11" s="144" t="str">
        <f>SISWA!E11</f>
        <v>CAHAYA</v>
      </c>
      <c r="E11" s="159">
        <v>90</v>
      </c>
      <c r="F11" s="160">
        <v>90</v>
      </c>
      <c r="G11" s="160">
        <v>90</v>
      </c>
      <c r="H11" s="160">
        <v>90</v>
      </c>
      <c r="I11" s="160">
        <v>90</v>
      </c>
      <c r="J11" s="159">
        <v>90</v>
      </c>
      <c r="K11" s="159">
        <v>90</v>
      </c>
      <c r="L11" s="159">
        <v>90</v>
      </c>
      <c r="M11" s="159"/>
      <c r="N11" s="159"/>
      <c r="O11" s="159"/>
      <c r="P11" s="159"/>
      <c r="Q11" s="159"/>
      <c r="R11" s="159"/>
      <c r="S11" s="159"/>
      <c r="T11" s="159"/>
      <c r="U11" s="159"/>
      <c r="V11" s="159"/>
      <c r="W11" s="159"/>
      <c r="X11" s="159"/>
      <c r="Y11" s="159"/>
      <c r="Z11" s="387"/>
      <c r="AA11" s="387"/>
      <c r="AB11" s="387"/>
      <c r="AC11" s="387"/>
      <c r="AD11" s="387"/>
      <c r="AE11" s="387"/>
      <c r="AF11" s="387"/>
      <c r="AG11" s="387"/>
      <c r="AH11" s="387"/>
      <c r="AI11" s="387"/>
      <c r="AJ11" s="387"/>
      <c r="AK11" s="387"/>
      <c r="AL11" s="159"/>
      <c r="AM11" s="159"/>
      <c r="AN11" s="159"/>
      <c r="AO11" s="159"/>
      <c r="AP11" s="159"/>
      <c r="AQ11" s="159"/>
      <c r="AR11" s="159"/>
      <c r="AS11" s="159"/>
      <c r="AT11" s="159"/>
      <c r="AU11" s="159"/>
      <c r="AV11" s="159"/>
      <c r="AW11" s="159"/>
      <c r="AX11" s="387"/>
      <c r="AY11" s="387"/>
      <c r="AZ11" s="387"/>
      <c r="BA11" s="387"/>
      <c r="BB11" s="387"/>
      <c r="BC11" s="387"/>
      <c r="BD11" s="387"/>
      <c r="BE11" s="387"/>
      <c r="BF11" s="387"/>
      <c r="BG11" s="387"/>
      <c r="BH11" s="387"/>
      <c r="BI11" s="387"/>
      <c r="BJ11" s="159"/>
      <c r="BK11" s="159"/>
      <c r="BL11" s="159"/>
      <c r="BM11" s="159"/>
      <c r="BN11" s="159"/>
      <c r="BO11" s="159"/>
      <c r="BP11" s="159"/>
      <c r="BQ11" s="159"/>
      <c r="BR11" s="159"/>
      <c r="BS11" s="159"/>
      <c r="BT11" s="159"/>
      <c r="BU11" s="159"/>
      <c r="BV11" s="387"/>
      <c r="BW11" s="387"/>
      <c r="BX11" s="387"/>
      <c r="BY11" s="387"/>
      <c r="BZ11" s="387"/>
      <c r="CA11" s="387"/>
      <c r="CB11" s="387"/>
      <c r="CC11" s="387"/>
      <c r="CD11" s="387"/>
      <c r="CE11" s="387"/>
      <c r="CF11" s="387"/>
      <c r="CG11" s="387"/>
      <c r="CH11" s="145"/>
      <c r="CI11" s="354">
        <f t="shared" si="5"/>
        <v>90</v>
      </c>
      <c r="CJ11" s="355" t="str">
        <f>IF(CI11&gt;KKM!$G$10,"A",IF(CI11&gt;KKM!$H$10,"B",IF(CI11&gt;=KKM!$I$10,"C","D")))</f>
        <v>A</v>
      </c>
      <c r="CK11" s="356">
        <f t="shared" si="6"/>
        <v>90</v>
      </c>
      <c r="CL11" s="361" t="str">
        <f>IF(CK11&gt;KKM!$G$10," sangat baik ",IF(CK11&gt;KKM!$H$10," baik ",IF(CK11&gt;=KKM!$I$10," cukup baik "," perlu bimbingan ")))</f>
        <v xml:space="preserve"> sangat baik </v>
      </c>
      <c r="CM11" s="357">
        <f t="shared" si="7"/>
        <v>90</v>
      </c>
      <c r="CN11" s="361" t="str">
        <f>IF(CM11&gt;KKM!$G$10," sangat baik ",IF(CM11&gt;KKM!$H$10," baik ",IF(CM11&gt;=KKM!$I$10," cukup baik "," perlu bimbingan ")))</f>
        <v xml:space="preserve"> sangat baik </v>
      </c>
      <c r="CO11" s="353" t="str">
        <f t="shared" si="8"/>
        <v>CAHAYA sangat baik  dalam membaca Q.S. at-Tīn dan Q.S. al-Mā’ūn dengan tartil.</v>
      </c>
      <c r="CP11" s="358"/>
      <c r="CQ11" s="359" t="str">
        <f t="shared" si="2"/>
        <v xml:space="preserve"> sangat baik  dalam membaca Q.S. at-Tīn dan Q.S. al-Mā’ūn dengan tartil.</v>
      </c>
      <c r="CR11" s="359" t="str">
        <f t="shared" si="3"/>
        <v xml:space="preserve"> sangat baik  dalam membaca Q.S. at-Tīn dan Q.S. al-Mā’ūn dengan tartil.</v>
      </c>
      <c r="CS11" s="359" t="str">
        <f t="shared" si="9"/>
        <v xml:space="preserve"> sangat baik  dalam membaca Q.S. at-Tīn dan Q.S. al-Mā’ūn dengan tartil., dan  sangat baik  dalam membaca Q.S. at-Tīn dan Q.S. al-Mā’ūn dengan tartil.</v>
      </c>
      <c r="CT11" s="359" t="str">
        <f t="shared" si="10"/>
        <v xml:space="preserve"> sangat baik  dalam membaca Q.S. at-Tīn dan Q.S. al-Mā’ūn dengan tartil.</v>
      </c>
      <c r="CU11" s="360" t="str">
        <f t="shared" si="11"/>
        <v xml:space="preserve"> sangat baik  dalam membaca Q.S. at-Tīn dan Q.S. al-Mā’ūn dengan tartil.</v>
      </c>
      <c r="CV11" s="353" t="str">
        <f t="shared" si="4"/>
        <v>CAHAYA sangat baik  dalam membaca Q.S. at-Tīn dan Q.S. al-Mā’ūn dengan tartil.</v>
      </c>
      <c r="CW11" s="153"/>
      <c r="DF11" s="469">
        <f t="shared" si="12"/>
        <v>90</v>
      </c>
    </row>
    <row r="12" spans="1:118" ht="62.25" customHeight="1">
      <c r="B12" s="142">
        <v>7</v>
      </c>
      <c r="C12" s="143" t="str">
        <f>SISWA!B12</f>
        <v>1718250040311</v>
      </c>
      <c r="D12" s="144" t="str">
        <f>SISWA!E12</f>
        <v>CALISTA</v>
      </c>
      <c r="E12" s="159">
        <v>85</v>
      </c>
      <c r="F12" s="160">
        <v>85</v>
      </c>
      <c r="G12" s="160">
        <v>85</v>
      </c>
      <c r="H12" s="160">
        <v>85</v>
      </c>
      <c r="I12" s="160">
        <v>85</v>
      </c>
      <c r="J12" s="159">
        <v>85</v>
      </c>
      <c r="K12" s="159">
        <v>85</v>
      </c>
      <c r="L12" s="159">
        <v>85</v>
      </c>
      <c r="M12" s="159"/>
      <c r="N12" s="159"/>
      <c r="O12" s="159"/>
      <c r="P12" s="159"/>
      <c r="Q12" s="159"/>
      <c r="R12" s="159"/>
      <c r="S12" s="159"/>
      <c r="T12" s="159"/>
      <c r="U12" s="159"/>
      <c r="V12" s="159"/>
      <c r="W12" s="159"/>
      <c r="X12" s="159"/>
      <c r="Y12" s="159"/>
      <c r="Z12" s="387"/>
      <c r="AA12" s="387"/>
      <c r="AB12" s="387"/>
      <c r="AC12" s="387"/>
      <c r="AD12" s="387"/>
      <c r="AE12" s="387"/>
      <c r="AF12" s="387"/>
      <c r="AG12" s="387"/>
      <c r="AH12" s="387"/>
      <c r="AI12" s="387"/>
      <c r="AJ12" s="387"/>
      <c r="AK12" s="387"/>
      <c r="AL12" s="159"/>
      <c r="AM12" s="159"/>
      <c r="AN12" s="159"/>
      <c r="AO12" s="159"/>
      <c r="AP12" s="159"/>
      <c r="AQ12" s="159"/>
      <c r="AR12" s="159"/>
      <c r="AS12" s="159"/>
      <c r="AT12" s="159"/>
      <c r="AU12" s="159"/>
      <c r="AV12" s="159"/>
      <c r="AW12" s="159"/>
      <c r="AX12" s="387"/>
      <c r="AY12" s="387"/>
      <c r="AZ12" s="387"/>
      <c r="BA12" s="387"/>
      <c r="BB12" s="387"/>
      <c r="BC12" s="387"/>
      <c r="BD12" s="387"/>
      <c r="BE12" s="387"/>
      <c r="BF12" s="387"/>
      <c r="BG12" s="387"/>
      <c r="BH12" s="387"/>
      <c r="BI12" s="387"/>
      <c r="BJ12" s="159"/>
      <c r="BK12" s="159"/>
      <c r="BL12" s="159"/>
      <c r="BM12" s="159"/>
      <c r="BN12" s="159"/>
      <c r="BO12" s="159"/>
      <c r="BP12" s="159"/>
      <c r="BQ12" s="159"/>
      <c r="BR12" s="159"/>
      <c r="BS12" s="159"/>
      <c r="BT12" s="159"/>
      <c r="BU12" s="159"/>
      <c r="BV12" s="387"/>
      <c r="BW12" s="387"/>
      <c r="BX12" s="387"/>
      <c r="BY12" s="387"/>
      <c r="BZ12" s="387"/>
      <c r="CA12" s="387"/>
      <c r="CB12" s="387"/>
      <c r="CC12" s="387"/>
      <c r="CD12" s="387"/>
      <c r="CE12" s="387"/>
      <c r="CF12" s="387"/>
      <c r="CG12" s="387"/>
      <c r="CH12" s="145"/>
      <c r="CI12" s="354">
        <f t="shared" si="5"/>
        <v>85</v>
      </c>
      <c r="CJ12" s="355" t="str">
        <f>IF(CI12&gt;KKM!$G$10,"A",IF(CI12&gt;KKM!$H$10,"B",IF(CI12&gt;=KKM!$I$10,"C","D")))</f>
        <v>B</v>
      </c>
      <c r="CK12" s="356">
        <f t="shared" si="6"/>
        <v>85</v>
      </c>
      <c r="CL12" s="361" t="str">
        <f>IF(CK12&gt;KKM!$G$10," sangat baik ",IF(CK12&gt;KKM!$H$10," baik ",IF(CK12&gt;=KKM!$I$10," cukup baik "," perlu bimbingan ")))</f>
        <v xml:space="preserve"> baik </v>
      </c>
      <c r="CM12" s="357">
        <f t="shared" si="7"/>
        <v>85</v>
      </c>
      <c r="CN12" s="361" t="str">
        <f>IF(CM12&gt;KKM!$G$10," sangat baik ",IF(CM12&gt;KKM!$H$10," baik ",IF(CM12&gt;=KKM!$I$10," cukup baik "," perlu bimbingan ")))</f>
        <v xml:space="preserve"> baik </v>
      </c>
      <c r="CO12" s="353" t="str">
        <f t="shared" si="8"/>
        <v>CALISTA baik  dalam membaca Q.S. at-Tīn dan Q.S. al-Mā’ūn dengan tartil.</v>
      </c>
      <c r="CP12" s="358"/>
      <c r="CQ12" s="359" t="str">
        <f t="shared" si="2"/>
        <v xml:space="preserve"> baik  dalam membaca Q.S. at-Tīn dan Q.S. al-Mā’ūn dengan tartil.</v>
      </c>
      <c r="CR12" s="359" t="str">
        <f t="shared" si="3"/>
        <v xml:space="preserve"> baik  dalam membaca Q.S. at-Tīn dan Q.S. al-Mā’ūn dengan tartil.</v>
      </c>
      <c r="CS12" s="359" t="str">
        <f t="shared" si="9"/>
        <v xml:space="preserve"> baik  dalam membaca Q.S. at-Tīn dan Q.S. al-Mā’ūn dengan tartil., dan  baik  dalam membaca Q.S. at-Tīn dan Q.S. al-Mā’ūn dengan tartil.</v>
      </c>
      <c r="CT12" s="359" t="str">
        <f t="shared" si="10"/>
        <v xml:space="preserve"> baik  dalam membaca Q.S. at-Tīn dan Q.S. al-Mā’ūn dengan tartil.</v>
      </c>
      <c r="CU12" s="360" t="str">
        <f t="shared" si="11"/>
        <v xml:space="preserve"> baik  dalam membaca Q.S. at-Tīn dan Q.S. al-Mā’ūn dengan tartil.</v>
      </c>
      <c r="CV12" s="353" t="str">
        <f t="shared" si="4"/>
        <v>CALISTA baik  dalam membaca Q.S. at-Tīn dan Q.S. al-Mā’ūn dengan tartil.</v>
      </c>
      <c r="CW12" s="153"/>
      <c r="DF12" s="469">
        <f t="shared" si="12"/>
        <v>85</v>
      </c>
    </row>
    <row r="13" spans="1:118" ht="62.25" customHeight="1">
      <c r="B13" s="142">
        <v>8</v>
      </c>
      <c r="C13" s="143" t="str">
        <f>SISWA!B13</f>
        <v>1718250040312</v>
      </c>
      <c r="D13" s="144" t="str">
        <f>SISWA!E13</f>
        <v>CARISSA</v>
      </c>
      <c r="E13" s="159">
        <v>85</v>
      </c>
      <c r="F13" s="160">
        <v>85</v>
      </c>
      <c r="G13" s="160">
        <v>85</v>
      </c>
      <c r="H13" s="160">
        <v>85</v>
      </c>
      <c r="I13" s="160">
        <v>85</v>
      </c>
      <c r="J13" s="159">
        <v>85</v>
      </c>
      <c r="K13" s="159">
        <v>85</v>
      </c>
      <c r="L13" s="159">
        <v>85</v>
      </c>
      <c r="M13" s="159"/>
      <c r="N13" s="159"/>
      <c r="O13" s="159"/>
      <c r="P13" s="159"/>
      <c r="Q13" s="159"/>
      <c r="R13" s="159"/>
      <c r="S13" s="159"/>
      <c r="T13" s="159"/>
      <c r="U13" s="159"/>
      <c r="V13" s="159"/>
      <c r="W13" s="159"/>
      <c r="X13" s="159"/>
      <c r="Y13" s="159"/>
      <c r="Z13" s="387"/>
      <c r="AA13" s="387"/>
      <c r="AB13" s="387"/>
      <c r="AC13" s="387"/>
      <c r="AD13" s="387"/>
      <c r="AE13" s="387"/>
      <c r="AF13" s="387"/>
      <c r="AG13" s="387"/>
      <c r="AH13" s="387"/>
      <c r="AI13" s="387"/>
      <c r="AJ13" s="387"/>
      <c r="AK13" s="387"/>
      <c r="AL13" s="159"/>
      <c r="AM13" s="159"/>
      <c r="AN13" s="159"/>
      <c r="AO13" s="159"/>
      <c r="AP13" s="159"/>
      <c r="AQ13" s="159"/>
      <c r="AR13" s="159"/>
      <c r="AS13" s="159"/>
      <c r="AT13" s="159"/>
      <c r="AU13" s="159"/>
      <c r="AV13" s="159"/>
      <c r="AW13" s="159"/>
      <c r="AX13" s="387"/>
      <c r="AY13" s="387"/>
      <c r="AZ13" s="387"/>
      <c r="BA13" s="387"/>
      <c r="BB13" s="387"/>
      <c r="BC13" s="387"/>
      <c r="BD13" s="387"/>
      <c r="BE13" s="387"/>
      <c r="BF13" s="387"/>
      <c r="BG13" s="387"/>
      <c r="BH13" s="387"/>
      <c r="BI13" s="387"/>
      <c r="BJ13" s="159"/>
      <c r="BK13" s="159"/>
      <c r="BL13" s="159"/>
      <c r="BM13" s="159"/>
      <c r="BN13" s="159"/>
      <c r="BO13" s="159"/>
      <c r="BP13" s="159"/>
      <c r="BQ13" s="159"/>
      <c r="BR13" s="159"/>
      <c r="BS13" s="159"/>
      <c r="BT13" s="159"/>
      <c r="BU13" s="159"/>
      <c r="BV13" s="387"/>
      <c r="BW13" s="387"/>
      <c r="BX13" s="387"/>
      <c r="BY13" s="387"/>
      <c r="BZ13" s="387"/>
      <c r="CA13" s="387"/>
      <c r="CB13" s="387"/>
      <c r="CC13" s="387"/>
      <c r="CD13" s="387"/>
      <c r="CE13" s="387"/>
      <c r="CF13" s="387"/>
      <c r="CG13" s="387"/>
      <c r="CH13" s="145"/>
      <c r="CI13" s="354">
        <f t="shared" si="5"/>
        <v>85</v>
      </c>
      <c r="CJ13" s="355" t="str">
        <f>IF(CI13&gt;KKM!$G$10,"A",IF(CI13&gt;KKM!$H$10,"B",IF(CI13&gt;=KKM!$I$10,"C","D")))</f>
        <v>B</v>
      </c>
      <c r="CK13" s="356">
        <f t="shared" si="6"/>
        <v>85</v>
      </c>
      <c r="CL13" s="361" t="str">
        <f>IF(CK13&gt;KKM!$G$10," sangat baik ",IF(CK13&gt;KKM!$H$10," baik ",IF(CK13&gt;=KKM!$I$10," cukup baik "," perlu bimbingan ")))</f>
        <v xml:space="preserve"> baik </v>
      </c>
      <c r="CM13" s="357">
        <f t="shared" si="7"/>
        <v>85</v>
      </c>
      <c r="CN13" s="361" t="str">
        <f>IF(CM13&gt;KKM!$G$10," sangat baik ",IF(CM13&gt;KKM!$H$10," baik ",IF(CM13&gt;=KKM!$I$10," cukup baik "," perlu bimbingan ")))</f>
        <v xml:space="preserve"> baik </v>
      </c>
      <c r="CO13" s="353" t="str">
        <f t="shared" si="8"/>
        <v>CARISSA baik  dalam membaca Q.S. at-Tīn dan Q.S. al-Mā’ūn dengan tartil.</v>
      </c>
      <c r="CP13" s="358"/>
      <c r="CQ13" s="359" t="str">
        <f t="shared" si="2"/>
        <v xml:space="preserve"> baik  dalam membaca Q.S. at-Tīn dan Q.S. al-Mā’ūn dengan tartil.</v>
      </c>
      <c r="CR13" s="359" t="str">
        <f t="shared" si="3"/>
        <v xml:space="preserve"> baik  dalam membaca Q.S. at-Tīn dan Q.S. al-Mā’ūn dengan tartil.</v>
      </c>
      <c r="CS13" s="359" t="str">
        <f t="shared" si="9"/>
        <v xml:space="preserve"> baik  dalam membaca Q.S. at-Tīn dan Q.S. al-Mā’ūn dengan tartil., dan  baik  dalam membaca Q.S. at-Tīn dan Q.S. al-Mā’ūn dengan tartil.</v>
      </c>
      <c r="CT13" s="359" t="str">
        <f t="shared" si="10"/>
        <v xml:space="preserve"> baik  dalam membaca Q.S. at-Tīn dan Q.S. al-Mā’ūn dengan tartil.</v>
      </c>
      <c r="CU13" s="360" t="str">
        <f t="shared" si="11"/>
        <v xml:space="preserve"> baik  dalam membaca Q.S. at-Tīn dan Q.S. al-Mā’ūn dengan tartil.</v>
      </c>
      <c r="CV13" s="353" t="str">
        <f t="shared" si="4"/>
        <v>CARISSA baik  dalam membaca Q.S. at-Tīn dan Q.S. al-Mā’ūn dengan tartil.</v>
      </c>
      <c r="CW13" s="153"/>
      <c r="DF13" s="469">
        <f t="shared" si="12"/>
        <v>85</v>
      </c>
    </row>
    <row r="14" spans="1:118" ht="62.25" customHeight="1">
      <c r="B14" s="142">
        <v>9</v>
      </c>
      <c r="C14" s="143" t="str">
        <f>SISWA!B14</f>
        <v>1718250040313</v>
      </c>
      <c r="D14" s="144" t="str">
        <f>SISWA!E14</f>
        <v>CHAIDAR</v>
      </c>
      <c r="E14" s="159">
        <v>90</v>
      </c>
      <c r="F14" s="160">
        <v>90</v>
      </c>
      <c r="G14" s="160">
        <v>90</v>
      </c>
      <c r="H14" s="160">
        <v>90</v>
      </c>
      <c r="I14" s="160">
        <v>90</v>
      </c>
      <c r="J14" s="159">
        <v>90</v>
      </c>
      <c r="K14" s="159">
        <v>90</v>
      </c>
      <c r="L14" s="159">
        <v>90</v>
      </c>
      <c r="M14" s="159"/>
      <c r="N14" s="159"/>
      <c r="O14" s="159"/>
      <c r="P14" s="159"/>
      <c r="Q14" s="159"/>
      <c r="R14" s="159"/>
      <c r="S14" s="159"/>
      <c r="T14" s="159"/>
      <c r="U14" s="159"/>
      <c r="V14" s="159"/>
      <c r="W14" s="159"/>
      <c r="X14" s="159"/>
      <c r="Y14" s="159"/>
      <c r="Z14" s="387"/>
      <c r="AA14" s="387"/>
      <c r="AB14" s="387"/>
      <c r="AC14" s="387"/>
      <c r="AD14" s="387"/>
      <c r="AE14" s="387"/>
      <c r="AF14" s="387"/>
      <c r="AG14" s="387"/>
      <c r="AH14" s="387"/>
      <c r="AI14" s="387"/>
      <c r="AJ14" s="387"/>
      <c r="AK14" s="387"/>
      <c r="AL14" s="159"/>
      <c r="AM14" s="159"/>
      <c r="AN14" s="159"/>
      <c r="AO14" s="159"/>
      <c r="AP14" s="159"/>
      <c r="AQ14" s="159"/>
      <c r="AR14" s="159"/>
      <c r="AS14" s="159"/>
      <c r="AT14" s="159"/>
      <c r="AU14" s="159"/>
      <c r="AV14" s="159"/>
      <c r="AW14" s="159"/>
      <c r="AX14" s="387"/>
      <c r="AY14" s="387"/>
      <c r="AZ14" s="387"/>
      <c r="BA14" s="387"/>
      <c r="BB14" s="387"/>
      <c r="BC14" s="387"/>
      <c r="BD14" s="387"/>
      <c r="BE14" s="387"/>
      <c r="BF14" s="387"/>
      <c r="BG14" s="387"/>
      <c r="BH14" s="387"/>
      <c r="BI14" s="387"/>
      <c r="BJ14" s="159"/>
      <c r="BK14" s="159"/>
      <c r="BL14" s="159"/>
      <c r="BM14" s="159"/>
      <c r="BN14" s="159"/>
      <c r="BO14" s="159"/>
      <c r="BP14" s="159"/>
      <c r="BQ14" s="159"/>
      <c r="BR14" s="159"/>
      <c r="BS14" s="159"/>
      <c r="BT14" s="159"/>
      <c r="BU14" s="159"/>
      <c r="BV14" s="387"/>
      <c r="BW14" s="387"/>
      <c r="BX14" s="387"/>
      <c r="BY14" s="387"/>
      <c r="BZ14" s="387"/>
      <c r="CA14" s="387"/>
      <c r="CB14" s="387"/>
      <c r="CC14" s="387"/>
      <c r="CD14" s="387"/>
      <c r="CE14" s="387"/>
      <c r="CF14" s="387"/>
      <c r="CG14" s="387"/>
      <c r="CH14" s="145"/>
      <c r="CI14" s="354">
        <f t="shared" si="5"/>
        <v>90</v>
      </c>
      <c r="CJ14" s="355" t="str">
        <f>IF(CI14&gt;KKM!$G$10,"A",IF(CI14&gt;KKM!$H$10,"B",IF(CI14&gt;=KKM!$I$10,"C","D")))</f>
        <v>A</v>
      </c>
      <c r="CK14" s="356">
        <f t="shared" si="6"/>
        <v>90</v>
      </c>
      <c r="CL14" s="361" t="str">
        <f>IF(CK14&gt;KKM!$G$10," sangat baik ",IF(CK14&gt;KKM!$H$10," baik ",IF(CK14&gt;=KKM!$I$10," cukup baik "," perlu bimbingan ")))</f>
        <v xml:space="preserve"> sangat baik </v>
      </c>
      <c r="CM14" s="357">
        <f t="shared" si="7"/>
        <v>90</v>
      </c>
      <c r="CN14" s="361" t="str">
        <f>IF(CM14&gt;KKM!$G$10," sangat baik ",IF(CM14&gt;KKM!$H$10," baik ",IF(CM14&gt;=KKM!$I$10," cukup baik "," perlu bimbingan ")))</f>
        <v xml:space="preserve"> sangat baik </v>
      </c>
      <c r="CO14" s="353" t="str">
        <f t="shared" si="8"/>
        <v>CHAIDAR sangat baik  dalam membaca Q.S. at-Tīn dan Q.S. al-Mā’ūn dengan tartil.</v>
      </c>
      <c r="CP14" s="358"/>
      <c r="CQ14" s="359" t="str">
        <f t="shared" si="2"/>
        <v xml:space="preserve"> sangat baik  dalam membaca Q.S. at-Tīn dan Q.S. al-Mā’ūn dengan tartil.</v>
      </c>
      <c r="CR14" s="359" t="str">
        <f t="shared" si="3"/>
        <v xml:space="preserve"> sangat baik  dalam membaca Q.S. at-Tīn dan Q.S. al-Mā’ūn dengan tartil.</v>
      </c>
      <c r="CS14" s="359" t="str">
        <f t="shared" si="9"/>
        <v xml:space="preserve"> sangat baik  dalam membaca Q.S. at-Tīn dan Q.S. al-Mā’ūn dengan tartil., dan  sangat baik  dalam membaca Q.S. at-Tīn dan Q.S. al-Mā’ūn dengan tartil.</v>
      </c>
      <c r="CT14" s="359" t="str">
        <f t="shared" si="10"/>
        <v xml:space="preserve"> sangat baik  dalam membaca Q.S. at-Tīn dan Q.S. al-Mā’ūn dengan tartil.</v>
      </c>
      <c r="CU14" s="360" t="str">
        <f t="shared" si="11"/>
        <v xml:space="preserve"> sangat baik  dalam membaca Q.S. at-Tīn dan Q.S. al-Mā’ūn dengan tartil.</v>
      </c>
      <c r="CV14" s="353" t="str">
        <f t="shared" si="4"/>
        <v>CHAIDAR sangat baik  dalam membaca Q.S. at-Tīn dan Q.S. al-Mā’ūn dengan tartil.</v>
      </c>
      <c r="CW14" s="153"/>
      <c r="DF14" s="469">
        <f t="shared" si="12"/>
        <v>90</v>
      </c>
    </row>
    <row r="15" spans="1:118" ht="62.25" customHeight="1">
      <c r="B15" s="142">
        <v>10</v>
      </c>
      <c r="C15" s="143" t="str">
        <f>SISWA!B15</f>
        <v>1718250040314</v>
      </c>
      <c r="D15" s="144" t="str">
        <f>SISWA!E15</f>
        <v>DAVKA</v>
      </c>
      <c r="E15" s="159">
        <v>90</v>
      </c>
      <c r="F15" s="160">
        <v>90</v>
      </c>
      <c r="G15" s="160">
        <v>90</v>
      </c>
      <c r="H15" s="160">
        <v>90</v>
      </c>
      <c r="I15" s="160">
        <v>90</v>
      </c>
      <c r="J15" s="159">
        <v>90</v>
      </c>
      <c r="K15" s="159">
        <v>90</v>
      </c>
      <c r="L15" s="159">
        <v>90</v>
      </c>
      <c r="M15" s="159"/>
      <c r="N15" s="159"/>
      <c r="O15" s="159"/>
      <c r="P15" s="159"/>
      <c r="Q15" s="159"/>
      <c r="R15" s="159"/>
      <c r="S15" s="159"/>
      <c r="T15" s="159"/>
      <c r="U15" s="159"/>
      <c r="V15" s="159"/>
      <c r="W15" s="159"/>
      <c r="X15" s="159"/>
      <c r="Y15" s="159"/>
      <c r="Z15" s="387"/>
      <c r="AA15" s="387"/>
      <c r="AB15" s="387"/>
      <c r="AC15" s="387"/>
      <c r="AD15" s="387"/>
      <c r="AE15" s="387"/>
      <c r="AF15" s="387"/>
      <c r="AG15" s="387"/>
      <c r="AH15" s="387"/>
      <c r="AI15" s="387"/>
      <c r="AJ15" s="387"/>
      <c r="AK15" s="387"/>
      <c r="AL15" s="159"/>
      <c r="AM15" s="159"/>
      <c r="AN15" s="159"/>
      <c r="AO15" s="159"/>
      <c r="AP15" s="159"/>
      <c r="AQ15" s="159"/>
      <c r="AR15" s="159"/>
      <c r="AS15" s="159"/>
      <c r="AT15" s="159"/>
      <c r="AU15" s="159"/>
      <c r="AV15" s="159"/>
      <c r="AW15" s="159"/>
      <c r="AX15" s="387"/>
      <c r="AY15" s="387"/>
      <c r="AZ15" s="387"/>
      <c r="BA15" s="387"/>
      <c r="BB15" s="387"/>
      <c r="BC15" s="387"/>
      <c r="BD15" s="387"/>
      <c r="BE15" s="387"/>
      <c r="BF15" s="387"/>
      <c r="BG15" s="387"/>
      <c r="BH15" s="387"/>
      <c r="BI15" s="387"/>
      <c r="BJ15" s="159"/>
      <c r="BK15" s="159"/>
      <c r="BL15" s="159"/>
      <c r="BM15" s="159"/>
      <c r="BN15" s="159"/>
      <c r="BO15" s="159"/>
      <c r="BP15" s="159"/>
      <c r="BQ15" s="159"/>
      <c r="BR15" s="159"/>
      <c r="BS15" s="159"/>
      <c r="BT15" s="159"/>
      <c r="BU15" s="159"/>
      <c r="BV15" s="387"/>
      <c r="BW15" s="387"/>
      <c r="BX15" s="387"/>
      <c r="BY15" s="387"/>
      <c r="BZ15" s="387"/>
      <c r="CA15" s="387"/>
      <c r="CB15" s="387"/>
      <c r="CC15" s="387"/>
      <c r="CD15" s="387"/>
      <c r="CE15" s="387"/>
      <c r="CF15" s="387"/>
      <c r="CG15" s="387"/>
      <c r="CH15" s="145"/>
      <c r="CI15" s="354">
        <f t="shared" si="5"/>
        <v>90</v>
      </c>
      <c r="CJ15" s="355" t="str">
        <f>IF(CI15&gt;KKM!$G$10,"A",IF(CI15&gt;KKM!$H$10,"B",IF(CI15&gt;=KKM!$I$10,"C","D")))</f>
        <v>A</v>
      </c>
      <c r="CK15" s="356">
        <f t="shared" si="6"/>
        <v>90</v>
      </c>
      <c r="CL15" s="361" t="str">
        <f>IF(CK15&gt;KKM!$G$10," sangat baik ",IF(CK15&gt;KKM!$H$10," baik ",IF(CK15&gt;=KKM!$I$10," cukup baik "," perlu bimbingan ")))</f>
        <v xml:space="preserve"> sangat baik </v>
      </c>
      <c r="CM15" s="357">
        <f t="shared" si="7"/>
        <v>90</v>
      </c>
      <c r="CN15" s="361" t="str">
        <f>IF(CM15&gt;KKM!$G$10," sangat baik ",IF(CM15&gt;KKM!$H$10," baik ",IF(CM15&gt;=KKM!$I$10," cukup baik "," perlu bimbingan ")))</f>
        <v xml:space="preserve"> sangat baik </v>
      </c>
      <c r="CO15" s="353" t="str">
        <f t="shared" si="8"/>
        <v>DAVKA sangat baik  dalam membaca Q.S. at-Tīn dan Q.S. al-Mā’ūn dengan tartil.</v>
      </c>
      <c r="CP15" s="358"/>
      <c r="CQ15" s="359" t="str">
        <f t="shared" si="2"/>
        <v xml:space="preserve"> sangat baik  dalam membaca Q.S. at-Tīn dan Q.S. al-Mā’ūn dengan tartil.</v>
      </c>
      <c r="CR15" s="359" t="str">
        <f t="shared" si="3"/>
        <v xml:space="preserve"> sangat baik  dalam membaca Q.S. at-Tīn dan Q.S. al-Mā’ūn dengan tartil.</v>
      </c>
      <c r="CS15" s="359" t="str">
        <f t="shared" si="9"/>
        <v xml:space="preserve"> sangat baik  dalam membaca Q.S. at-Tīn dan Q.S. al-Mā’ūn dengan tartil., dan  sangat baik  dalam membaca Q.S. at-Tīn dan Q.S. al-Mā’ūn dengan tartil.</v>
      </c>
      <c r="CT15" s="359" t="str">
        <f t="shared" si="10"/>
        <v xml:space="preserve"> sangat baik  dalam membaca Q.S. at-Tīn dan Q.S. al-Mā’ūn dengan tartil.</v>
      </c>
      <c r="CU15" s="360" t="str">
        <f t="shared" si="11"/>
        <v xml:space="preserve"> sangat baik  dalam membaca Q.S. at-Tīn dan Q.S. al-Mā’ūn dengan tartil.</v>
      </c>
      <c r="CV15" s="353" t="str">
        <f t="shared" si="4"/>
        <v>DAVKA sangat baik  dalam membaca Q.S. at-Tīn dan Q.S. al-Mā’ūn dengan tartil.</v>
      </c>
      <c r="CW15" s="153"/>
      <c r="DF15" s="469">
        <f t="shared" si="12"/>
        <v>90</v>
      </c>
    </row>
    <row r="16" spans="1:118" ht="62.25" customHeight="1">
      <c r="B16" s="142">
        <v>11</v>
      </c>
      <c r="C16" s="143" t="str">
        <f>SISWA!B16</f>
        <v>1718250040315</v>
      </c>
      <c r="D16" s="144" t="str">
        <f>SISWA!E16</f>
        <v>DZIBRIL</v>
      </c>
      <c r="E16" s="159">
        <v>83</v>
      </c>
      <c r="F16" s="160">
        <v>83</v>
      </c>
      <c r="G16" s="160">
        <v>83</v>
      </c>
      <c r="H16" s="160">
        <v>83</v>
      </c>
      <c r="I16" s="160">
        <v>83</v>
      </c>
      <c r="J16" s="159">
        <v>83</v>
      </c>
      <c r="K16" s="159">
        <v>83</v>
      </c>
      <c r="L16" s="159">
        <v>83</v>
      </c>
      <c r="M16" s="159"/>
      <c r="N16" s="159"/>
      <c r="O16" s="159"/>
      <c r="P16" s="159"/>
      <c r="Q16" s="159"/>
      <c r="R16" s="159"/>
      <c r="S16" s="159"/>
      <c r="T16" s="159"/>
      <c r="U16" s="159"/>
      <c r="V16" s="159"/>
      <c r="W16" s="159"/>
      <c r="X16" s="159"/>
      <c r="Y16" s="159"/>
      <c r="Z16" s="387"/>
      <c r="AA16" s="387"/>
      <c r="AB16" s="387"/>
      <c r="AC16" s="387"/>
      <c r="AD16" s="387"/>
      <c r="AE16" s="387"/>
      <c r="AF16" s="387"/>
      <c r="AG16" s="387"/>
      <c r="AH16" s="387"/>
      <c r="AI16" s="387"/>
      <c r="AJ16" s="387"/>
      <c r="AK16" s="387"/>
      <c r="AL16" s="159"/>
      <c r="AM16" s="159"/>
      <c r="AN16" s="159"/>
      <c r="AO16" s="159"/>
      <c r="AP16" s="159"/>
      <c r="AQ16" s="159"/>
      <c r="AR16" s="159"/>
      <c r="AS16" s="159"/>
      <c r="AT16" s="159"/>
      <c r="AU16" s="159"/>
      <c r="AV16" s="159"/>
      <c r="AW16" s="159"/>
      <c r="AX16" s="387"/>
      <c r="AY16" s="387"/>
      <c r="AZ16" s="387"/>
      <c r="BA16" s="387"/>
      <c r="BB16" s="387"/>
      <c r="BC16" s="387"/>
      <c r="BD16" s="387"/>
      <c r="BE16" s="387"/>
      <c r="BF16" s="387"/>
      <c r="BG16" s="387"/>
      <c r="BH16" s="387"/>
      <c r="BI16" s="387"/>
      <c r="BJ16" s="159"/>
      <c r="BK16" s="159"/>
      <c r="BL16" s="159"/>
      <c r="BM16" s="159"/>
      <c r="BN16" s="159"/>
      <c r="BO16" s="159"/>
      <c r="BP16" s="159"/>
      <c r="BQ16" s="159"/>
      <c r="BR16" s="159"/>
      <c r="BS16" s="159"/>
      <c r="BT16" s="159"/>
      <c r="BU16" s="159"/>
      <c r="BV16" s="387"/>
      <c r="BW16" s="387"/>
      <c r="BX16" s="387"/>
      <c r="BY16" s="387"/>
      <c r="BZ16" s="387"/>
      <c r="CA16" s="387"/>
      <c r="CB16" s="387"/>
      <c r="CC16" s="387"/>
      <c r="CD16" s="387"/>
      <c r="CE16" s="387"/>
      <c r="CF16" s="387"/>
      <c r="CG16" s="387"/>
      <c r="CH16" s="145"/>
      <c r="CI16" s="354">
        <f t="shared" si="5"/>
        <v>83</v>
      </c>
      <c r="CJ16" s="355" t="str">
        <f>IF(CI16&gt;KKM!$G$10,"A",IF(CI16&gt;KKM!$H$10,"B",IF(CI16&gt;=KKM!$I$10,"C","D")))</f>
        <v>B</v>
      </c>
      <c r="CK16" s="356">
        <f t="shared" si="6"/>
        <v>83</v>
      </c>
      <c r="CL16" s="361" t="str">
        <f>IF(CK16&gt;KKM!$G$10," sangat baik ",IF(CK16&gt;KKM!$H$10," baik ",IF(CK16&gt;=KKM!$I$10," cukup baik "," perlu bimbingan ")))</f>
        <v xml:space="preserve"> baik </v>
      </c>
      <c r="CM16" s="357">
        <f t="shared" si="7"/>
        <v>83</v>
      </c>
      <c r="CN16" s="361" t="str">
        <f>IF(CM16&gt;KKM!$G$10," sangat baik ",IF(CM16&gt;KKM!$H$10," baik ",IF(CM16&gt;=KKM!$I$10," cukup baik "," perlu bimbingan ")))</f>
        <v xml:space="preserve"> baik </v>
      </c>
      <c r="CO16" s="353" t="str">
        <f t="shared" si="8"/>
        <v>DZIBRIL baik  dalam membaca Q.S. at-Tīn dan Q.S. al-Mā’ūn dengan tartil.</v>
      </c>
      <c r="CP16" s="358"/>
      <c r="CQ16" s="359" t="str">
        <f t="shared" si="2"/>
        <v xml:space="preserve"> baik  dalam membaca Q.S. at-Tīn dan Q.S. al-Mā’ūn dengan tartil.</v>
      </c>
      <c r="CR16" s="359" t="str">
        <f t="shared" si="3"/>
        <v xml:space="preserve"> baik  dalam membaca Q.S. at-Tīn dan Q.S. al-Mā’ūn dengan tartil.</v>
      </c>
      <c r="CS16" s="359" t="str">
        <f t="shared" si="9"/>
        <v xml:space="preserve"> baik  dalam membaca Q.S. at-Tīn dan Q.S. al-Mā’ūn dengan tartil., dan  baik  dalam membaca Q.S. at-Tīn dan Q.S. al-Mā’ūn dengan tartil.</v>
      </c>
      <c r="CT16" s="359" t="str">
        <f t="shared" si="10"/>
        <v xml:space="preserve"> baik  dalam membaca Q.S. at-Tīn dan Q.S. al-Mā’ūn dengan tartil.</v>
      </c>
      <c r="CU16" s="360" t="str">
        <f t="shared" si="11"/>
        <v xml:space="preserve"> baik  dalam membaca Q.S. at-Tīn dan Q.S. al-Mā’ūn dengan tartil.</v>
      </c>
      <c r="CV16" s="353" t="str">
        <f t="shared" si="4"/>
        <v>DZIBRIL baik  dalam membaca Q.S. at-Tīn dan Q.S. al-Mā’ūn dengan tartil.</v>
      </c>
      <c r="CW16" s="153"/>
      <c r="DF16" s="469">
        <f t="shared" si="12"/>
        <v>83</v>
      </c>
    </row>
    <row r="17" spans="2:110" ht="62.25" customHeight="1">
      <c r="B17" s="142">
        <v>12</v>
      </c>
      <c r="C17" s="143" t="str">
        <f>SISWA!B17</f>
        <v>1718250040316</v>
      </c>
      <c r="D17" s="144" t="str">
        <f>SISWA!E17</f>
        <v>ERICHA</v>
      </c>
      <c r="E17" s="159"/>
      <c r="F17" s="160"/>
      <c r="G17" s="160"/>
      <c r="H17" s="160"/>
      <c r="I17" s="160"/>
      <c r="J17" s="159"/>
      <c r="K17" s="159"/>
      <c r="L17" s="159"/>
      <c r="M17" s="159"/>
      <c r="N17" s="159"/>
      <c r="O17" s="159"/>
      <c r="P17" s="159"/>
      <c r="Q17" s="159"/>
      <c r="R17" s="159"/>
      <c r="S17" s="159"/>
      <c r="T17" s="159"/>
      <c r="U17" s="159"/>
      <c r="V17" s="159"/>
      <c r="W17" s="159"/>
      <c r="X17" s="159"/>
      <c r="Y17" s="159"/>
      <c r="Z17" s="387">
        <v>96</v>
      </c>
      <c r="AA17" s="387"/>
      <c r="AB17" s="387" t="s">
        <v>766</v>
      </c>
      <c r="AC17" s="387"/>
      <c r="AD17" s="387"/>
      <c r="AE17" s="387"/>
      <c r="AF17" s="387"/>
      <c r="AG17" s="387"/>
      <c r="AH17" s="387"/>
      <c r="AI17" s="387"/>
      <c r="AJ17" s="387"/>
      <c r="AK17" s="387"/>
      <c r="AL17" s="159"/>
      <c r="AM17" s="159"/>
      <c r="AN17" s="159"/>
      <c r="AO17" s="159"/>
      <c r="AP17" s="159"/>
      <c r="AQ17" s="159"/>
      <c r="AR17" s="159"/>
      <c r="AS17" s="159"/>
      <c r="AT17" s="159"/>
      <c r="AU17" s="159"/>
      <c r="AV17" s="159"/>
      <c r="AW17" s="159"/>
      <c r="AX17" s="387"/>
      <c r="AY17" s="387"/>
      <c r="AZ17" s="387"/>
      <c r="BA17" s="387"/>
      <c r="BB17" s="387"/>
      <c r="BC17" s="387"/>
      <c r="BD17" s="387"/>
      <c r="BE17" s="387"/>
      <c r="BF17" s="387"/>
      <c r="BG17" s="387"/>
      <c r="BH17" s="387"/>
      <c r="BI17" s="387"/>
      <c r="BJ17" s="159"/>
      <c r="BK17" s="159"/>
      <c r="BL17" s="159"/>
      <c r="BM17" s="159"/>
      <c r="BN17" s="159"/>
      <c r="BO17" s="159"/>
      <c r="BP17" s="159"/>
      <c r="BQ17" s="159"/>
      <c r="BR17" s="159"/>
      <c r="BS17" s="159"/>
      <c r="BT17" s="159"/>
      <c r="BU17" s="159"/>
      <c r="BV17" s="387"/>
      <c r="BW17" s="387"/>
      <c r="BX17" s="387"/>
      <c r="BY17" s="387"/>
      <c r="BZ17" s="387"/>
      <c r="CA17" s="387"/>
      <c r="CB17" s="387"/>
      <c r="CC17" s="387"/>
      <c r="CD17" s="387"/>
      <c r="CE17" s="387"/>
      <c r="CF17" s="387"/>
      <c r="CG17" s="387"/>
      <c r="CH17" s="145"/>
      <c r="CI17" s="354">
        <f t="shared" si="5"/>
        <v>96</v>
      </c>
      <c r="CJ17" s="355" t="str">
        <f>IF(CI17&gt;KKM!$G$10,"A",IF(CI17&gt;KKM!$H$10,"B",IF(CI17&gt;=KKM!$I$10,"C","D")))</f>
        <v>A</v>
      </c>
      <c r="CK17" s="356">
        <f t="shared" si="6"/>
        <v>96</v>
      </c>
      <c r="CL17" s="361" t="str">
        <f>IF(CK17&gt;KKM!$G$10," sangat baik ",IF(CK17&gt;KKM!$H$10," baik ",IF(CK17&gt;=KKM!$I$10," cukup baik "," perlu bimbingan ")))</f>
        <v xml:space="preserve"> sangat baik </v>
      </c>
      <c r="CM17" s="357">
        <f t="shared" si="7"/>
        <v>96</v>
      </c>
      <c r="CN17" s="361" t="str">
        <f>IF(CM17&gt;KKM!$G$10," sangat baik ",IF(CM17&gt;KKM!$H$10," baik ",IF(CM17&gt;=KKM!$I$10," cukup baik "," perlu bimbingan ")))</f>
        <v xml:space="preserve"> sangat baik </v>
      </c>
      <c r="CO17" s="353" t="str">
        <f t="shared" si="8"/>
        <v>ERICHA sangat baik  dalam 0</v>
      </c>
      <c r="CP17" s="358"/>
      <c r="CQ17" s="359" t="str">
        <f t="shared" si="2"/>
        <v xml:space="preserve"> sangat baik  dalam 0</v>
      </c>
      <c r="CR17" s="359" t="str">
        <f t="shared" si="3"/>
        <v xml:space="preserve"> sangat baik  dalam 0</v>
      </c>
      <c r="CS17" s="359" t="str">
        <f t="shared" si="9"/>
        <v xml:space="preserve"> sangat baik  dalam 0, dan  sangat baik  dalam 0</v>
      </c>
      <c r="CT17" s="359" t="str">
        <f t="shared" si="10"/>
        <v xml:space="preserve"> sangat baik  dalam 0</v>
      </c>
      <c r="CU17" s="360" t="str">
        <f t="shared" si="11"/>
        <v xml:space="preserve"> sangat baik  dalam 0</v>
      </c>
      <c r="CV17" s="353" t="str">
        <f t="shared" si="4"/>
        <v>ERICHA sangat baik  dalam 0</v>
      </c>
      <c r="CW17" s="153"/>
      <c r="DF17" s="469">
        <f t="shared" si="12"/>
        <v>96</v>
      </c>
    </row>
    <row r="18" spans="2:110" ht="62.25" customHeight="1">
      <c r="B18" s="142">
        <v>13</v>
      </c>
      <c r="C18" s="143" t="str">
        <f>SISWA!B18</f>
        <v>1718250040317</v>
      </c>
      <c r="D18" s="144" t="str">
        <f>SISWA!E18</f>
        <v>HISYAM</v>
      </c>
      <c r="E18" s="159">
        <v>90</v>
      </c>
      <c r="F18" s="160">
        <v>90</v>
      </c>
      <c r="G18" s="160">
        <v>90</v>
      </c>
      <c r="H18" s="160">
        <v>90</v>
      </c>
      <c r="I18" s="160">
        <v>90</v>
      </c>
      <c r="J18" s="159">
        <v>90</v>
      </c>
      <c r="K18" s="159">
        <v>90</v>
      </c>
      <c r="L18" s="159">
        <v>90</v>
      </c>
      <c r="M18" s="159"/>
      <c r="N18" s="159"/>
      <c r="O18" s="159"/>
      <c r="P18" s="159"/>
      <c r="Q18" s="159"/>
      <c r="R18" s="159"/>
      <c r="S18" s="159"/>
      <c r="T18" s="159"/>
      <c r="U18" s="159"/>
      <c r="V18" s="159"/>
      <c r="W18" s="159"/>
      <c r="X18" s="159"/>
      <c r="Y18" s="159"/>
      <c r="Z18" s="387"/>
      <c r="AA18" s="387"/>
      <c r="AB18" s="387"/>
      <c r="AC18" s="387"/>
      <c r="AD18" s="387"/>
      <c r="AE18" s="387"/>
      <c r="AF18" s="387"/>
      <c r="AG18" s="387"/>
      <c r="AH18" s="387"/>
      <c r="AI18" s="387"/>
      <c r="AJ18" s="387"/>
      <c r="AK18" s="387"/>
      <c r="AL18" s="159"/>
      <c r="AM18" s="159"/>
      <c r="AN18" s="159"/>
      <c r="AO18" s="159"/>
      <c r="AP18" s="159"/>
      <c r="AQ18" s="159"/>
      <c r="AR18" s="159"/>
      <c r="AS18" s="159"/>
      <c r="AT18" s="159"/>
      <c r="AU18" s="159"/>
      <c r="AV18" s="159"/>
      <c r="AW18" s="159"/>
      <c r="AX18" s="387"/>
      <c r="AY18" s="387"/>
      <c r="AZ18" s="387"/>
      <c r="BA18" s="387"/>
      <c r="BB18" s="387"/>
      <c r="BC18" s="387"/>
      <c r="BD18" s="387"/>
      <c r="BE18" s="387"/>
      <c r="BF18" s="387"/>
      <c r="BG18" s="387"/>
      <c r="BH18" s="387"/>
      <c r="BI18" s="387"/>
      <c r="BJ18" s="159"/>
      <c r="BK18" s="159"/>
      <c r="BL18" s="159"/>
      <c r="BM18" s="159"/>
      <c r="BN18" s="159"/>
      <c r="BO18" s="159"/>
      <c r="BP18" s="159"/>
      <c r="BQ18" s="159"/>
      <c r="BR18" s="159"/>
      <c r="BS18" s="159"/>
      <c r="BT18" s="159"/>
      <c r="BU18" s="159"/>
      <c r="BV18" s="387"/>
      <c r="BW18" s="387"/>
      <c r="BX18" s="387"/>
      <c r="BY18" s="387"/>
      <c r="BZ18" s="387"/>
      <c r="CA18" s="387"/>
      <c r="CB18" s="387"/>
      <c r="CC18" s="387"/>
      <c r="CD18" s="387"/>
      <c r="CE18" s="387"/>
      <c r="CF18" s="387"/>
      <c r="CG18" s="387"/>
      <c r="CH18" s="145"/>
      <c r="CI18" s="354">
        <f t="shared" si="5"/>
        <v>90</v>
      </c>
      <c r="CJ18" s="355" t="str">
        <f>IF(CI18&gt;KKM!$G$10,"A",IF(CI18&gt;KKM!$H$10,"B",IF(CI18&gt;=KKM!$I$10,"C","D")))</f>
        <v>A</v>
      </c>
      <c r="CK18" s="356">
        <f t="shared" si="6"/>
        <v>90</v>
      </c>
      <c r="CL18" s="361" t="str">
        <f>IF(CK18&gt;KKM!$G$10," sangat baik ",IF(CK18&gt;KKM!$H$10," baik ",IF(CK18&gt;=KKM!$I$10," cukup baik "," perlu bimbingan ")))</f>
        <v xml:space="preserve"> sangat baik </v>
      </c>
      <c r="CM18" s="357">
        <f t="shared" si="7"/>
        <v>90</v>
      </c>
      <c r="CN18" s="361" t="str">
        <f>IF(CM18&gt;KKM!$G$10," sangat baik ",IF(CM18&gt;KKM!$H$10," baik ",IF(CM18&gt;=KKM!$I$10," cukup baik "," perlu bimbingan ")))</f>
        <v xml:space="preserve"> sangat baik </v>
      </c>
      <c r="CO18" s="353" t="str">
        <f t="shared" si="8"/>
        <v>HISYAM sangat baik  dalam membaca Q.S. at-Tīn dan Q.S. al-Mā’ūn dengan tartil.</v>
      </c>
      <c r="CP18" s="358"/>
      <c r="CQ18" s="359" t="str">
        <f t="shared" si="2"/>
        <v xml:space="preserve"> sangat baik  dalam membaca Q.S. at-Tīn dan Q.S. al-Mā’ūn dengan tartil.</v>
      </c>
      <c r="CR18" s="359" t="str">
        <f t="shared" si="3"/>
        <v xml:space="preserve"> sangat baik  dalam membaca Q.S. at-Tīn dan Q.S. al-Mā’ūn dengan tartil.</v>
      </c>
      <c r="CS18" s="359" t="str">
        <f t="shared" si="9"/>
        <v xml:space="preserve"> sangat baik  dalam membaca Q.S. at-Tīn dan Q.S. al-Mā’ūn dengan tartil., dan  sangat baik  dalam membaca Q.S. at-Tīn dan Q.S. al-Mā’ūn dengan tartil.</v>
      </c>
      <c r="CT18" s="359" t="str">
        <f t="shared" si="10"/>
        <v xml:space="preserve"> sangat baik  dalam membaca Q.S. at-Tīn dan Q.S. al-Mā’ūn dengan tartil.</v>
      </c>
      <c r="CU18" s="360" t="str">
        <f t="shared" si="11"/>
        <v xml:space="preserve"> sangat baik  dalam membaca Q.S. at-Tīn dan Q.S. al-Mā’ūn dengan tartil.</v>
      </c>
      <c r="CV18" s="353" t="str">
        <f t="shared" si="4"/>
        <v>HISYAM sangat baik  dalam membaca Q.S. at-Tīn dan Q.S. al-Mā’ūn dengan tartil.</v>
      </c>
      <c r="CW18" s="153"/>
      <c r="DF18" s="469">
        <f t="shared" si="12"/>
        <v>90</v>
      </c>
    </row>
    <row r="19" spans="2:110" ht="62.25" customHeight="1">
      <c r="B19" s="142">
        <v>14</v>
      </c>
      <c r="C19" s="143" t="str">
        <f>SISWA!B19</f>
        <v>1718250040318</v>
      </c>
      <c r="D19" s="144" t="str">
        <f>SISWA!E19</f>
        <v>FAUZI</v>
      </c>
      <c r="E19" s="159">
        <v>90</v>
      </c>
      <c r="F19" s="160">
        <v>90</v>
      </c>
      <c r="G19" s="160">
        <v>90</v>
      </c>
      <c r="H19" s="160">
        <v>90</v>
      </c>
      <c r="I19" s="160">
        <v>90</v>
      </c>
      <c r="J19" s="159">
        <v>90</v>
      </c>
      <c r="K19" s="159">
        <v>90</v>
      </c>
      <c r="L19" s="159">
        <v>90</v>
      </c>
      <c r="M19" s="159"/>
      <c r="N19" s="159"/>
      <c r="O19" s="159"/>
      <c r="P19" s="159"/>
      <c r="Q19" s="159"/>
      <c r="R19" s="159"/>
      <c r="S19" s="159"/>
      <c r="T19" s="159"/>
      <c r="U19" s="159"/>
      <c r="V19" s="159"/>
      <c r="W19" s="159"/>
      <c r="X19" s="159"/>
      <c r="Y19" s="159"/>
      <c r="Z19" s="387"/>
      <c r="AA19" s="387"/>
      <c r="AB19" s="387"/>
      <c r="AC19" s="387"/>
      <c r="AD19" s="387"/>
      <c r="AE19" s="387"/>
      <c r="AF19" s="387"/>
      <c r="AG19" s="387"/>
      <c r="AH19" s="387"/>
      <c r="AI19" s="387"/>
      <c r="AJ19" s="387"/>
      <c r="AK19" s="387"/>
      <c r="AL19" s="159"/>
      <c r="AM19" s="159"/>
      <c r="AN19" s="159"/>
      <c r="AO19" s="159"/>
      <c r="AP19" s="159"/>
      <c r="AQ19" s="159"/>
      <c r="AR19" s="159"/>
      <c r="AS19" s="159"/>
      <c r="AT19" s="159"/>
      <c r="AU19" s="159"/>
      <c r="AV19" s="159"/>
      <c r="AW19" s="159"/>
      <c r="AX19" s="387"/>
      <c r="AY19" s="387"/>
      <c r="AZ19" s="387"/>
      <c r="BA19" s="387"/>
      <c r="BB19" s="387"/>
      <c r="BC19" s="387"/>
      <c r="BD19" s="387"/>
      <c r="BE19" s="387"/>
      <c r="BF19" s="387"/>
      <c r="BG19" s="387"/>
      <c r="BH19" s="387"/>
      <c r="BI19" s="387"/>
      <c r="BJ19" s="159"/>
      <c r="BK19" s="159"/>
      <c r="BL19" s="159"/>
      <c r="BM19" s="159"/>
      <c r="BN19" s="159"/>
      <c r="BO19" s="159"/>
      <c r="BP19" s="159"/>
      <c r="BQ19" s="159"/>
      <c r="BR19" s="159"/>
      <c r="BS19" s="159"/>
      <c r="BT19" s="159"/>
      <c r="BU19" s="159"/>
      <c r="BV19" s="387"/>
      <c r="BW19" s="387"/>
      <c r="BX19" s="387"/>
      <c r="BY19" s="387"/>
      <c r="BZ19" s="387"/>
      <c r="CA19" s="387"/>
      <c r="CB19" s="387"/>
      <c r="CC19" s="387"/>
      <c r="CD19" s="387"/>
      <c r="CE19" s="387"/>
      <c r="CF19" s="387"/>
      <c r="CG19" s="387"/>
      <c r="CH19" s="145"/>
      <c r="CI19" s="354">
        <f t="shared" si="5"/>
        <v>90</v>
      </c>
      <c r="CJ19" s="355" t="str">
        <f>IF(CI19&gt;KKM!$G$10,"A",IF(CI19&gt;KKM!$H$10,"B",IF(CI19&gt;=KKM!$I$10,"C","D")))</f>
        <v>A</v>
      </c>
      <c r="CK19" s="356">
        <f t="shared" si="6"/>
        <v>90</v>
      </c>
      <c r="CL19" s="361" t="str">
        <f>IF(CK19&gt;KKM!$G$10," sangat baik ",IF(CK19&gt;KKM!$H$10," baik ",IF(CK19&gt;=KKM!$I$10," cukup baik "," perlu bimbingan ")))</f>
        <v xml:space="preserve"> sangat baik </v>
      </c>
      <c r="CM19" s="357">
        <f t="shared" si="7"/>
        <v>90</v>
      </c>
      <c r="CN19" s="361" t="str">
        <f>IF(CM19&gt;KKM!$G$10," sangat baik ",IF(CM19&gt;KKM!$H$10," baik ",IF(CM19&gt;=KKM!$I$10," cukup baik "," perlu bimbingan ")))</f>
        <v xml:space="preserve"> sangat baik </v>
      </c>
      <c r="CO19" s="353" t="str">
        <f t="shared" si="8"/>
        <v>FAUZI sangat baik  dalam membaca Q.S. at-Tīn dan Q.S. al-Mā’ūn dengan tartil.</v>
      </c>
      <c r="CP19" s="358"/>
      <c r="CQ19" s="359" t="str">
        <f t="shared" si="2"/>
        <v xml:space="preserve"> sangat baik  dalam membaca Q.S. at-Tīn dan Q.S. al-Mā’ūn dengan tartil.</v>
      </c>
      <c r="CR19" s="359" t="str">
        <f t="shared" si="3"/>
        <v xml:space="preserve"> sangat baik  dalam membaca Q.S. at-Tīn dan Q.S. al-Mā’ūn dengan tartil.</v>
      </c>
      <c r="CS19" s="359" t="str">
        <f t="shared" si="9"/>
        <v xml:space="preserve"> sangat baik  dalam membaca Q.S. at-Tīn dan Q.S. al-Mā’ūn dengan tartil., dan  sangat baik  dalam membaca Q.S. at-Tīn dan Q.S. al-Mā’ūn dengan tartil.</v>
      </c>
      <c r="CT19" s="359" t="str">
        <f t="shared" si="10"/>
        <v xml:space="preserve"> sangat baik  dalam membaca Q.S. at-Tīn dan Q.S. al-Mā’ūn dengan tartil.</v>
      </c>
      <c r="CU19" s="360" t="str">
        <f t="shared" si="11"/>
        <v xml:space="preserve"> sangat baik  dalam membaca Q.S. at-Tīn dan Q.S. al-Mā’ūn dengan tartil.</v>
      </c>
      <c r="CV19" s="353" t="str">
        <f t="shared" si="4"/>
        <v>FAUZI sangat baik  dalam membaca Q.S. at-Tīn dan Q.S. al-Mā’ūn dengan tartil.</v>
      </c>
      <c r="CW19" s="153"/>
      <c r="DF19" s="469">
        <f t="shared" si="12"/>
        <v>90</v>
      </c>
    </row>
    <row r="20" spans="2:110" ht="62.25" customHeight="1">
      <c r="B20" s="142">
        <v>15</v>
      </c>
      <c r="C20" s="143" t="str">
        <f>SISWA!B20</f>
        <v>1718250040319</v>
      </c>
      <c r="D20" s="144" t="str">
        <f>SISWA!E20</f>
        <v>FIRLY</v>
      </c>
      <c r="E20" s="159">
        <v>90</v>
      </c>
      <c r="F20" s="160">
        <v>90</v>
      </c>
      <c r="G20" s="160">
        <v>90</v>
      </c>
      <c r="H20" s="160">
        <v>90</v>
      </c>
      <c r="I20" s="160">
        <v>90</v>
      </c>
      <c r="J20" s="159">
        <v>90</v>
      </c>
      <c r="K20" s="159">
        <v>90</v>
      </c>
      <c r="L20" s="159">
        <v>90</v>
      </c>
      <c r="M20" s="159"/>
      <c r="N20" s="159"/>
      <c r="O20" s="159"/>
      <c r="P20" s="159"/>
      <c r="Q20" s="159"/>
      <c r="R20" s="159"/>
      <c r="S20" s="159"/>
      <c r="T20" s="159"/>
      <c r="U20" s="159"/>
      <c r="V20" s="159"/>
      <c r="W20" s="159"/>
      <c r="X20" s="159"/>
      <c r="Y20" s="159"/>
      <c r="Z20" s="387"/>
      <c r="AA20" s="387"/>
      <c r="AB20" s="387"/>
      <c r="AC20" s="387"/>
      <c r="AD20" s="387"/>
      <c r="AE20" s="387"/>
      <c r="AF20" s="387"/>
      <c r="AG20" s="387"/>
      <c r="AH20" s="387"/>
      <c r="AI20" s="387"/>
      <c r="AJ20" s="387"/>
      <c r="AK20" s="387"/>
      <c r="AL20" s="159"/>
      <c r="AM20" s="159"/>
      <c r="AN20" s="159"/>
      <c r="AO20" s="159"/>
      <c r="AP20" s="159"/>
      <c r="AQ20" s="159"/>
      <c r="AR20" s="159"/>
      <c r="AS20" s="159"/>
      <c r="AT20" s="159"/>
      <c r="AU20" s="159"/>
      <c r="AV20" s="159"/>
      <c r="AW20" s="159"/>
      <c r="AX20" s="387"/>
      <c r="AY20" s="387"/>
      <c r="AZ20" s="387"/>
      <c r="BA20" s="387"/>
      <c r="BB20" s="387"/>
      <c r="BC20" s="387"/>
      <c r="BD20" s="387"/>
      <c r="BE20" s="387"/>
      <c r="BF20" s="387"/>
      <c r="BG20" s="387"/>
      <c r="BH20" s="387"/>
      <c r="BI20" s="387"/>
      <c r="BJ20" s="159"/>
      <c r="BK20" s="159"/>
      <c r="BL20" s="159"/>
      <c r="BM20" s="159"/>
      <c r="BN20" s="159"/>
      <c r="BO20" s="159"/>
      <c r="BP20" s="159"/>
      <c r="BQ20" s="159"/>
      <c r="BR20" s="159"/>
      <c r="BS20" s="159"/>
      <c r="BT20" s="159"/>
      <c r="BU20" s="159"/>
      <c r="BV20" s="387"/>
      <c r="BW20" s="387"/>
      <c r="BX20" s="387"/>
      <c r="BY20" s="387"/>
      <c r="BZ20" s="387"/>
      <c r="CA20" s="387"/>
      <c r="CB20" s="387"/>
      <c r="CC20" s="387"/>
      <c r="CD20" s="387"/>
      <c r="CE20" s="387"/>
      <c r="CF20" s="387"/>
      <c r="CG20" s="387"/>
      <c r="CH20" s="145"/>
      <c r="CI20" s="354">
        <f t="shared" si="5"/>
        <v>90</v>
      </c>
      <c r="CJ20" s="355" t="str">
        <f>IF(CI20&gt;KKM!$G$10,"A",IF(CI20&gt;KKM!$H$10,"B",IF(CI20&gt;=KKM!$I$10,"C","D")))</f>
        <v>A</v>
      </c>
      <c r="CK20" s="356">
        <f t="shared" si="6"/>
        <v>90</v>
      </c>
      <c r="CL20" s="361" t="str">
        <f>IF(CK20&gt;KKM!$G$10," sangat baik ",IF(CK20&gt;KKM!$H$10," baik ",IF(CK20&gt;=KKM!$I$10," cukup baik "," perlu bimbingan ")))</f>
        <v xml:space="preserve"> sangat baik </v>
      </c>
      <c r="CM20" s="357">
        <f t="shared" si="7"/>
        <v>90</v>
      </c>
      <c r="CN20" s="361" t="str">
        <f>IF(CM20&gt;KKM!$G$10," sangat baik ",IF(CM20&gt;KKM!$H$10," baik ",IF(CM20&gt;=KKM!$I$10," cukup baik "," perlu bimbingan ")))</f>
        <v xml:space="preserve"> sangat baik </v>
      </c>
      <c r="CO20" s="353" t="str">
        <f t="shared" si="8"/>
        <v>FIRLY sangat baik  dalam membaca Q.S. at-Tīn dan Q.S. al-Mā’ūn dengan tartil.</v>
      </c>
      <c r="CP20" s="358"/>
      <c r="CQ20" s="359" t="str">
        <f t="shared" si="2"/>
        <v xml:space="preserve"> sangat baik  dalam membaca Q.S. at-Tīn dan Q.S. al-Mā’ūn dengan tartil.</v>
      </c>
      <c r="CR20" s="359" t="str">
        <f t="shared" si="3"/>
        <v xml:space="preserve"> sangat baik  dalam membaca Q.S. at-Tīn dan Q.S. al-Mā’ūn dengan tartil.</v>
      </c>
      <c r="CS20" s="359" t="str">
        <f t="shared" si="9"/>
        <v xml:space="preserve"> sangat baik  dalam membaca Q.S. at-Tīn dan Q.S. al-Mā’ūn dengan tartil., dan  sangat baik  dalam membaca Q.S. at-Tīn dan Q.S. al-Mā’ūn dengan tartil.</v>
      </c>
      <c r="CT20" s="359" t="str">
        <f t="shared" si="10"/>
        <v xml:space="preserve"> sangat baik  dalam membaca Q.S. at-Tīn dan Q.S. al-Mā’ūn dengan tartil.</v>
      </c>
      <c r="CU20" s="360" t="str">
        <f t="shared" si="11"/>
        <v xml:space="preserve"> sangat baik  dalam membaca Q.S. at-Tīn dan Q.S. al-Mā’ūn dengan tartil.</v>
      </c>
      <c r="CV20" s="353" t="str">
        <f t="shared" si="4"/>
        <v>FIRLY sangat baik  dalam membaca Q.S. at-Tīn dan Q.S. al-Mā’ūn dengan tartil.</v>
      </c>
      <c r="CW20" s="153"/>
      <c r="DF20" s="469">
        <f t="shared" si="12"/>
        <v>90</v>
      </c>
    </row>
    <row r="21" spans="2:110" ht="62.25" customHeight="1">
      <c r="B21" s="142">
        <v>16</v>
      </c>
      <c r="C21" s="143" t="str">
        <f>SISWA!B21</f>
        <v>1718250040320</v>
      </c>
      <c r="D21" s="144" t="str">
        <f>SISWA!E21</f>
        <v>HANA</v>
      </c>
      <c r="E21" s="159">
        <v>90</v>
      </c>
      <c r="F21" s="160">
        <v>90</v>
      </c>
      <c r="G21" s="160">
        <v>90</v>
      </c>
      <c r="H21" s="160">
        <v>90</v>
      </c>
      <c r="I21" s="160">
        <v>90</v>
      </c>
      <c r="J21" s="159">
        <v>90</v>
      </c>
      <c r="K21" s="159">
        <v>90</v>
      </c>
      <c r="L21" s="159">
        <v>90</v>
      </c>
      <c r="M21" s="159"/>
      <c r="N21" s="159"/>
      <c r="O21" s="159"/>
      <c r="P21" s="159"/>
      <c r="Q21" s="159"/>
      <c r="R21" s="159"/>
      <c r="S21" s="159"/>
      <c r="T21" s="159"/>
      <c r="U21" s="159"/>
      <c r="V21" s="159"/>
      <c r="W21" s="159"/>
      <c r="X21" s="159"/>
      <c r="Y21" s="159"/>
      <c r="Z21" s="387"/>
      <c r="AA21" s="387"/>
      <c r="AB21" s="387"/>
      <c r="AC21" s="387"/>
      <c r="AD21" s="387"/>
      <c r="AE21" s="387"/>
      <c r="AF21" s="387"/>
      <c r="AG21" s="387"/>
      <c r="AH21" s="387"/>
      <c r="AI21" s="387"/>
      <c r="AJ21" s="387"/>
      <c r="AK21" s="387"/>
      <c r="AL21" s="159"/>
      <c r="AM21" s="159"/>
      <c r="AN21" s="159"/>
      <c r="AO21" s="159"/>
      <c r="AP21" s="159"/>
      <c r="AQ21" s="159"/>
      <c r="AR21" s="159"/>
      <c r="AS21" s="159"/>
      <c r="AT21" s="159"/>
      <c r="AU21" s="159"/>
      <c r="AV21" s="159"/>
      <c r="AW21" s="159"/>
      <c r="AX21" s="387"/>
      <c r="AY21" s="387"/>
      <c r="AZ21" s="387"/>
      <c r="BA21" s="387"/>
      <c r="BB21" s="387"/>
      <c r="BC21" s="387"/>
      <c r="BD21" s="387"/>
      <c r="BE21" s="387"/>
      <c r="BF21" s="387"/>
      <c r="BG21" s="387"/>
      <c r="BH21" s="387"/>
      <c r="BI21" s="387"/>
      <c r="BJ21" s="159"/>
      <c r="BK21" s="159"/>
      <c r="BL21" s="159"/>
      <c r="BM21" s="159"/>
      <c r="BN21" s="159"/>
      <c r="BO21" s="159"/>
      <c r="BP21" s="159"/>
      <c r="BQ21" s="159"/>
      <c r="BR21" s="159"/>
      <c r="BS21" s="159"/>
      <c r="BT21" s="159"/>
      <c r="BU21" s="159"/>
      <c r="BV21" s="387"/>
      <c r="BW21" s="387"/>
      <c r="BX21" s="387"/>
      <c r="BY21" s="387"/>
      <c r="BZ21" s="387"/>
      <c r="CA21" s="387"/>
      <c r="CB21" s="387"/>
      <c r="CC21" s="387"/>
      <c r="CD21" s="387"/>
      <c r="CE21" s="387"/>
      <c r="CF21" s="387"/>
      <c r="CG21" s="387"/>
      <c r="CH21" s="145"/>
      <c r="CI21" s="354">
        <f t="shared" si="5"/>
        <v>90</v>
      </c>
      <c r="CJ21" s="355" t="str">
        <f>IF(CI21&gt;KKM!$G$10,"A",IF(CI21&gt;KKM!$H$10,"B",IF(CI21&gt;=KKM!$I$10,"C","D")))</f>
        <v>A</v>
      </c>
      <c r="CK21" s="356">
        <f t="shared" si="6"/>
        <v>90</v>
      </c>
      <c r="CL21" s="361" t="str">
        <f>IF(CK21&gt;KKM!$G$10," sangat baik ",IF(CK21&gt;KKM!$H$10," baik ",IF(CK21&gt;=KKM!$I$10," cukup baik "," perlu bimbingan ")))</f>
        <v xml:space="preserve"> sangat baik </v>
      </c>
      <c r="CM21" s="357">
        <f t="shared" si="7"/>
        <v>90</v>
      </c>
      <c r="CN21" s="361" t="str">
        <f>IF(CM21&gt;KKM!$G$10," sangat baik ",IF(CM21&gt;KKM!$H$10," baik ",IF(CM21&gt;=KKM!$I$10," cukup baik "," perlu bimbingan ")))</f>
        <v xml:space="preserve"> sangat baik </v>
      </c>
      <c r="CO21" s="353" t="str">
        <f t="shared" si="8"/>
        <v>HANA sangat baik  dalam membaca Q.S. at-Tīn dan Q.S. al-Mā’ūn dengan tartil.</v>
      </c>
      <c r="CP21" s="358"/>
      <c r="CQ21" s="359" t="str">
        <f t="shared" si="2"/>
        <v xml:space="preserve"> sangat baik  dalam membaca Q.S. at-Tīn dan Q.S. al-Mā’ūn dengan tartil.</v>
      </c>
      <c r="CR21" s="359" t="str">
        <f t="shared" si="3"/>
        <v xml:space="preserve"> sangat baik  dalam membaca Q.S. at-Tīn dan Q.S. al-Mā’ūn dengan tartil.</v>
      </c>
      <c r="CS21" s="359" t="str">
        <f t="shared" si="9"/>
        <v xml:space="preserve"> sangat baik  dalam membaca Q.S. at-Tīn dan Q.S. al-Mā’ūn dengan tartil., dan  sangat baik  dalam membaca Q.S. at-Tīn dan Q.S. al-Mā’ūn dengan tartil.</v>
      </c>
      <c r="CT21" s="359" t="str">
        <f t="shared" si="10"/>
        <v xml:space="preserve"> sangat baik  dalam membaca Q.S. at-Tīn dan Q.S. al-Mā’ūn dengan tartil.</v>
      </c>
      <c r="CU21" s="360" t="str">
        <f t="shared" si="11"/>
        <v xml:space="preserve"> sangat baik  dalam membaca Q.S. at-Tīn dan Q.S. al-Mā’ūn dengan tartil.</v>
      </c>
      <c r="CV21" s="353" t="str">
        <f t="shared" si="4"/>
        <v>HANA sangat baik  dalam membaca Q.S. at-Tīn dan Q.S. al-Mā’ūn dengan tartil.</v>
      </c>
      <c r="CW21" s="153"/>
      <c r="DF21" s="469">
        <f t="shared" si="12"/>
        <v>90</v>
      </c>
    </row>
    <row r="22" spans="2:110" ht="62.25" customHeight="1">
      <c r="B22" s="142">
        <v>17</v>
      </c>
      <c r="C22" s="143" t="str">
        <f>SISWA!B22</f>
        <v>1718250040321</v>
      </c>
      <c r="D22" s="144" t="str">
        <f>SISWA!E22</f>
        <v>MALLA</v>
      </c>
      <c r="E22" s="159">
        <v>89</v>
      </c>
      <c r="F22" s="160">
        <v>89</v>
      </c>
      <c r="G22" s="160">
        <v>89</v>
      </c>
      <c r="H22" s="160">
        <v>89</v>
      </c>
      <c r="I22" s="160">
        <v>89</v>
      </c>
      <c r="J22" s="159">
        <v>89</v>
      </c>
      <c r="K22" s="159">
        <v>89</v>
      </c>
      <c r="L22" s="159">
        <v>89</v>
      </c>
      <c r="M22" s="159"/>
      <c r="N22" s="159"/>
      <c r="O22" s="159"/>
      <c r="P22" s="159"/>
      <c r="Q22" s="159"/>
      <c r="R22" s="159"/>
      <c r="S22" s="159"/>
      <c r="T22" s="159"/>
      <c r="U22" s="159"/>
      <c r="V22" s="159"/>
      <c r="W22" s="159"/>
      <c r="X22" s="159"/>
      <c r="Y22" s="159"/>
      <c r="Z22" s="387"/>
      <c r="AA22" s="387"/>
      <c r="AB22" s="387"/>
      <c r="AC22" s="387"/>
      <c r="AD22" s="387"/>
      <c r="AE22" s="387"/>
      <c r="AF22" s="387"/>
      <c r="AG22" s="387"/>
      <c r="AH22" s="387"/>
      <c r="AI22" s="387"/>
      <c r="AJ22" s="387"/>
      <c r="AK22" s="387"/>
      <c r="AL22" s="159"/>
      <c r="AM22" s="159"/>
      <c r="AN22" s="159"/>
      <c r="AO22" s="159"/>
      <c r="AP22" s="159"/>
      <c r="AQ22" s="159"/>
      <c r="AR22" s="159"/>
      <c r="AS22" s="159"/>
      <c r="AT22" s="159"/>
      <c r="AU22" s="159"/>
      <c r="AV22" s="159"/>
      <c r="AW22" s="159"/>
      <c r="AX22" s="387"/>
      <c r="AY22" s="387"/>
      <c r="AZ22" s="387"/>
      <c r="BA22" s="387"/>
      <c r="BB22" s="387"/>
      <c r="BC22" s="387"/>
      <c r="BD22" s="387"/>
      <c r="BE22" s="387"/>
      <c r="BF22" s="387"/>
      <c r="BG22" s="387"/>
      <c r="BH22" s="387"/>
      <c r="BI22" s="387"/>
      <c r="BJ22" s="159"/>
      <c r="BK22" s="159"/>
      <c r="BL22" s="159"/>
      <c r="BM22" s="159"/>
      <c r="BN22" s="159"/>
      <c r="BO22" s="159"/>
      <c r="BP22" s="159"/>
      <c r="BQ22" s="159"/>
      <c r="BR22" s="159"/>
      <c r="BS22" s="159"/>
      <c r="BT22" s="159"/>
      <c r="BU22" s="159"/>
      <c r="BV22" s="387"/>
      <c r="BW22" s="387"/>
      <c r="BX22" s="387"/>
      <c r="BY22" s="387"/>
      <c r="BZ22" s="387"/>
      <c r="CA22" s="387"/>
      <c r="CB22" s="387"/>
      <c r="CC22" s="387"/>
      <c r="CD22" s="387"/>
      <c r="CE22" s="387"/>
      <c r="CF22" s="387"/>
      <c r="CG22" s="387"/>
      <c r="CH22" s="145"/>
      <c r="CI22" s="354">
        <f t="shared" si="5"/>
        <v>89</v>
      </c>
      <c r="CJ22" s="355" t="str">
        <f>IF(CI22&gt;KKM!$G$10,"A",IF(CI22&gt;KKM!$H$10,"B",IF(CI22&gt;=KKM!$I$10,"C","D")))</f>
        <v>A</v>
      </c>
      <c r="CK22" s="356">
        <f t="shared" si="6"/>
        <v>89</v>
      </c>
      <c r="CL22" s="361" t="str">
        <f>IF(CK22&gt;KKM!$G$10," sangat baik ",IF(CK22&gt;KKM!$H$10," baik ",IF(CK22&gt;=KKM!$I$10," cukup baik "," perlu bimbingan ")))</f>
        <v xml:space="preserve"> sangat baik </v>
      </c>
      <c r="CM22" s="357">
        <f t="shared" si="7"/>
        <v>89</v>
      </c>
      <c r="CN22" s="361" t="str">
        <f>IF(CM22&gt;KKM!$G$10," sangat baik ",IF(CM22&gt;KKM!$H$10," baik ",IF(CM22&gt;=KKM!$I$10," cukup baik "," perlu bimbingan ")))</f>
        <v xml:space="preserve"> sangat baik </v>
      </c>
      <c r="CO22" s="353" t="str">
        <f t="shared" si="8"/>
        <v>MALLA sangat baik  dalam membaca Q.S. at-Tīn dan Q.S. al-Mā’ūn dengan tartil.</v>
      </c>
      <c r="CP22" s="358"/>
      <c r="CQ22" s="359" t="str">
        <f t="shared" si="2"/>
        <v xml:space="preserve"> sangat baik  dalam membaca Q.S. at-Tīn dan Q.S. al-Mā’ūn dengan tartil.</v>
      </c>
      <c r="CR22" s="359" t="str">
        <f t="shared" si="3"/>
        <v xml:space="preserve"> sangat baik  dalam membaca Q.S. at-Tīn dan Q.S. al-Mā’ūn dengan tartil.</v>
      </c>
      <c r="CS22" s="359" t="str">
        <f t="shared" si="9"/>
        <v xml:space="preserve"> sangat baik  dalam membaca Q.S. at-Tīn dan Q.S. al-Mā’ūn dengan tartil., dan  sangat baik  dalam membaca Q.S. at-Tīn dan Q.S. al-Mā’ūn dengan tartil.</v>
      </c>
      <c r="CT22" s="359" t="str">
        <f t="shared" si="10"/>
        <v xml:space="preserve"> sangat baik  dalam membaca Q.S. at-Tīn dan Q.S. al-Mā’ūn dengan tartil.</v>
      </c>
      <c r="CU22" s="360" t="str">
        <f t="shared" si="11"/>
        <v xml:space="preserve"> sangat baik  dalam membaca Q.S. at-Tīn dan Q.S. al-Mā’ūn dengan tartil.</v>
      </c>
      <c r="CV22" s="353" t="str">
        <f t="shared" si="4"/>
        <v>MALLA sangat baik  dalam membaca Q.S. at-Tīn dan Q.S. al-Mā’ūn dengan tartil.</v>
      </c>
      <c r="CW22" s="153"/>
      <c r="DF22" s="469">
        <f t="shared" si="12"/>
        <v>89</v>
      </c>
    </row>
    <row r="23" spans="2:110" ht="62.25" customHeight="1">
      <c r="B23" s="142">
        <v>18</v>
      </c>
      <c r="C23" s="143" t="str">
        <f>SISWA!B23</f>
        <v>1718250040322</v>
      </c>
      <c r="D23" s="144" t="str">
        <f>SISWA!E23</f>
        <v>INTAN</v>
      </c>
      <c r="E23" s="159">
        <v>90</v>
      </c>
      <c r="F23" s="160">
        <v>90</v>
      </c>
      <c r="G23" s="160">
        <v>90</v>
      </c>
      <c r="H23" s="160">
        <v>90</v>
      </c>
      <c r="I23" s="160">
        <v>90</v>
      </c>
      <c r="J23" s="159">
        <v>90</v>
      </c>
      <c r="K23" s="159">
        <v>90</v>
      </c>
      <c r="L23" s="159">
        <v>90</v>
      </c>
      <c r="M23" s="159"/>
      <c r="N23" s="159"/>
      <c r="O23" s="159"/>
      <c r="P23" s="159"/>
      <c r="Q23" s="159"/>
      <c r="R23" s="159"/>
      <c r="S23" s="159"/>
      <c r="T23" s="159"/>
      <c r="U23" s="159"/>
      <c r="V23" s="159"/>
      <c r="W23" s="159"/>
      <c r="X23" s="159"/>
      <c r="Y23" s="159"/>
      <c r="Z23" s="387"/>
      <c r="AA23" s="387"/>
      <c r="AB23" s="387"/>
      <c r="AC23" s="387"/>
      <c r="AD23" s="387"/>
      <c r="AE23" s="387"/>
      <c r="AF23" s="387"/>
      <c r="AG23" s="387"/>
      <c r="AH23" s="387"/>
      <c r="AI23" s="387"/>
      <c r="AJ23" s="387"/>
      <c r="AK23" s="387"/>
      <c r="AL23" s="159"/>
      <c r="AM23" s="159"/>
      <c r="AN23" s="159"/>
      <c r="AO23" s="159"/>
      <c r="AP23" s="159"/>
      <c r="AQ23" s="159"/>
      <c r="AR23" s="159"/>
      <c r="AS23" s="159"/>
      <c r="AT23" s="159"/>
      <c r="AU23" s="159"/>
      <c r="AV23" s="159"/>
      <c r="AW23" s="159"/>
      <c r="AX23" s="387"/>
      <c r="AY23" s="387"/>
      <c r="AZ23" s="387"/>
      <c r="BA23" s="387"/>
      <c r="BB23" s="387"/>
      <c r="BC23" s="387"/>
      <c r="BD23" s="387"/>
      <c r="BE23" s="387"/>
      <c r="BF23" s="387"/>
      <c r="BG23" s="387"/>
      <c r="BH23" s="387"/>
      <c r="BI23" s="387"/>
      <c r="BJ23" s="159"/>
      <c r="BK23" s="159"/>
      <c r="BL23" s="159"/>
      <c r="BM23" s="159"/>
      <c r="BN23" s="159"/>
      <c r="BO23" s="159"/>
      <c r="BP23" s="159"/>
      <c r="BQ23" s="159"/>
      <c r="BR23" s="159"/>
      <c r="BS23" s="159"/>
      <c r="BT23" s="159"/>
      <c r="BU23" s="159"/>
      <c r="BV23" s="387"/>
      <c r="BW23" s="387"/>
      <c r="BX23" s="387"/>
      <c r="BY23" s="387"/>
      <c r="BZ23" s="387"/>
      <c r="CA23" s="387"/>
      <c r="CB23" s="387"/>
      <c r="CC23" s="387"/>
      <c r="CD23" s="387"/>
      <c r="CE23" s="387"/>
      <c r="CF23" s="387"/>
      <c r="CG23" s="387"/>
      <c r="CH23" s="145"/>
      <c r="CI23" s="354">
        <f t="shared" si="5"/>
        <v>90</v>
      </c>
      <c r="CJ23" s="355" t="str">
        <f>IF(CI23&gt;KKM!$G$10,"A",IF(CI23&gt;KKM!$H$10,"B",IF(CI23&gt;=KKM!$I$10,"C","D")))</f>
        <v>A</v>
      </c>
      <c r="CK23" s="356">
        <f t="shared" si="6"/>
        <v>90</v>
      </c>
      <c r="CL23" s="361" t="str">
        <f>IF(CK23&gt;KKM!$G$10," sangat baik ",IF(CK23&gt;KKM!$H$10," baik ",IF(CK23&gt;=KKM!$I$10," cukup baik "," perlu bimbingan ")))</f>
        <v xml:space="preserve"> sangat baik </v>
      </c>
      <c r="CM23" s="357">
        <f t="shared" si="7"/>
        <v>90</v>
      </c>
      <c r="CN23" s="361" t="str">
        <f>IF(CM23&gt;KKM!$G$10," sangat baik ",IF(CM23&gt;KKM!$H$10," baik ",IF(CM23&gt;=KKM!$I$10," cukup baik "," perlu bimbingan ")))</f>
        <v xml:space="preserve"> sangat baik </v>
      </c>
      <c r="CO23" s="353" t="str">
        <f t="shared" si="8"/>
        <v>INTAN sangat baik  dalam membaca Q.S. at-Tīn dan Q.S. al-Mā’ūn dengan tartil.</v>
      </c>
      <c r="CP23" s="358"/>
      <c r="CQ23" s="359" t="str">
        <f t="shared" si="2"/>
        <v xml:space="preserve"> sangat baik  dalam membaca Q.S. at-Tīn dan Q.S. al-Mā’ūn dengan tartil.</v>
      </c>
      <c r="CR23" s="359" t="str">
        <f t="shared" si="3"/>
        <v xml:space="preserve"> sangat baik  dalam membaca Q.S. at-Tīn dan Q.S. al-Mā’ūn dengan tartil.</v>
      </c>
      <c r="CS23" s="359" t="str">
        <f t="shared" si="9"/>
        <v xml:space="preserve"> sangat baik  dalam membaca Q.S. at-Tīn dan Q.S. al-Mā’ūn dengan tartil., dan  sangat baik  dalam membaca Q.S. at-Tīn dan Q.S. al-Mā’ūn dengan tartil.</v>
      </c>
      <c r="CT23" s="359" t="str">
        <f t="shared" si="10"/>
        <v xml:space="preserve"> sangat baik  dalam membaca Q.S. at-Tīn dan Q.S. al-Mā’ūn dengan tartil.</v>
      </c>
      <c r="CU23" s="360" t="str">
        <f t="shared" si="11"/>
        <v xml:space="preserve"> sangat baik  dalam membaca Q.S. at-Tīn dan Q.S. al-Mā’ūn dengan tartil.</v>
      </c>
      <c r="CV23" s="353" t="str">
        <f t="shared" si="4"/>
        <v>INTAN sangat baik  dalam membaca Q.S. at-Tīn dan Q.S. al-Mā’ūn dengan tartil.</v>
      </c>
      <c r="CW23" s="153"/>
      <c r="DF23" s="469">
        <f t="shared" si="12"/>
        <v>90</v>
      </c>
    </row>
    <row r="24" spans="2:110" ht="62.25" customHeight="1">
      <c r="B24" s="142">
        <v>19</v>
      </c>
      <c r="C24" s="143" t="str">
        <f>SISWA!B24</f>
        <v>1718250040323</v>
      </c>
      <c r="D24" s="144" t="str">
        <f>SISWA!E24</f>
        <v>JORDY</v>
      </c>
      <c r="E24" s="159">
        <v>90</v>
      </c>
      <c r="F24" s="160">
        <v>90</v>
      </c>
      <c r="G24" s="160">
        <v>90</v>
      </c>
      <c r="H24" s="160">
        <v>90</v>
      </c>
      <c r="I24" s="160">
        <v>90</v>
      </c>
      <c r="J24" s="159">
        <v>90</v>
      </c>
      <c r="K24" s="159">
        <v>90</v>
      </c>
      <c r="L24" s="159">
        <v>90</v>
      </c>
      <c r="M24" s="159"/>
      <c r="N24" s="159"/>
      <c r="O24" s="159"/>
      <c r="P24" s="159"/>
      <c r="Q24" s="159"/>
      <c r="R24" s="159"/>
      <c r="S24" s="159"/>
      <c r="T24" s="159"/>
      <c r="U24" s="159"/>
      <c r="V24" s="159"/>
      <c r="W24" s="159"/>
      <c r="X24" s="159"/>
      <c r="Y24" s="159"/>
      <c r="Z24" s="387"/>
      <c r="AA24" s="387"/>
      <c r="AB24" s="387"/>
      <c r="AC24" s="387"/>
      <c r="AD24" s="387"/>
      <c r="AE24" s="387"/>
      <c r="AF24" s="387"/>
      <c r="AG24" s="387"/>
      <c r="AH24" s="387"/>
      <c r="AI24" s="387"/>
      <c r="AJ24" s="387"/>
      <c r="AK24" s="387"/>
      <c r="AL24" s="159"/>
      <c r="AM24" s="159"/>
      <c r="AN24" s="159"/>
      <c r="AO24" s="159"/>
      <c r="AP24" s="159"/>
      <c r="AQ24" s="159"/>
      <c r="AR24" s="159"/>
      <c r="AS24" s="159"/>
      <c r="AT24" s="159"/>
      <c r="AU24" s="159"/>
      <c r="AV24" s="159"/>
      <c r="AW24" s="159"/>
      <c r="AX24" s="387"/>
      <c r="AY24" s="387"/>
      <c r="AZ24" s="387"/>
      <c r="BA24" s="387"/>
      <c r="BB24" s="387"/>
      <c r="BC24" s="387"/>
      <c r="BD24" s="387"/>
      <c r="BE24" s="387"/>
      <c r="BF24" s="387"/>
      <c r="BG24" s="387"/>
      <c r="BH24" s="387"/>
      <c r="BI24" s="387"/>
      <c r="BJ24" s="159"/>
      <c r="BK24" s="159"/>
      <c r="BL24" s="159"/>
      <c r="BM24" s="159"/>
      <c r="BN24" s="159"/>
      <c r="BO24" s="159"/>
      <c r="BP24" s="159"/>
      <c r="BQ24" s="159"/>
      <c r="BR24" s="159"/>
      <c r="BS24" s="159"/>
      <c r="BT24" s="159"/>
      <c r="BU24" s="159"/>
      <c r="BV24" s="387"/>
      <c r="BW24" s="387"/>
      <c r="BX24" s="387"/>
      <c r="BY24" s="387"/>
      <c r="BZ24" s="387"/>
      <c r="CA24" s="387"/>
      <c r="CB24" s="387"/>
      <c r="CC24" s="387"/>
      <c r="CD24" s="387"/>
      <c r="CE24" s="387"/>
      <c r="CF24" s="387"/>
      <c r="CG24" s="387"/>
      <c r="CH24" s="145"/>
      <c r="CI24" s="354">
        <f t="shared" si="5"/>
        <v>90</v>
      </c>
      <c r="CJ24" s="355" t="str">
        <f>IF(CI24&gt;KKM!$G$10,"A",IF(CI24&gt;KKM!$H$10,"B",IF(CI24&gt;=KKM!$I$10,"C","D")))</f>
        <v>A</v>
      </c>
      <c r="CK24" s="356">
        <f t="shared" si="6"/>
        <v>90</v>
      </c>
      <c r="CL24" s="361" t="str">
        <f>IF(CK24&gt;KKM!$G$10," sangat baik ",IF(CK24&gt;KKM!$H$10," baik ",IF(CK24&gt;=KKM!$I$10," cukup baik "," perlu bimbingan ")))</f>
        <v xml:space="preserve"> sangat baik </v>
      </c>
      <c r="CM24" s="357">
        <f t="shared" si="7"/>
        <v>90</v>
      </c>
      <c r="CN24" s="361" t="str">
        <f>IF(CM24&gt;KKM!$G$10," sangat baik ",IF(CM24&gt;KKM!$H$10," baik ",IF(CM24&gt;=KKM!$I$10," cukup baik "," perlu bimbingan ")))</f>
        <v xml:space="preserve"> sangat baik </v>
      </c>
      <c r="CO24" s="353" t="str">
        <f t="shared" si="8"/>
        <v>JORDY sangat baik  dalam membaca Q.S. at-Tīn dan Q.S. al-Mā’ūn dengan tartil.</v>
      </c>
      <c r="CP24" s="358"/>
      <c r="CQ24" s="359" t="str">
        <f t="shared" si="2"/>
        <v xml:space="preserve"> sangat baik  dalam membaca Q.S. at-Tīn dan Q.S. al-Mā’ūn dengan tartil.</v>
      </c>
      <c r="CR24" s="359" t="str">
        <f t="shared" si="3"/>
        <v xml:space="preserve"> sangat baik  dalam membaca Q.S. at-Tīn dan Q.S. al-Mā’ūn dengan tartil.</v>
      </c>
      <c r="CS24" s="359" t="str">
        <f t="shared" si="9"/>
        <v xml:space="preserve"> sangat baik  dalam membaca Q.S. at-Tīn dan Q.S. al-Mā’ūn dengan tartil., dan  sangat baik  dalam membaca Q.S. at-Tīn dan Q.S. al-Mā’ūn dengan tartil.</v>
      </c>
      <c r="CT24" s="359" t="str">
        <f t="shared" si="10"/>
        <v xml:space="preserve"> sangat baik  dalam membaca Q.S. at-Tīn dan Q.S. al-Mā’ūn dengan tartil.</v>
      </c>
      <c r="CU24" s="360" t="str">
        <f t="shared" si="11"/>
        <v xml:space="preserve"> sangat baik  dalam membaca Q.S. at-Tīn dan Q.S. al-Mā’ūn dengan tartil.</v>
      </c>
      <c r="CV24" s="353" t="str">
        <f t="shared" si="4"/>
        <v>JORDY sangat baik  dalam membaca Q.S. at-Tīn dan Q.S. al-Mā’ūn dengan tartil.</v>
      </c>
      <c r="CW24" s="153"/>
      <c r="DF24" s="469">
        <f t="shared" si="12"/>
        <v>90</v>
      </c>
    </row>
    <row r="25" spans="2:110" ht="62.25" customHeight="1">
      <c r="B25" s="142">
        <v>20</v>
      </c>
      <c r="C25" s="143" t="str">
        <f>SISWA!B25</f>
        <v>1718250040324</v>
      </c>
      <c r="D25" s="144" t="str">
        <f>SISWA!E25</f>
        <v>KURNIA</v>
      </c>
      <c r="E25" s="159">
        <v>90</v>
      </c>
      <c r="F25" s="160">
        <v>90</v>
      </c>
      <c r="G25" s="160">
        <v>90</v>
      </c>
      <c r="H25" s="160">
        <v>90</v>
      </c>
      <c r="I25" s="160">
        <v>90</v>
      </c>
      <c r="J25" s="159">
        <v>90</v>
      </c>
      <c r="K25" s="159">
        <v>90</v>
      </c>
      <c r="L25" s="159">
        <v>90</v>
      </c>
      <c r="M25" s="159"/>
      <c r="N25" s="159"/>
      <c r="O25" s="159"/>
      <c r="P25" s="159"/>
      <c r="Q25" s="159"/>
      <c r="R25" s="159"/>
      <c r="S25" s="159"/>
      <c r="T25" s="159"/>
      <c r="U25" s="159"/>
      <c r="V25" s="159"/>
      <c r="W25" s="159"/>
      <c r="X25" s="159"/>
      <c r="Y25" s="159"/>
      <c r="Z25" s="387"/>
      <c r="AA25" s="387"/>
      <c r="AB25" s="387"/>
      <c r="AC25" s="387"/>
      <c r="AD25" s="387"/>
      <c r="AE25" s="387"/>
      <c r="AF25" s="387"/>
      <c r="AG25" s="387"/>
      <c r="AH25" s="387"/>
      <c r="AI25" s="387"/>
      <c r="AJ25" s="387"/>
      <c r="AK25" s="387"/>
      <c r="AL25" s="159"/>
      <c r="AM25" s="159"/>
      <c r="AN25" s="159"/>
      <c r="AO25" s="159"/>
      <c r="AP25" s="159"/>
      <c r="AQ25" s="159"/>
      <c r="AR25" s="159"/>
      <c r="AS25" s="159"/>
      <c r="AT25" s="159"/>
      <c r="AU25" s="159"/>
      <c r="AV25" s="159"/>
      <c r="AW25" s="159"/>
      <c r="AX25" s="387"/>
      <c r="AY25" s="387"/>
      <c r="AZ25" s="387"/>
      <c r="BA25" s="387"/>
      <c r="BB25" s="387"/>
      <c r="BC25" s="387"/>
      <c r="BD25" s="387"/>
      <c r="BE25" s="387"/>
      <c r="BF25" s="387"/>
      <c r="BG25" s="387"/>
      <c r="BH25" s="387"/>
      <c r="BI25" s="387"/>
      <c r="BJ25" s="159"/>
      <c r="BK25" s="159"/>
      <c r="BL25" s="159"/>
      <c r="BM25" s="159"/>
      <c r="BN25" s="159"/>
      <c r="BO25" s="159"/>
      <c r="BP25" s="159"/>
      <c r="BQ25" s="159"/>
      <c r="BR25" s="159"/>
      <c r="BS25" s="159"/>
      <c r="BT25" s="159"/>
      <c r="BU25" s="159"/>
      <c r="BV25" s="387"/>
      <c r="BW25" s="387"/>
      <c r="BX25" s="387"/>
      <c r="BY25" s="387"/>
      <c r="BZ25" s="387"/>
      <c r="CA25" s="387"/>
      <c r="CB25" s="387"/>
      <c r="CC25" s="387"/>
      <c r="CD25" s="387"/>
      <c r="CE25" s="387"/>
      <c r="CF25" s="387"/>
      <c r="CG25" s="387"/>
      <c r="CH25" s="145"/>
      <c r="CI25" s="354">
        <f t="shared" si="5"/>
        <v>90</v>
      </c>
      <c r="CJ25" s="355" t="str">
        <f>IF(CI25&gt;KKM!$G$10,"A",IF(CI25&gt;KKM!$H$10,"B",IF(CI25&gt;=KKM!$I$10,"C","D")))</f>
        <v>A</v>
      </c>
      <c r="CK25" s="356">
        <f t="shared" si="6"/>
        <v>90</v>
      </c>
      <c r="CL25" s="361" t="str">
        <f>IF(CK25&gt;KKM!$G$10," sangat baik ",IF(CK25&gt;KKM!$H$10," baik ",IF(CK25&gt;=KKM!$I$10," cukup baik "," perlu bimbingan ")))</f>
        <v xml:space="preserve"> sangat baik </v>
      </c>
      <c r="CM25" s="357">
        <f t="shared" si="7"/>
        <v>90</v>
      </c>
      <c r="CN25" s="361" t="str">
        <f>IF(CM25&gt;KKM!$G$10," sangat baik ",IF(CM25&gt;KKM!$H$10," baik ",IF(CM25&gt;=KKM!$I$10," cukup baik "," perlu bimbingan ")))</f>
        <v xml:space="preserve"> sangat baik </v>
      </c>
      <c r="CO25" s="353" t="str">
        <f t="shared" si="8"/>
        <v>KURNIA sangat baik  dalam membaca Q.S. at-Tīn dan Q.S. al-Mā’ūn dengan tartil.</v>
      </c>
      <c r="CP25" s="358"/>
      <c r="CQ25" s="359" t="str">
        <f t="shared" si="2"/>
        <v xml:space="preserve"> sangat baik  dalam membaca Q.S. at-Tīn dan Q.S. al-Mā’ūn dengan tartil.</v>
      </c>
      <c r="CR25" s="359" t="str">
        <f t="shared" si="3"/>
        <v xml:space="preserve"> sangat baik  dalam membaca Q.S. at-Tīn dan Q.S. al-Mā’ūn dengan tartil.</v>
      </c>
      <c r="CS25" s="359" t="str">
        <f t="shared" si="9"/>
        <v xml:space="preserve"> sangat baik  dalam membaca Q.S. at-Tīn dan Q.S. al-Mā’ūn dengan tartil., dan  sangat baik  dalam membaca Q.S. at-Tīn dan Q.S. al-Mā’ūn dengan tartil.</v>
      </c>
      <c r="CT25" s="359" t="str">
        <f t="shared" si="10"/>
        <v xml:space="preserve"> sangat baik  dalam membaca Q.S. at-Tīn dan Q.S. al-Mā’ūn dengan tartil.</v>
      </c>
      <c r="CU25" s="360" t="str">
        <f t="shared" si="11"/>
        <v xml:space="preserve"> sangat baik  dalam membaca Q.S. at-Tīn dan Q.S. al-Mā’ūn dengan tartil.</v>
      </c>
      <c r="CV25" s="353" t="str">
        <f t="shared" si="4"/>
        <v>KURNIA sangat baik  dalam membaca Q.S. at-Tīn dan Q.S. al-Mā’ūn dengan tartil.</v>
      </c>
      <c r="CW25" s="153"/>
      <c r="DF25" s="469">
        <f t="shared" si="12"/>
        <v>90</v>
      </c>
    </row>
    <row r="26" spans="2:110" ht="62.25" customHeight="1">
      <c r="B26" s="142">
        <v>21</v>
      </c>
      <c r="C26" s="143" t="str">
        <f>SISWA!B26</f>
        <v>1718250040325</v>
      </c>
      <c r="D26" s="144" t="str">
        <f>SISWA!E26</f>
        <v>LATIZA</v>
      </c>
      <c r="E26" s="159">
        <v>90</v>
      </c>
      <c r="F26" s="160">
        <v>90</v>
      </c>
      <c r="G26" s="160">
        <v>90</v>
      </c>
      <c r="H26" s="160">
        <v>90</v>
      </c>
      <c r="I26" s="160">
        <v>90</v>
      </c>
      <c r="J26" s="159">
        <v>90</v>
      </c>
      <c r="K26" s="159">
        <v>90</v>
      </c>
      <c r="L26" s="159">
        <v>90</v>
      </c>
      <c r="M26" s="159"/>
      <c r="N26" s="159"/>
      <c r="O26" s="159"/>
      <c r="P26" s="159"/>
      <c r="Q26" s="159"/>
      <c r="R26" s="159"/>
      <c r="S26" s="159"/>
      <c r="T26" s="159"/>
      <c r="U26" s="159"/>
      <c r="V26" s="159"/>
      <c r="W26" s="159"/>
      <c r="X26" s="159"/>
      <c r="Y26" s="159"/>
      <c r="Z26" s="387"/>
      <c r="AA26" s="387"/>
      <c r="AB26" s="387"/>
      <c r="AC26" s="387"/>
      <c r="AD26" s="387"/>
      <c r="AE26" s="387"/>
      <c r="AF26" s="387"/>
      <c r="AG26" s="387"/>
      <c r="AH26" s="387"/>
      <c r="AI26" s="387"/>
      <c r="AJ26" s="387"/>
      <c r="AK26" s="387"/>
      <c r="AL26" s="159"/>
      <c r="AM26" s="159"/>
      <c r="AN26" s="159"/>
      <c r="AO26" s="159"/>
      <c r="AP26" s="159"/>
      <c r="AQ26" s="159"/>
      <c r="AR26" s="159"/>
      <c r="AS26" s="159"/>
      <c r="AT26" s="159"/>
      <c r="AU26" s="159"/>
      <c r="AV26" s="159"/>
      <c r="AW26" s="159"/>
      <c r="AX26" s="387"/>
      <c r="AY26" s="387"/>
      <c r="AZ26" s="387"/>
      <c r="BA26" s="387"/>
      <c r="BB26" s="387"/>
      <c r="BC26" s="387"/>
      <c r="BD26" s="387"/>
      <c r="BE26" s="387"/>
      <c r="BF26" s="387"/>
      <c r="BG26" s="387"/>
      <c r="BH26" s="387"/>
      <c r="BI26" s="387"/>
      <c r="BJ26" s="159"/>
      <c r="BK26" s="159"/>
      <c r="BL26" s="159"/>
      <c r="BM26" s="159"/>
      <c r="BN26" s="159"/>
      <c r="BO26" s="159"/>
      <c r="BP26" s="159"/>
      <c r="BQ26" s="159"/>
      <c r="BR26" s="159"/>
      <c r="BS26" s="159"/>
      <c r="BT26" s="159"/>
      <c r="BU26" s="159"/>
      <c r="BV26" s="387"/>
      <c r="BW26" s="387"/>
      <c r="BX26" s="387"/>
      <c r="BY26" s="387"/>
      <c r="BZ26" s="387"/>
      <c r="CA26" s="387"/>
      <c r="CB26" s="387"/>
      <c r="CC26" s="387"/>
      <c r="CD26" s="387"/>
      <c r="CE26" s="387"/>
      <c r="CF26" s="387"/>
      <c r="CG26" s="387"/>
      <c r="CH26" s="145"/>
      <c r="CI26" s="354">
        <f t="shared" si="5"/>
        <v>90</v>
      </c>
      <c r="CJ26" s="355" t="str">
        <f>IF(CI26&gt;KKM!$G$10,"A",IF(CI26&gt;KKM!$H$10,"B",IF(CI26&gt;=KKM!$I$10,"C","D")))</f>
        <v>A</v>
      </c>
      <c r="CK26" s="356">
        <f t="shared" si="6"/>
        <v>90</v>
      </c>
      <c r="CL26" s="361" t="str">
        <f>IF(CK26&gt;KKM!$G$10," sangat baik ",IF(CK26&gt;KKM!$H$10," baik ",IF(CK26&gt;=KKM!$I$10," cukup baik "," perlu bimbingan ")))</f>
        <v xml:space="preserve"> sangat baik </v>
      </c>
      <c r="CM26" s="357">
        <f t="shared" si="7"/>
        <v>90</v>
      </c>
      <c r="CN26" s="361" t="str">
        <f>IF(CM26&gt;KKM!$G$10," sangat baik ",IF(CM26&gt;KKM!$H$10," baik ",IF(CM26&gt;=KKM!$I$10," cukup baik "," perlu bimbingan ")))</f>
        <v xml:space="preserve"> sangat baik </v>
      </c>
      <c r="CO26" s="353" t="str">
        <f t="shared" si="8"/>
        <v>LATIZA sangat baik  dalam membaca Q.S. at-Tīn dan Q.S. al-Mā’ūn dengan tartil.</v>
      </c>
      <c r="CP26" s="358"/>
      <c r="CQ26" s="359" t="str">
        <f t="shared" si="2"/>
        <v xml:space="preserve"> sangat baik  dalam membaca Q.S. at-Tīn dan Q.S. al-Mā’ūn dengan tartil.</v>
      </c>
      <c r="CR26" s="359" t="str">
        <f t="shared" si="3"/>
        <v xml:space="preserve"> sangat baik  dalam membaca Q.S. at-Tīn dan Q.S. al-Mā’ūn dengan tartil.</v>
      </c>
      <c r="CS26" s="359" t="str">
        <f t="shared" si="9"/>
        <v xml:space="preserve"> sangat baik  dalam membaca Q.S. at-Tīn dan Q.S. al-Mā’ūn dengan tartil., dan  sangat baik  dalam membaca Q.S. at-Tīn dan Q.S. al-Mā’ūn dengan tartil.</v>
      </c>
      <c r="CT26" s="359" t="str">
        <f t="shared" si="10"/>
        <v xml:space="preserve"> sangat baik  dalam membaca Q.S. at-Tīn dan Q.S. al-Mā’ūn dengan tartil.</v>
      </c>
      <c r="CU26" s="360" t="str">
        <f t="shared" si="11"/>
        <v xml:space="preserve"> sangat baik  dalam membaca Q.S. at-Tīn dan Q.S. al-Mā’ūn dengan tartil.</v>
      </c>
      <c r="CV26" s="353" t="str">
        <f t="shared" si="4"/>
        <v>LATIZA sangat baik  dalam membaca Q.S. at-Tīn dan Q.S. al-Mā’ūn dengan tartil.</v>
      </c>
      <c r="CW26" s="153"/>
      <c r="DF26" s="469">
        <f t="shared" si="12"/>
        <v>90</v>
      </c>
    </row>
    <row r="27" spans="2:110" ht="62.25" customHeight="1">
      <c r="B27" s="142">
        <v>22</v>
      </c>
      <c r="C27" s="143" t="str">
        <f>SISWA!B27</f>
        <v>1718250040326</v>
      </c>
      <c r="D27" s="144" t="str">
        <f>SISWA!E27</f>
        <v>RIZKY</v>
      </c>
      <c r="E27" s="159">
        <v>90</v>
      </c>
      <c r="F27" s="160">
        <v>90</v>
      </c>
      <c r="G27" s="160">
        <v>90</v>
      </c>
      <c r="H27" s="160">
        <v>90</v>
      </c>
      <c r="I27" s="160">
        <v>90</v>
      </c>
      <c r="J27" s="159">
        <v>90</v>
      </c>
      <c r="K27" s="159">
        <v>90</v>
      </c>
      <c r="L27" s="159">
        <v>90</v>
      </c>
      <c r="M27" s="159"/>
      <c r="N27" s="159"/>
      <c r="O27" s="159"/>
      <c r="P27" s="159"/>
      <c r="Q27" s="159"/>
      <c r="R27" s="159"/>
      <c r="S27" s="159"/>
      <c r="T27" s="159"/>
      <c r="U27" s="159"/>
      <c r="V27" s="159"/>
      <c r="W27" s="159"/>
      <c r="X27" s="159"/>
      <c r="Y27" s="159"/>
      <c r="Z27" s="387"/>
      <c r="AA27" s="387"/>
      <c r="AB27" s="387"/>
      <c r="AC27" s="387"/>
      <c r="AD27" s="387"/>
      <c r="AE27" s="387"/>
      <c r="AF27" s="387"/>
      <c r="AG27" s="387"/>
      <c r="AH27" s="387"/>
      <c r="AI27" s="387"/>
      <c r="AJ27" s="387"/>
      <c r="AK27" s="387"/>
      <c r="AL27" s="159"/>
      <c r="AM27" s="159"/>
      <c r="AN27" s="159"/>
      <c r="AO27" s="159"/>
      <c r="AP27" s="159"/>
      <c r="AQ27" s="159"/>
      <c r="AR27" s="159"/>
      <c r="AS27" s="159"/>
      <c r="AT27" s="159"/>
      <c r="AU27" s="159"/>
      <c r="AV27" s="159"/>
      <c r="AW27" s="159"/>
      <c r="AX27" s="387"/>
      <c r="AY27" s="387"/>
      <c r="AZ27" s="387"/>
      <c r="BA27" s="387"/>
      <c r="BB27" s="387"/>
      <c r="BC27" s="387"/>
      <c r="BD27" s="387"/>
      <c r="BE27" s="387"/>
      <c r="BF27" s="387"/>
      <c r="BG27" s="387"/>
      <c r="BH27" s="387"/>
      <c r="BI27" s="387"/>
      <c r="BJ27" s="159"/>
      <c r="BK27" s="159"/>
      <c r="BL27" s="159"/>
      <c r="BM27" s="159"/>
      <c r="BN27" s="159"/>
      <c r="BO27" s="159"/>
      <c r="BP27" s="159"/>
      <c r="BQ27" s="159"/>
      <c r="BR27" s="159"/>
      <c r="BS27" s="159"/>
      <c r="BT27" s="159"/>
      <c r="BU27" s="159"/>
      <c r="BV27" s="387"/>
      <c r="BW27" s="387"/>
      <c r="BX27" s="387"/>
      <c r="BY27" s="387"/>
      <c r="BZ27" s="387"/>
      <c r="CA27" s="387"/>
      <c r="CB27" s="387"/>
      <c r="CC27" s="387"/>
      <c r="CD27" s="387"/>
      <c r="CE27" s="387"/>
      <c r="CF27" s="387"/>
      <c r="CG27" s="387"/>
      <c r="CH27" s="145"/>
      <c r="CI27" s="354">
        <f t="shared" si="5"/>
        <v>90</v>
      </c>
      <c r="CJ27" s="355" t="str">
        <f>IF(CI27&gt;KKM!$G$10,"A",IF(CI27&gt;KKM!$H$10,"B",IF(CI27&gt;=KKM!$I$10,"C","D")))</f>
        <v>A</v>
      </c>
      <c r="CK27" s="356">
        <f t="shared" si="6"/>
        <v>90</v>
      </c>
      <c r="CL27" s="361" t="str">
        <f>IF(CK27&gt;KKM!$G$10," sangat baik ",IF(CK27&gt;KKM!$H$10," baik ",IF(CK27&gt;=KKM!$I$10," cukup baik "," perlu bimbingan ")))</f>
        <v xml:space="preserve"> sangat baik </v>
      </c>
      <c r="CM27" s="357">
        <f t="shared" si="7"/>
        <v>90</v>
      </c>
      <c r="CN27" s="361" t="str">
        <f>IF(CM27&gt;KKM!$G$10," sangat baik ",IF(CM27&gt;KKM!$H$10," baik ",IF(CM27&gt;=KKM!$I$10," cukup baik "," perlu bimbingan ")))</f>
        <v xml:space="preserve"> sangat baik </v>
      </c>
      <c r="CO27" s="353" t="str">
        <f t="shared" si="8"/>
        <v>RIZKY sangat baik  dalam membaca Q.S. at-Tīn dan Q.S. al-Mā’ūn dengan tartil.</v>
      </c>
      <c r="CP27" s="358"/>
      <c r="CQ27" s="359" t="str">
        <f t="shared" si="2"/>
        <v xml:space="preserve"> sangat baik  dalam membaca Q.S. at-Tīn dan Q.S. al-Mā’ūn dengan tartil.</v>
      </c>
      <c r="CR27" s="359" t="str">
        <f t="shared" si="3"/>
        <v xml:space="preserve"> sangat baik  dalam membaca Q.S. at-Tīn dan Q.S. al-Mā’ūn dengan tartil.</v>
      </c>
      <c r="CS27" s="359" t="str">
        <f t="shared" si="9"/>
        <v xml:space="preserve"> sangat baik  dalam membaca Q.S. at-Tīn dan Q.S. al-Mā’ūn dengan tartil., dan  sangat baik  dalam membaca Q.S. at-Tīn dan Q.S. al-Mā’ūn dengan tartil.</v>
      </c>
      <c r="CT27" s="359" t="str">
        <f t="shared" si="10"/>
        <v xml:space="preserve"> sangat baik  dalam membaca Q.S. at-Tīn dan Q.S. al-Mā’ūn dengan tartil.</v>
      </c>
      <c r="CU27" s="360" t="str">
        <f t="shared" si="11"/>
        <v xml:space="preserve"> sangat baik  dalam membaca Q.S. at-Tīn dan Q.S. al-Mā’ūn dengan tartil.</v>
      </c>
      <c r="CV27" s="353" t="str">
        <f t="shared" si="4"/>
        <v>RIZKY sangat baik  dalam membaca Q.S. at-Tīn dan Q.S. al-Mā’ūn dengan tartil.</v>
      </c>
      <c r="CW27" s="153"/>
      <c r="DF27" s="469">
        <f t="shared" si="12"/>
        <v>90</v>
      </c>
    </row>
    <row r="28" spans="2:110" ht="62.25" customHeight="1">
      <c r="B28" s="142">
        <v>23</v>
      </c>
      <c r="C28" s="143" t="str">
        <f>SISWA!B28</f>
        <v>1718250040327</v>
      </c>
      <c r="D28" s="144" t="str">
        <f>SISWA!E28</f>
        <v>RAMADHANDANI</v>
      </c>
      <c r="E28" s="159">
        <v>85</v>
      </c>
      <c r="F28" s="160">
        <v>85</v>
      </c>
      <c r="G28" s="160">
        <v>85</v>
      </c>
      <c r="H28" s="160">
        <v>85</v>
      </c>
      <c r="I28" s="160">
        <v>85</v>
      </c>
      <c r="J28" s="159">
        <v>85</v>
      </c>
      <c r="K28" s="159">
        <v>85</v>
      </c>
      <c r="L28" s="159">
        <v>85</v>
      </c>
      <c r="M28" s="159"/>
      <c r="N28" s="159"/>
      <c r="O28" s="159"/>
      <c r="P28" s="159"/>
      <c r="Q28" s="159"/>
      <c r="R28" s="159"/>
      <c r="S28" s="159"/>
      <c r="T28" s="159"/>
      <c r="U28" s="159"/>
      <c r="V28" s="159"/>
      <c r="W28" s="159"/>
      <c r="X28" s="159"/>
      <c r="Y28" s="159"/>
      <c r="Z28" s="387"/>
      <c r="AA28" s="387"/>
      <c r="AB28" s="387"/>
      <c r="AC28" s="387"/>
      <c r="AD28" s="387"/>
      <c r="AE28" s="387"/>
      <c r="AF28" s="387"/>
      <c r="AG28" s="387"/>
      <c r="AH28" s="387"/>
      <c r="AI28" s="387"/>
      <c r="AJ28" s="387"/>
      <c r="AK28" s="387"/>
      <c r="AL28" s="159"/>
      <c r="AM28" s="159"/>
      <c r="AN28" s="159"/>
      <c r="AO28" s="159"/>
      <c r="AP28" s="159"/>
      <c r="AQ28" s="159"/>
      <c r="AR28" s="159"/>
      <c r="AS28" s="159"/>
      <c r="AT28" s="159"/>
      <c r="AU28" s="159"/>
      <c r="AV28" s="159"/>
      <c r="AW28" s="159"/>
      <c r="AX28" s="387"/>
      <c r="AY28" s="387"/>
      <c r="AZ28" s="387"/>
      <c r="BA28" s="387"/>
      <c r="BB28" s="387"/>
      <c r="BC28" s="387"/>
      <c r="BD28" s="387"/>
      <c r="BE28" s="387"/>
      <c r="BF28" s="387"/>
      <c r="BG28" s="387"/>
      <c r="BH28" s="387"/>
      <c r="BI28" s="387"/>
      <c r="BJ28" s="159"/>
      <c r="BK28" s="159"/>
      <c r="BL28" s="159"/>
      <c r="BM28" s="159"/>
      <c r="BN28" s="159"/>
      <c r="BO28" s="159"/>
      <c r="BP28" s="159"/>
      <c r="BQ28" s="159"/>
      <c r="BR28" s="159"/>
      <c r="BS28" s="159"/>
      <c r="BT28" s="159"/>
      <c r="BU28" s="159"/>
      <c r="BV28" s="387"/>
      <c r="BW28" s="387"/>
      <c r="BX28" s="387"/>
      <c r="BY28" s="387"/>
      <c r="BZ28" s="387"/>
      <c r="CA28" s="387"/>
      <c r="CB28" s="387"/>
      <c r="CC28" s="387"/>
      <c r="CD28" s="387"/>
      <c r="CE28" s="387"/>
      <c r="CF28" s="387"/>
      <c r="CG28" s="387"/>
      <c r="CH28" s="145"/>
      <c r="CI28" s="354">
        <f t="shared" si="5"/>
        <v>85</v>
      </c>
      <c r="CJ28" s="355" t="str">
        <f>IF(CI28&gt;KKM!$G$10,"A",IF(CI28&gt;KKM!$H$10,"B",IF(CI28&gt;=KKM!$I$10,"C","D")))</f>
        <v>B</v>
      </c>
      <c r="CK28" s="356">
        <f t="shared" si="6"/>
        <v>85</v>
      </c>
      <c r="CL28" s="361" t="str">
        <f>IF(CK28&gt;KKM!$G$10," sangat baik ",IF(CK28&gt;KKM!$H$10," baik ",IF(CK28&gt;=KKM!$I$10," cukup baik "," perlu bimbingan ")))</f>
        <v xml:space="preserve"> baik </v>
      </c>
      <c r="CM28" s="357">
        <f t="shared" si="7"/>
        <v>85</v>
      </c>
      <c r="CN28" s="361" t="str">
        <f>IF(CM28&gt;KKM!$G$10," sangat baik ",IF(CM28&gt;KKM!$H$10," baik ",IF(CM28&gt;=KKM!$I$10," cukup baik "," perlu bimbingan ")))</f>
        <v xml:space="preserve"> baik </v>
      </c>
      <c r="CO28" s="353" t="str">
        <f t="shared" si="8"/>
        <v>RAMADHANDANI baik  dalam membaca Q.S. at-Tīn dan Q.S. al-Mā’ūn dengan tartil.</v>
      </c>
      <c r="CP28" s="358"/>
      <c r="CQ28" s="359" t="str">
        <f t="shared" si="2"/>
        <v xml:space="preserve"> baik  dalam membaca Q.S. at-Tīn dan Q.S. al-Mā’ūn dengan tartil.</v>
      </c>
      <c r="CR28" s="359" t="str">
        <f t="shared" si="3"/>
        <v xml:space="preserve"> baik  dalam membaca Q.S. at-Tīn dan Q.S. al-Mā’ūn dengan tartil.</v>
      </c>
      <c r="CS28" s="359" t="str">
        <f t="shared" si="9"/>
        <v xml:space="preserve"> baik  dalam membaca Q.S. at-Tīn dan Q.S. al-Mā’ūn dengan tartil., dan  baik  dalam membaca Q.S. at-Tīn dan Q.S. al-Mā’ūn dengan tartil.</v>
      </c>
      <c r="CT28" s="359" t="str">
        <f t="shared" si="10"/>
        <v xml:space="preserve"> baik  dalam membaca Q.S. at-Tīn dan Q.S. al-Mā’ūn dengan tartil.</v>
      </c>
      <c r="CU28" s="360" t="str">
        <f t="shared" si="11"/>
        <v xml:space="preserve"> baik  dalam membaca Q.S. at-Tīn dan Q.S. al-Mā’ūn dengan tartil.</v>
      </c>
      <c r="CV28" s="353" t="str">
        <f t="shared" si="4"/>
        <v>RAMADHANDANI baik  dalam membaca Q.S. at-Tīn dan Q.S. al-Mā’ūn dengan tartil.</v>
      </c>
      <c r="CW28" s="153"/>
      <c r="DF28" s="469">
        <f t="shared" si="12"/>
        <v>85</v>
      </c>
    </row>
    <row r="29" spans="2:110" ht="62.25" customHeight="1">
      <c r="B29" s="142">
        <v>24</v>
      </c>
      <c r="C29" s="143" t="str">
        <f>SISWA!B29</f>
        <v>1718250040328</v>
      </c>
      <c r="D29" s="144" t="str">
        <f>SISWA!E29</f>
        <v>SYAEPUL</v>
      </c>
      <c r="E29" s="159">
        <v>89</v>
      </c>
      <c r="F29" s="160">
        <v>89</v>
      </c>
      <c r="G29" s="160">
        <v>89</v>
      </c>
      <c r="H29" s="160">
        <v>89</v>
      </c>
      <c r="I29" s="160">
        <v>89</v>
      </c>
      <c r="J29" s="159">
        <v>89</v>
      </c>
      <c r="K29" s="159">
        <v>89</v>
      </c>
      <c r="L29" s="159">
        <v>89</v>
      </c>
      <c r="M29" s="159"/>
      <c r="N29" s="159"/>
      <c r="O29" s="159"/>
      <c r="P29" s="159"/>
      <c r="Q29" s="159"/>
      <c r="R29" s="159"/>
      <c r="S29" s="159"/>
      <c r="T29" s="159"/>
      <c r="U29" s="159"/>
      <c r="V29" s="159"/>
      <c r="W29" s="159"/>
      <c r="X29" s="159"/>
      <c r="Y29" s="159"/>
      <c r="Z29" s="387"/>
      <c r="AA29" s="387"/>
      <c r="AB29" s="387"/>
      <c r="AC29" s="387"/>
      <c r="AD29" s="387"/>
      <c r="AE29" s="387"/>
      <c r="AF29" s="387"/>
      <c r="AG29" s="387"/>
      <c r="AH29" s="387"/>
      <c r="AI29" s="387"/>
      <c r="AJ29" s="387"/>
      <c r="AK29" s="387"/>
      <c r="AL29" s="159"/>
      <c r="AM29" s="159"/>
      <c r="AN29" s="159"/>
      <c r="AO29" s="159"/>
      <c r="AP29" s="159"/>
      <c r="AQ29" s="159"/>
      <c r="AR29" s="159"/>
      <c r="AS29" s="159"/>
      <c r="AT29" s="159"/>
      <c r="AU29" s="159"/>
      <c r="AV29" s="159"/>
      <c r="AW29" s="159"/>
      <c r="AX29" s="387"/>
      <c r="AY29" s="387"/>
      <c r="AZ29" s="387"/>
      <c r="BA29" s="387"/>
      <c r="BB29" s="387"/>
      <c r="BC29" s="387"/>
      <c r="BD29" s="387"/>
      <c r="BE29" s="387"/>
      <c r="BF29" s="387"/>
      <c r="BG29" s="387"/>
      <c r="BH29" s="387"/>
      <c r="BI29" s="387"/>
      <c r="BJ29" s="159"/>
      <c r="BK29" s="159"/>
      <c r="BL29" s="159"/>
      <c r="BM29" s="159"/>
      <c r="BN29" s="159"/>
      <c r="BO29" s="159"/>
      <c r="BP29" s="159"/>
      <c r="BQ29" s="159"/>
      <c r="BR29" s="159"/>
      <c r="BS29" s="159"/>
      <c r="BT29" s="159"/>
      <c r="BU29" s="159"/>
      <c r="BV29" s="387"/>
      <c r="BW29" s="387"/>
      <c r="BX29" s="387"/>
      <c r="BY29" s="387"/>
      <c r="BZ29" s="387"/>
      <c r="CA29" s="387"/>
      <c r="CB29" s="387"/>
      <c r="CC29" s="387"/>
      <c r="CD29" s="387"/>
      <c r="CE29" s="387"/>
      <c r="CF29" s="387"/>
      <c r="CG29" s="387"/>
      <c r="CH29" s="145"/>
      <c r="CI29" s="354">
        <f t="shared" si="5"/>
        <v>89</v>
      </c>
      <c r="CJ29" s="355" t="str">
        <f>IF(CI29&gt;KKM!$G$10,"A",IF(CI29&gt;KKM!$H$10,"B",IF(CI29&gt;=KKM!$I$10,"C","D")))</f>
        <v>A</v>
      </c>
      <c r="CK29" s="356">
        <f t="shared" si="6"/>
        <v>89</v>
      </c>
      <c r="CL29" s="361" t="str">
        <f>IF(CK29&gt;KKM!$G$10," sangat baik ",IF(CK29&gt;KKM!$H$10," baik ",IF(CK29&gt;=KKM!$I$10," cukup baik "," perlu bimbingan ")))</f>
        <v xml:space="preserve"> sangat baik </v>
      </c>
      <c r="CM29" s="357">
        <f t="shared" si="7"/>
        <v>89</v>
      </c>
      <c r="CN29" s="361" t="str">
        <f>IF(CM29&gt;KKM!$G$10," sangat baik ",IF(CM29&gt;KKM!$H$10," baik ",IF(CM29&gt;=KKM!$I$10," cukup baik "," perlu bimbingan ")))</f>
        <v xml:space="preserve"> sangat baik </v>
      </c>
      <c r="CO29" s="353" t="str">
        <f t="shared" si="8"/>
        <v>SYAEPUL sangat baik  dalam membaca Q.S. at-Tīn dan Q.S. al-Mā’ūn dengan tartil.</v>
      </c>
      <c r="CP29" s="358"/>
      <c r="CQ29" s="359" t="str">
        <f t="shared" si="2"/>
        <v xml:space="preserve"> sangat baik  dalam membaca Q.S. at-Tīn dan Q.S. al-Mā’ūn dengan tartil.</v>
      </c>
      <c r="CR29" s="359" t="str">
        <f t="shared" si="3"/>
        <v xml:space="preserve"> sangat baik  dalam membaca Q.S. at-Tīn dan Q.S. al-Mā’ūn dengan tartil.</v>
      </c>
      <c r="CS29" s="359" t="str">
        <f t="shared" si="9"/>
        <v xml:space="preserve"> sangat baik  dalam membaca Q.S. at-Tīn dan Q.S. al-Mā’ūn dengan tartil., dan  sangat baik  dalam membaca Q.S. at-Tīn dan Q.S. al-Mā’ūn dengan tartil.</v>
      </c>
      <c r="CT29" s="359" t="str">
        <f t="shared" si="10"/>
        <v xml:space="preserve"> sangat baik  dalam membaca Q.S. at-Tīn dan Q.S. al-Mā’ūn dengan tartil.</v>
      </c>
      <c r="CU29" s="360" t="str">
        <f t="shared" si="11"/>
        <v xml:space="preserve"> sangat baik  dalam membaca Q.S. at-Tīn dan Q.S. al-Mā’ūn dengan tartil.</v>
      </c>
      <c r="CV29" s="353" t="str">
        <f t="shared" si="4"/>
        <v>SYAEPUL sangat baik  dalam membaca Q.S. at-Tīn dan Q.S. al-Mā’ūn dengan tartil.</v>
      </c>
      <c r="CW29" s="153"/>
      <c r="DF29" s="469">
        <f t="shared" si="12"/>
        <v>89</v>
      </c>
    </row>
    <row r="30" spans="2:110" ht="62.25" customHeight="1">
      <c r="B30" s="142">
        <v>25</v>
      </c>
      <c r="C30" s="143" t="str">
        <f>SISWA!B30</f>
        <v>1718250040329</v>
      </c>
      <c r="D30" s="144" t="str">
        <f>SISWA!E30</f>
        <v>ALIF</v>
      </c>
      <c r="E30" s="159">
        <v>89</v>
      </c>
      <c r="F30" s="160">
        <v>89</v>
      </c>
      <c r="G30" s="160">
        <v>89</v>
      </c>
      <c r="H30" s="160">
        <v>89</v>
      </c>
      <c r="I30" s="160">
        <v>89</v>
      </c>
      <c r="J30" s="159">
        <v>89</v>
      </c>
      <c r="K30" s="159">
        <v>89</v>
      </c>
      <c r="L30" s="159">
        <v>89</v>
      </c>
      <c r="M30" s="159"/>
      <c r="N30" s="159"/>
      <c r="O30" s="159"/>
      <c r="P30" s="159"/>
      <c r="Q30" s="159"/>
      <c r="R30" s="159"/>
      <c r="S30" s="159"/>
      <c r="T30" s="159"/>
      <c r="U30" s="159"/>
      <c r="V30" s="159"/>
      <c r="W30" s="159"/>
      <c r="X30" s="159"/>
      <c r="Y30" s="159"/>
      <c r="Z30" s="387"/>
      <c r="AA30" s="387"/>
      <c r="AB30" s="387"/>
      <c r="AC30" s="387"/>
      <c r="AD30" s="387"/>
      <c r="AE30" s="387"/>
      <c r="AF30" s="387"/>
      <c r="AG30" s="387"/>
      <c r="AH30" s="387"/>
      <c r="AI30" s="387"/>
      <c r="AJ30" s="387"/>
      <c r="AK30" s="387"/>
      <c r="AL30" s="159"/>
      <c r="AM30" s="159"/>
      <c r="AN30" s="159"/>
      <c r="AO30" s="159"/>
      <c r="AP30" s="159"/>
      <c r="AQ30" s="159"/>
      <c r="AR30" s="159"/>
      <c r="AS30" s="159"/>
      <c r="AT30" s="159"/>
      <c r="AU30" s="159"/>
      <c r="AV30" s="159"/>
      <c r="AW30" s="159"/>
      <c r="AX30" s="387"/>
      <c r="AY30" s="387"/>
      <c r="AZ30" s="387"/>
      <c r="BA30" s="387"/>
      <c r="BB30" s="387"/>
      <c r="BC30" s="387"/>
      <c r="BD30" s="387"/>
      <c r="BE30" s="387"/>
      <c r="BF30" s="387"/>
      <c r="BG30" s="387"/>
      <c r="BH30" s="387"/>
      <c r="BI30" s="387"/>
      <c r="BJ30" s="159"/>
      <c r="BK30" s="159"/>
      <c r="BL30" s="159"/>
      <c r="BM30" s="159"/>
      <c r="BN30" s="159"/>
      <c r="BO30" s="159"/>
      <c r="BP30" s="159"/>
      <c r="BQ30" s="159"/>
      <c r="BR30" s="159"/>
      <c r="BS30" s="159"/>
      <c r="BT30" s="159"/>
      <c r="BU30" s="159"/>
      <c r="BV30" s="387"/>
      <c r="BW30" s="387"/>
      <c r="BX30" s="387"/>
      <c r="BY30" s="387"/>
      <c r="BZ30" s="387"/>
      <c r="CA30" s="387"/>
      <c r="CB30" s="387"/>
      <c r="CC30" s="387"/>
      <c r="CD30" s="387"/>
      <c r="CE30" s="387"/>
      <c r="CF30" s="387"/>
      <c r="CG30" s="387"/>
      <c r="CH30" s="145"/>
      <c r="CI30" s="354">
        <f t="shared" si="5"/>
        <v>89</v>
      </c>
      <c r="CJ30" s="355" t="str">
        <f>IF(CI30&gt;KKM!$G$10,"A",IF(CI30&gt;KKM!$H$10,"B",IF(CI30&gt;=KKM!$I$10,"C","D")))</f>
        <v>A</v>
      </c>
      <c r="CK30" s="356">
        <f t="shared" si="6"/>
        <v>89</v>
      </c>
      <c r="CL30" s="361" t="str">
        <f>IF(CK30&gt;KKM!$G$10," sangat baik ",IF(CK30&gt;KKM!$H$10," baik ",IF(CK30&gt;=KKM!$I$10," cukup baik "," perlu bimbingan ")))</f>
        <v xml:space="preserve"> sangat baik </v>
      </c>
      <c r="CM30" s="357">
        <f t="shared" si="7"/>
        <v>89</v>
      </c>
      <c r="CN30" s="361" t="str">
        <f>IF(CM30&gt;KKM!$G$10," sangat baik ",IF(CM30&gt;KKM!$H$10," baik ",IF(CM30&gt;=KKM!$I$10," cukup baik "," perlu bimbingan ")))</f>
        <v xml:space="preserve"> sangat baik </v>
      </c>
      <c r="CO30" s="353" t="str">
        <f t="shared" si="8"/>
        <v>ALIF sangat baik  dalam membaca Q.S. at-Tīn dan Q.S. al-Mā’ūn dengan tartil.</v>
      </c>
      <c r="CP30" s="358"/>
      <c r="CQ30" s="359" t="str">
        <f t="shared" si="2"/>
        <v xml:space="preserve"> sangat baik  dalam membaca Q.S. at-Tīn dan Q.S. al-Mā’ūn dengan tartil.</v>
      </c>
      <c r="CR30" s="359" t="str">
        <f t="shared" si="3"/>
        <v xml:space="preserve"> sangat baik  dalam membaca Q.S. at-Tīn dan Q.S. al-Mā’ūn dengan tartil.</v>
      </c>
      <c r="CS30" s="359" t="str">
        <f t="shared" si="9"/>
        <v xml:space="preserve"> sangat baik  dalam membaca Q.S. at-Tīn dan Q.S. al-Mā’ūn dengan tartil., dan  sangat baik  dalam membaca Q.S. at-Tīn dan Q.S. al-Mā’ūn dengan tartil.</v>
      </c>
      <c r="CT30" s="359" t="str">
        <f t="shared" si="10"/>
        <v xml:space="preserve"> sangat baik  dalam membaca Q.S. at-Tīn dan Q.S. al-Mā’ūn dengan tartil.</v>
      </c>
      <c r="CU30" s="360" t="str">
        <f t="shared" si="11"/>
        <v xml:space="preserve"> sangat baik  dalam membaca Q.S. at-Tīn dan Q.S. al-Mā’ūn dengan tartil.</v>
      </c>
      <c r="CV30" s="353" t="str">
        <f t="shared" si="4"/>
        <v>ALIF sangat baik  dalam membaca Q.S. at-Tīn dan Q.S. al-Mā’ūn dengan tartil.</v>
      </c>
      <c r="CW30" s="153"/>
      <c r="DF30" s="469">
        <f t="shared" si="12"/>
        <v>89</v>
      </c>
    </row>
    <row r="31" spans="2:110" ht="62.25" customHeight="1">
      <c r="B31" s="142">
        <v>26</v>
      </c>
      <c r="C31" s="143" t="str">
        <f>SISWA!B31</f>
        <v>1718250040330</v>
      </c>
      <c r="D31" s="144" t="str">
        <f>SISWA!E31</f>
        <v>HIZKIEL</v>
      </c>
      <c r="E31" s="159">
        <v>89</v>
      </c>
      <c r="F31" s="160">
        <v>89</v>
      </c>
      <c r="G31" s="160">
        <v>89</v>
      </c>
      <c r="H31" s="160">
        <v>89</v>
      </c>
      <c r="I31" s="160">
        <v>89</v>
      </c>
      <c r="J31" s="159">
        <v>89</v>
      </c>
      <c r="K31" s="159">
        <v>89</v>
      </c>
      <c r="L31" s="159">
        <v>89</v>
      </c>
      <c r="M31" s="159"/>
      <c r="N31" s="159"/>
      <c r="O31" s="159"/>
      <c r="P31" s="159"/>
      <c r="Q31" s="159"/>
      <c r="R31" s="159"/>
      <c r="S31" s="159"/>
      <c r="T31" s="159"/>
      <c r="U31" s="159"/>
      <c r="V31" s="159"/>
      <c r="W31" s="159"/>
      <c r="X31" s="159"/>
      <c r="Y31" s="159"/>
      <c r="Z31" s="387"/>
      <c r="AA31" s="387"/>
      <c r="AB31" s="387"/>
      <c r="AC31" s="387"/>
      <c r="AD31" s="387"/>
      <c r="AE31" s="387"/>
      <c r="AF31" s="387"/>
      <c r="AG31" s="387"/>
      <c r="AH31" s="387"/>
      <c r="AI31" s="387"/>
      <c r="AJ31" s="387"/>
      <c r="AK31" s="387"/>
      <c r="AL31" s="159"/>
      <c r="AM31" s="159"/>
      <c r="AN31" s="159"/>
      <c r="AO31" s="159"/>
      <c r="AP31" s="159"/>
      <c r="AQ31" s="159"/>
      <c r="AR31" s="159"/>
      <c r="AS31" s="159"/>
      <c r="AT31" s="159"/>
      <c r="AU31" s="159"/>
      <c r="AV31" s="159"/>
      <c r="AW31" s="159"/>
      <c r="AX31" s="387"/>
      <c r="AY31" s="387"/>
      <c r="AZ31" s="387"/>
      <c r="BA31" s="387"/>
      <c r="BB31" s="387"/>
      <c r="BC31" s="387"/>
      <c r="BD31" s="387"/>
      <c r="BE31" s="387"/>
      <c r="BF31" s="387"/>
      <c r="BG31" s="387"/>
      <c r="BH31" s="387"/>
      <c r="BI31" s="387"/>
      <c r="BJ31" s="159"/>
      <c r="BK31" s="159"/>
      <c r="BL31" s="159"/>
      <c r="BM31" s="159"/>
      <c r="BN31" s="159"/>
      <c r="BO31" s="159"/>
      <c r="BP31" s="159"/>
      <c r="BQ31" s="159"/>
      <c r="BR31" s="159"/>
      <c r="BS31" s="159"/>
      <c r="BT31" s="159"/>
      <c r="BU31" s="159"/>
      <c r="BV31" s="387"/>
      <c r="BW31" s="387"/>
      <c r="BX31" s="387"/>
      <c r="BY31" s="387"/>
      <c r="BZ31" s="387"/>
      <c r="CA31" s="387"/>
      <c r="CB31" s="387"/>
      <c r="CC31" s="387"/>
      <c r="CD31" s="387"/>
      <c r="CE31" s="387"/>
      <c r="CF31" s="387"/>
      <c r="CG31" s="387"/>
      <c r="CH31" s="145"/>
      <c r="CI31" s="354">
        <f t="shared" si="5"/>
        <v>89</v>
      </c>
      <c r="CJ31" s="355" t="str">
        <f>IF(CI31&gt;KKM!$G$10,"A",IF(CI31&gt;KKM!$H$10,"B",IF(CI31&gt;=KKM!$I$10,"C","D")))</f>
        <v>A</v>
      </c>
      <c r="CK31" s="356">
        <f t="shared" si="6"/>
        <v>89</v>
      </c>
      <c r="CL31" s="361" t="str">
        <f>IF(CK31&gt;KKM!$G$10," sangat baik ",IF(CK31&gt;KKM!$H$10," baik ",IF(CK31&gt;=KKM!$I$10," cukup baik "," perlu bimbingan ")))</f>
        <v xml:space="preserve"> sangat baik </v>
      </c>
      <c r="CM31" s="357">
        <f t="shared" si="7"/>
        <v>89</v>
      </c>
      <c r="CN31" s="361" t="str">
        <f>IF(CM31&gt;KKM!$G$10," sangat baik ",IF(CM31&gt;KKM!$H$10," baik ",IF(CM31&gt;=KKM!$I$10," cukup baik "," perlu bimbingan ")))</f>
        <v xml:space="preserve"> sangat baik </v>
      </c>
      <c r="CO31" s="353" t="str">
        <f t="shared" si="8"/>
        <v>HIZKIEL sangat baik  dalam membaca Q.S. at-Tīn dan Q.S. al-Mā’ūn dengan tartil.</v>
      </c>
      <c r="CP31" s="358"/>
      <c r="CQ31" s="359" t="str">
        <f t="shared" si="2"/>
        <v xml:space="preserve"> sangat baik  dalam membaca Q.S. at-Tīn dan Q.S. al-Mā’ūn dengan tartil.</v>
      </c>
      <c r="CR31" s="359" t="str">
        <f t="shared" si="3"/>
        <v xml:space="preserve"> sangat baik  dalam membaca Q.S. at-Tīn dan Q.S. al-Mā’ūn dengan tartil.</v>
      </c>
      <c r="CS31" s="359" t="str">
        <f t="shared" si="9"/>
        <v xml:space="preserve"> sangat baik  dalam membaca Q.S. at-Tīn dan Q.S. al-Mā’ūn dengan tartil., dan  sangat baik  dalam membaca Q.S. at-Tīn dan Q.S. al-Mā’ūn dengan tartil.</v>
      </c>
      <c r="CT31" s="359" t="str">
        <f t="shared" si="10"/>
        <v xml:space="preserve"> sangat baik  dalam membaca Q.S. at-Tīn dan Q.S. al-Mā’ūn dengan tartil.</v>
      </c>
      <c r="CU31" s="360" t="str">
        <f t="shared" si="11"/>
        <v xml:space="preserve"> sangat baik  dalam membaca Q.S. at-Tīn dan Q.S. al-Mā’ūn dengan tartil.</v>
      </c>
      <c r="CV31" s="353" t="str">
        <f t="shared" si="4"/>
        <v>HIZKIEL sangat baik  dalam membaca Q.S. at-Tīn dan Q.S. al-Mā’ūn dengan tartil.</v>
      </c>
      <c r="CW31" s="153"/>
      <c r="DF31" s="469">
        <f t="shared" si="12"/>
        <v>89</v>
      </c>
    </row>
    <row r="32" spans="2:110" ht="62.25" customHeight="1">
      <c r="B32" s="142">
        <v>27</v>
      </c>
      <c r="C32" s="143" t="str">
        <f>SISWA!B32</f>
        <v>1718250040331</v>
      </c>
      <c r="D32" s="144" t="str">
        <f>SISWA!E32</f>
        <v>LAEL</v>
      </c>
      <c r="E32" s="159">
        <v>90</v>
      </c>
      <c r="F32" s="160">
        <v>90</v>
      </c>
      <c r="G32" s="160">
        <v>90</v>
      </c>
      <c r="H32" s="160">
        <v>90</v>
      </c>
      <c r="I32" s="160">
        <v>90</v>
      </c>
      <c r="J32" s="159">
        <v>90</v>
      </c>
      <c r="K32" s="159">
        <v>90</v>
      </c>
      <c r="L32" s="159">
        <v>90</v>
      </c>
      <c r="M32" s="159"/>
      <c r="N32" s="159"/>
      <c r="O32" s="159"/>
      <c r="P32" s="159"/>
      <c r="Q32" s="159"/>
      <c r="R32" s="159"/>
      <c r="S32" s="159"/>
      <c r="T32" s="159"/>
      <c r="U32" s="159"/>
      <c r="V32" s="159"/>
      <c r="W32" s="159"/>
      <c r="X32" s="159"/>
      <c r="Y32" s="159"/>
      <c r="Z32" s="387"/>
      <c r="AA32" s="387"/>
      <c r="AB32" s="387"/>
      <c r="AC32" s="387"/>
      <c r="AD32" s="387"/>
      <c r="AE32" s="387"/>
      <c r="AF32" s="387"/>
      <c r="AG32" s="387"/>
      <c r="AH32" s="387"/>
      <c r="AI32" s="387"/>
      <c r="AJ32" s="387"/>
      <c r="AK32" s="387"/>
      <c r="AL32" s="159"/>
      <c r="AM32" s="159"/>
      <c r="AN32" s="159"/>
      <c r="AO32" s="159"/>
      <c r="AP32" s="159"/>
      <c r="AQ32" s="159"/>
      <c r="AR32" s="159"/>
      <c r="AS32" s="159"/>
      <c r="AT32" s="159"/>
      <c r="AU32" s="159"/>
      <c r="AV32" s="159"/>
      <c r="AW32" s="159"/>
      <c r="AX32" s="387"/>
      <c r="AY32" s="387"/>
      <c r="AZ32" s="387"/>
      <c r="BA32" s="387"/>
      <c r="BB32" s="387"/>
      <c r="BC32" s="387"/>
      <c r="BD32" s="387"/>
      <c r="BE32" s="387"/>
      <c r="BF32" s="387"/>
      <c r="BG32" s="387"/>
      <c r="BH32" s="387"/>
      <c r="BI32" s="387"/>
      <c r="BJ32" s="159"/>
      <c r="BK32" s="159"/>
      <c r="BL32" s="159"/>
      <c r="BM32" s="159"/>
      <c r="BN32" s="159"/>
      <c r="BO32" s="159"/>
      <c r="BP32" s="159"/>
      <c r="BQ32" s="159"/>
      <c r="BR32" s="159"/>
      <c r="BS32" s="159"/>
      <c r="BT32" s="159"/>
      <c r="BU32" s="159"/>
      <c r="BV32" s="387"/>
      <c r="BW32" s="387"/>
      <c r="BX32" s="387"/>
      <c r="BY32" s="387"/>
      <c r="BZ32" s="387"/>
      <c r="CA32" s="387"/>
      <c r="CB32" s="387"/>
      <c r="CC32" s="387"/>
      <c r="CD32" s="387"/>
      <c r="CE32" s="387"/>
      <c r="CF32" s="387"/>
      <c r="CG32" s="387"/>
      <c r="CH32" s="145"/>
      <c r="CI32" s="354">
        <f t="shared" si="5"/>
        <v>90</v>
      </c>
      <c r="CJ32" s="355" t="str">
        <f>IF(CI32&gt;KKM!$G$10,"A",IF(CI32&gt;KKM!$H$10,"B",IF(CI32&gt;=KKM!$I$10,"C","D")))</f>
        <v>A</v>
      </c>
      <c r="CK32" s="356">
        <f t="shared" si="6"/>
        <v>90</v>
      </c>
      <c r="CL32" s="361" t="str">
        <f>IF(CK32&gt;KKM!$G$10," sangat baik ",IF(CK32&gt;KKM!$H$10," baik ",IF(CK32&gt;=KKM!$I$10," cukup baik "," perlu bimbingan ")))</f>
        <v xml:space="preserve"> sangat baik </v>
      </c>
      <c r="CM32" s="357">
        <f t="shared" si="7"/>
        <v>90</v>
      </c>
      <c r="CN32" s="361" t="str">
        <f>IF(CM32&gt;KKM!$G$10," sangat baik ",IF(CM32&gt;KKM!$H$10," baik ",IF(CM32&gt;=KKM!$I$10," cukup baik "," perlu bimbingan ")))</f>
        <v xml:space="preserve"> sangat baik </v>
      </c>
      <c r="CO32" s="353" t="str">
        <f t="shared" si="8"/>
        <v>LAEL sangat baik  dalam membaca Q.S. at-Tīn dan Q.S. al-Mā’ūn dengan tartil.</v>
      </c>
      <c r="CP32" s="358"/>
      <c r="CQ32" s="359" t="str">
        <f t="shared" si="2"/>
        <v xml:space="preserve"> sangat baik  dalam membaca Q.S. at-Tīn dan Q.S. al-Mā’ūn dengan tartil.</v>
      </c>
      <c r="CR32" s="359" t="str">
        <f t="shared" si="3"/>
        <v xml:space="preserve"> sangat baik  dalam membaca Q.S. at-Tīn dan Q.S. al-Mā’ūn dengan tartil.</v>
      </c>
      <c r="CS32" s="359" t="str">
        <f t="shared" si="9"/>
        <v xml:space="preserve"> sangat baik  dalam membaca Q.S. at-Tīn dan Q.S. al-Mā’ūn dengan tartil., dan  sangat baik  dalam membaca Q.S. at-Tīn dan Q.S. al-Mā’ūn dengan tartil.</v>
      </c>
      <c r="CT32" s="359" t="str">
        <f t="shared" si="10"/>
        <v xml:space="preserve"> sangat baik  dalam membaca Q.S. at-Tīn dan Q.S. al-Mā’ūn dengan tartil.</v>
      </c>
      <c r="CU32" s="360" t="str">
        <f t="shared" si="11"/>
        <v xml:space="preserve"> sangat baik  dalam membaca Q.S. at-Tīn dan Q.S. al-Mā’ūn dengan tartil.</v>
      </c>
      <c r="CV32" s="353" t="str">
        <f t="shared" si="4"/>
        <v>LAEL sangat baik  dalam membaca Q.S. at-Tīn dan Q.S. al-Mā’ūn dengan tartil.</v>
      </c>
      <c r="CW32" s="153"/>
      <c r="DF32" s="469">
        <f t="shared" si="12"/>
        <v>90</v>
      </c>
    </row>
    <row r="33" spans="2:110" ht="62.25" customHeight="1">
      <c r="B33" s="142">
        <v>28</v>
      </c>
      <c r="C33" s="143" t="str">
        <f>SISWA!B33</f>
        <v>1718250040332</v>
      </c>
      <c r="D33" s="144" t="str">
        <f>SISWA!E33</f>
        <v>NABIL</v>
      </c>
      <c r="E33" s="159">
        <v>90</v>
      </c>
      <c r="F33" s="160">
        <v>90</v>
      </c>
      <c r="G33" s="160">
        <v>90</v>
      </c>
      <c r="H33" s="160">
        <v>90</v>
      </c>
      <c r="I33" s="160">
        <v>90</v>
      </c>
      <c r="J33" s="159">
        <v>90</v>
      </c>
      <c r="K33" s="159">
        <v>90</v>
      </c>
      <c r="L33" s="159">
        <v>90</v>
      </c>
      <c r="M33" s="159"/>
      <c r="N33" s="159"/>
      <c r="O33" s="159"/>
      <c r="P33" s="159"/>
      <c r="Q33" s="159"/>
      <c r="R33" s="159"/>
      <c r="S33" s="159"/>
      <c r="T33" s="159"/>
      <c r="U33" s="159"/>
      <c r="V33" s="159"/>
      <c r="W33" s="159"/>
      <c r="X33" s="159"/>
      <c r="Y33" s="159"/>
      <c r="Z33" s="387"/>
      <c r="AA33" s="387"/>
      <c r="AB33" s="387"/>
      <c r="AC33" s="387"/>
      <c r="AD33" s="387"/>
      <c r="AE33" s="387"/>
      <c r="AF33" s="387"/>
      <c r="AG33" s="387"/>
      <c r="AH33" s="387"/>
      <c r="AI33" s="387"/>
      <c r="AJ33" s="387"/>
      <c r="AK33" s="387"/>
      <c r="AL33" s="159"/>
      <c r="AM33" s="159"/>
      <c r="AN33" s="159"/>
      <c r="AO33" s="159"/>
      <c r="AP33" s="159"/>
      <c r="AQ33" s="159"/>
      <c r="AR33" s="159"/>
      <c r="AS33" s="159"/>
      <c r="AT33" s="159"/>
      <c r="AU33" s="159"/>
      <c r="AV33" s="159"/>
      <c r="AW33" s="159"/>
      <c r="AX33" s="387"/>
      <c r="AY33" s="387"/>
      <c r="AZ33" s="387"/>
      <c r="BA33" s="387"/>
      <c r="BB33" s="387"/>
      <c r="BC33" s="387"/>
      <c r="BD33" s="387"/>
      <c r="BE33" s="387"/>
      <c r="BF33" s="387"/>
      <c r="BG33" s="387"/>
      <c r="BH33" s="387"/>
      <c r="BI33" s="387"/>
      <c r="BJ33" s="159"/>
      <c r="BK33" s="159"/>
      <c r="BL33" s="159"/>
      <c r="BM33" s="159"/>
      <c r="BN33" s="159"/>
      <c r="BO33" s="159"/>
      <c r="BP33" s="159"/>
      <c r="BQ33" s="159"/>
      <c r="BR33" s="159"/>
      <c r="BS33" s="159"/>
      <c r="BT33" s="159"/>
      <c r="BU33" s="159"/>
      <c r="BV33" s="387"/>
      <c r="BW33" s="387"/>
      <c r="BX33" s="387"/>
      <c r="BY33" s="387"/>
      <c r="BZ33" s="387"/>
      <c r="CA33" s="387"/>
      <c r="CB33" s="387"/>
      <c r="CC33" s="387"/>
      <c r="CD33" s="387"/>
      <c r="CE33" s="387"/>
      <c r="CF33" s="387"/>
      <c r="CG33" s="387"/>
      <c r="CH33" s="145"/>
      <c r="CI33" s="354">
        <f t="shared" si="5"/>
        <v>90</v>
      </c>
      <c r="CJ33" s="355" t="str">
        <f>IF(CI33&gt;KKM!$G$10,"A",IF(CI33&gt;KKM!$H$10,"B",IF(CI33&gt;=KKM!$I$10,"C","D")))</f>
        <v>A</v>
      </c>
      <c r="CK33" s="356">
        <f t="shared" si="6"/>
        <v>90</v>
      </c>
      <c r="CL33" s="361" t="str">
        <f>IF(CK33&gt;KKM!$G$10," sangat baik ",IF(CK33&gt;KKM!$H$10," baik ",IF(CK33&gt;=KKM!$I$10," cukup baik "," perlu bimbingan ")))</f>
        <v xml:space="preserve"> sangat baik </v>
      </c>
      <c r="CM33" s="357">
        <f t="shared" si="7"/>
        <v>90</v>
      </c>
      <c r="CN33" s="361" t="str">
        <f>IF(CM33&gt;KKM!$G$10," sangat baik ",IF(CM33&gt;KKM!$H$10," baik ",IF(CM33&gt;=KKM!$I$10," cukup baik "," perlu bimbingan ")))</f>
        <v xml:space="preserve"> sangat baik </v>
      </c>
      <c r="CO33" s="353" t="str">
        <f t="shared" si="8"/>
        <v>NABIL sangat baik  dalam membaca Q.S. at-Tīn dan Q.S. al-Mā’ūn dengan tartil.</v>
      </c>
      <c r="CP33" s="358"/>
      <c r="CQ33" s="359" t="str">
        <f t="shared" si="2"/>
        <v xml:space="preserve"> sangat baik  dalam membaca Q.S. at-Tīn dan Q.S. al-Mā’ūn dengan tartil.</v>
      </c>
      <c r="CR33" s="359" t="str">
        <f t="shared" si="3"/>
        <v xml:space="preserve"> sangat baik  dalam membaca Q.S. at-Tīn dan Q.S. al-Mā’ūn dengan tartil.</v>
      </c>
      <c r="CS33" s="359" t="str">
        <f t="shared" si="9"/>
        <v xml:space="preserve"> sangat baik  dalam membaca Q.S. at-Tīn dan Q.S. al-Mā’ūn dengan tartil., dan  sangat baik  dalam membaca Q.S. at-Tīn dan Q.S. al-Mā’ūn dengan tartil.</v>
      </c>
      <c r="CT33" s="359" t="str">
        <f t="shared" si="10"/>
        <v xml:space="preserve"> sangat baik  dalam membaca Q.S. at-Tīn dan Q.S. al-Mā’ūn dengan tartil.</v>
      </c>
      <c r="CU33" s="360" t="str">
        <f t="shared" si="11"/>
        <v xml:space="preserve"> sangat baik  dalam membaca Q.S. at-Tīn dan Q.S. al-Mā’ūn dengan tartil.</v>
      </c>
      <c r="CV33" s="353" t="str">
        <f t="shared" si="4"/>
        <v>NABIL sangat baik  dalam membaca Q.S. at-Tīn dan Q.S. al-Mā’ūn dengan tartil.</v>
      </c>
      <c r="CW33" s="153"/>
      <c r="DF33" s="469">
        <f t="shared" si="12"/>
        <v>90</v>
      </c>
    </row>
    <row r="34" spans="2:110" ht="62.25" customHeight="1">
      <c r="B34" s="142">
        <v>29</v>
      </c>
      <c r="C34" s="143" t="str">
        <f>SISWA!B34</f>
        <v>1718250040333</v>
      </c>
      <c r="D34" s="144" t="str">
        <f>SISWA!E34</f>
        <v>RASYA</v>
      </c>
      <c r="E34" s="159">
        <v>90</v>
      </c>
      <c r="F34" s="160">
        <v>90</v>
      </c>
      <c r="G34" s="160">
        <v>90</v>
      </c>
      <c r="H34" s="160">
        <v>90</v>
      </c>
      <c r="I34" s="160">
        <v>90</v>
      </c>
      <c r="J34" s="159">
        <v>90</v>
      </c>
      <c r="K34" s="159">
        <v>90</v>
      </c>
      <c r="L34" s="159">
        <v>90</v>
      </c>
      <c r="M34" s="159"/>
      <c r="N34" s="159"/>
      <c r="O34" s="159"/>
      <c r="P34" s="159"/>
      <c r="Q34" s="159"/>
      <c r="R34" s="159"/>
      <c r="S34" s="159"/>
      <c r="T34" s="159"/>
      <c r="U34" s="159"/>
      <c r="V34" s="159"/>
      <c r="W34" s="159"/>
      <c r="X34" s="159"/>
      <c r="Y34" s="159"/>
      <c r="Z34" s="387"/>
      <c r="AA34" s="387"/>
      <c r="AB34" s="387"/>
      <c r="AC34" s="387"/>
      <c r="AD34" s="387"/>
      <c r="AE34" s="387"/>
      <c r="AF34" s="387"/>
      <c r="AG34" s="387"/>
      <c r="AH34" s="387"/>
      <c r="AI34" s="387"/>
      <c r="AJ34" s="387"/>
      <c r="AK34" s="387"/>
      <c r="AL34" s="159"/>
      <c r="AM34" s="159"/>
      <c r="AN34" s="159"/>
      <c r="AO34" s="159"/>
      <c r="AP34" s="159"/>
      <c r="AQ34" s="159"/>
      <c r="AR34" s="159"/>
      <c r="AS34" s="159"/>
      <c r="AT34" s="159"/>
      <c r="AU34" s="159"/>
      <c r="AV34" s="159"/>
      <c r="AW34" s="159"/>
      <c r="AX34" s="387"/>
      <c r="AY34" s="387"/>
      <c r="AZ34" s="387"/>
      <c r="BA34" s="387"/>
      <c r="BB34" s="387"/>
      <c r="BC34" s="387"/>
      <c r="BD34" s="387"/>
      <c r="BE34" s="387"/>
      <c r="BF34" s="387"/>
      <c r="BG34" s="387"/>
      <c r="BH34" s="387"/>
      <c r="BI34" s="387"/>
      <c r="BJ34" s="159"/>
      <c r="BK34" s="159"/>
      <c r="BL34" s="159"/>
      <c r="BM34" s="159"/>
      <c r="BN34" s="159"/>
      <c r="BO34" s="159"/>
      <c r="BP34" s="159"/>
      <c r="BQ34" s="159"/>
      <c r="BR34" s="159"/>
      <c r="BS34" s="159"/>
      <c r="BT34" s="159"/>
      <c r="BU34" s="159"/>
      <c r="BV34" s="387"/>
      <c r="BW34" s="387"/>
      <c r="BX34" s="387"/>
      <c r="BY34" s="387"/>
      <c r="BZ34" s="387"/>
      <c r="CA34" s="387"/>
      <c r="CB34" s="387"/>
      <c r="CC34" s="387"/>
      <c r="CD34" s="387"/>
      <c r="CE34" s="387"/>
      <c r="CF34" s="387"/>
      <c r="CG34" s="387"/>
      <c r="CH34" s="145"/>
      <c r="CI34" s="354">
        <f t="shared" si="5"/>
        <v>90</v>
      </c>
      <c r="CJ34" s="355" t="str">
        <f>IF(CI34&gt;KKM!$G$10,"A",IF(CI34&gt;KKM!$H$10,"B",IF(CI34&gt;=KKM!$I$10,"C","D")))</f>
        <v>A</v>
      </c>
      <c r="CK34" s="356">
        <f t="shared" si="6"/>
        <v>90</v>
      </c>
      <c r="CL34" s="361" t="str">
        <f>IF(CK34&gt;KKM!$G$10," sangat baik ",IF(CK34&gt;KKM!$H$10," baik ",IF(CK34&gt;=KKM!$I$10," cukup baik "," perlu bimbingan ")))</f>
        <v xml:space="preserve"> sangat baik </v>
      </c>
      <c r="CM34" s="357">
        <f t="shared" si="7"/>
        <v>90</v>
      </c>
      <c r="CN34" s="361" t="str">
        <f>IF(CM34&gt;KKM!$G$10," sangat baik ",IF(CM34&gt;KKM!$H$10," baik ",IF(CM34&gt;=KKM!$I$10," cukup baik "," perlu bimbingan ")))</f>
        <v xml:space="preserve"> sangat baik </v>
      </c>
      <c r="CO34" s="353" t="str">
        <f t="shared" si="8"/>
        <v>RASYA sangat baik  dalam membaca Q.S. at-Tīn dan Q.S. al-Mā’ūn dengan tartil.</v>
      </c>
      <c r="CP34" s="358"/>
      <c r="CQ34" s="359" t="str">
        <f t="shared" si="2"/>
        <v xml:space="preserve"> sangat baik  dalam membaca Q.S. at-Tīn dan Q.S. al-Mā’ūn dengan tartil.</v>
      </c>
      <c r="CR34" s="359" t="str">
        <f t="shared" si="3"/>
        <v xml:space="preserve"> sangat baik  dalam membaca Q.S. at-Tīn dan Q.S. al-Mā’ūn dengan tartil.</v>
      </c>
      <c r="CS34" s="359" t="str">
        <f t="shared" si="9"/>
        <v xml:space="preserve"> sangat baik  dalam membaca Q.S. at-Tīn dan Q.S. al-Mā’ūn dengan tartil., dan  sangat baik  dalam membaca Q.S. at-Tīn dan Q.S. al-Mā’ūn dengan tartil.</v>
      </c>
      <c r="CT34" s="359" t="str">
        <f t="shared" si="10"/>
        <v xml:space="preserve"> sangat baik  dalam membaca Q.S. at-Tīn dan Q.S. al-Mā’ūn dengan tartil.</v>
      </c>
      <c r="CU34" s="360" t="str">
        <f t="shared" si="11"/>
        <v xml:space="preserve"> sangat baik  dalam membaca Q.S. at-Tīn dan Q.S. al-Mā’ūn dengan tartil.</v>
      </c>
      <c r="CV34" s="353" t="str">
        <f t="shared" si="4"/>
        <v>RASYA sangat baik  dalam membaca Q.S. at-Tīn dan Q.S. al-Mā’ūn dengan tartil.</v>
      </c>
      <c r="CW34" s="153"/>
      <c r="DF34" s="469">
        <f t="shared" si="12"/>
        <v>90</v>
      </c>
    </row>
    <row r="35" spans="2:110" ht="62.25" customHeight="1">
      <c r="B35" s="142">
        <v>30</v>
      </c>
      <c r="C35" s="143" t="str">
        <f>SISWA!B35</f>
        <v>1718250040334</v>
      </c>
      <c r="D35" s="144" t="str">
        <f>SISWA!E35</f>
        <v>RIZKI</v>
      </c>
      <c r="E35" s="159">
        <v>90</v>
      </c>
      <c r="F35" s="160">
        <v>90</v>
      </c>
      <c r="G35" s="160">
        <v>90</v>
      </c>
      <c r="H35" s="160">
        <v>90</v>
      </c>
      <c r="I35" s="160">
        <v>90</v>
      </c>
      <c r="J35" s="159">
        <v>90</v>
      </c>
      <c r="K35" s="159">
        <v>90</v>
      </c>
      <c r="L35" s="159">
        <v>90</v>
      </c>
      <c r="M35" s="159"/>
      <c r="N35" s="159"/>
      <c r="O35" s="159"/>
      <c r="P35" s="159"/>
      <c r="Q35" s="159"/>
      <c r="R35" s="159"/>
      <c r="S35" s="159"/>
      <c r="T35" s="159"/>
      <c r="U35" s="159"/>
      <c r="V35" s="159"/>
      <c r="W35" s="159"/>
      <c r="X35" s="159"/>
      <c r="Y35" s="159"/>
      <c r="Z35" s="387"/>
      <c r="AA35" s="387"/>
      <c r="AB35" s="387"/>
      <c r="AC35" s="387"/>
      <c r="AD35" s="387"/>
      <c r="AE35" s="387"/>
      <c r="AF35" s="387"/>
      <c r="AG35" s="387"/>
      <c r="AH35" s="387"/>
      <c r="AI35" s="387"/>
      <c r="AJ35" s="387"/>
      <c r="AK35" s="387"/>
      <c r="AL35" s="159"/>
      <c r="AM35" s="159"/>
      <c r="AN35" s="159"/>
      <c r="AO35" s="159"/>
      <c r="AP35" s="159"/>
      <c r="AQ35" s="159"/>
      <c r="AR35" s="159"/>
      <c r="AS35" s="159"/>
      <c r="AT35" s="159"/>
      <c r="AU35" s="159"/>
      <c r="AV35" s="159"/>
      <c r="AW35" s="159"/>
      <c r="AX35" s="387"/>
      <c r="AY35" s="387"/>
      <c r="AZ35" s="387"/>
      <c r="BA35" s="387"/>
      <c r="BB35" s="387"/>
      <c r="BC35" s="387"/>
      <c r="BD35" s="387"/>
      <c r="BE35" s="387"/>
      <c r="BF35" s="387"/>
      <c r="BG35" s="387"/>
      <c r="BH35" s="387"/>
      <c r="BI35" s="387"/>
      <c r="BJ35" s="159"/>
      <c r="BK35" s="159"/>
      <c r="BL35" s="159"/>
      <c r="BM35" s="159"/>
      <c r="BN35" s="159"/>
      <c r="BO35" s="159"/>
      <c r="BP35" s="159"/>
      <c r="BQ35" s="159"/>
      <c r="BR35" s="159"/>
      <c r="BS35" s="159"/>
      <c r="BT35" s="159"/>
      <c r="BU35" s="159"/>
      <c r="BV35" s="387"/>
      <c r="BW35" s="387"/>
      <c r="BX35" s="387"/>
      <c r="BY35" s="387"/>
      <c r="BZ35" s="387"/>
      <c r="CA35" s="387"/>
      <c r="CB35" s="387"/>
      <c r="CC35" s="387"/>
      <c r="CD35" s="387"/>
      <c r="CE35" s="387"/>
      <c r="CF35" s="387"/>
      <c r="CG35" s="387"/>
      <c r="CH35" s="145"/>
      <c r="CI35" s="354">
        <f t="shared" si="5"/>
        <v>90</v>
      </c>
      <c r="CJ35" s="355" t="str">
        <f>IF(CI35&gt;KKM!$G$10,"A",IF(CI35&gt;KKM!$H$10,"B",IF(CI35&gt;=KKM!$I$10,"C","D")))</f>
        <v>A</v>
      </c>
      <c r="CK35" s="356">
        <f t="shared" si="6"/>
        <v>90</v>
      </c>
      <c r="CL35" s="361" t="str">
        <f>IF(CK35&gt;KKM!$G$10," sangat baik ",IF(CK35&gt;KKM!$H$10," baik ",IF(CK35&gt;=KKM!$I$10," cukup baik "," perlu bimbingan ")))</f>
        <v xml:space="preserve"> sangat baik </v>
      </c>
      <c r="CM35" s="357">
        <f t="shared" si="7"/>
        <v>90</v>
      </c>
      <c r="CN35" s="361" t="str">
        <f>IF(CM35&gt;KKM!$G$10," sangat baik ",IF(CM35&gt;KKM!$H$10," baik ",IF(CM35&gt;=KKM!$I$10," cukup baik "," perlu bimbingan ")))</f>
        <v xml:space="preserve"> sangat baik </v>
      </c>
      <c r="CO35" s="353" t="str">
        <f t="shared" si="8"/>
        <v>RIZKI sangat baik  dalam membaca Q.S. at-Tīn dan Q.S. al-Mā’ūn dengan tartil.</v>
      </c>
      <c r="CP35" s="358"/>
      <c r="CQ35" s="359" t="str">
        <f t="shared" si="2"/>
        <v xml:space="preserve"> sangat baik  dalam membaca Q.S. at-Tīn dan Q.S. al-Mā’ūn dengan tartil.</v>
      </c>
      <c r="CR35" s="359" t="str">
        <f t="shared" si="3"/>
        <v xml:space="preserve"> sangat baik  dalam membaca Q.S. at-Tīn dan Q.S. al-Mā’ūn dengan tartil.</v>
      </c>
      <c r="CS35" s="359" t="str">
        <f t="shared" si="9"/>
        <v xml:space="preserve"> sangat baik  dalam membaca Q.S. at-Tīn dan Q.S. al-Mā’ūn dengan tartil., dan  sangat baik  dalam membaca Q.S. at-Tīn dan Q.S. al-Mā’ūn dengan tartil.</v>
      </c>
      <c r="CT35" s="359" t="str">
        <f t="shared" si="10"/>
        <v xml:space="preserve"> sangat baik  dalam membaca Q.S. at-Tīn dan Q.S. al-Mā’ūn dengan tartil.</v>
      </c>
      <c r="CU35" s="360" t="str">
        <f t="shared" si="11"/>
        <v xml:space="preserve"> sangat baik  dalam membaca Q.S. at-Tīn dan Q.S. al-Mā’ūn dengan tartil.</v>
      </c>
      <c r="CV35" s="353" t="str">
        <f t="shared" si="4"/>
        <v>RIZKI sangat baik  dalam membaca Q.S. at-Tīn dan Q.S. al-Mā’ūn dengan tartil.</v>
      </c>
      <c r="CW35" s="153"/>
      <c r="DF35" s="469">
        <f t="shared" si="12"/>
        <v>90</v>
      </c>
    </row>
    <row r="36" spans="2:110" ht="62.25" customHeight="1">
      <c r="B36" s="142">
        <v>31</v>
      </c>
      <c r="C36" s="143" t="str">
        <f>SISWA!B36</f>
        <v>1718250040335</v>
      </c>
      <c r="D36" s="144" t="str">
        <f>SISWA!E36</f>
        <v>SATRIA</v>
      </c>
      <c r="E36" s="159">
        <v>85</v>
      </c>
      <c r="F36" s="160">
        <v>85</v>
      </c>
      <c r="G36" s="160">
        <v>85</v>
      </c>
      <c r="H36" s="160">
        <v>85</v>
      </c>
      <c r="I36" s="160">
        <v>85</v>
      </c>
      <c r="J36" s="159">
        <v>85</v>
      </c>
      <c r="K36" s="159">
        <v>85</v>
      </c>
      <c r="L36" s="159">
        <v>85</v>
      </c>
      <c r="M36" s="159"/>
      <c r="N36" s="159"/>
      <c r="O36" s="159"/>
      <c r="P36" s="159"/>
      <c r="Q36" s="159"/>
      <c r="R36" s="159"/>
      <c r="S36" s="159"/>
      <c r="T36" s="159"/>
      <c r="U36" s="159"/>
      <c r="V36" s="159"/>
      <c r="W36" s="159"/>
      <c r="X36" s="159"/>
      <c r="Y36" s="159"/>
      <c r="Z36" s="387"/>
      <c r="AA36" s="387"/>
      <c r="AB36" s="387"/>
      <c r="AC36" s="387"/>
      <c r="AD36" s="387"/>
      <c r="AE36" s="387"/>
      <c r="AF36" s="387"/>
      <c r="AG36" s="387"/>
      <c r="AH36" s="387"/>
      <c r="AI36" s="387"/>
      <c r="AJ36" s="387"/>
      <c r="AK36" s="387"/>
      <c r="AL36" s="159"/>
      <c r="AM36" s="159"/>
      <c r="AN36" s="159"/>
      <c r="AO36" s="159"/>
      <c r="AP36" s="159"/>
      <c r="AQ36" s="159"/>
      <c r="AR36" s="159"/>
      <c r="AS36" s="159"/>
      <c r="AT36" s="159"/>
      <c r="AU36" s="159"/>
      <c r="AV36" s="159"/>
      <c r="AW36" s="159"/>
      <c r="AX36" s="387"/>
      <c r="AY36" s="387"/>
      <c r="AZ36" s="387"/>
      <c r="BA36" s="387"/>
      <c r="BB36" s="387"/>
      <c r="BC36" s="387"/>
      <c r="BD36" s="387"/>
      <c r="BE36" s="387"/>
      <c r="BF36" s="387"/>
      <c r="BG36" s="387"/>
      <c r="BH36" s="387"/>
      <c r="BI36" s="387"/>
      <c r="BJ36" s="159"/>
      <c r="BK36" s="159"/>
      <c r="BL36" s="159"/>
      <c r="BM36" s="159"/>
      <c r="BN36" s="159"/>
      <c r="BO36" s="159"/>
      <c r="BP36" s="159"/>
      <c r="BQ36" s="159"/>
      <c r="BR36" s="159"/>
      <c r="BS36" s="159"/>
      <c r="BT36" s="159"/>
      <c r="BU36" s="159"/>
      <c r="BV36" s="387"/>
      <c r="BW36" s="387"/>
      <c r="BX36" s="387"/>
      <c r="BY36" s="387"/>
      <c r="BZ36" s="387"/>
      <c r="CA36" s="387"/>
      <c r="CB36" s="387"/>
      <c r="CC36" s="387"/>
      <c r="CD36" s="387"/>
      <c r="CE36" s="387"/>
      <c r="CF36" s="387"/>
      <c r="CG36" s="387"/>
      <c r="CH36" s="145"/>
      <c r="CI36" s="354">
        <f t="shared" si="5"/>
        <v>85</v>
      </c>
      <c r="CJ36" s="355" t="str">
        <f>IF(CI36&gt;KKM!$G$10,"A",IF(CI36&gt;KKM!$H$10,"B",IF(CI36&gt;=KKM!$I$10,"C","D")))</f>
        <v>B</v>
      </c>
      <c r="CK36" s="356">
        <f t="shared" si="6"/>
        <v>85</v>
      </c>
      <c r="CL36" s="361" t="str">
        <f>IF(CK36&gt;KKM!$G$10," sangat baik ",IF(CK36&gt;KKM!$H$10," baik ",IF(CK36&gt;=KKM!$I$10," cukup baik "," perlu bimbingan ")))</f>
        <v xml:space="preserve"> baik </v>
      </c>
      <c r="CM36" s="357">
        <f t="shared" si="7"/>
        <v>85</v>
      </c>
      <c r="CN36" s="361" t="str">
        <f>IF(CM36&gt;KKM!$G$10," sangat baik ",IF(CM36&gt;KKM!$H$10," baik ",IF(CM36&gt;=KKM!$I$10," cukup baik "," perlu bimbingan ")))</f>
        <v xml:space="preserve"> baik </v>
      </c>
      <c r="CO36" s="353" t="str">
        <f t="shared" si="8"/>
        <v>SATRIA baik  dalam membaca Q.S. at-Tīn dan Q.S. al-Mā’ūn dengan tartil.</v>
      </c>
      <c r="CP36" s="358"/>
      <c r="CQ36" s="359" t="str">
        <f t="shared" si="2"/>
        <v xml:space="preserve"> baik  dalam membaca Q.S. at-Tīn dan Q.S. al-Mā’ūn dengan tartil.</v>
      </c>
      <c r="CR36" s="359" t="str">
        <f t="shared" si="3"/>
        <v xml:space="preserve"> baik  dalam membaca Q.S. at-Tīn dan Q.S. al-Mā’ūn dengan tartil.</v>
      </c>
      <c r="CS36" s="359" t="str">
        <f t="shared" si="9"/>
        <v xml:space="preserve"> baik  dalam membaca Q.S. at-Tīn dan Q.S. al-Mā’ūn dengan tartil., dan  baik  dalam membaca Q.S. at-Tīn dan Q.S. al-Mā’ūn dengan tartil.</v>
      </c>
      <c r="CT36" s="359" t="str">
        <f t="shared" si="10"/>
        <v xml:space="preserve"> baik  dalam membaca Q.S. at-Tīn dan Q.S. al-Mā’ūn dengan tartil.</v>
      </c>
      <c r="CU36" s="360" t="str">
        <f t="shared" si="11"/>
        <v xml:space="preserve"> baik  dalam membaca Q.S. at-Tīn dan Q.S. al-Mā’ūn dengan tartil.</v>
      </c>
      <c r="CV36" s="353" t="str">
        <f t="shared" si="4"/>
        <v>SATRIA baik  dalam membaca Q.S. at-Tīn dan Q.S. al-Mā’ūn dengan tartil.</v>
      </c>
      <c r="CW36" s="153"/>
      <c r="DF36" s="469">
        <f t="shared" si="12"/>
        <v>85</v>
      </c>
    </row>
    <row r="37" spans="2:110" ht="62.25" customHeight="1">
      <c r="B37" s="142">
        <v>32</v>
      </c>
      <c r="C37" s="143" t="str">
        <f>SISWA!B37</f>
        <v>1718250040336</v>
      </c>
      <c r="D37" s="144" t="str">
        <f>SISWA!E37</f>
        <v>NADIA</v>
      </c>
      <c r="E37" s="159">
        <v>90</v>
      </c>
      <c r="F37" s="160">
        <v>90</v>
      </c>
      <c r="G37" s="160">
        <v>90</v>
      </c>
      <c r="H37" s="160">
        <v>90</v>
      </c>
      <c r="I37" s="160">
        <v>90</v>
      </c>
      <c r="J37" s="159">
        <v>90</v>
      </c>
      <c r="K37" s="159">
        <v>90</v>
      </c>
      <c r="L37" s="159">
        <v>90</v>
      </c>
      <c r="M37" s="159"/>
      <c r="N37" s="159"/>
      <c r="O37" s="159"/>
      <c r="P37" s="159"/>
      <c r="Q37" s="159"/>
      <c r="R37" s="159"/>
      <c r="S37" s="159"/>
      <c r="T37" s="159"/>
      <c r="U37" s="159"/>
      <c r="V37" s="159"/>
      <c r="W37" s="159"/>
      <c r="X37" s="159"/>
      <c r="Y37" s="159"/>
      <c r="Z37" s="387"/>
      <c r="AA37" s="387"/>
      <c r="AB37" s="387"/>
      <c r="AC37" s="387"/>
      <c r="AD37" s="387"/>
      <c r="AE37" s="387"/>
      <c r="AF37" s="387"/>
      <c r="AG37" s="387"/>
      <c r="AH37" s="387"/>
      <c r="AI37" s="387"/>
      <c r="AJ37" s="387"/>
      <c r="AK37" s="387"/>
      <c r="AL37" s="159"/>
      <c r="AM37" s="159"/>
      <c r="AN37" s="159"/>
      <c r="AO37" s="159"/>
      <c r="AP37" s="159"/>
      <c r="AQ37" s="159"/>
      <c r="AR37" s="159"/>
      <c r="AS37" s="159"/>
      <c r="AT37" s="159"/>
      <c r="AU37" s="159"/>
      <c r="AV37" s="159"/>
      <c r="AW37" s="159"/>
      <c r="AX37" s="387"/>
      <c r="AY37" s="387"/>
      <c r="AZ37" s="387"/>
      <c r="BA37" s="387"/>
      <c r="BB37" s="387"/>
      <c r="BC37" s="387"/>
      <c r="BD37" s="387"/>
      <c r="BE37" s="387"/>
      <c r="BF37" s="387"/>
      <c r="BG37" s="387"/>
      <c r="BH37" s="387"/>
      <c r="BI37" s="387"/>
      <c r="BJ37" s="159"/>
      <c r="BK37" s="159"/>
      <c r="BL37" s="159"/>
      <c r="BM37" s="159"/>
      <c r="BN37" s="159"/>
      <c r="BO37" s="159"/>
      <c r="BP37" s="159"/>
      <c r="BQ37" s="159"/>
      <c r="BR37" s="159"/>
      <c r="BS37" s="159"/>
      <c r="BT37" s="159"/>
      <c r="BU37" s="159"/>
      <c r="BV37" s="387"/>
      <c r="BW37" s="387"/>
      <c r="BX37" s="387"/>
      <c r="BY37" s="387"/>
      <c r="BZ37" s="387"/>
      <c r="CA37" s="387"/>
      <c r="CB37" s="387"/>
      <c r="CC37" s="387"/>
      <c r="CD37" s="387"/>
      <c r="CE37" s="387"/>
      <c r="CF37" s="387"/>
      <c r="CG37" s="387"/>
      <c r="CH37" s="145"/>
      <c r="CI37" s="354">
        <f t="shared" si="5"/>
        <v>90</v>
      </c>
      <c r="CJ37" s="355" t="str">
        <f>IF(CI37&gt;KKM!$G$10,"A",IF(CI37&gt;KKM!$H$10,"B",IF(CI37&gt;=KKM!$I$10,"C","D")))</f>
        <v>A</v>
      </c>
      <c r="CK37" s="356">
        <f t="shared" si="6"/>
        <v>90</v>
      </c>
      <c r="CL37" s="361" t="str">
        <f>IF(CK37&gt;KKM!$G$10," sangat baik ",IF(CK37&gt;KKM!$H$10," baik ",IF(CK37&gt;=KKM!$I$10," cukup baik "," perlu bimbingan ")))</f>
        <v xml:space="preserve"> sangat baik </v>
      </c>
      <c r="CM37" s="357">
        <f t="shared" si="7"/>
        <v>90</v>
      </c>
      <c r="CN37" s="361" t="str">
        <f>IF(CM37&gt;KKM!$G$10," sangat baik ",IF(CM37&gt;KKM!$H$10," baik ",IF(CM37&gt;=KKM!$I$10," cukup baik "," perlu bimbingan ")))</f>
        <v xml:space="preserve"> sangat baik </v>
      </c>
      <c r="CO37" s="353" t="str">
        <f t="shared" si="8"/>
        <v>NADIA sangat baik  dalam membaca Q.S. at-Tīn dan Q.S. al-Mā’ūn dengan tartil.</v>
      </c>
      <c r="CP37" s="358"/>
      <c r="CQ37" s="359" t="str">
        <f t="shared" si="2"/>
        <v xml:space="preserve"> sangat baik  dalam membaca Q.S. at-Tīn dan Q.S. al-Mā’ūn dengan tartil.</v>
      </c>
      <c r="CR37" s="359" t="str">
        <f t="shared" si="3"/>
        <v xml:space="preserve"> sangat baik  dalam membaca Q.S. at-Tīn dan Q.S. al-Mā’ūn dengan tartil.</v>
      </c>
      <c r="CS37" s="359" t="str">
        <f t="shared" si="9"/>
        <v xml:space="preserve"> sangat baik  dalam membaca Q.S. at-Tīn dan Q.S. al-Mā’ūn dengan tartil., dan  sangat baik  dalam membaca Q.S. at-Tīn dan Q.S. al-Mā’ūn dengan tartil.</v>
      </c>
      <c r="CT37" s="359" t="str">
        <f t="shared" si="10"/>
        <v xml:space="preserve"> sangat baik  dalam membaca Q.S. at-Tīn dan Q.S. al-Mā’ūn dengan tartil.</v>
      </c>
      <c r="CU37" s="360" t="str">
        <f t="shared" si="11"/>
        <v xml:space="preserve"> sangat baik  dalam membaca Q.S. at-Tīn dan Q.S. al-Mā’ūn dengan tartil.</v>
      </c>
      <c r="CV37" s="353" t="str">
        <f t="shared" si="4"/>
        <v>NADIA sangat baik  dalam membaca Q.S. at-Tīn dan Q.S. al-Mā’ūn dengan tartil.</v>
      </c>
      <c r="CW37" s="153"/>
      <c r="DF37" s="469">
        <f t="shared" si="12"/>
        <v>90</v>
      </c>
    </row>
    <row r="38" spans="2:110" ht="62.25" customHeight="1">
      <c r="B38" s="142">
        <v>33</v>
      </c>
      <c r="C38" s="143" t="str">
        <f>SISWA!B38</f>
        <v>1718250040337</v>
      </c>
      <c r="D38" s="144" t="str">
        <f>SISWA!E38</f>
        <v>NAFILA</v>
      </c>
      <c r="E38" s="159">
        <v>90</v>
      </c>
      <c r="F38" s="160">
        <v>90</v>
      </c>
      <c r="G38" s="160">
        <v>90</v>
      </c>
      <c r="H38" s="160">
        <v>90</v>
      </c>
      <c r="I38" s="160">
        <v>90</v>
      </c>
      <c r="J38" s="159">
        <v>90</v>
      </c>
      <c r="K38" s="159">
        <v>90</v>
      </c>
      <c r="L38" s="159">
        <v>90</v>
      </c>
      <c r="M38" s="159"/>
      <c r="N38" s="159"/>
      <c r="O38" s="159"/>
      <c r="P38" s="159"/>
      <c r="Q38" s="159"/>
      <c r="R38" s="159"/>
      <c r="S38" s="159"/>
      <c r="T38" s="159"/>
      <c r="U38" s="159"/>
      <c r="V38" s="159"/>
      <c r="W38" s="159"/>
      <c r="X38" s="159"/>
      <c r="Y38" s="159"/>
      <c r="Z38" s="387"/>
      <c r="AA38" s="387"/>
      <c r="AB38" s="387"/>
      <c r="AC38" s="387"/>
      <c r="AD38" s="387"/>
      <c r="AE38" s="387"/>
      <c r="AF38" s="387"/>
      <c r="AG38" s="387"/>
      <c r="AH38" s="387"/>
      <c r="AI38" s="387"/>
      <c r="AJ38" s="387"/>
      <c r="AK38" s="387"/>
      <c r="AL38" s="159"/>
      <c r="AM38" s="159"/>
      <c r="AN38" s="159"/>
      <c r="AO38" s="159"/>
      <c r="AP38" s="159"/>
      <c r="AQ38" s="159"/>
      <c r="AR38" s="159"/>
      <c r="AS38" s="159"/>
      <c r="AT38" s="159"/>
      <c r="AU38" s="159"/>
      <c r="AV38" s="159"/>
      <c r="AW38" s="159"/>
      <c r="AX38" s="387"/>
      <c r="AY38" s="387"/>
      <c r="AZ38" s="387"/>
      <c r="BA38" s="387"/>
      <c r="BB38" s="387"/>
      <c r="BC38" s="387"/>
      <c r="BD38" s="387"/>
      <c r="BE38" s="387"/>
      <c r="BF38" s="387"/>
      <c r="BG38" s="387"/>
      <c r="BH38" s="387"/>
      <c r="BI38" s="387"/>
      <c r="BJ38" s="159"/>
      <c r="BK38" s="159"/>
      <c r="BL38" s="159"/>
      <c r="BM38" s="159"/>
      <c r="BN38" s="159"/>
      <c r="BO38" s="159"/>
      <c r="BP38" s="159"/>
      <c r="BQ38" s="159"/>
      <c r="BR38" s="159"/>
      <c r="BS38" s="159"/>
      <c r="BT38" s="159"/>
      <c r="BU38" s="159"/>
      <c r="BV38" s="387"/>
      <c r="BW38" s="387"/>
      <c r="BX38" s="387"/>
      <c r="BY38" s="387"/>
      <c r="BZ38" s="387"/>
      <c r="CA38" s="387"/>
      <c r="CB38" s="387"/>
      <c r="CC38" s="387"/>
      <c r="CD38" s="387"/>
      <c r="CE38" s="387"/>
      <c r="CF38" s="387"/>
      <c r="CG38" s="387"/>
      <c r="CH38" s="145"/>
      <c r="CI38" s="354">
        <f t="shared" si="5"/>
        <v>90</v>
      </c>
      <c r="CJ38" s="355" t="str">
        <f>IF(CI38&gt;KKM!$G$10,"A",IF(CI38&gt;KKM!$H$10,"B",IF(CI38&gt;=KKM!$I$10,"C","D")))</f>
        <v>A</v>
      </c>
      <c r="CK38" s="356">
        <f t="shared" si="6"/>
        <v>90</v>
      </c>
      <c r="CL38" s="361" t="str">
        <f>IF(CK38&gt;KKM!$G$10," sangat baik ",IF(CK38&gt;KKM!$H$10," baik ",IF(CK38&gt;=KKM!$I$10," cukup baik "," perlu bimbingan ")))</f>
        <v xml:space="preserve"> sangat baik </v>
      </c>
      <c r="CM38" s="357">
        <f t="shared" si="7"/>
        <v>90</v>
      </c>
      <c r="CN38" s="361" t="str">
        <f>IF(CM38&gt;KKM!$G$10," sangat baik ",IF(CM38&gt;KKM!$H$10," baik ",IF(CM38&gt;=KKM!$I$10," cukup baik "," perlu bimbingan ")))</f>
        <v xml:space="preserve"> sangat baik </v>
      </c>
      <c r="CO38" s="353" t="str">
        <f t="shared" si="8"/>
        <v>NAFILA sangat baik  dalam membaca Q.S. at-Tīn dan Q.S. al-Mā’ūn dengan tartil.</v>
      </c>
      <c r="CP38" s="358"/>
      <c r="CQ38" s="359" t="str">
        <f t="shared" si="2"/>
        <v xml:space="preserve"> sangat baik  dalam membaca Q.S. at-Tīn dan Q.S. al-Mā’ūn dengan tartil.</v>
      </c>
      <c r="CR38" s="359" t="str">
        <f t="shared" si="3"/>
        <v xml:space="preserve"> sangat baik  dalam membaca Q.S. at-Tīn dan Q.S. al-Mā’ūn dengan tartil.</v>
      </c>
      <c r="CS38" s="359" t="str">
        <f t="shared" si="9"/>
        <v xml:space="preserve"> sangat baik  dalam membaca Q.S. at-Tīn dan Q.S. al-Mā’ūn dengan tartil., dan  sangat baik  dalam membaca Q.S. at-Tīn dan Q.S. al-Mā’ūn dengan tartil.</v>
      </c>
      <c r="CT38" s="359" t="str">
        <f t="shared" si="10"/>
        <v xml:space="preserve"> sangat baik  dalam membaca Q.S. at-Tīn dan Q.S. al-Mā’ūn dengan tartil.</v>
      </c>
      <c r="CU38" s="360" t="str">
        <f t="shared" si="11"/>
        <v xml:space="preserve"> sangat baik  dalam membaca Q.S. at-Tīn dan Q.S. al-Mā’ūn dengan tartil.</v>
      </c>
      <c r="CV38" s="353" t="str">
        <f t="shared" ref="CV38:CV55" si="13">CONCATENATE(D38,CU38)</f>
        <v>NAFILA sangat baik  dalam membaca Q.S. at-Tīn dan Q.S. al-Mā’ūn dengan tartil.</v>
      </c>
      <c r="CW38" s="153"/>
      <c r="DF38" s="469">
        <f t="shared" si="12"/>
        <v>90</v>
      </c>
    </row>
    <row r="39" spans="2:110" ht="62.25" customHeight="1">
      <c r="B39" s="142">
        <v>34</v>
      </c>
      <c r="C39" s="143" t="str">
        <f>SISWA!B39</f>
        <v>1718250040338</v>
      </c>
      <c r="D39" s="144" t="str">
        <f>SISWA!E39</f>
        <v>NAZZALA</v>
      </c>
      <c r="E39" s="159">
        <v>90</v>
      </c>
      <c r="F39" s="160">
        <v>90</v>
      </c>
      <c r="G39" s="160">
        <v>90</v>
      </c>
      <c r="H39" s="160">
        <v>90</v>
      </c>
      <c r="I39" s="160">
        <v>90</v>
      </c>
      <c r="J39" s="159">
        <v>90</v>
      </c>
      <c r="K39" s="159">
        <v>90</v>
      </c>
      <c r="L39" s="159">
        <v>90</v>
      </c>
      <c r="M39" s="159"/>
      <c r="N39" s="159"/>
      <c r="O39" s="159"/>
      <c r="P39" s="159"/>
      <c r="Q39" s="159"/>
      <c r="R39" s="159"/>
      <c r="S39" s="159"/>
      <c r="T39" s="159"/>
      <c r="U39" s="159"/>
      <c r="V39" s="159"/>
      <c r="W39" s="159"/>
      <c r="X39" s="159"/>
      <c r="Y39" s="159"/>
      <c r="Z39" s="387"/>
      <c r="AA39" s="387"/>
      <c r="AB39" s="387"/>
      <c r="AC39" s="387"/>
      <c r="AD39" s="387"/>
      <c r="AE39" s="387"/>
      <c r="AF39" s="387"/>
      <c r="AG39" s="387"/>
      <c r="AH39" s="387"/>
      <c r="AI39" s="387"/>
      <c r="AJ39" s="387"/>
      <c r="AK39" s="387"/>
      <c r="AL39" s="159"/>
      <c r="AM39" s="159"/>
      <c r="AN39" s="159"/>
      <c r="AO39" s="159"/>
      <c r="AP39" s="159"/>
      <c r="AQ39" s="159"/>
      <c r="AR39" s="159"/>
      <c r="AS39" s="159"/>
      <c r="AT39" s="159"/>
      <c r="AU39" s="159"/>
      <c r="AV39" s="159"/>
      <c r="AW39" s="159"/>
      <c r="AX39" s="387"/>
      <c r="AY39" s="387"/>
      <c r="AZ39" s="387"/>
      <c r="BA39" s="387"/>
      <c r="BB39" s="387"/>
      <c r="BC39" s="387"/>
      <c r="BD39" s="387"/>
      <c r="BE39" s="387"/>
      <c r="BF39" s="387"/>
      <c r="BG39" s="387"/>
      <c r="BH39" s="387"/>
      <c r="BI39" s="387"/>
      <c r="BJ39" s="159"/>
      <c r="BK39" s="159"/>
      <c r="BL39" s="159"/>
      <c r="BM39" s="159"/>
      <c r="BN39" s="159"/>
      <c r="BO39" s="159"/>
      <c r="BP39" s="159"/>
      <c r="BQ39" s="159"/>
      <c r="BR39" s="159"/>
      <c r="BS39" s="159"/>
      <c r="BT39" s="159"/>
      <c r="BU39" s="159"/>
      <c r="BV39" s="387"/>
      <c r="BW39" s="387"/>
      <c r="BX39" s="387"/>
      <c r="BY39" s="387"/>
      <c r="BZ39" s="387"/>
      <c r="CA39" s="387"/>
      <c r="CB39" s="387"/>
      <c r="CC39" s="387"/>
      <c r="CD39" s="387"/>
      <c r="CE39" s="387"/>
      <c r="CF39" s="387"/>
      <c r="CG39" s="387"/>
      <c r="CH39" s="145"/>
      <c r="CI39" s="354">
        <f t="shared" si="5"/>
        <v>90</v>
      </c>
      <c r="CJ39" s="355" t="str">
        <f>IF(CI39&gt;KKM!$G$10,"A",IF(CI39&gt;KKM!$H$10,"B",IF(CI39&gt;=KKM!$I$10,"C","D")))</f>
        <v>A</v>
      </c>
      <c r="CK39" s="356">
        <f t="shared" si="6"/>
        <v>90</v>
      </c>
      <c r="CL39" s="361" t="str">
        <f>IF(CK39&gt;KKM!$G$10," sangat baik ",IF(CK39&gt;KKM!$H$10," baik ",IF(CK39&gt;=KKM!$I$10," cukup baik "," perlu bimbingan ")))</f>
        <v xml:space="preserve"> sangat baik </v>
      </c>
      <c r="CM39" s="357">
        <f t="shared" si="7"/>
        <v>90</v>
      </c>
      <c r="CN39" s="361" t="str">
        <f>IF(CM39&gt;KKM!$G$10," sangat baik ",IF(CM39&gt;KKM!$H$10," baik ",IF(CM39&gt;=KKM!$I$10," cukup baik "," perlu bimbingan ")))</f>
        <v xml:space="preserve"> sangat baik </v>
      </c>
      <c r="CO39" s="353" t="str">
        <f t="shared" si="8"/>
        <v>NAZZALA sangat baik  dalam membaca Q.S. at-Tīn dan Q.S. al-Mā’ūn dengan tartil.</v>
      </c>
      <c r="CP39" s="358"/>
      <c r="CQ39" s="359" t="str">
        <f t="shared" si="2"/>
        <v xml:space="preserve"> sangat baik  dalam membaca Q.S. at-Tīn dan Q.S. al-Mā’ūn dengan tartil.</v>
      </c>
      <c r="CR39" s="359" t="str">
        <f t="shared" si="3"/>
        <v xml:space="preserve"> sangat baik  dalam membaca Q.S. at-Tīn dan Q.S. al-Mā’ūn dengan tartil.</v>
      </c>
      <c r="CS39" s="359" t="str">
        <f t="shared" si="9"/>
        <v xml:space="preserve"> sangat baik  dalam membaca Q.S. at-Tīn dan Q.S. al-Mā’ūn dengan tartil., dan  sangat baik  dalam membaca Q.S. at-Tīn dan Q.S. al-Mā’ūn dengan tartil.</v>
      </c>
      <c r="CT39" s="359" t="str">
        <f t="shared" si="10"/>
        <v xml:space="preserve"> sangat baik  dalam membaca Q.S. at-Tīn dan Q.S. al-Mā’ūn dengan tartil.</v>
      </c>
      <c r="CU39" s="360" t="str">
        <f t="shared" si="11"/>
        <v xml:space="preserve"> sangat baik  dalam membaca Q.S. at-Tīn dan Q.S. al-Mā’ūn dengan tartil.</v>
      </c>
      <c r="CV39" s="353" t="str">
        <f t="shared" si="13"/>
        <v>NAZZALA sangat baik  dalam membaca Q.S. at-Tīn dan Q.S. al-Mā’ūn dengan tartil.</v>
      </c>
      <c r="CW39" s="153"/>
      <c r="DF39" s="469">
        <f t="shared" si="12"/>
        <v>90</v>
      </c>
    </row>
    <row r="40" spans="2:110" ht="62.25" customHeight="1">
      <c r="B40" s="142">
        <v>35</v>
      </c>
      <c r="C40" s="143" t="str">
        <f>SISWA!B40</f>
        <v>1718250040339</v>
      </c>
      <c r="D40" s="144" t="str">
        <f>SISWA!E40</f>
        <v>RAFAREL</v>
      </c>
      <c r="E40" s="159">
        <v>80</v>
      </c>
      <c r="F40" s="160">
        <v>80</v>
      </c>
      <c r="G40" s="160">
        <v>80</v>
      </c>
      <c r="H40" s="160">
        <v>80</v>
      </c>
      <c r="I40" s="160">
        <v>80</v>
      </c>
      <c r="J40" s="159">
        <v>80</v>
      </c>
      <c r="K40" s="159">
        <v>80</v>
      </c>
      <c r="L40" s="159">
        <v>80</v>
      </c>
      <c r="M40" s="159"/>
      <c r="N40" s="159"/>
      <c r="O40" s="159"/>
      <c r="P40" s="159"/>
      <c r="Q40" s="159"/>
      <c r="R40" s="159"/>
      <c r="S40" s="159"/>
      <c r="T40" s="159"/>
      <c r="U40" s="159"/>
      <c r="V40" s="159"/>
      <c r="W40" s="159"/>
      <c r="X40" s="159"/>
      <c r="Y40" s="159"/>
      <c r="Z40" s="387"/>
      <c r="AA40" s="387"/>
      <c r="AB40" s="387"/>
      <c r="AC40" s="387"/>
      <c r="AD40" s="387"/>
      <c r="AE40" s="387"/>
      <c r="AF40" s="387"/>
      <c r="AG40" s="387"/>
      <c r="AH40" s="387"/>
      <c r="AI40" s="387"/>
      <c r="AJ40" s="387"/>
      <c r="AK40" s="387"/>
      <c r="AL40" s="159"/>
      <c r="AM40" s="159"/>
      <c r="AN40" s="159"/>
      <c r="AO40" s="159"/>
      <c r="AP40" s="159"/>
      <c r="AQ40" s="159"/>
      <c r="AR40" s="159"/>
      <c r="AS40" s="159"/>
      <c r="AT40" s="159"/>
      <c r="AU40" s="159"/>
      <c r="AV40" s="159"/>
      <c r="AW40" s="159"/>
      <c r="AX40" s="387"/>
      <c r="AY40" s="387"/>
      <c r="AZ40" s="387"/>
      <c r="BA40" s="387"/>
      <c r="BB40" s="387"/>
      <c r="BC40" s="387"/>
      <c r="BD40" s="387"/>
      <c r="BE40" s="387"/>
      <c r="BF40" s="387"/>
      <c r="BG40" s="387"/>
      <c r="BH40" s="387"/>
      <c r="BI40" s="387"/>
      <c r="BJ40" s="159"/>
      <c r="BK40" s="159"/>
      <c r="BL40" s="159"/>
      <c r="BM40" s="159"/>
      <c r="BN40" s="159"/>
      <c r="BO40" s="159"/>
      <c r="BP40" s="159"/>
      <c r="BQ40" s="159"/>
      <c r="BR40" s="159"/>
      <c r="BS40" s="159"/>
      <c r="BT40" s="159"/>
      <c r="BU40" s="159"/>
      <c r="BV40" s="387"/>
      <c r="BW40" s="387"/>
      <c r="BX40" s="387"/>
      <c r="BY40" s="387"/>
      <c r="BZ40" s="387"/>
      <c r="CA40" s="387"/>
      <c r="CB40" s="387"/>
      <c r="CC40" s="387"/>
      <c r="CD40" s="387"/>
      <c r="CE40" s="387"/>
      <c r="CF40" s="387"/>
      <c r="CG40" s="387"/>
      <c r="CH40" s="145"/>
      <c r="CI40" s="354">
        <f t="shared" si="5"/>
        <v>80</v>
      </c>
      <c r="CJ40" s="355" t="str">
        <f>IF(CI40&gt;KKM!$G$10,"A",IF(CI40&gt;KKM!$H$10,"B",IF(CI40&gt;=KKM!$I$10,"C","D")))</f>
        <v>B</v>
      </c>
      <c r="CK40" s="356">
        <f t="shared" si="6"/>
        <v>80</v>
      </c>
      <c r="CL40" s="361" t="str">
        <f>IF(CK40&gt;KKM!$G$10," sangat baik ",IF(CK40&gt;KKM!$H$10," baik ",IF(CK40&gt;=KKM!$I$10," cukup baik "," perlu bimbingan ")))</f>
        <v xml:space="preserve"> baik </v>
      </c>
      <c r="CM40" s="357">
        <f t="shared" si="7"/>
        <v>80</v>
      </c>
      <c r="CN40" s="361" t="str">
        <f>IF(CM40&gt;KKM!$G$10," sangat baik ",IF(CM40&gt;KKM!$H$10," baik ",IF(CM40&gt;=KKM!$I$10," cukup baik "," perlu bimbingan ")))</f>
        <v xml:space="preserve"> baik </v>
      </c>
      <c r="CO40" s="353" t="str">
        <f t="shared" si="8"/>
        <v>RAFAREL baik  dalam membaca Q.S. at-Tīn dan Q.S. al-Mā’ūn dengan tartil.</v>
      </c>
      <c r="CP40" s="358"/>
      <c r="CQ40" s="359" t="str">
        <f t="shared" si="2"/>
        <v xml:space="preserve"> baik  dalam membaca Q.S. at-Tīn dan Q.S. al-Mā’ūn dengan tartil.</v>
      </c>
      <c r="CR40" s="359" t="str">
        <f t="shared" si="3"/>
        <v xml:space="preserve"> baik  dalam membaca Q.S. at-Tīn dan Q.S. al-Mā’ūn dengan tartil.</v>
      </c>
      <c r="CS40" s="359" t="str">
        <f t="shared" si="9"/>
        <v xml:space="preserve"> baik  dalam membaca Q.S. at-Tīn dan Q.S. al-Mā’ūn dengan tartil., dan  baik  dalam membaca Q.S. at-Tīn dan Q.S. al-Mā’ūn dengan tartil.</v>
      </c>
      <c r="CT40" s="359" t="str">
        <f t="shared" si="10"/>
        <v xml:space="preserve"> baik  dalam membaca Q.S. at-Tīn dan Q.S. al-Mā’ūn dengan tartil.</v>
      </c>
      <c r="CU40" s="360" t="str">
        <f t="shared" si="11"/>
        <v xml:space="preserve"> baik  dalam membaca Q.S. at-Tīn dan Q.S. al-Mā’ūn dengan tartil.</v>
      </c>
      <c r="CV40" s="353" t="str">
        <f t="shared" si="13"/>
        <v>RAFAREL baik  dalam membaca Q.S. at-Tīn dan Q.S. al-Mā’ūn dengan tartil.</v>
      </c>
      <c r="CW40" s="153"/>
      <c r="DF40" s="469">
        <f t="shared" si="12"/>
        <v>80</v>
      </c>
    </row>
    <row r="41" spans="2:110" ht="62.25" customHeight="1">
      <c r="B41" s="142">
        <v>36</v>
      </c>
      <c r="C41" s="143" t="str">
        <f>SISWA!B41</f>
        <v>1718250040340</v>
      </c>
      <c r="D41" s="144" t="str">
        <f>SISWA!E41</f>
        <v>RAKHA</v>
      </c>
      <c r="E41" s="159">
        <v>90</v>
      </c>
      <c r="F41" s="160">
        <v>90</v>
      </c>
      <c r="G41" s="160">
        <v>90</v>
      </c>
      <c r="H41" s="160">
        <v>90</v>
      </c>
      <c r="I41" s="160">
        <v>90</v>
      </c>
      <c r="J41" s="159">
        <v>90</v>
      </c>
      <c r="K41" s="159">
        <v>90</v>
      </c>
      <c r="L41" s="159">
        <v>90</v>
      </c>
      <c r="M41" s="159"/>
      <c r="N41" s="159"/>
      <c r="O41" s="159"/>
      <c r="P41" s="159"/>
      <c r="Q41" s="159"/>
      <c r="R41" s="159"/>
      <c r="S41" s="159"/>
      <c r="T41" s="159"/>
      <c r="U41" s="159"/>
      <c r="V41" s="159"/>
      <c r="W41" s="159"/>
      <c r="X41" s="159"/>
      <c r="Y41" s="159"/>
      <c r="Z41" s="387"/>
      <c r="AA41" s="387"/>
      <c r="AB41" s="387"/>
      <c r="AC41" s="387"/>
      <c r="AD41" s="387"/>
      <c r="AE41" s="387"/>
      <c r="AF41" s="387"/>
      <c r="AG41" s="387"/>
      <c r="AH41" s="387"/>
      <c r="AI41" s="387"/>
      <c r="AJ41" s="387"/>
      <c r="AK41" s="387"/>
      <c r="AL41" s="159"/>
      <c r="AM41" s="159"/>
      <c r="AN41" s="159"/>
      <c r="AO41" s="159"/>
      <c r="AP41" s="159"/>
      <c r="AQ41" s="159"/>
      <c r="AR41" s="159"/>
      <c r="AS41" s="159"/>
      <c r="AT41" s="159"/>
      <c r="AU41" s="159"/>
      <c r="AV41" s="159"/>
      <c r="AW41" s="159"/>
      <c r="AX41" s="387"/>
      <c r="AY41" s="387"/>
      <c r="AZ41" s="387"/>
      <c r="BA41" s="387"/>
      <c r="BB41" s="387"/>
      <c r="BC41" s="387"/>
      <c r="BD41" s="387"/>
      <c r="BE41" s="387"/>
      <c r="BF41" s="387"/>
      <c r="BG41" s="387"/>
      <c r="BH41" s="387"/>
      <c r="BI41" s="387"/>
      <c r="BJ41" s="159"/>
      <c r="BK41" s="159"/>
      <c r="BL41" s="159"/>
      <c r="BM41" s="159"/>
      <c r="BN41" s="159"/>
      <c r="BO41" s="159"/>
      <c r="BP41" s="159"/>
      <c r="BQ41" s="159"/>
      <c r="BR41" s="159"/>
      <c r="BS41" s="159"/>
      <c r="BT41" s="159"/>
      <c r="BU41" s="159"/>
      <c r="BV41" s="387"/>
      <c r="BW41" s="387"/>
      <c r="BX41" s="387"/>
      <c r="BY41" s="387"/>
      <c r="BZ41" s="387"/>
      <c r="CA41" s="387"/>
      <c r="CB41" s="387"/>
      <c r="CC41" s="387"/>
      <c r="CD41" s="387"/>
      <c r="CE41" s="387"/>
      <c r="CF41" s="387"/>
      <c r="CG41" s="387"/>
      <c r="CH41" s="145"/>
      <c r="CI41" s="354">
        <f t="shared" si="5"/>
        <v>90</v>
      </c>
      <c r="CJ41" s="355" t="str">
        <f>IF(CI41&gt;KKM!$G$10,"A",IF(CI41&gt;KKM!$H$10,"B",IF(CI41&gt;=KKM!$I$10,"C","D")))</f>
        <v>A</v>
      </c>
      <c r="CK41" s="356">
        <f t="shared" si="6"/>
        <v>90</v>
      </c>
      <c r="CL41" s="361" t="str">
        <f>IF(CK41&gt;KKM!$G$10," sangat baik ",IF(CK41&gt;KKM!$H$10," baik ",IF(CK41&gt;=KKM!$I$10," cukup baik "," perlu bimbingan ")))</f>
        <v xml:space="preserve"> sangat baik </v>
      </c>
      <c r="CM41" s="357">
        <f t="shared" si="7"/>
        <v>90</v>
      </c>
      <c r="CN41" s="361" t="str">
        <f>IF(CM41&gt;KKM!$G$10," sangat baik ",IF(CM41&gt;KKM!$H$10," baik ",IF(CM41&gt;=KKM!$I$10," cukup baik "," perlu bimbingan ")))</f>
        <v xml:space="preserve"> sangat baik </v>
      </c>
      <c r="CO41" s="353" t="str">
        <f t="shared" si="8"/>
        <v>RAKHA sangat baik  dalam membaca Q.S. at-Tīn dan Q.S. al-Mā’ūn dengan tartil.</v>
      </c>
      <c r="CP41" s="358"/>
      <c r="CQ41" s="359" t="str">
        <f t="shared" si="2"/>
        <v xml:space="preserve"> sangat baik  dalam membaca Q.S. at-Tīn dan Q.S. al-Mā’ūn dengan tartil.</v>
      </c>
      <c r="CR41" s="359" t="str">
        <f t="shared" si="3"/>
        <v xml:space="preserve"> sangat baik  dalam membaca Q.S. at-Tīn dan Q.S. al-Mā’ūn dengan tartil.</v>
      </c>
      <c r="CS41" s="359" t="str">
        <f t="shared" si="9"/>
        <v xml:space="preserve"> sangat baik  dalam membaca Q.S. at-Tīn dan Q.S. al-Mā’ūn dengan tartil., dan  sangat baik  dalam membaca Q.S. at-Tīn dan Q.S. al-Mā’ūn dengan tartil.</v>
      </c>
      <c r="CT41" s="359" t="str">
        <f t="shared" si="10"/>
        <v xml:space="preserve"> sangat baik  dalam membaca Q.S. at-Tīn dan Q.S. al-Mā’ūn dengan tartil.</v>
      </c>
      <c r="CU41" s="360" t="str">
        <f t="shared" si="11"/>
        <v xml:space="preserve"> sangat baik  dalam membaca Q.S. at-Tīn dan Q.S. al-Mā’ūn dengan tartil.</v>
      </c>
      <c r="CV41" s="353" t="str">
        <f t="shared" si="13"/>
        <v>RAKHA sangat baik  dalam membaca Q.S. at-Tīn dan Q.S. al-Mā’ūn dengan tartil.</v>
      </c>
      <c r="CW41" s="153"/>
      <c r="DF41" s="469">
        <f t="shared" si="12"/>
        <v>90</v>
      </c>
    </row>
    <row r="42" spans="2:110" ht="62.25" customHeight="1">
      <c r="B42" s="142">
        <v>37</v>
      </c>
      <c r="C42" s="143" t="str">
        <f>SISWA!B42</f>
        <v>1718250040341</v>
      </c>
      <c r="D42" s="144" t="str">
        <f>SISWA!E42</f>
        <v>RYU</v>
      </c>
      <c r="E42" s="159">
        <v>80</v>
      </c>
      <c r="F42" s="160">
        <v>80</v>
      </c>
      <c r="G42" s="160">
        <v>80</v>
      </c>
      <c r="H42" s="160">
        <v>80</v>
      </c>
      <c r="I42" s="160">
        <v>80</v>
      </c>
      <c r="J42" s="159">
        <v>80</v>
      </c>
      <c r="K42" s="159">
        <v>80</v>
      </c>
      <c r="L42" s="159">
        <v>80</v>
      </c>
      <c r="M42" s="159"/>
      <c r="N42" s="159"/>
      <c r="O42" s="159"/>
      <c r="P42" s="159"/>
      <c r="Q42" s="159"/>
      <c r="R42" s="159"/>
      <c r="S42" s="159"/>
      <c r="T42" s="159"/>
      <c r="U42" s="159"/>
      <c r="V42" s="159"/>
      <c r="W42" s="159"/>
      <c r="X42" s="159"/>
      <c r="Y42" s="159"/>
      <c r="Z42" s="387"/>
      <c r="AA42" s="387"/>
      <c r="AB42" s="387"/>
      <c r="AC42" s="387"/>
      <c r="AD42" s="387"/>
      <c r="AE42" s="387"/>
      <c r="AF42" s="387"/>
      <c r="AG42" s="387"/>
      <c r="AH42" s="387"/>
      <c r="AI42" s="387"/>
      <c r="AJ42" s="387"/>
      <c r="AK42" s="387"/>
      <c r="AL42" s="159"/>
      <c r="AM42" s="159"/>
      <c r="AN42" s="159"/>
      <c r="AO42" s="159"/>
      <c r="AP42" s="159"/>
      <c r="AQ42" s="159"/>
      <c r="AR42" s="159"/>
      <c r="AS42" s="159"/>
      <c r="AT42" s="159"/>
      <c r="AU42" s="159"/>
      <c r="AV42" s="159"/>
      <c r="AW42" s="159"/>
      <c r="AX42" s="387"/>
      <c r="AY42" s="387"/>
      <c r="AZ42" s="387"/>
      <c r="BA42" s="387"/>
      <c r="BB42" s="387"/>
      <c r="BC42" s="387"/>
      <c r="BD42" s="387"/>
      <c r="BE42" s="387"/>
      <c r="BF42" s="387"/>
      <c r="BG42" s="387"/>
      <c r="BH42" s="387"/>
      <c r="BI42" s="387"/>
      <c r="BJ42" s="159"/>
      <c r="BK42" s="159"/>
      <c r="BL42" s="159"/>
      <c r="BM42" s="159"/>
      <c r="BN42" s="159"/>
      <c r="BO42" s="159"/>
      <c r="BP42" s="159"/>
      <c r="BQ42" s="159"/>
      <c r="BR42" s="159"/>
      <c r="BS42" s="159"/>
      <c r="BT42" s="159"/>
      <c r="BU42" s="159"/>
      <c r="BV42" s="387"/>
      <c r="BW42" s="387"/>
      <c r="BX42" s="387"/>
      <c r="BY42" s="387"/>
      <c r="BZ42" s="387"/>
      <c r="CA42" s="387"/>
      <c r="CB42" s="387"/>
      <c r="CC42" s="387"/>
      <c r="CD42" s="387"/>
      <c r="CE42" s="387"/>
      <c r="CF42" s="387"/>
      <c r="CG42" s="387"/>
      <c r="CH42" s="145"/>
      <c r="CI42" s="354">
        <f t="shared" si="5"/>
        <v>80</v>
      </c>
      <c r="CJ42" s="355" t="str">
        <f>IF(CI42&gt;KKM!$G$10,"A",IF(CI42&gt;KKM!$H$10,"B",IF(CI42&gt;=KKM!$I$10,"C","D")))</f>
        <v>B</v>
      </c>
      <c r="CK42" s="356">
        <f t="shared" si="6"/>
        <v>80</v>
      </c>
      <c r="CL42" s="361" t="str">
        <f>IF(CK42&gt;KKM!$G$10," sangat baik ",IF(CK42&gt;KKM!$H$10," baik ",IF(CK42&gt;=KKM!$I$10," cukup baik "," perlu bimbingan ")))</f>
        <v xml:space="preserve"> baik </v>
      </c>
      <c r="CM42" s="357">
        <f t="shared" si="7"/>
        <v>80</v>
      </c>
      <c r="CN42" s="361" t="str">
        <f>IF(CM42&gt;KKM!$G$10," sangat baik ",IF(CM42&gt;KKM!$H$10," baik ",IF(CM42&gt;=KKM!$I$10," cukup baik "," perlu bimbingan ")))</f>
        <v xml:space="preserve"> baik </v>
      </c>
      <c r="CO42" s="353" t="str">
        <f t="shared" si="8"/>
        <v>RYU baik  dalam membaca Q.S. at-Tīn dan Q.S. al-Mā’ūn dengan tartil.</v>
      </c>
      <c r="CP42" s="358"/>
      <c r="CQ42" s="359" t="str">
        <f t="shared" si="2"/>
        <v xml:space="preserve"> baik  dalam membaca Q.S. at-Tīn dan Q.S. al-Mā’ūn dengan tartil.</v>
      </c>
      <c r="CR42" s="359" t="str">
        <f t="shared" si="3"/>
        <v xml:space="preserve"> baik  dalam membaca Q.S. at-Tīn dan Q.S. al-Mā’ūn dengan tartil.</v>
      </c>
      <c r="CS42" s="359" t="str">
        <f t="shared" si="9"/>
        <v xml:space="preserve"> baik  dalam membaca Q.S. at-Tīn dan Q.S. al-Mā’ūn dengan tartil., dan  baik  dalam membaca Q.S. at-Tīn dan Q.S. al-Mā’ūn dengan tartil.</v>
      </c>
      <c r="CT42" s="359" t="str">
        <f t="shared" si="10"/>
        <v xml:space="preserve"> baik  dalam membaca Q.S. at-Tīn dan Q.S. al-Mā’ūn dengan tartil.</v>
      </c>
      <c r="CU42" s="360" t="str">
        <f t="shared" si="11"/>
        <v xml:space="preserve"> baik  dalam membaca Q.S. at-Tīn dan Q.S. al-Mā’ūn dengan tartil.</v>
      </c>
      <c r="CV42" s="353" t="str">
        <f t="shared" si="13"/>
        <v>RYU baik  dalam membaca Q.S. at-Tīn dan Q.S. al-Mā’ūn dengan tartil.</v>
      </c>
      <c r="CW42" s="153"/>
      <c r="DF42" s="469">
        <f t="shared" si="12"/>
        <v>80</v>
      </c>
    </row>
    <row r="43" spans="2:110" ht="62.25" customHeight="1">
      <c r="B43" s="142">
        <v>38</v>
      </c>
      <c r="C43" s="143" t="str">
        <f>SISWA!B43</f>
        <v>1718250040342</v>
      </c>
      <c r="D43" s="144" t="str">
        <f>SISWA!E43</f>
        <v>SAEPUL</v>
      </c>
      <c r="E43" s="159">
        <v>88</v>
      </c>
      <c r="F43" s="160">
        <v>88</v>
      </c>
      <c r="G43" s="160">
        <v>88</v>
      </c>
      <c r="H43" s="160">
        <v>88</v>
      </c>
      <c r="I43" s="160">
        <v>88</v>
      </c>
      <c r="J43" s="159">
        <v>88</v>
      </c>
      <c r="K43" s="159">
        <v>88</v>
      </c>
      <c r="L43" s="159">
        <v>88</v>
      </c>
      <c r="M43" s="159"/>
      <c r="N43" s="159"/>
      <c r="O43" s="159"/>
      <c r="P43" s="159"/>
      <c r="Q43" s="159"/>
      <c r="R43" s="159"/>
      <c r="S43" s="159"/>
      <c r="T43" s="159"/>
      <c r="U43" s="159"/>
      <c r="V43" s="159"/>
      <c r="W43" s="159"/>
      <c r="X43" s="159"/>
      <c r="Y43" s="159"/>
      <c r="Z43" s="387"/>
      <c r="AA43" s="387"/>
      <c r="AB43" s="387"/>
      <c r="AC43" s="387"/>
      <c r="AD43" s="387"/>
      <c r="AE43" s="387"/>
      <c r="AF43" s="387"/>
      <c r="AG43" s="387"/>
      <c r="AH43" s="387"/>
      <c r="AI43" s="387"/>
      <c r="AJ43" s="387"/>
      <c r="AK43" s="387"/>
      <c r="AL43" s="159"/>
      <c r="AM43" s="159"/>
      <c r="AN43" s="159"/>
      <c r="AO43" s="159"/>
      <c r="AP43" s="159"/>
      <c r="AQ43" s="159"/>
      <c r="AR43" s="159"/>
      <c r="AS43" s="159"/>
      <c r="AT43" s="159"/>
      <c r="AU43" s="159"/>
      <c r="AV43" s="159"/>
      <c r="AW43" s="159"/>
      <c r="AX43" s="387"/>
      <c r="AY43" s="387"/>
      <c r="AZ43" s="387"/>
      <c r="BA43" s="387"/>
      <c r="BB43" s="387"/>
      <c r="BC43" s="387"/>
      <c r="BD43" s="387"/>
      <c r="BE43" s="387"/>
      <c r="BF43" s="387"/>
      <c r="BG43" s="387"/>
      <c r="BH43" s="387"/>
      <c r="BI43" s="387"/>
      <c r="BJ43" s="159"/>
      <c r="BK43" s="159"/>
      <c r="BL43" s="159"/>
      <c r="BM43" s="159"/>
      <c r="BN43" s="159"/>
      <c r="BO43" s="159"/>
      <c r="BP43" s="159"/>
      <c r="BQ43" s="159"/>
      <c r="BR43" s="159"/>
      <c r="BS43" s="159"/>
      <c r="BT43" s="159"/>
      <c r="BU43" s="159"/>
      <c r="BV43" s="387"/>
      <c r="BW43" s="387"/>
      <c r="BX43" s="387"/>
      <c r="BY43" s="387"/>
      <c r="BZ43" s="387"/>
      <c r="CA43" s="387"/>
      <c r="CB43" s="387"/>
      <c r="CC43" s="387"/>
      <c r="CD43" s="387"/>
      <c r="CE43" s="387"/>
      <c r="CF43" s="387"/>
      <c r="CG43" s="387"/>
      <c r="CH43" s="145"/>
      <c r="CI43" s="354">
        <f t="shared" si="5"/>
        <v>88</v>
      </c>
      <c r="CJ43" s="355" t="str">
        <f>IF(CI43&gt;KKM!$G$10,"A",IF(CI43&gt;KKM!$H$10,"B",IF(CI43&gt;=KKM!$I$10,"C","D")))</f>
        <v>A</v>
      </c>
      <c r="CK43" s="356">
        <f t="shared" si="6"/>
        <v>88</v>
      </c>
      <c r="CL43" s="361" t="str">
        <f>IF(CK43&gt;KKM!$G$10," sangat baik ",IF(CK43&gt;KKM!$H$10," baik ",IF(CK43&gt;=KKM!$I$10," cukup baik "," perlu bimbingan ")))</f>
        <v xml:space="preserve"> sangat baik </v>
      </c>
      <c r="CM43" s="357">
        <f t="shared" si="7"/>
        <v>88</v>
      </c>
      <c r="CN43" s="361" t="str">
        <f>IF(CM43&gt;KKM!$G$10," sangat baik ",IF(CM43&gt;KKM!$H$10," baik ",IF(CM43&gt;=KKM!$I$10," cukup baik "," perlu bimbingan ")))</f>
        <v xml:space="preserve"> sangat baik </v>
      </c>
      <c r="CO43" s="353" t="str">
        <f t="shared" si="8"/>
        <v>SAEPUL sangat baik  dalam membaca Q.S. at-Tīn dan Q.S. al-Mā’ūn dengan tartil.</v>
      </c>
      <c r="CP43" s="358"/>
      <c r="CQ43" s="359" t="str">
        <f t="shared" si="2"/>
        <v xml:space="preserve"> sangat baik  dalam membaca Q.S. at-Tīn dan Q.S. al-Mā’ūn dengan tartil.</v>
      </c>
      <c r="CR43" s="359" t="str">
        <f t="shared" si="3"/>
        <v xml:space="preserve"> sangat baik  dalam membaca Q.S. at-Tīn dan Q.S. al-Mā’ūn dengan tartil.</v>
      </c>
      <c r="CS43" s="359" t="str">
        <f t="shared" si="9"/>
        <v xml:space="preserve"> sangat baik  dalam membaca Q.S. at-Tīn dan Q.S. al-Mā’ūn dengan tartil., dan  sangat baik  dalam membaca Q.S. at-Tīn dan Q.S. al-Mā’ūn dengan tartil.</v>
      </c>
      <c r="CT43" s="359" t="str">
        <f t="shared" si="10"/>
        <v xml:space="preserve"> sangat baik  dalam membaca Q.S. at-Tīn dan Q.S. al-Mā’ūn dengan tartil.</v>
      </c>
      <c r="CU43" s="360" t="str">
        <f t="shared" si="11"/>
        <v xml:space="preserve"> sangat baik  dalam membaca Q.S. at-Tīn dan Q.S. al-Mā’ūn dengan tartil.</v>
      </c>
      <c r="CV43" s="353" t="str">
        <f t="shared" si="13"/>
        <v>SAEPUL sangat baik  dalam membaca Q.S. at-Tīn dan Q.S. al-Mā’ūn dengan tartil.</v>
      </c>
      <c r="CW43" s="153"/>
      <c r="DF43" s="469">
        <f t="shared" si="12"/>
        <v>88</v>
      </c>
    </row>
    <row r="44" spans="2:110" ht="62.25" customHeight="1">
      <c r="B44" s="142">
        <v>39</v>
      </c>
      <c r="C44" s="143" t="str">
        <f>SISWA!B44</f>
        <v>1718250040343</v>
      </c>
      <c r="D44" s="144" t="str">
        <f>SISWA!E44</f>
        <v>SALMA</v>
      </c>
      <c r="E44" s="159">
        <v>90</v>
      </c>
      <c r="F44" s="160">
        <v>90</v>
      </c>
      <c r="G44" s="160">
        <v>90</v>
      </c>
      <c r="H44" s="160">
        <v>90</v>
      </c>
      <c r="I44" s="160">
        <v>90</v>
      </c>
      <c r="J44" s="159">
        <v>90</v>
      </c>
      <c r="K44" s="159">
        <v>90</v>
      </c>
      <c r="L44" s="159">
        <v>90</v>
      </c>
      <c r="M44" s="159"/>
      <c r="N44" s="159"/>
      <c r="O44" s="159"/>
      <c r="P44" s="159"/>
      <c r="Q44" s="159"/>
      <c r="R44" s="159"/>
      <c r="S44" s="159"/>
      <c r="T44" s="159"/>
      <c r="U44" s="159"/>
      <c r="V44" s="159"/>
      <c r="W44" s="159"/>
      <c r="X44" s="159"/>
      <c r="Y44" s="159"/>
      <c r="Z44" s="387"/>
      <c r="AA44" s="387"/>
      <c r="AB44" s="387"/>
      <c r="AC44" s="387"/>
      <c r="AD44" s="387"/>
      <c r="AE44" s="387"/>
      <c r="AF44" s="387"/>
      <c r="AG44" s="387"/>
      <c r="AH44" s="387"/>
      <c r="AI44" s="387"/>
      <c r="AJ44" s="387"/>
      <c r="AK44" s="387"/>
      <c r="AL44" s="159"/>
      <c r="AM44" s="159"/>
      <c r="AN44" s="159"/>
      <c r="AO44" s="159"/>
      <c r="AP44" s="159"/>
      <c r="AQ44" s="159"/>
      <c r="AR44" s="159"/>
      <c r="AS44" s="159"/>
      <c r="AT44" s="159"/>
      <c r="AU44" s="159"/>
      <c r="AV44" s="159"/>
      <c r="AW44" s="159"/>
      <c r="AX44" s="387"/>
      <c r="AY44" s="387"/>
      <c r="AZ44" s="387"/>
      <c r="BA44" s="387"/>
      <c r="BB44" s="387"/>
      <c r="BC44" s="387"/>
      <c r="BD44" s="387"/>
      <c r="BE44" s="387"/>
      <c r="BF44" s="387"/>
      <c r="BG44" s="387"/>
      <c r="BH44" s="387"/>
      <c r="BI44" s="387"/>
      <c r="BJ44" s="159"/>
      <c r="BK44" s="159"/>
      <c r="BL44" s="159"/>
      <c r="BM44" s="159"/>
      <c r="BN44" s="159"/>
      <c r="BO44" s="159"/>
      <c r="BP44" s="159"/>
      <c r="BQ44" s="159"/>
      <c r="BR44" s="159"/>
      <c r="BS44" s="159"/>
      <c r="BT44" s="159"/>
      <c r="BU44" s="159"/>
      <c r="BV44" s="387"/>
      <c r="BW44" s="387"/>
      <c r="BX44" s="387"/>
      <c r="BY44" s="387"/>
      <c r="BZ44" s="387"/>
      <c r="CA44" s="387"/>
      <c r="CB44" s="387"/>
      <c r="CC44" s="387"/>
      <c r="CD44" s="387"/>
      <c r="CE44" s="387"/>
      <c r="CF44" s="387"/>
      <c r="CG44" s="387"/>
      <c r="CH44" s="145"/>
      <c r="CI44" s="354">
        <f t="shared" si="5"/>
        <v>90</v>
      </c>
      <c r="CJ44" s="355" t="str">
        <f>IF(CI44&gt;KKM!$G$10,"A",IF(CI44&gt;KKM!$H$10,"B",IF(CI44&gt;=KKM!$I$10,"C","D")))</f>
        <v>A</v>
      </c>
      <c r="CK44" s="356">
        <f t="shared" si="6"/>
        <v>90</v>
      </c>
      <c r="CL44" s="361" t="str">
        <f>IF(CK44&gt;KKM!$G$10," sangat baik ",IF(CK44&gt;KKM!$H$10," baik ",IF(CK44&gt;=KKM!$I$10," cukup baik "," perlu bimbingan ")))</f>
        <v xml:space="preserve"> sangat baik </v>
      </c>
      <c r="CM44" s="357">
        <f t="shared" si="7"/>
        <v>90</v>
      </c>
      <c r="CN44" s="361" t="str">
        <f>IF(CM44&gt;KKM!$G$10," sangat baik ",IF(CM44&gt;KKM!$H$10," baik ",IF(CM44&gt;=KKM!$I$10," cukup baik "," perlu bimbingan ")))</f>
        <v xml:space="preserve"> sangat baik </v>
      </c>
      <c r="CO44" s="353" t="str">
        <f t="shared" si="8"/>
        <v>SALMA sangat baik  dalam membaca Q.S. at-Tīn dan Q.S. al-Mā’ūn dengan tartil.</v>
      </c>
      <c r="CP44" s="358"/>
      <c r="CQ44" s="359" t="str">
        <f t="shared" si="2"/>
        <v xml:space="preserve"> sangat baik  dalam membaca Q.S. at-Tīn dan Q.S. al-Mā’ūn dengan tartil.</v>
      </c>
      <c r="CR44" s="359" t="str">
        <f t="shared" si="3"/>
        <v xml:space="preserve"> sangat baik  dalam membaca Q.S. at-Tīn dan Q.S. al-Mā’ūn dengan tartil.</v>
      </c>
      <c r="CS44" s="359" t="str">
        <f t="shared" si="9"/>
        <v xml:space="preserve"> sangat baik  dalam membaca Q.S. at-Tīn dan Q.S. al-Mā’ūn dengan tartil., dan  sangat baik  dalam membaca Q.S. at-Tīn dan Q.S. al-Mā’ūn dengan tartil.</v>
      </c>
      <c r="CT44" s="359" t="str">
        <f t="shared" si="10"/>
        <v xml:space="preserve"> sangat baik  dalam membaca Q.S. at-Tīn dan Q.S. al-Mā’ūn dengan tartil.</v>
      </c>
      <c r="CU44" s="360" t="str">
        <f t="shared" si="11"/>
        <v xml:space="preserve"> sangat baik  dalam membaca Q.S. at-Tīn dan Q.S. al-Mā’ūn dengan tartil.</v>
      </c>
      <c r="CV44" s="353" t="str">
        <f t="shared" si="13"/>
        <v>SALMA sangat baik  dalam membaca Q.S. at-Tīn dan Q.S. al-Mā’ūn dengan tartil.</v>
      </c>
      <c r="CW44" s="153"/>
      <c r="DF44" s="469">
        <f t="shared" si="12"/>
        <v>90</v>
      </c>
    </row>
    <row r="45" spans="2:110" ht="62.25" customHeight="1">
      <c r="B45" s="142">
        <v>40</v>
      </c>
      <c r="C45" s="143" t="str">
        <f>SISWA!B45</f>
        <v>1718250040344</v>
      </c>
      <c r="D45" s="144" t="str">
        <f>SISWA!E45</f>
        <v>SYAKILA</v>
      </c>
      <c r="E45" s="159">
        <v>88</v>
      </c>
      <c r="F45" s="160">
        <v>88</v>
      </c>
      <c r="G45" s="160">
        <v>88</v>
      </c>
      <c r="H45" s="160">
        <v>88</v>
      </c>
      <c r="I45" s="160">
        <v>88</v>
      </c>
      <c r="J45" s="159">
        <v>88</v>
      </c>
      <c r="K45" s="159">
        <v>88</v>
      </c>
      <c r="L45" s="159">
        <v>88</v>
      </c>
      <c r="M45" s="159"/>
      <c r="N45" s="159"/>
      <c r="O45" s="159"/>
      <c r="P45" s="159"/>
      <c r="Q45" s="159"/>
      <c r="R45" s="159"/>
      <c r="S45" s="159"/>
      <c r="T45" s="159"/>
      <c r="U45" s="159"/>
      <c r="V45" s="159"/>
      <c r="W45" s="159"/>
      <c r="X45" s="159"/>
      <c r="Y45" s="159"/>
      <c r="Z45" s="387"/>
      <c r="AA45" s="387"/>
      <c r="AB45" s="387"/>
      <c r="AC45" s="387"/>
      <c r="AD45" s="387"/>
      <c r="AE45" s="387"/>
      <c r="AF45" s="387"/>
      <c r="AG45" s="387"/>
      <c r="AH45" s="387"/>
      <c r="AI45" s="387"/>
      <c r="AJ45" s="387"/>
      <c r="AK45" s="387"/>
      <c r="AL45" s="159"/>
      <c r="AM45" s="159"/>
      <c r="AN45" s="159"/>
      <c r="AO45" s="159"/>
      <c r="AP45" s="159"/>
      <c r="AQ45" s="159"/>
      <c r="AR45" s="159"/>
      <c r="AS45" s="159"/>
      <c r="AT45" s="159"/>
      <c r="AU45" s="159"/>
      <c r="AV45" s="159"/>
      <c r="AW45" s="159"/>
      <c r="AX45" s="387"/>
      <c r="AY45" s="387"/>
      <c r="AZ45" s="387"/>
      <c r="BA45" s="387"/>
      <c r="BB45" s="387"/>
      <c r="BC45" s="387"/>
      <c r="BD45" s="387"/>
      <c r="BE45" s="387"/>
      <c r="BF45" s="387"/>
      <c r="BG45" s="387"/>
      <c r="BH45" s="387"/>
      <c r="BI45" s="387"/>
      <c r="BJ45" s="159"/>
      <c r="BK45" s="159"/>
      <c r="BL45" s="159"/>
      <c r="BM45" s="159"/>
      <c r="BN45" s="159"/>
      <c r="BO45" s="159"/>
      <c r="BP45" s="159"/>
      <c r="BQ45" s="159"/>
      <c r="BR45" s="159"/>
      <c r="BS45" s="159"/>
      <c r="BT45" s="159"/>
      <c r="BU45" s="159"/>
      <c r="BV45" s="387"/>
      <c r="BW45" s="387"/>
      <c r="BX45" s="387"/>
      <c r="BY45" s="387"/>
      <c r="BZ45" s="387"/>
      <c r="CA45" s="387"/>
      <c r="CB45" s="387"/>
      <c r="CC45" s="387"/>
      <c r="CD45" s="387"/>
      <c r="CE45" s="387"/>
      <c r="CF45" s="387"/>
      <c r="CG45" s="387"/>
      <c r="CH45" s="145"/>
      <c r="CI45" s="354">
        <f t="shared" si="5"/>
        <v>88</v>
      </c>
      <c r="CJ45" s="355" t="str">
        <f>IF(CI45&gt;KKM!$G$10,"A",IF(CI45&gt;KKM!$H$10,"B",IF(CI45&gt;=KKM!$I$10,"C","D")))</f>
        <v>A</v>
      </c>
      <c r="CK45" s="356">
        <f t="shared" si="6"/>
        <v>88</v>
      </c>
      <c r="CL45" s="361" t="str">
        <f>IF(CK45&gt;KKM!$G$10," sangat baik ",IF(CK45&gt;KKM!$H$10," baik ",IF(CK45&gt;=KKM!$I$10," cukup baik "," perlu bimbingan ")))</f>
        <v xml:space="preserve"> sangat baik </v>
      </c>
      <c r="CM45" s="357">
        <f t="shared" si="7"/>
        <v>88</v>
      </c>
      <c r="CN45" s="361" t="str">
        <f>IF(CM45&gt;KKM!$G$10," sangat baik ",IF(CM45&gt;KKM!$H$10," baik ",IF(CM45&gt;=KKM!$I$10," cukup baik "," perlu bimbingan ")))</f>
        <v xml:space="preserve"> sangat baik </v>
      </c>
      <c r="CO45" s="353" t="str">
        <f t="shared" si="8"/>
        <v>SYAKILA sangat baik  dalam membaca Q.S. at-Tīn dan Q.S. al-Mā’ūn dengan tartil.</v>
      </c>
      <c r="CP45" s="358"/>
      <c r="CQ45" s="359" t="str">
        <f t="shared" si="2"/>
        <v xml:space="preserve"> sangat baik  dalam membaca Q.S. at-Tīn dan Q.S. al-Mā’ūn dengan tartil.</v>
      </c>
      <c r="CR45" s="359" t="str">
        <f t="shared" si="3"/>
        <v xml:space="preserve"> sangat baik  dalam membaca Q.S. at-Tīn dan Q.S. al-Mā’ūn dengan tartil.</v>
      </c>
      <c r="CS45" s="359" t="str">
        <f t="shared" si="9"/>
        <v xml:space="preserve"> sangat baik  dalam membaca Q.S. at-Tīn dan Q.S. al-Mā’ūn dengan tartil., dan  sangat baik  dalam membaca Q.S. at-Tīn dan Q.S. al-Mā’ūn dengan tartil.</v>
      </c>
      <c r="CT45" s="359" t="str">
        <f t="shared" si="10"/>
        <v xml:space="preserve"> sangat baik  dalam membaca Q.S. at-Tīn dan Q.S. al-Mā’ūn dengan tartil.</v>
      </c>
      <c r="CU45" s="360" t="str">
        <f t="shared" si="11"/>
        <v xml:space="preserve"> sangat baik  dalam membaca Q.S. at-Tīn dan Q.S. al-Mā’ūn dengan tartil.</v>
      </c>
      <c r="CV45" s="353" t="str">
        <f t="shared" si="13"/>
        <v>SYAKILA sangat baik  dalam membaca Q.S. at-Tīn dan Q.S. al-Mā’ūn dengan tartil.</v>
      </c>
      <c r="CW45" s="153"/>
      <c r="DF45" s="469">
        <f t="shared" si="12"/>
        <v>88</v>
      </c>
    </row>
    <row r="46" spans="2:110" ht="62.25" customHeight="1">
      <c r="B46" s="142">
        <v>41</v>
      </c>
      <c r="C46" s="143" t="str">
        <f>SISWA!B46</f>
        <v>1718250040345</v>
      </c>
      <c r="D46" s="144" t="str">
        <f>SISWA!E46</f>
        <v>SYIFA</v>
      </c>
      <c r="E46" s="159">
        <v>85</v>
      </c>
      <c r="F46" s="160">
        <v>85</v>
      </c>
      <c r="G46" s="160">
        <v>85</v>
      </c>
      <c r="H46" s="160">
        <v>85</v>
      </c>
      <c r="I46" s="160">
        <v>85</v>
      </c>
      <c r="J46" s="159">
        <v>85</v>
      </c>
      <c r="K46" s="159">
        <v>85</v>
      </c>
      <c r="L46" s="159">
        <v>85</v>
      </c>
      <c r="M46" s="159"/>
      <c r="N46" s="159"/>
      <c r="O46" s="159"/>
      <c r="P46" s="159"/>
      <c r="Q46" s="159"/>
      <c r="R46" s="159"/>
      <c r="S46" s="159"/>
      <c r="T46" s="159"/>
      <c r="U46" s="159"/>
      <c r="V46" s="159"/>
      <c r="W46" s="159"/>
      <c r="X46" s="159"/>
      <c r="Y46" s="159"/>
      <c r="Z46" s="387"/>
      <c r="AA46" s="387"/>
      <c r="AB46" s="387"/>
      <c r="AC46" s="387"/>
      <c r="AD46" s="387"/>
      <c r="AE46" s="387"/>
      <c r="AF46" s="387"/>
      <c r="AG46" s="387"/>
      <c r="AH46" s="387"/>
      <c r="AI46" s="387"/>
      <c r="AJ46" s="387"/>
      <c r="AK46" s="387"/>
      <c r="AL46" s="159"/>
      <c r="AM46" s="159"/>
      <c r="AN46" s="159"/>
      <c r="AO46" s="159"/>
      <c r="AP46" s="159"/>
      <c r="AQ46" s="159"/>
      <c r="AR46" s="159"/>
      <c r="AS46" s="159"/>
      <c r="AT46" s="159"/>
      <c r="AU46" s="159"/>
      <c r="AV46" s="159"/>
      <c r="AW46" s="159"/>
      <c r="AX46" s="387"/>
      <c r="AY46" s="387"/>
      <c r="AZ46" s="387"/>
      <c r="BA46" s="387"/>
      <c r="BB46" s="387"/>
      <c r="BC46" s="387"/>
      <c r="BD46" s="387"/>
      <c r="BE46" s="387"/>
      <c r="BF46" s="387"/>
      <c r="BG46" s="387"/>
      <c r="BH46" s="387"/>
      <c r="BI46" s="387"/>
      <c r="BJ46" s="159"/>
      <c r="BK46" s="159"/>
      <c r="BL46" s="159"/>
      <c r="BM46" s="159"/>
      <c r="BN46" s="159"/>
      <c r="BO46" s="159"/>
      <c r="BP46" s="159"/>
      <c r="BQ46" s="159"/>
      <c r="BR46" s="159"/>
      <c r="BS46" s="159"/>
      <c r="BT46" s="159"/>
      <c r="BU46" s="159"/>
      <c r="BV46" s="387"/>
      <c r="BW46" s="387"/>
      <c r="BX46" s="387"/>
      <c r="BY46" s="387"/>
      <c r="BZ46" s="387"/>
      <c r="CA46" s="387"/>
      <c r="CB46" s="387"/>
      <c r="CC46" s="387"/>
      <c r="CD46" s="387"/>
      <c r="CE46" s="387"/>
      <c r="CF46" s="387"/>
      <c r="CG46" s="387"/>
      <c r="CH46" s="145"/>
      <c r="CI46" s="354">
        <f t="shared" si="5"/>
        <v>85</v>
      </c>
      <c r="CJ46" s="355" t="str">
        <f>IF(CI46&gt;KKM!$G$10,"A",IF(CI46&gt;KKM!$H$10,"B",IF(CI46&gt;=KKM!$I$10,"C","D")))</f>
        <v>B</v>
      </c>
      <c r="CK46" s="356">
        <f t="shared" si="6"/>
        <v>85</v>
      </c>
      <c r="CL46" s="361" t="str">
        <f>IF(CK46&gt;KKM!$G$10," sangat baik ",IF(CK46&gt;KKM!$H$10," baik ",IF(CK46&gt;=KKM!$I$10," cukup baik "," perlu bimbingan ")))</f>
        <v xml:space="preserve"> baik </v>
      </c>
      <c r="CM46" s="357">
        <f t="shared" si="7"/>
        <v>85</v>
      </c>
      <c r="CN46" s="361" t="str">
        <f>IF(CM46&gt;KKM!$G$10," sangat baik ",IF(CM46&gt;KKM!$H$10," baik ",IF(CM46&gt;=KKM!$I$10," cukup baik "," perlu bimbingan ")))</f>
        <v xml:space="preserve"> baik </v>
      </c>
      <c r="CO46" s="353" t="str">
        <f t="shared" si="8"/>
        <v>SYIFA baik  dalam membaca Q.S. at-Tīn dan Q.S. al-Mā’ūn dengan tartil.</v>
      </c>
      <c r="CP46" s="358"/>
      <c r="CQ46" s="359" t="str">
        <f t="shared" si="2"/>
        <v xml:space="preserve"> baik  dalam membaca Q.S. at-Tīn dan Q.S. al-Mā’ūn dengan tartil.</v>
      </c>
      <c r="CR46" s="359" t="str">
        <f t="shared" si="3"/>
        <v xml:space="preserve"> baik  dalam membaca Q.S. at-Tīn dan Q.S. al-Mā’ūn dengan tartil.</v>
      </c>
      <c r="CS46" s="359" t="str">
        <f t="shared" si="9"/>
        <v xml:space="preserve"> baik  dalam membaca Q.S. at-Tīn dan Q.S. al-Mā’ūn dengan tartil., dan  baik  dalam membaca Q.S. at-Tīn dan Q.S. al-Mā’ūn dengan tartil.</v>
      </c>
      <c r="CT46" s="359" t="str">
        <f t="shared" si="10"/>
        <v xml:space="preserve"> baik  dalam membaca Q.S. at-Tīn dan Q.S. al-Mā’ūn dengan tartil.</v>
      </c>
      <c r="CU46" s="360" t="str">
        <f t="shared" si="11"/>
        <v xml:space="preserve"> baik  dalam membaca Q.S. at-Tīn dan Q.S. al-Mā’ūn dengan tartil.</v>
      </c>
      <c r="CV46" s="353" t="str">
        <f t="shared" si="13"/>
        <v>SYIFA baik  dalam membaca Q.S. at-Tīn dan Q.S. al-Mā’ūn dengan tartil.</v>
      </c>
      <c r="CW46" s="153"/>
      <c r="DF46" s="469">
        <f t="shared" si="12"/>
        <v>85</v>
      </c>
    </row>
    <row r="47" spans="2:110" ht="62.25" customHeight="1">
      <c r="B47" s="142">
        <v>42</v>
      </c>
      <c r="C47" s="143" t="str">
        <f>SISWA!B47</f>
        <v>1718250040346</v>
      </c>
      <c r="D47" s="144" t="str">
        <f>SISWA!E47</f>
        <v>WAFDAN</v>
      </c>
      <c r="E47" s="159">
        <v>90</v>
      </c>
      <c r="F47" s="160">
        <v>90</v>
      </c>
      <c r="G47" s="160">
        <v>90</v>
      </c>
      <c r="H47" s="160">
        <v>90</v>
      </c>
      <c r="I47" s="160">
        <v>90</v>
      </c>
      <c r="J47" s="159">
        <v>90</v>
      </c>
      <c r="K47" s="159">
        <v>90</v>
      </c>
      <c r="L47" s="159">
        <v>90</v>
      </c>
      <c r="M47" s="159"/>
      <c r="N47" s="159"/>
      <c r="O47" s="159"/>
      <c r="P47" s="159"/>
      <c r="Q47" s="159"/>
      <c r="R47" s="159"/>
      <c r="S47" s="159"/>
      <c r="T47" s="159"/>
      <c r="U47" s="159"/>
      <c r="V47" s="159"/>
      <c r="W47" s="159"/>
      <c r="X47" s="159"/>
      <c r="Y47" s="159"/>
      <c r="Z47" s="387"/>
      <c r="AA47" s="387"/>
      <c r="AB47" s="387"/>
      <c r="AC47" s="387"/>
      <c r="AD47" s="387"/>
      <c r="AE47" s="387"/>
      <c r="AF47" s="387"/>
      <c r="AG47" s="387"/>
      <c r="AH47" s="387"/>
      <c r="AI47" s="387"/>
      <c r="AJ47" s="387"/>
      <c r="AK47" s="387"/>
      <c r="AL47" s="159"/>
      <c r="AM47" s="159"/>
      <c r="AN47" s="159"/>
      <c r="AO47" s="159"/>
      <c r="AP47" s="159"/>
      <c r="AQ47" s="159"/>
      <c r="AR47" s="159"/>
      <c r="AS47" s="159"/>
      <c r="AT47" s="159"/>
      <c r="AU47" s="159"/>
      <c r="AV47" s="159"/>
      <c r="AW47" s="159"/>
      <c r="AX47" s="387"/>
      <c r="AY47" s="387"/>
      <c r="AZ47" s="387"/>
      <c r="BA47" s="387"/>
      <c r="BB47" s="387"/>
      <c r="BC47" s="387"/>
      <c r="BD47" s="387"/>
      <c r="BE47" s="387"/>
      <c r="BF47" s="387"/>
      <c r="BG47" s="387"/>
      <c r="BH47" s="387"/>
      <c r="BI47" s="387"/>
      <c r="BJ47" s="159"/>
      <c r="BK47" s="159"/>
      <c r="BL47" s="159"/>
      <c r="BM47" s="159"/>
      <c r="BN47" s="159"/>
      <c r="BO47" s="159"/>
      <c r="BP47" s="159"/>
      <c r="BQ47" s="159"/>
      <c r="BR47" s="159"/>
      <c r="BS47" s="159"/>
      <c r="BT47" s="159"/>
      <c r="BU47" s="159"/>
      <c r="BV47" s="387"/>
      <c r="BW47" s="387"/>
      <c r="BX47" s="387"/>
      <c r="BY47" s="387"/>
      <c r="BZ47" s="387"/>
      <c r="CA47" s="387"/>
      <c r="CB47" s="387"/>
      <c r="CC47" s="387"/>
      <c r="CD47" s="387"/>
      <c r="CE47" s="387"/>
      <c r="CF47" s="387"/>
      <c r="CG47" s="387"/>
      <c r="CH47" s="145"/>
      <c r="CI47" s="354">
        <f t="shared" si="5"/>
        <v>90</v>
      </c>
      <c r="CJ47" s="355" t="str">
        <f>IF(CI47&gt;KKM!$G$10,"A",IF(CI47&gt;KKM!$H$10,"B",IF(CI47&gt;=KKM!$I$10,"C","D")))</f>
        <v>A</v>
      </c>
      <c r="CK47" s="356">
        <f t="shared" si="6"/>
        <v>90</v>
      </c>
      <c r="CL47" s="361" t="str">
        <f>IF(CK47&gt;KKM!$G$10," sangat baik ",IF(CK47&gt;KKM!$H$10," baik ",IF(CK47&gt;=KKM!$I$10," cukup baik "," perlu bimbingan ")))</f>
        <v xml:space="preserve"> sangat baik </v>
      </c>
      <c r="CM47" s="357">
        <f t="shared" si="7"/>
        <v>90</v>
      </c>
      <c r="CN47" s="361" t="str">
        <f>IF(CM47&gt;KKM!$G$10," sangat baik ",IF(CM47&gt;KKM!$H$10," baik ",IF(CM47&gt;=KKM!$I$10," cukup baik "," perlu bimbingan ")))</f>
        <v xml:space="preserve"> sangat baik </v>
      </c>
      <c r="CO47" s="353" t="str">
        <f t="shared" si="8"/>
        <v>WAFDAN sangat baik  dalam membaca Q.S. at-Tīn dan Q.S. al-Mā’ūn dengan tartil.</v>
      </c>
      <c r="CP47" s="358"/>
      <c r="CQ47" s="359" t="str">
        <f t="shared" si="2"/>
        <v xml:space="preserve"> sangat baik  dalam membaca Q.S. at-Tīn dan Q.S. al-Mā’ūn dengan tartil.</v>
      </c>
      <c r="CR47" s="359" t="str">
        <f t="shared" si="3"/>
        <v xml:space="preserve"> sangat baik  dalam membaca Q.S. at-Tīn dan Q.S. al-Mā’ūn dengan tartil.</v>
      </c>
      <c r="CS47" s="359" t="str">
        <f t="shared" si="9"/>
        <v xml:space="preserve"> sangat baik  dalam membaca Q.S. at-Tīn dan Q.S. al-Mā’ūn dengan tartil., dan  sangat baik  dalam membaca Q.S. at-Tīn dan Q.S. al-Mā’ūn dengan tartil.</v>
      </c>
      <c r="CT47" s="359" t="str">
        <f t="shared" si="10"/>
        <v xml:space="preserve"> sangat baik  dalam membaca Q.S. at-Tīn dan Q.S. al-Mā’ūn dengan tartil.</v>
      </c>
      <c r="CU47" s="360" t="str">
        <f t="shared" si="11"/>
        <v xml:space="preserve"> sangat baik  dalam membaca Q.S. at-Tīn dan Q.S. al-Mā’ūn dengan tartil.</v>
      </c>
      <c r="CV47" s="353" t="str">
        <f t="shared" si="13"/>
        <v>WAFDAN sangat baik  dalam membaca Q.S. at-Tīn dan Q.S. al-Mā’ūn dengan tartil.</v>
      </c>
      <c r="CW47" s="153"/>
      <c r="DF47" s="469">
        <f t="shared" si="12"/>
        <v>90</v>
      </c>
    </row>
    <row r="48" spans="2:110" ht="62.25" customHeight="1">
      <c r="B48" s="142">
        <v>43</v>
      </c>
      <c r="C48" s="143" t="str">
        <f>SISWA!B48</f>
        <v>1718250040347</v>
      </c>
      <c r="D48" s="144" t="str">
        <f>SISWA!E48</f>
        <v>ZEVA</v>
      </c>
      <c r="E48" s="159">
        <v>80</v>
      </c>
      <c r="F48" s="160">
        <v>80</v>
      </c>
      <c r="G48" s="160">
        <v>80</v>
      </c>
      <c r="H48" s="160">
        <v>80</v>
      </c>
      <c r="I48" s="160">
        <v>80</v>
      </c>
      <c r="J48" s="159">
        <v>80</v>
      </c>
      <c r="K48" s="159">
        <v>80</v>
      </c>
      <c r="L48" s="159">
        <v>80</v>
      </c>
      <c r="M48" s="159"/>
      <c r="N48" s="159"/>
      <c r="O48" s="159"/>
      <c r="P48" s="159"/>
      <c r="Q48" s="159"/>
      <c r="R48" s="159"/>
      <c r="S48" s="159"/>
      <c r="T48" s="159"/>
      <c r="U48" s="159"/>
      <c r="V48" s="159"/>
      <c r="W48" s="159"/>
      <c r="X48" s="159"/>
      <c r="Y48" s="159"/>
      <c r="Z48" s="387"/>
      <c r="AA48" s="387"/>
      <c r="AB48" s="387"/>
      <c r="AC48" s="387"/>
      <c r="AD48" s="387"/>
      <c r="AE48" s="387"/>
      <c r="AF48" s="387"/>
      <c r="AG48" s="387"/>
      <c r="AH48" s="387"/>
      <c r="AI48" s="387"/>
      <c r="AJ48" s="387"/>
      <c r="AK48" s="387"/>
      <c r="AL48" s="159"/>
      <c r="AM48" s="159"/>
      <c r="AN48" s="159"/>
      <c r="AO48" s="159"/>
      <c r="AP48" s="159"/>
      <c r="AQ48" s="159"/>
      <c r="AR48" s="159"/>
      <c r="AS48" s="159"/>
      <c r="AT48" s="159"/>
      <c r="AU48" s="159"/>
      <c r="AV48" s="159"/>
      <c r="AW48" s="159"/>
      <c r="AX48" s="387"/>
      <c r="AY48" s="387"/>
      <c r="AZ48" s="387"/>
      <c r="BA48" s="387"/>
      <c r="BB48" s="387"/>
      <c r="BC48" s="387"/>
      <c r="BD48" s="387"/>
      <c r="BE48" s="387"/>
      <c r="BF48" s="387"/>
      <c r="BG48" s="387"/>
      <c r="BH48" s="387"/>
      <c r="BI48" s="387"/>
      <c r="BJ48" s="159"/>
      <c r="BK48" s="159"/>
      <c r="BL48" s="159"/>
      <c r="BM48" s="159"/>
      <c r="BN48" s="159"/>
      <c r="BO48" s="159"/>
      <c r="BP48" s="159"/>
      <c r="BQ48" s="159"/>
      <c r="BR48" s="159"/>
      <c r="BS48" s="159"/>
      <c r="BT48" s="159"/>
      <c r="BU48" s="159"/>
      <c r="BV48" s="387"/>
      <c r="BW48" s="387"/>
      <c r="BX48" s="387"/>
      <c r="BY48" s="387"/>
      <c r="BZ48" s="387"/>
      <c r="CA48" s="387"/>
      <c r="CB48" s="387"/>
      <c r="CC48" s="387"/>
      <c r="CD48" s="387"/>
      <c r="CE48" s="387"/>
      <c r="CF48" s="387"/>
      <c r="CG48" s="387"/>
      <c r="CH48" s="145"/>
      <c r="CI48" s="354">
        <f t="shared" si="5"/>
        <v>80</v>
      </c>
      <c r="CJ48" s="355" t="str">
        <f>IF(CI48&gt;KKM!$G$10,"A",IF(CI48&gt;KKM!$H$10,"B",IF(CI48&gt;=KKM!$I$10,"C","D")))</f>
        <v>B</v>
      </c>
      <c r="CK48" s="356">
        <f t="shared" si="6"/>
        <v>80</v>
      </c>
      <c r="CL48" s="361" t="str">
        <f>IF(CK48&gt;KKM!$G$10," sangat baik ",IF(CK48&gt;KKM!$H$10," baik ",IF(CK48&gt;=KKM!$I$10," cukup baik "," perlu bimbingan ")))</f>
        <v xml:space="preserve"> baik </v>
      </c>
      <c r="CM48" s="357">
        <f t="shared" si="7"/>
        <v>80</v>
      </c>
      <c r="CN48" s="361" t="str">
        <f>IF(CM48&gt;KKM!$G$10," sangat baik ",IF(CM48&gt;KKM!$H$10," baik ",IF(CM48&gt;=KKM!$I$10," cukup baik "," perlu bimbingan ")))</f>
        <v xml:space="preserve"> baik </v>
      </c>
      <c r="CO48" s="353" t="str">
        <f t="shared" si="8"/>
        <v>ZEVA baik  dalam membaca Q.S. at-Tīn dan Q.S. al-Mā’ūn dengan tartil.</v>
      </c>
      <c r="CP48" s="358"/>
      <c r="CQ48" s="359" t="str">
        <f t="shared" si="2"/>
        <v xml:space="preserve"> baik  dalam membaca Q.S. at-Tīn dan Q.S. al-Mā’ūn dengan tartil.</v>
      </c>
      <c r="CR48" s="359" t="str">
        <f t="shared" si="3"/>
        <v xml:space="preserve"> baik  dalam membaca Q.S. at-Tīn dan Q.S. al-Mā’ūn dengan tartil.</v>
      </c>
      <c r="CS48" s="359" t="str">
        <f t="shared" si="9"/>
        <v xml:space="preserve"> baik  dalam membaca Q.S. at-Tīn dan Q.S. al-Mā’ūn dengan tartil., dan  baik  dalam membaca Q.S. at-Tīn dan Q.S. al-Mā’ūn dengan tartil.</v>
      </c>
      <c r="CT48" s="359" t="str">
        <f t="shared" si="10"/>
        <v xml:space="preserve"> baik  dalam membaca Q.S. at-Tīn dan Q.S. al-Mā’ūn dengan tartil.</v>
      </c>
      <c r="CU48" s="360" t="str">
        <f t="shared" si="11"/>
        <v xml:space="preserve"> baik  dalam membaca Q.S. at-Tīn dan Q.S. al-Mā’ūn dengan tartil.</v>
      </c>
      <c r="CV48" s="353" t="str">
        <f t="shared" si="13"/>
        <v>ZEVA baik  dalam membaca Q.S. at-Tīn dan Q.S. al-Mā’ūn dengan tartil.</v>
      </c>
      <c r="CW48" s="153"/>
      <c r="DF48" s="469">
        <f t="shared" si="12"/>
        <v>80</v>
      </c>
    </row>
    <row r="49" spans="2:110" ht="62.25" customHeight="1">
      <c r="B49" s="142">
        <v>44</v>
      </c>
      <c r="C49" s="143">
        <f>SISWA!B49</f>
        <v>0</v>
      </c>
      <c r="D49" s="144">
        <f>SISWA!E49</f>
        <v>0</v>
      </c>
      <c r="E49" s="159"/>
      <c r="F49" s="160"/>
      <c r="G49" s="160"/>
      <c r="H49" s="160"/>
      <c r="I49" s="160"/>
      <c r="J49" s="159"/>
      <c r="K49" s="159"/>
      <c r="L49" s="159"/>
      <c r="M49" s="159"/>
      <c r="N49" s="159"/>
      <c r="O49" s="159"/>
      <c r="P49" s="159"/>
      <c r="Q49" s="159"/>
      <c r="R49" s="159"/>
      <c r="S49" s="159"/>
      <c r="T49" s="159"/>
      <c r="U49" s="159"/>
      <c r="V49" s="159"/>
      <c r="W49" s="159"/>
      <c r="X49" s="159"/>
      <c r="Y49" s="159"/>
      <c r="Z49" s="387"/>
      <c r="AA49" s="387"/>
      <c r="AB49" s="387"/>
      <c r="AC49" s="387"/>
      <c r="AD49" s="387"/>
      <c r="AE49" s="387"/>
      <c r="AF49" s="387"/>
      <c r="AG49" s="387"/>
      <c r="AH49" s="387"/>
      <c r="AI49" s="387"/>
      <c r="AJ49" s="387"/>
      <c r="AK49" s="387"/>
      <c r="AL49" s="159"/>
      <c r="AM49" s="159"/>
      <c r="AN49" s="159"/>
      <c r="AO49" s="159"/>
      <c r="AP49" s="159"/>
      <c r="AQ49" s="159"/>
      <c r="AR49" s="159"/>
      <c r="AS49" s="159"/>
      <c r="AT49" s="159"/>
      <c r="AU49" s="159"/>
      <c r="AV49" s="159"/>
      <c r="AW49" s="159"/>
      <c r="AX49" s="387"/>
      <c r="AY49" s="387"/>
      <c r="AZ49" s="387"/>
      <c r="BA49" s="387"/>
      <c r="BB49" s="387"/>
      <c r="BC49" s="387"/>
      <c r="BD49" s="387"/>
      <c r="BE49" s="387"/>
      <c r="BF49" s="387"/>
      <c r="BG49" s="387"/>
      <c r="BH49" s="387"/>
      <c r="BI49" s="387"/>
      <c r="BJ49" s="159"/>
      <c r="BK49" s="159"/>
      <c r="BL49" s="159"/>
      <c r="BM49" s="159"/>
      <c r="BN49" s="159"/>
      <c r="BO49" s="159"/>
      <c r="BP49" s="159"/>
      <c r="BQ49" s="159"/>
      <c r="BR49" s="159"/>
      <c r="BS49" s="159"/>
      <c r="BT49" s="159"/>
      <c r="BU49" s="159"/>
      <c r="BV49" s="387"/>
      <c r="BW49" s="387"/>
      <c r="BX49" s="387"/>
      <c r="BY49" s="387"/>
      <c r="BZ49" s="387"/>
      <c r="CA49" s="387"/>
      <c r="CB49" s="387"/>
      <c r="CC49" s="387"/>
      <c r="CD49" s="387"/>
      <c r="CE49" s="387"/>
      <c r="CF49" s="387"/>
      <c r="CG49" s="387"/>
      <c r="CH49" s="145"/>
      <c r="CI49" s="354" t="e">
        <f t="shared" si="5"/>
        <v>#DIV/0!</v>
      </c>
      <c r="CJ49" s="355" t="e">
        <f>IF(CI49&gt;KKM!$G$10,"A",IF(CI49&gt;KKM!$H$10,"B",IF(CI49&gt;=KKM!$I$10,"C","D")))</f>
        <v>#DIV/0!</v>
      </c>
      <c r="CK49" s="356">
        <f t="shared" si="6"/>
        <v>0</v>
      </c>
      <c r="CL49" s="361" t="str">
        <f>IF(CK49&gt;KKM!$G$10," sangat baik ",IF(CK49&gt;KKM!$H$10," baik ",IF(CK49&gt;=KKM!$I$10," cukup baik "," perlu bimbingan ")))</f>
        <v xml:space="preserve"> perlu bimbingan </v>
      </c>
      <c r="CM49" s="357">
        <f t="shared" si="7"/>
        <v>0</v>
      </c>
      <c r="CN49" s="361" t="str">
        <f>IF(CM49&gt;KKM!$G$10," sangat baik ",IF(CM49&gt;KKM!$H$10," baik ",IF(CM49&gt;=KKM!$I$10," cukup baik "," perlu bimbingan ")))</f>
        <v xml:space="preserve"> perlu bimbingan </v>
      </c>
      <c r="CO49" s="353" t="str">
        <f t="shared" si="8"/>
        <v xml:space="preserve"> </v>
      </c>
      <c r="CP49" s="358"/>
      <c r="CQ49" s="359" t="e">
        <f t="shared" si="2"/>
        <v>#N/A</v>
      </c>
      <c r="CR49" s="359" t="e">
        <f t="shared" si="3"/>
        <v>#N/A</v>
      </c>
      <c r="CS49" s="359" t="e">
        <f t="shared" si="9"/>
        <v>#N/A</v>
      </c>
      <c r="CT49" s="359" t="e">
        <f t="shared" si="10"/>
        <v>#N/A</v>
      </c>
      <c r="CU49" s="360" t="e">
        <f t="shared" si="11"/>
        <v>#N/A</v>
      </c>
      <c r="CV49" s="353" t="e">
        <f t="shared" si="13"/>
        <v>#N/A</v>
      </c>
      <c r="CW49" s="153"/>
      <c r="DF49" s="469" t="str">
        <f t="shared" si="12"/>
        <v/>
      </c>
    </row>
    <row r="50" spans="2:110" ht="62.25" customHeight="1">
      <c r="B50" s="142">
        <v>45</v>
      </c>
      <c r="C50" s="143">
        <f>SISWA!B50</f>
        <v>0</v>
      </c>
      <c r="D50" s="144">
        <f>SISWA!E50</f>
        <v>0</v>
      </c>
      <c r="E50" s="159"/>
      <c r="F50" s="160"/>
      <c r="G50" s="160"/>
      <c r="H50" s="160"/>
      <c r="I50" s="160"/>
      <c r="J50" s="159"/>
      <c r="K50" s="159"/>
      <c r="L50" s="159"/>
      <c r="M50" s="159"/>
      <c r="N50" s="159"/>
      <c r="O50" s="159"/>
      <c r="P50" s="159"/>
      <c r="Q50" s="159"/>
      <c r="R50" s="159"/>
      <c r="S50" s="159"/>
      <c r="T50" s="159"/>
      <c r="U50" s="159"/>
      <c r="V50" s="159"/>
      <c r="W50" s="159"/>
      <c r="X50" s="159"/>
      <c r="Y50" s="159"/>
      <c r="Z50" s="387"/>
      <c r="AA50" s="387"/>
      <c r="AB50" s="387"/>
      <c r="AC50" s="387"/>
      <c r="AD50" s="387"/>
      <c r="AE50" s="387"/>
      <c r="AF50" s="387"/>
      <c r="AG50" s="387"/>
      <c r="AH50" s="387"/>
      <c r="AI50" s="387"/>
      <c r="AJ50" s="387"/>
      <c r="AK50" s="387"/>
      <c r="AL50" s="159"/>
      <c r="AM50" s="159"/>
      <c r="AN50" s="159"/>
      <c r="AO50" s="159"/>
      <c r="AP50" s="159"/>
      <c r="AQ50" s="159"/>
      <c r="AR50" s="159"/>
      <c r="AS50" s="159"/>
      <c r="AT50" s="159"/>
      <c r="AU50" s="159"/>
      <c r="AV50" s="159"/>
      <c r="AW50" s="159"/>
      <c r="AX50" s="387"/>
      <c r="AY50" s="387"/>
      <c r="AZ50" s="387"/>
      <c r="BA50" s="387"/>
      <c r="BB50" s="387"/>
      <c r="BC50" s="387"/>
      <c r="BD50" s="387"/>
      <c r="BE50" s="387"/>
      <c r="BF50" s="387"/>
      <c r="BG50" s="387"/>
      <c r="BH50" s="387"/>
      <c r="BI50" s="387"/>
      <c r="BJ50" s="159"/>
      <c r="BK50" s="159"/>
      <c r="BL50" s="159"/>
      <c r="BM50" s="159"/>
      <c r="BN50" s="159"/>
      <c r="BO50" s="159"/>
      <c r="BP50" s="159"/>
      <c r="BQ50" s="159"/>
      <c r="BR50" s="159"/>
      <c r="BS50" s="159"/>
      <c r="BT50" s="159"/>
      <c r="BU50" s="159"/>
      <c r="BV50" s="387"/>
      <c r="BW50" s="387"/>
      <c r="BX50" s="387"/>
      <c r="BY50" s="387"/>
      <c r="BZ50" s="387"/>
      <c r="CA50" s="387"/>
      <c r="CB50" s="387"/>
      <c r="CC50" s="387"/>
      <c r="CD50" s="387"/>
      <c r="CE50" s="387"/>
      <c r="CF50" s="387"/>
      <c r="CG50" s="387"/>
      <c r="CH50" s="145"/>
      <c r="CI50" s="354" t="e">
        <f t="shared" si="5"/>
        <v>#DIV/0!</v>
      </c>
      <c r="CJ50" s="355" t="e">
        <f>IF(CI50&gt;KKM!$G$10,"A",IF(CI50&gt;KKM!$H$10,"B",IF(CI50&gt;=KKM!$I$10,"C","D")))</f>
        <v>#DIV/0!</v>
      </c>
      <c r="CK50" s="356">
        <f t="shared" si="6"/>
        <v>0</v>
      </c>
      <c r="CL50" s="361" t="str">
        <f>IF(CK50&gt;KKM!$G$10," sangat baik ",IF(CK50&gt;KKM!$H$10," baik ",IF(CK50&gt;=KKM!$I$10," cukup baik "," perlu bimbingan ")))</f>
        <v xml:space="preserve"> perlu bimbingan </v>
      </c>
      <c r="CM50" s="357">
        <f t="shared" si="7"/>
        <v>0</v>
      </c>
      <c r="CN50" s="361" t="str">
        <f>IF(CM50&gt;KKM!$G$10," sangat baik ",IF(CM50&gt;KKM!$H$10," baik ",IF(CM50&gt;=KKM!$I$10," cukup baik "," perlu bimbingan ")))</f>
        <v xml:space="preserve"> perlu bimbingan </v>
      </c>
      <c r="CO50" s="353" t="str">
        <f t="shared" si="8"/>
        <v xml:space="preserve"> </v>
      </c>
      <c r="CP50" s="358"/>
      <c r="CQ50" s="359" t="e">
        <f t="shared" si="2"/>
        <v>#N/A</v>
      </c>
      <c r="CR50" s="359" t="e">
        <f t="shared" si="3"/>
        <v>#N/A</v>
      </c>
      <c r="CS50" s="359" t="e">
        <f t="shared" si="9"/>
        <v>#N/A</v>
      </c>
      <c r="CT50" s="359" t="e">
        <f t="shared" si="10"/>
        <v>#N/A</v>
      </c>
      <c r="CU50" s="360" t="e">
        <f t="shared" si="11"/>
        <v>#N/A</v>
      </c>
      <c r="CV50" s="353" t="e">
        <f t="shared" si="13"/>
        <v>#N/A</v>
      </c>
      <c r="CW50" s="153"/>
      <c r="DF50" s="469" t="str">
        <f t="shared" si="12"/>
        <v/>
      </c>
    </row>
    <row r="51" spans="2:110" ht="62.25" customHeight="1">
      <c r="B51" s="142">
        <v>46</v>
      </c>
      <c r="C51" s="143">
        <f>SISWA!B51</f>
        <v>0</v>
      </c>
      <c r="D51" s="144">
        <f>SISWA!E51</f>
        <v>0</v>
      </c>
      <c r="E51" s="159"/>
      <c r="F51" s="160"/>
      <c r="G51" s="160"/>
      <c r="H51" s="160"/>
      <c r="I51" s="160"/>
      <c r="J51" s="159"/>
      <c r="K51" s="159"/>
      <c r="L51" s="159"/>
      <c r="M51" s="159"/>
      <c r="N51" s="159"/>
      <c r="O51" s="159"/>
      <c r="P51" s="159"/>
      <c r="Q51" s="159"/>
      <c r="R51" s="159"/>
      <c r="S51" s="159"/>
      <c r="T51" s="159"/>
      <c r="U51" s="159"/>
      <c r="V51" s="159"/>
      <c r="W51" s="159"/>
      <c r="X51" s="159"/>
      <c r="Y51" s="159"/>
      <c r="Z51" s="387"/>
      <c r="AA51" s="387"/>
      <c r="AB51" s="387"/>
      <c r="AC51" s="387"/>
      <c r="AD51" s="387"/>
      <c r="AE51" s="387"/>
      <c r="AF51" s="387"/>
      <c r="AG51" s="387"/>
      <c r="AH51" s="387"/>
      <c r="AI51" s="387"/>
      <c r="AJ51" s="387"/>
      <c r="AK51" s="387"/>
      <c r="AL51" s="159"/>
      <c r="AM51" s="159"/>
      <c r="AN51" s="159"/>
      <c r="AO51" s="159"/>
      <c r="AP51" s="159"/>
      <c r="AQ51" s="159"/>
      <c r="AR51" s="159"/>
      <c r="AS51" s="159"/>
      <c r="AT51" s="159"/>
      <c r="AU51" s="159"/>
      <c r="AV51" s="159"/>
      <c r="AW51" s="159"/>
      <c r="AX51" s="387"/>
      <c r="AY51" s="387"/>
      <c r="AZ51" s="387"/>
      <c r="BA51" s="387"/>
      <c r="BB51" s="387"/>
      <c r="BC51" s="387"/>
      <c r="BD51" s="387"/>
      <c r="BE51" s="387"/>
      <c r="BF51" s="387"/>
      <c r="BG51" s="387"/>
      <c r="BH51" s="387"/>
      <c r="BI51" s="387"/>
      <c r="BJ51" s="159"/>
      <c r="BK51" s="159"/>
      <c r="BL51" s="159"/>
      <c r="BM51" s="159"/>
      <c r="BN51" s="159"/>
      <c r="BO51" s="159"/>
      <c r="BP51" s="159"/>
      <c r="BQ51" s="159"/>
      <c r="BR51" s="159"/>
      <c r="BS51" s="159"/>
      <c r="BT51" s="159"/>
      <c r="BU51" s="159"/>
      <c r="BV51" s="387"/>
      <c r="BW51" s="387"/>
      <c r="BX51" s="387"/>
      <c r="BY51" s="387"/>
      <c r="BZ51" s="387"/>
      <c r="CA51" s="387"/>
      <c r="CB51" s="387"/>
      <c r="CC51" s="387"/>
      <c r="CD51" s="387"/>
      <c r="CE51" s="387"/>
      <c r="CF51" s="387"/>
      <c r="CG51" s="387"/>
      <c r="CH51" s="145"/>
      <c r="CI51" s="354" t="e">
        <f t="shared" si="5"/>
        <v>#DIV/0!</v>
      </c>
      <c r="CJ51" s="355" t="e">
        <f>IF(CI51&gt;KKM!$G$10,"A",IF(CI51&gt;KKM!$H$10,"B",IF(CI51&gt;=KKM!$I$10,"C","D")))</f>
        <v>#DIV/0!</v>
      </c>
      <c r="CK51" s="356">
        <f t="shared" si="6"/>
        <v>0</v>
      </c>
      <c r="CL51" s="361" t="str">
        <f>IF(CK51&gt;KKM!$G$10," sangat baik ",IF(CK51&gt;KKM!$H$10," baik ",IF(CK51&gt;=KKM!$I$10," cukup baik "," perlu bimbingan ")))</f>
        <v xml:space="preserve"> perlu bimbingan </v>
      </c>
      <c r="CM51" s="357">
        <f t="shared" si="7"/>
        <v>0</v>
      </c>
      <c r="CN51" s="361" t="str">
        <f>IF(CM51&gt;KKM!$G$10," sangat baik ",IF(CM51&gt;KKM!$H$10," baik ",IF(CM51&gt;=KKM!$I$10," cukup baik "," perlu bimbingan ")))</f>
        <v xml:space="preserve"> perlu bimbingan </v>
      </c>
      <c r="CO51" s="353" t="str">
        <f t="shared" si="8"/>
        <v xml:space="preserve"> </v>
      </c>
      <c r="CP51" s="358"/>
      <c r="CQ51" s="359" t="e">
        <f t="shared" si="2"/>
        <v>#N/A</v>
      </c>
      <c r="CR51" s="359" t="e">
        <f t="shared" si="3"/>
        <v>#N/A</v>
      </c>
      <c r="CS51" s="359" t="e">
        <f t="shared" si="9"/>
        <v>#N/A</v>
      </c>
      <c r="CT51" s="359" t="e">
        <f t="shared" si="10"/>
        <v>#N/A</v>
      </c>
      <c r="CU51" s="360" t="e">
        <f t="shared" si="11"/>
        <v>#N/A</v>
      </c>
      <c r="CV51" s="353" t="e">
        <f t="shared" si="13"/>
        <v>#N/A</v>
      </c>
      <c r="CW51" s="153"/>
      <c r="DF51" s="469" t="str">
        <f t="shared" si="12"/>
        <v/>
      </c>
    </row>
    <row r="52" spans="2:110" ht="62.25" customHeight="1">
      <c r="B52" s="142">
        <v>47</v>
      </c>
      <c r="C52" s="143">
        <f>SISWA!B52</f>
        <v>0</v>
      </c>
      <c r="D52" s="144">
        <f>SISWA!E52</f>
        <v>0</v>
      </c>
      <c r="E52" s="159"/>
      <c r="F52" s="160"/>
      <c r="G52" s="160"/>
      <c r="H52" s="160"/>
      <c r="I52" s="160"/>
      <c r="J52" s="159"/>
      <c r="K52" s="159"/>
      <c r="L52" s="159"/>
      <c r="M52" s="159"/>
      <c r="N52" s="159"/>
      <c r="O52" s="159"/>
      <c r="P52" s="159"/>
      <c r="Q52" s="159"/>
      <c r="R52" s="159"/>
      <c r="S52" s="159"/>
      <c r="T52" s="159"/>
      <c r="U52" s="159"/>
      <c r="V52" s="159"/>
      <c r="W52" s="159"/>
      <c r="X52" s="159"/>
      <c r="Y52" s="159"/>
      <c r="Z52" s="387"/>
      <c r="AA52" s="387"/>
      <c r="AB52" s="387"/>
      <c r="AC52" s="387"/>
      <c r="AD52" s="387"/>
      <c r="AE52" s="387"/>
      <c r="AF52" s="387"/>
      <c r="AG52" s="387"/>
      <c r="AH52" s="387"/>
      <c r="AI52" s="387"/>
      <c r="AJ52" s="387"/>
      <c r="AK52" s="387"/>
      <c r="AL52" s="159"/>
      <c r="AM52" s="159"/>
      <c r="AN52" s="159"/>
      <c r="AO52" s="159"/>
      <c r="AP52" s="159"/>
      <c r="AQ52" s="159"/>
      <c r="AR52" s="159"/>
      <c r="AS52" s="159"/>
      <c r="AT52" s="159"/>
      <c r="AU52" s="159"/>
      <c r="AV52" s="159"/>
      <c r="AW52" s="159"/>
      <c r="AX52" s="387"/>
      <c r="AY52" s="387"/>
      <c r="AZ52" s="387"/>
      <c r="BA52" s="387"/>
      <c r="BB52" s="387"/>
      <c r="BC52" s="387"/>
      <c r="BD52" s="387"/>
      <c r="BE52" s="387"/>
      <c r="BF52" s="387"/>
      <c r="BG52" s="387"/>
      <c r="BH52" s="387"/>
      <c r="BI52" s="387"/>
      <c r="BJ52" s="159"/>
      <c r="BK52" s="159"/>
      <c r="BL52" s="159"/>
      <c r="BM52" s="159"/>
      <c r="BN52" s="159"/>
      <c r="BO52" s="159"/>
      <c r="BP52" s="159"/>
      <c r="BQ52" s="159"/>
      <c r="BR52" s="159"/>
      <c r="BS52" s="159"/>
      <c r="BT52" s="159"/>
      <c r="BU52" s="159"/>
      <c r="BV52" s="387"/>
      <c r="BW52" s="387"/>
      <c r="BX52" s="387"/>
      <c r="BY52" s="387"/>
      <c r="BZ52" s="387"/>
      <c r="CA52" s="387"/>
      <c r="CB52" s="387"/>
      <c r="CC52" s="387"/>
      <c r="CD52" s="387"/>
      <c r="CE52" s="387"/>
      <c r="CF52" s="387"/>
      <c r="CG52" s="387"/>
      <c r="CH52" s="145"/>
      <c r="CI52" s="354" t="e">
        <f t="shared" si="5"/>
        <v>#DIV/0!</v>
      </c>
      <c r="CJ52" s="355" t="e">
        <f>IF(CI52&gt;KKM!$G$10,"A",IF(CI52&gt;KKM!$H$10,"B",IF(CI52&gt;=KKM!$I$10,"C","D")))</f>
        <v>#DIV/0!</v>
      </c>
      <c r="CK52" s="356">
        <f t="shared" si="6"/>
        <v>0</v>
      </c>
      <c r="CL52" s="361" t="str">
        <f>IF(CK52&gt;KKM!$G$10," sangat baik ",IF(CK52&gt;KKM!$H$10," baik ",IF(CK52&gt;=KKM!$I$10," cukup baik "," perlu bimbingan ")))</f>
        <v xml:space="preserve"> perlu bimbingan </v>
      </c>
      <c r="CM52" s="357">
        <f t="shared" si="7"/>
        <v>0</v>
      </c>
      <c r="CN52" s="361" t="str">
        <f>IF(CM52&gt;KKM!$G$10," sangat baik ",IF(CM52&gt;KKM!$H$10," baik ",IF(CM52&gt;=KKM!$I$10," cukup baik "," perlu bimbingan ")))</f>
        <v xml:space="preserve"> perlu bimbingan </v>
      </c>
      <c r="CO52" s="353" t="str">
        <f t="shared" si="8"/>
        <v xml:space="preserve"> </v>
      </c>
      <c r="CP52" s="358"/>
      <c r="CQ52" s="359" t="e">
        <f t="shared" si="2"/>
        <v>#N/A</v>
      </c>
      <c r="CR52" s="359" t="e">
        <f t="shared" si="3"/>
        <v>#N/A</v>
      </c>
      <c r="CS52" s="359" t="e">
        <f t="shared" si="9"/>
        <v>#N/A</v>
      </c>
      <c r="CT52" s="359" t="e">
        <f t="shared" si="10"/>
        <v>#N/A</v>
      </c>
      <c r="CU52" s="360" t="e">
        <f t="shared" si="11"/>
        <v>#N/A</v>
      </c>
      <c r="CV52" s="353" t="e">
        <f t="shared" si="13"/>
        <v>#N/A</v>
      </c>
      <c r="CW52" s="153"/>
      <c r="DF52" s="469" t="str">
        <f t="shared" si="12"/>
        <v/>
      </c>
    </row>
    <row r="53" spans="2:110" ht="62.25" customHeight="1">
      <c r="B53" s="142">
        <v>48</v>
      </c>
      <c r="C53" s="143">
        <f>SISWA!B53</f>
        <v>0</v>
      </c>
      <c r="D53" s="144">
        <f>SISWA!E53</f>
        <v>0</v>
      </c>
      <c r="E53" s="159"/>
      <c r="F53" s="160"/>
      <c r="G53" s="160"/>
      <c r="H53" s="160"/>
      <c r="I53" s="160"/>
      <c r="J53" s="159"/>
      <c r="K53" s="159"/>
      <c r="L53" s="159"/>
      <c r="M53" s="159"/>
      <c r="N53" s="159"/>
      <c r="O53" s="159"/>
      <c r="P53" s="159"/>
      <c r="Q53" s="159"/>
      <c r="R53" s="159"/>
      <c r="S53" s="159"/>
      <c r="T53" s="159"/>
      <c r="U53" s="159"/>
      <c r="V53" s="159"/>
      <c r="W53" s="159"/>
      <c r="X53" s="159"/>
      <c r="Y53" s="159"/>
      <c r="Z53" s="387"/>
      <c r="AA53" s="387"/>
      <c r="AB53" s="387"/>
      <c r="AC53" s="387"/>
      <c r="AD53" s="387"/>
      <c r="AE53" s="387"/>
      <c r="AF53" s="387"/>
      <c r="AG53" s="387"/>
      <c r="AH53" s="387"/>
      <c r="AI53" s="387"/>
      <c r="AJ53" s="387"/>
      <c r="AK53" s="387"/>
      <c r="AL53" s="159"/>
      <c r="AM53" s="159"/>
      <c r="AN53" s="159"/>
      <c r="AO53" s="159"/>
      <c r="AP53" s="159"/>
      <c r="AQ53" s="159"/>
      <c r="AR53" s="159"/>
      <c r="AS53" s="159"/>
      <c r="AT53" s="159"/>
      <c r="AU53" s="159"/>
      <c r="AV53" s="159"/>
      <c r="AW53" s="159"/>
      <c r="AX53" s="387"/>
      <c r="AY53" s="387"/>
      <c r="AZ53" s="387"/>
      <c r="BA53" s="387"/>
      <c r="BB53" s="387"/>
      <c r="BC53" s="387"/>
      <c r="BD53" s="387"/>
      <c r="BE53" s="387"/>
      <c r="BF53" s="387"/>
      <c r="BG53" s="387"/>
      <c r="BH53" s="387"/>
      <c r="BI53" s="387"/>
      <c r="BJ53" s="159"/>
      <c r="BK53" s="159"/>
      <c r="BL53" s="159"/>
      <c r="BM53" s="159"/>
      <c r="BN53" s="159"/>
      <c r="BO53" s="159"/>
      <c r="BP53" s="159"/>
      <c r="BQ53" s="159"/>
      <c r="BR53" s="159"/>
      <c r="BS53" s="159"/>
      <c r="BT53" s="159"/>
      <c r="BU53" s="159"/>
      <c r="BV53" s="387"/>
      <c r="BW53" s="387"/>
      <c r="BX53" s="387"/>
      <c r="BY53" s="387"/>
      <c r="BZ53" s="387"/>
      <c r="CA53" s="387"/>
      <c r="CB53" s="387"/>
      <c r="CC53" s="387"/>
      <c r="CD53" s="387"/>
      <c r="CE53" s="387"/>
      <c r="CF53" s="387"/>
      <c r="CG53" s="387"/>
      <c r="CH53" s="145"/>
      <c r="CI53" s="354" t="e">
        <f t="shared" si="5"/>
        <v>#DIV/0!</v>
      </c>
      <c r="CJ53" s="355" t="e">
        <f>IF(CI53&gt;KKM!$G$10,"A",IF(CI53&gt;KKM!$H$10,"B",IF(CI53&gt;=KKM!$I$10,"C","D")))</f>
        <v>#DIV/0!</v>
      </c>
      <c r="CK53" s="356">
        <f t="shared" si="6"/>
        <v>0</v>
      </c>
      <c r="CL53" s="361" t="str">
        <f>IF(CK53&gt;KKM!$G$10," sangat baik ",IF(CK53&gt;KKM!$H$10," baik ",IF(CK53&gt;=KKM!$I$10," cukup baik "," perlu bimbingan ")))</f>
        <v xml:space="preserve"> perlu bimbingan </v>
      </c>
      <c r="CM53" s="357">
        <f t="shared" si="7"/>
        <v>0</v>
      </c>
      <c r="CN53" s="361" t="str">
        <f>IF(CM53&gt;KKM!$G$10," sangat baik ",IF(CM53&gt;KKM!$H$10," baik ",IF(CM53&gt;=KKM!$I$10," cukup baik "," perlu bimbingan ")))</f>
        <v xml:space="preserve"> perlu bimbingan </v>
      </c>
      <c r="CO53" s="353" t="str">
        <f t="shared" si="8"/>
        <v xml:space="preserve"> </v>
      </c>
      <c r="CP53" s="358"/>
      <c r="CQ53" s="359" t="e">
        <f t="shared" si="2"/>
        <v>#N/A</v>
      </c>
      <c r="CR53" s="359" t="e">
        <f t="shared" si="3"/>
        <v>#N/A</v>
      </c>
      <c r="CS53" s="359" t="e">
        <f t="shared" si="9"/>
        <v>#N/A</v>
      </c>
      <c r="CT53" s="359" t="e">
        <f t="shared" si="10"/>
        <v>#N/A</v>
      </c>
      <c r="CU53" s="360" t="e">
        <f t="shared" si="11"/>
        <v>#N/A</v>
      </c>
      <c r="CV53" s="353" t="e">
        <f t="shared" si="13"/>
        <v>#N/A</v>
      </c>
      <c r="CW53" s="153"/>
      <c r="DF53" s="469" t="str">
        <f t="shared" si="12"/>
        <v/>
      </c>
    </row>
    <row r="54" spans="2:110" ht="62.25" customHeight="1">
      <c r="B54" s="142">
        <v>49</v>
      </c>
      <c r="C54" s="143">
        <f>SISWA!B54</f>
        <v>0</v>
      </c>
      <c r="D54" s="144">
        <f>SISWA!E54</f>
        <v>0</v>
      </c>
      <c r="E54" s="159"/>
      <c r="F54" s="160"/>
      <c r="G54" s="160"/>
      <c r="H54" s="160"/>
      <c r="I54" s="160"/>
      <c r="J54" s="159"/>
      <c r="K54" s="159"/>
      <c r="L54" s="159"/>
      <c r="M54" s="159"/>
      <c r="N54" s="159"/>
      <c r="O54" s="159"/>
      <c r="P54" s="159"/>
      <c r="Q54" s="159"/>
      <c r="R54" s="159"/>
      <c r="S54" s="159"/>
      <c r="T54" s="159"/>
      <c r="U54" s="159"/>
      <c r="V54" s="159"/>
      <c r="W54" s="159"/>
      <c r="X54" s="159"/>
      <c r="Y54" s="159"/>
      <c r="Z54" s="387"/>
      <c r="AA54" s="387"/>
      <c r="AB54" s="387"/>
      <c r="AC54" s="387"/>
      <c r="AD54" s="387"/>
      <c r="AE54" s="387"/>
      <c r="AF54" s="387"/>
      <c r="AG54" s="387"/>
      <c r="AH54" s="387"/>
      <c r="AI54" s="387"/>
      <c r="AJ54" s="387"/>
      <c r="AK54" s="387"/>
      <c r="AL54" s="159"/>
      <c r="AM54" s="159"/>
      <c r="AN54" s="159"/>
      <c r="AO54" s="159"/>
      <c r="AP54" s="159"/>
      <c r="AQ54" s="159"/>
      <c r="AR54" s="159"/>
      <c r="AS54" s="159"/>
      <c r="AT54" s="159"/>
      <c r="AU54" s="159"/>
      <c r="AV54" s="159"/>
      <c r="AW54" s="159"/>
      <c r="AX54" s="387"/>
      <c r="AY54" s="387"/>
      <c r="AZ54" s="387"/>
      <c r="BA54" s="387"/>
      <c r="BB54" s="387"/>
      <c r="BC54" s="387"/>
      <c r="BD54" s="387"/>
      <c r="BE54" s="387"/>
      <c r="BF54" s="387"/>
      <c r="BG54" s="387"/>
      <c r="BH54" s="387"/>
      <c r="BI54" s="387"/>
      <c r="BJ54" s="159"/>
      <c r="BK54" s="159"/>
      <c r="BL54" s="159"/>
      <c r="BM54" s="159"/>
      <c r="BN54" s="159"/>
      <c r="BO54" s="159"/>
      <c r="BP54" s="159"/>
      <c r="BQ54" s="159"/>
      <c r="BR54" s="159"/>
      <c r="BS54" s="159"/>
      <c r="BT54" s="159"/>
      <c r="BU54" s="159"/>
      <c r="BV54" s="387"/>
      <c r="BW54" s="387"/>
      <c r="BX54" s="387"/>
      <c r="BY54" s="387"/>
      <c r="BZ54" s="387"/>
      <c r="CA54" s="387"/>
      <c r="CB54" s="387"/>
      <c r="CC54" s="387"/>
      <c r="CD54" s="387"/>
      <c r="CE54" s="387"/>
      <c r="CF54" s="387"/>
      <c r="CG54" s="387"/>
      <c r="CH54" s="145"/>
      <c r="CI54" s="354" t="e">
        <f t="shared" si="5"/>
        <v>#DIV/0!</v>
      </c>
      <c r="CJ54" s="355" t="e">
        <f>IF(CI54&gt;KKM!$G$10,"A",IF(CI54&gt;KKM!$H$10,"B",IF(CI54&gt;=KKM!$I$10,"C","D")))</f>
        <v>#DIV/0!</v>
      </c>
      <c r="CK54" s="356">
        <f t="shared" si="6"/>
        <v>0</v>
      </c>
      <c r="CL54" s="361" t="str">
        <f>IF(CK54&gt;KKM!$G$10," sangat baik ",IF(CK54&gt;KKM!$H$10," baik ",IF(CK54&gt;=KKM!$I$10," cukup baik "," perlu bimbingan ")))</f>
        <v xml:space="preserve"> perlu bimbingan </v>
      </c>
      <c r="CM54" s="357">
        <f t="shared" si="7"/>
        <v>0</v>
      </c>
      <c r="CN54" s="361" t="str">
        <f>IF(CM54&gt;KKM!$G$10," sangat baik ",IF(CM54&gt;KKM!$H$10," baik ",IF(CM54&gt;=KKM!$I$10," cukup baik "," perlu bimbingan ")))</f>
        <v xml:space="preserve"> perlu bimbingan </v>
      </c>
      <c r="CO54" s="353" t="str">
        <f t="shared" si="8"/>
        <v xml:space="preserve"> </v>
      </c>
      <c r="CP54" s="358"/>
      <c r="CQ54" s="359" t="e">
        <f t="shared" si="2"/>
        <v>#N/A</v>
      </c>
      <c r="CR54" s="359" t="e">
        <f t="shared" si="3"/>
        <v>#N/A</v>
      </c>
      <c r="CS54" s="359" t="e">
        <f t="shared" si="9"/>
        <v>#N/A</v>
      </c>
      <c r="CT54" s="359" t="e">
        <f t="shared" si="10"/>
        <v>#N/A</v>
      </c>
      <c r="CU54" s="360" t="e">
        <f t="shared" si="11"/>
        <v>#N/A</v>
      </c>
      <c r="CV54" s="353" t="e">
        <f t="shared" si="13"/>
        <v>#N/A</v>
      </c>
      <c r="CW54" s="153"/>
      <c r="DF54" s="469" t="str">
        <f t="shared" si="12"/>
        <v/>
      </c>
    </row>
    <row r="55" spans="2:110" ht="62.25" customHeight="1">
      <c r="B55" s="142">
        <v>50</v>
      </c>
      <c r="C55" s="143">
        <f>SISWA!B55</f>
        <v>0</v>
      </c>
      <c r="D55" s="144">
        <f>SISWA!E55</f>
        <v>0</v>
      </c>
      <c r="E55" s="159"/>
      <c r="F55" s="160"/>
      <c r="G55" s="160"/>
      <c r="H55" s="160"/>
      <c r="I55" s="160"/>
      <c r="J55" s="159"/>
      <c r="K55" s="159"/>
      <c r="L55" s="159"/>
      <c r="M55" s="159"/>
      <c r="N55" s="159"/>
      <c r="O55" s="159"/>
      <c r="P55" s="159"/>
      <c r="Q55" s="159"/>
      <c r="R55" s="159"/>
      <c r="S55" s="159"/>
      <c r="T55" s="159"/>
      <c r="U55" s="159"/>
      <c r="V55" s="159"/>
      <c r="W55" s="159"/>
      <c r="X55" s="159"/>
      <c r="Y55" s="159"/>
      <c r="Z55" s="387"/>
      <c r="AA55" s="387"/>
      <c r="AB55" s="387"/>
      <c r="AC55" s="387"/>
      <c r="AD55" s="387"/>
      <c r="AE55" s="387"/>
      <c r="AF55" s="387"/>
      <c r="AG55" s="387"/>
      <c r="AH55" s="387"/>
      <c r="AI55" s="387"/>
      <c r="AJ55" s="387"/>
      <c r="AK55" s="387"/>
      <c r="AL55" s="159"/>
      <c r="AM55" s="159"/>
      <c r="AN55" s="159"/>
      <c r="AO55" s="159"/>
      <c r="AP55" s="159"/>
      <c r="AQ55" s="159"/>
      <c r="AR55" s="159"/>
      <c r="AS55" s="159"/>
      <c r="AT55" s="159"/>
      <c r="AU55" s="159"/>
      <c r="AV55" s="159"/>
      <c r="AW55" s="159"/>
      <c r="AX55" s="387"/>
      <c r="AY55" s="387"/>
      <c r="AZ55" s="387"/>
      <c r="BA55" s="387"/>
      <c r="BB55" s="387"/>
      <c r="BC55" s="387"/>
      <c r="BD55" s="387"/>
      <c r="BE55" s="387"/>
      <c r="BF55" s="387"/>
      <c r="BG55" s="387"/>
      <c r="BH55" s="387"/>
      <c r="BI55" s="387"/>
      <c r="BJ55" s="159"/>
      <c r="BK55" s="159"/>
      <c r="BL55" s="159"/>
      <c r="BM55" s="159"/>
      <c r="BN55" s="159"/>
      <c r="BO55" s="159"/>
      <c r="BP55" s="159"/>
      <c r="BQ55" s="159"/>
      <c r="BR55" s="159"/>
      <c r="BS55" s="159"/>
      <c r="BT55" s="159"/>
      <c r="BU55" s="159"/>
      <c r="BV55" s="387"/>
      <c r="BW55" s="387"/>
      <c r="BX55" s="387"/>
      <c r="BY55" s="387"/>
      <c r="BZ55" s="387"/>
      <c r="CA55" s="387"/>
      <c r="CB55" s="387"/>
      <c r="CC55" s="387"/>
      <c r="CD55" s="387"/>
      <c r="CE55" s="387"/>
      <c r="CF55" s="387"/>
      <c r="CG55" s="387"/>
      <c r="CH55" s="145"/>
      <c r="CI55" s="354" t="e">
        <f t="shared" si="5"/>
        <v>#DIV/0!</v>
      </c>
      <c r="CJ55" s="355" t="e">
        <f>IF(CI55&gt;KKM!$G$10,"A",IF(CI55&gt;KKM!$H$10,"B",IF(CI55&gt;=KKM!$I$10,"C","D")))</f>
        <v>#DIV/0!</v>
      </c>
      <c r="CK55" s="356">
        <f t="shared" si="6"/>
        <v>0</v>
      </c>
      <c r="CL55" s="361" t="str">
        <f>IF(CK55&gt;KKM!$G$10," sangat baik ",IF(CK55&gt;KKM!$H$10," baik ",IF(CK55&gt;=KKM!$I$10," cukup baik "," perlu bimbingan ")))</f>
        <v xml:space="preserve"> perlu bimbingan </v>
      </c>
      <c r="CM55" s="357">
        <f t="shared" si="7"/>
        <v>0</v>
      </c>
      <c r="CN55" s="361" t="str">
        <f>IF(CM55&gt;KKM!$G$10," sangat baik ",IF(CM55&gt;KKM!$H$10," baik ",IF(CM55&gt;=KKM!$I$10," cukup baik "," perlu bimbingan ")))</f>
        <v xml:space="preserve"> perlu bimbingan </v>
      </c>
      <c r="CO55" s="353" t="str">
        <f t="shared" si="8"/>
        <v xml:space="preserve"> </v>
      </c>
      <c r="CP55" s="358"/>
      <c r="CQ55" s="359" t="e">
        <f t="shared" si="2"/>
        <v>#N/A</v>
      </c>
      <c r="CR55" s="359" t="e">
        <f t="shared" si="3"/>
        <v>#N/A</v>
      </c>
      <c r="CS55" s="359" t="e">
        <f t="shared" si="9"/>
        <v>#N/A</v>
      </c>
      <c r="CT55" s="359" t="e">
        <f t="shared" si="10"/>
        <v>#N/A</v>
      </c>
      <c r="CU55" s="360" t="e">
        <f t="shared" si="11"/>
        <v>#N/A</v>
      </c>
      <c r="CV55" s="353" t="e">
        <f t="shared" si="13"/>
        <v>#N/A</v>
      </c>
      <c r="CW55" s="153"/>
      <c r="DF55" s="469" t="str">
        <f t="shared" si="12"/>
        <v/>
      </c>
    </row>
    <row r="56" spans="2:110" ht="15.75">
      <c r="B56" s="154"/>
      <c r="C56" s="154"/>
      <c r="D56" s="154"/>
      <c r="E56" s="159"/>
      <c r="F56" s="160"/>
      <c r="G56" s="160"/>
      <c r="H56" s="160"/>
      <c r="I56" s="160"/>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159"/>
      <c r="AK56" s="159"/>
      <c r="AL56" s="159"/>
      <c r="AM56" s="159"/>
      <c r="AN56" s="159"/>
      <c r="AO56" s="159"/>
      <c r="AP56" s="159"/>
      <c r="AQ56" s="159"/>
      <c r="AR56" s="159"/>
      <c r="AS56" s="159"/>
      <c r="AT56" s="159"/>
      <c r="AU56" s="159"/>
      <c r="AV56" s="159"/>
      <c r="AW56" s="159"/>
      <c r="AX56" s="159"/>
      <c r="AY56" s="159"/>
      <c r="AZ56" s="159"/>
      <c r="BA56" s="159"/>
      <c r="BB56" s="159"/>
      <c r="BC56" s="159"/>
      <c r="BD56" s="159"/>
      <c r="BE56" s="159"/>
      <c r="BF56" s="159"/>
      <c r="BG56" s="159"/>
      <c r="BH56" s="159"/>
      <c r="BI56" s="159"/>
      <c r="BJ56" s="159"/>
      <c r="BK56" s="159"/>
      <c r="BL56" s="159"/>
      <c r="BM56" s="159"/>
      <c r="BN56" s="159"/>
      <c r="BO56" s="159"/>
      <c r="BP56" s="159"/>
      <c r="BQ56" s="159"/>
      <c r="BR56" s="159"/>
      <c r="BS56" s="159"/>
      <c r="BT56" s="159"/>
      <c r="BU56" s="159"/>
      <c r="BV56" s="159"/>
      <c r="BW56" s="159"/>
      <c r="BX56" s="159"/>
      <c r="BY56" s="159"/>
      <c r="BZ56" s="159"/>
      <c r="CA56" s="159"/>
      <c r="CB56" s="159"/>
      <c r="CC56" s="159"/>
      <c r="CD56" s="159"/>
      <c r="CE56" s="159"/>
      <c r="CF56" s="159"/>
      <c r="CG56" s="159"/>
      <c r="CH56" s="145"/>
      <c r="CI56" s="147"/>
      <c r="CJ56" s="148"/>
      <c r="CK56" s="149"/>
      <c r="CL56" s="424"/>
      <c r="CM56" s="149"/>
      <c r="CN56" s="424"/>
      <c r="CO56" s="150"/>
      <c r="CP56" s="151"/>
      <c r="CQ56" s="152"/>
      <c r="CR56" s="155"/>
      <c r="CS56" s="155"/>
      <c r="CT56" s="155"/>
      <c r="CU56" s="155"/>
      <c r="CV56" s="155"/>
      <c r="CW56" s="153"/>
    </row>
  </sheetData>
  <sheetProtection password="C70C" sheet="1" objects="1" scenarios="1"/>
  <mergeCells count="16">
    <mergeCell ref="CJ2:CJ5"/>
    <mergeCell ref="CK2:CN2"/>
    <mergeCell ref="CO2:CO5"/>
    <mergeCell ref="CK4:CL4"/>
    <mergeCell ref="CM4:CN4"/>
    <mergeCell ref="B2:B5"/>
    <mergeCell ref="C2:C5"/>
    <mergeCell ref="D2:D5"/>
    <mergeCell ref="E2:CH2"/>
    <mergeCell ref="CI2:CI5"/>
    <mergeCell ref="E3:Y3"/>
    <mergeCell ref="Z3:AK3"/>
    <mergeCell ref="AL3:AW3"/>
    <mergeCell ref="AX3:BI3"/>
    <mergeCell ref="BJ3:BU3"/>
    <mergeCell ref="BV3:CG3"/>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U55"/>
  <sheetViews>
    <sheetView zoomScale="80" zoomScaleNormal="80" workbookViewId="0">
      <pane xSplit="4" ySplit="4" topLeftCell="E45" activePane="bottomRight" state="frozen"/>
      <selection pane="topRight" activeCell="E1" sqref="E1"/>
      <selection pane="bottomLeft" activeCell="A5" sqref="A5"/>
      <selection pane="bottomRight"/>
    </sheetView>
  </sheetViews>
  <sheetFormatPr defaultColWidth="0" defaultRowHeight="15"/>
  <cols>
    <col min="1" max="1" width="23.42578125" style="171" customWidth="1"/>
    <col min="2" max="2" width="4.42578125" style="137" customWidth="1"/>
    <col min="3" max="3" width="6.42578125" style="137" customWidth="1"/>
    <col min="4" max="4" width="28.7109375" style="137" customWidth="1"/>
    <col min="5" max="9" width="6" style="137" customWidth="1"/>
    <col min="10" max="20" width="6" style="137" hidden="1" customWidth="1"/>
    <col min="21" max="23" width="6" style="137" customWidth="1"/>
    <col min="24" max="24" width="12.7109375" style="137" customWidth="1"/>
    <col min="25" max="25" width="6" style="137" customWidth="1"/>
    <col min="26" max="26" width="13.7109375" style="137" customWidth="1"/>
    <col min="27" max="27" width="107.140625" style="137" customWidth="1"/>
    <col min="28" max="28" width="34.7109375" style="137" customWidth="1"/>
    <col min="29" max="29" width="5" style="137" hidden="1" customWidth="1"/>
    <col min="30" max="30" width="4.7109375" style="137" hidden="1" customWidth="1"/>
    <col min="31" max="31" width="5.140625" style="137" hidden="1" customWidth="1"/>
    <col min="32" max="37" width="5" style="137" hidden="1" customWidth="1"/>
    <col min="38" max="38" width="4.85546875" style="137" hidden="1" customWidth="1"/>
    <col min="39" max="39" width="5" style="137" hidden="1" customWidth="1"/>
    <col min="40" max="41" width="5" style="137" customWidth="1"/>
    <col min="42" max="42" width="5" style="137" hidden="1" customWidth="1"/>
    <col min="43" max="43" width="6.85546875" style="137" hidden="1" customWidth="1"/>
    <col min="44" max="44" width="5" style="137" customWidth="1"/>
    <col min="45" max="52" width="5" style="137" hidden="1" customWidth="1"/>
    <col min="53" max="53" width="84.42578125" style="137" hidden="1" customWidth="1"/>
    <col min="54" max="54" width="29.85546875" style="137" hidden="1" customWidth="1"/>
    <col min="55" max="68" width="10.7109375" style="137" hidden="1" customWidth="1"/>
    <col min="69" max="78" width="9.140625" style="137" hidden="1" customWidth="1"/>
    <col min="79" max="80" width="0" style="137" hidden="1" customWidth="1"/>
    <col min="81" max="88" width="5" style="137" hidden="1" customWidth="1"/>
    <col min="89" max="89" width="84.42578125" style="137" hidden="1" customWidth="1"/>
    <col min="90" max="90" width="29.85546875" style="137" hidden="1" customWidth="1"/>
    <col min="91" max="104" width="10.7109375" style="137" hidden="1" customWidth="1"/>
    <col min="105" max="114" width="9.140625" style="137" hidden="1" customWidth="1"/>
    <col min="115" max="115" width="0" style="137" hidden="1" customWidth="1"/>
    <col min="116" max="124" width="9.140625" style="137" hidden="1" customWidth="1"/>
    <col min="125" max="125" width="0" style="137" hidden="1" customWidth="1"/>
    <col min="126" max="16384" width="9.140625" style="137" hidden="1"/>
  </cols>
  <sheetData>
    <row r="1" spans="1:52" s="512" customFormat="1" ht="45.75" customHeight="1">
      <c r="B1" s="513" t="s">
        <v>60</v>
      </c>
      <c r="C1" s="513"/>
      <c r="D1" s="513"/>
      <c r="E1" s="513"/>
      <c r="F1" s="513"/>
      <c r="G1" s="513"/>
      <c r="H1" s="513"/>
      <c r="I1" s="513"/>
      <c r="J1" s="513"/>
      <c r="K1" s="513"/>
      <c r="L1" s="513"/>
      <c r="M1" s="513"/>
      <c r="N1" s="513"/>
      <c r="O1" s="513"/>
      <c r="P1" s="513"/>
      <c r="Q1" s="513"/>
      <c r="R1" s="513"/>
      <c r="S1" s="513"/>
      <c r="T1" s="513"/>
      <c r="U1" s="513"/>
      <c r="V1" s="513"/>
      <c r="W1" s="513"/>
      <c r="X1" s="513"/>
      <c r="Y1" s="513"/>
      <c r="Z1" s="513"/>
      <c r="AA1" s="513"/>
      <c r="AB1" s="513"/>
      <c r="AC1" s="513"/>
      <c r="AD1" s="513"/>
      <c r="AE1" s="513"/>
      <c r="AF1" s="513"/>
      <c r="AG1" s="513"/>
      <c r="AH1" s="513"/>
      <c r="AI1" s="513"/>
      <c r="AJ1" s="513"/>
      <c r="AK1" s="513"/>
      <c r="AL1" s="513"/>
      <c r="AM1" s="513"/>
      <c r="AN1" s="513"/>
      <c r="AO1" s="513"/>
      <c r="AP1" s="513"/>
      <c r="AQ1" s="513"/>
      <c r="AR1" s="513"/>
      <c r="AS1" s="513"/>
      <c r="AT1" s="513"/>
      <c r="AU1" s="513"/>
      <c r="AV1" s="513"/>
      <c r="AW1" s="513"/>
      <c r="AX1" s="513"/>
      <c r="AY1" s="513"/>
      <c r="AZ1" s="513"/>
    </row>
    <row r="2" spans="1:52"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Q2" s="502">
        <f>DEPAN!$E$23</f>
        <v>43</v>
      </c>
    </row>
    <row r="3" spans="1:52" ht="94.5" customHeight="1">
      <c r="B3" s="716"/>
      <c r="C3" s="717"/>
      <c r="D3" s="718"/>
      <c r="E3" s="408" t="str">
        <f>'KI-KD'!$F29</f>
        <v>menjelaskan hak, kewajiban, dan tanggung  jawab sebagai warga masyarakat dalam kehidupan sehari-hari</v>
      </c>
      <c r="F3" s="408" t="str">
        <f>'KI-KD'!$F30</f>
        <v xml:space="preserve">Menyelenggarakan kegiatan yang mendukung keberagaman sosial budaya masyarakat
</v>
      </c>
      <c r="G3" s="408" t="str">
        <f>'KI-KD'!$F31</f>
        <v>menyajikan hasil penggalian tentang manfaat persatuan dan kesatuan untuk membangun kerukunan.</v>
      </c>
      <c r="H3" s="408">
        <f>'KI-KD'!$F32</f>
        <v>0</v>
      </c>
      <c r="I3" s="408">
        <f>'KI-KD'!$F33</f>
        <v>0</v>
      </c>
      <c r="J3" s="408">
        <f>'KI-KD'!$F34</f>
        <v>0</v>
      </c>
      <c r="K3" s="408">
        <f>'KI-KD'!$F261</f>
        <v>0</v>
      </c>
      <c r="L3" s="408">
        <f>'KI-KD'!$F36</f>
        <v>0</v>
      </c>
      <c r="M3" s="409"/>
      <c r="N3" s="138"/>
      <c r="O3" s="138"/>
      <c r="P3" s="138"/>
      <c r="Q3" s="138"/>
      <c r="R3" s="138"/>
      <c r="S3" s="138"/>
      <c r="T3" s="138"/>
      <c r="U3" s="720"/>
      <c r="V3" s="721"/>
      <c r="W3" s="712" t="s">
        <v>267</v>
      </c>
      <c r="X3" s="713"/>
      <c r="Y3" s="714" t="s">
        <v>268</v>
      </c>
      <c r="Z3" s="715"/>
      <c r="AA3" s="679"/>
      <c r="AB3" s="2"/>
      <c r="AC3" s="2"/>
      <c r="AD3" s="2"/>
      <c r="AE3" s="2"/>
      <c r="AF3" s="2"/>
      <c r="AG3" s="2"/>
      <c r="AH3" s="253"/>
      <c r="AQ3" s="469">
        <f>AQ4-AQ5</f>
        <v>43</v>
      </c>
    </row>
    <row r="4" spans="1:52" s="141" customFormat="1" ht="25.5" customHeight="1">
      <c r="A4" s="514"/>
      <c r="B4" s="716"/>
      <c r="C4" s="717"/>
      <c r="D4" s="718"/>
      <c r="E4" s="140" t="str">
        <f>'KI-KD'!$E29</f>
        <v>4.2</v>
      </c>
      <c r="F4" s="140" t="str">
        <f>'KI-KD'!$E30</f>
        <v>4.3</v>
      </c>
      <c r="G4" s="140" t="str">
        <f>'KI-KD'!$E31</f>
        <v>4.4</v>
      </c>
      <c r="H4" s="140">
        <f>'KI-KD'!$E32</f>
        <v>0</v>
      </c>
      <c r="I4" s="140">
        <f>'KI-KD'!$E33</f>
        <v>0</v>
      </c>
      <c r="J4" s="140">
        <f>'KI-KD'!$E34</f>
        <v>0</v>
      </c>
      <c r="K4" s="140">
        <f>'KI-KD'!$E35</f>
        <v>0</v>
      </c>
      <c r="L4" s="140">
        <f>'KI-KD'!$E36</f>
        <v>0</v>
      </c>
      <c r="M4" s="140"/>
      <c r="N4" s="140"/>
      <c r="O4" s="140"/>
      <c r="P4" s="140"/>
      <c r="Q4" s="140"/>
      <c r="R4" s="140"/>
      <c r="S4" s="140"/>
      <c r="T4" s="140"/>
      <c r="U4" s="720"/>
      <c r="V4" s="721"/>
      <c r="W4" s="248" t="s">
        <v>269</v>
      </c>
      <c r="X4" s="249" t="s">
        <v>3</v>
      </c>
      <c r="Y4" s="250" t="s">
        <v>269</v>
      </c>
      <c r="Z4" s="251" t="s">
        <v>3</v>
      </c>
      <c r="AA4" s="680"/>
      <c r="AB4" s="2"/>
      <c r="AC4" s="254" t="s">
        <v>270</v>
      </c>
      <c r="AD4" s="254" t="s">
        <v>271</v>
      </c>
      <c r="AE4" s="254" t="s">
        <v>272</v>
      </c>
      <c r="AF4" s="254" t="s">
        <v>273</v>
      </c>
      <c r="AG4" s="255" t="s">
        <v>266</v>
      </c>
      <c r="AH4" s="252"/>
      <c r="AQ4" s="141">
        <v>50</v>
      </c>
    </row>
    <row r="5" spans="1:52" ht="59.25" customHeight="1">
      <c r="B5" s="142">
        <v>1</v>
      </c>
      <c r="C5" s="143" t="str">
        <f>SISWA!B6</f>
        <v>1718250040305</v>
      </c>
      <c r="D5" s="144" t="str">
        <f>SISWA!E6</f>
        <v>YAHYA</v>
      </c>
      <c r="E5" s="159">
        <v>95</v>
      </c>
      <c r="F5" s="159">
        <v>95</v>
      </c>
      <c r="G5" s="160">
        <v>95</v>
      </c>
      <c r="H5" s="159"/>
      <c r="I5" s="160" t="s">
        <v>766</v>
      </c>
      <c r="J5" s="160"/>
      <c r="K5" s="160"/>
      <c r="L5" s="160"/>
      <c r="M5" s="160"/>
      <c r="N5" s="159"/>
      <c r="O5" s="159"/>
      <c r="P5" s="159"/>
      <c r="Q5" s="159"/>
      <c r="R5" s="160"/>
      <c r="S5" s="160"/>
      <c r="T5" s="159"/>
      <c r="U5" s="354">
        <f>ROUND((AVERAGE(E5:T5)),0)</f>
        <v>95</v>
      </c>
      <c r="V5" s="355" t="str">
        <f>IF(U5&gt;KKM!$G$10,"A",IF(U5&gt;KKM!$H$10,"B",IF(U5&gt;=KKM!$I$10,"C","D")))</f>
        <v>A</v>
      </c>
      <c r="W5" s="356">
        <f t="shared" ref="W5:W54" si="0">MAX(E5:T5)</f>
        <v>95</v>
      </c>
      <c r="X5" s="361" t="str">
        <f>IF(W5&gt;KKM!$G$10," sangat baik ",IF(W5&gt;KKM!$H$10," baik ",IF(W5&gt;=KKM!$I$10," cukup baik "," perlu bimbingan ")))</f>
        <v xml:space="preserve"> sangat baik </v>
      </c>
      <c r="Y5" s="357">
        <f t="shared" ref="Y5:Y54" si="1">MIN(E5:T5)</f>
        <v>95</v>
      </c>
      <c r="Z5" s="361" t="str">
        <f>IF(Y5&gt;KKM!$G$10," sangat baik ",IF(Y5&gt;KKM!$H$10," baik ",IF(Y5&gt;=KKM!$I$10," cukup baik "," perlu bimbingan ")))</f>
        <v xml:space="preserve"> sangat baik </v>
      </c>
      <c r="AA5" s="353" t="str">
        <f>IFERROR(AH5," ")</f>
        <v>YAHYA sangat baik  dalam menjelaskan hak, kewajiban, dan tanggung  jawab sebagai warga masyarakat dalam kehidupan sehari-hari</v>
      </c>
      <c r="AB5" s="256"/>
      <c r="AC5" s="257" t="str">
        <f t="shared" ref="AC5:AC54" si="2">X5&amp;" dalam "&amp;INDEX($E$3:$T$3,MATCH(W5,$E5:$T5,0))</f>
        <v xml:space="preserve"> sangat baik  dalam menjelaskan hak, kewajiban, dan tanggung  jawab sebagai warga masyarakat dalam kehidupan sehari-hari</v>
      </c>
      <c r="AD5" s="257" t="str">
        <f t="shared" ref="AD5:AD54" si="3">Z5&amp;" dalam "&amp;INDEX($E$3:$T$3,MATCH(Y5,$E5:$T5,0))</f>
        <v xml:space="preserve"> sangat baik  dalam menjelaskan hak, kewajiban, dan tanggung  jawab sebagai warga masyarakat dalam kehidupan sehari-hari</v>
      </c>
      <c r="AE5" s="257" t="str">
        <f>AC5&amp;", dan "&amp;AD5</f>
        <v xml:space="preserve"> sangat baik  dalam menjelaskan hak, kewajiban, dan tanggung  jawab sebagai warga masyarakat dalam kehidupan sehari-hari, dan  sangat baik  dalam menjelaskan hak, kewajiban, dan tanggung  jawab sebagai warga masyarakat dalam kehidupan sehari-hari</v>
      </c>
      <c r="AF5" s="257" t="str">
        <f>IF(AC5=AD5,AC5," ")</f>
        <v xml:space="preserve"> sangat baik  dalam menjelaskan hak, kewajiban, dan tanggung  jawab sebagai warga masyarakat dalam kehidupan sehari-hari</v>
      </c>
      <c r="AG5" s="258" t="str">
        <f>IF(AF5=" ",AE5,AF5)</f>
        <v xml:space="preserve"> sangat baik  dalam menjelaskan hak, kewajiban, dan tanggung  jawab sebagai warga masyarakat dalam kehidupan sehari-hari</v>
      </c>
      <c r="AH5" s="252" t="str">
        <f>CONCATENATE(D5,AG5)</f>
        <v>YAHYA sangat baik  dalam menjelaskan hak, kewajiban, dan tanggung  jawab sebagai warga masyarakat dalam kehidupan sehari-hari</v>
      </c>
      <c r="AI5" s="153"/>
      <c r="AP5" s="469">
        <f>IFERROR(U5,"")</f>
        <v>95</v>
      </c>
      <c r="AQ5" s="469">
        <f>COUNTBLANK(AP5:AP54)</f>
        <v>7</v>
      </c>
    </row>
    <row r="6" spans="1:52" ht="59.25" customHeight="1">
      <c r="B6" s="142">
        <v>2</v>
      </c>
      <c r="C6" s="143" t="str">
        <f>SISWA!B7</f>
        <v>1718250040306</v>
      </c>
      <c r="D6" s="144" t="str">
        <f>SISWA!E7</f>
        <v>ADHWA</v>
      </c>
      <c r="E6" s="159">
        <v>90</v>
      </c>
      <c r="F6" s="160">
        <v>90</v>
      </c>
      <c r="G6" s="160">
        <v>90</v>
      </c>
      <c r="H6" s="160"/>
      <c r="I6" s="160"/>
      <c r="J6" s="160"/>
      <c r="K6" s="160"/>
      <c r="L6" s="160"/>
      <c r="M6" s="160"/>
      <c r="N6" s="159"/>
      <c r="O6" s="159"/>
      <c r="P6" s="159"/>
      <c r="Q6" s="159"/>
      <c r="R6" s="160"/>
      <c r="S6" s="160"/>
      <c r="T6" s="159"/>
      <c r="U6" s="354">
        <f t="shared" ref="U6:U54" si="4">ROUND((AVERAGE(E6:T6)),0)</f>
        <v>90</v>
      </c>
      <c r="V6" s="355" t="str">
        <f>IF(U6&gt;KKM!$G$10,"A",IF(U6&gt;KKM!$H$10,"B",IF(U6&gt;=KKM!$I$10,"C","D")))</f>
        <v>A</v>
      </c>
      <c r="W6" s="356">
        <f t="shared" si="0"/>
        <v>90</v>
      </c>
      <c r="X6" s="361" t="str">
        <f>IF(W6&gt;KKM!$G$10," sangat baik ",IF(W6&gt;KKM!$H$10," baik ",IF(W6&gt;=KKM!$I$10," cukup baik "," perlu bimbingan ")))</f>
        <v xml:space="preserve"> sangat baik </v>
      </c>
      <c r="Y6" s="357">
        <f t="shared" si="1"/>
        <v>90</v>
      </c>
      <c r="Z6" s="361" t="str">
        <f>IF(Y6&gt;KKM!$G$10," sangat baik ",IF(Y6&gt;KKM!$H$10," baik ",IF(Y6&gt;=KKM!$I$10," cukup baik "," perlu bimbingan ")))</f>
        <v xml:space="preserve"> sangat baik </v>
      </c>
      <c r="AA6" s="353" t="str">
        <f t="shared" ref="AA6:AA54" si="5">IFERROR(AH6," ")</f>
        <v>ADHWA sangat baik  dalam menjelaskan hak, kewajiban, dan tanggung  jawab sebagai warga masyarakat dalam kehidupan sehari-hari</v>
      </c>
      <c r="AB6" s="256"/>
      <c r="AC6" s="257" t="str">
        <f t="shared" si="2"/>
        <v xml:space="preserve"> sangat baik  dalam menjelaskan hak, kewajiban, dan tanggung  jawab sebagai warga masyarakat dalam kehidupan sehari-hari</v>
      </c>
      <c r="AD6" s="257" t="str">
        <f t="shared" si="3"/>
        <v xml:space="preserve"> sangat baik  dalam menjelaskan hak, kewajiban, dan tanggung  jawab sebagai warga masyarakat dalam kehidupan sehari-hari</v>
      </c>
      <c r="AE6" s="257" t="str">
        <f t="shared" ref="AE6:AE54" si="6">AC6&amp;", dan "&amp;AD6</f>
        <v xml:space="preserve"> sangat baik  dalam menjelaskan hak, kewajiban, dan tanggung  jawab sebagai warga masyarakat dalam kehidupan sehari-hari, dan  sangat baik  dalam menjelaskan hak, kewajiban, dan tanggung  jawab sebagai warga masyarakat dalam kehidupan sehari-hari</v>
      </c>
      <c r="AF6" s="257" t="str">
        <f t="shared" ref="AF6:AF54" si="7">IF(AC6=AD6,AC6," ")</f>
        <v xml:space="preserve"> sangat baik  dalam menjelaskan hak, kewajiban, dan tanggung  jawab sebagai warga masyarakat dalam kehidupan sehari-hari</v>
      </c>
      <c r="AG6" s="258" t="str">
        <f t="shared" ref="AG6:AG54" si="8">IF(AF6=" ",AE6,AF6)</f>
        <v xml:space="preserve"> sangat baik  dalam menjelaskan hak, kewajiban, dan tanggung  jawab sebagai warga masyarakat dalam kehidupan sehari-hari</v>
      </c>
      <c r="AH6" s="252" t="str">
        <f t="shared" ref="AH6:AH54" si="9">CONCATENATE(D6,AG6)</f>
        <v>ADHWA sangat baik  dalam menjelaskan hak, kewajiban, dan tanggung  jawab sebagai warga masyarakat dalam kehidupan sehari-hari</v>
      </c>
      <c r="AI6" s="153"/>
      <c r="AP6" s="469">
        <f t="shared" ref="AP6:AP54" si="10">IFERROR(U6,"")</f>
        <v>90</v>
      </c>
      <c r="AQ6" s="503">
        <f>IFERROR(AQ3/AQ2,"0%")</f>
        <v>1</v>
      </c>
    </row>
    <row r="7" spans="1:52" ht="59.25" customHeight="1">
      <c r="B7" s="142">
        <v>3</v>
      </c>
      <c r="C7" s="143" t="str">
        <f>SISWA!B8</f>
        <v xml:space="preserve"> 1718250040307</v>
      </c>
      <c r="D7" s="144" t="str">
        <f>SISWA!E8</f>
        <v>ANDHIKA</v>
      </c>
      <c r="E7" s="159">
        <v>90</v>
      </c>
      <c r="F7" s="160">
        <v>90</v>
      </c>
      <c r="G7" s="160">
        <v>90</v>
      </c>
      <c r="H7" s="160"/>
      <c r="I7" s="160"/>
      <c r="J7" s="160"/>
      <c r="K7" s="160"/>
      <c r="L7" s="160"/>
      <c r="M7" s="160"/>
      <c r="N7" s="159"/>
      <c r="O7" s="159"/>
      <c r="P7" s="159"/>
      <c r="Q7" s="159"/>
      <c r="R7" s="160"/>
      <c r="S7" s="160"/>
      <c r="T7" s="159"/>
      <c r="U7" s="354">
        <f t="shared" si="4"/>
        <v>90</v>
      </c>
      <c r="V7" s="355" t="str">
        <f>IF(U7&gt;KKM!$G$10,"A",IF(U7&gt;KKM!$H$10,"B",IF(U7&gt;=KKM!$I$10,"C","D")))</f>
        <v>A</v>
      </c>
      <c r="W7" s="356">
        <f t="shared" si="0"/>
        <v>90</v>
      </c>
      <c r="X7" s="361" t="str">
        <f>IF(W7&gt;KKM!$G$10," sangat baik ",IF(W7&gt;KKM!$H$10," baik ",IF(W7&gt;=KKM!$I$10," cukup baik "," perlu bimbingan ")))</f>
        <v xml:space="preserve"> sangat baik </v>
      </c>
      <c r="Y7" s="357">
        <f t="shared" si="1"/>
        <v>90</v>
      </c>
      <c r="Z7" s="361" t="str">
        <f>IF(Y7&gt;KKM!$G$10," sangat baik ",IF(Y7&gt;KKM!$H$10," baik ",IF(Y7&gt;=KKM!$I$10," cukup baik "," perlu bimbingan ")))</f>
        <v xml:space="preserve"> sangat baik </v>
      </c>
      <c r="AA7" s="353" t="str">
        <f t="shared" si="5"/>
        <v>ANDHIKA sangat baik  dalam menjelaskan hak, kewajiban, dan tanggung  jawab sebagai warga masyarakat dalam kehidupan sehari-hari</v>
      </c>
      <c r="AB7" s="256"/>
      <c r="AC7" s="257" t="str">
        <f t="shared" si="2"/>
        <v xml:space="preserve"> sangat baik  dalam menjelaskan hak, kewajiban, dan tanggung  jawab sebagai warga masyarakat dalam kehidupan sehari-hari</v>
      </c>
      <c r="AD7" s="257" t="str">
        <f t="shared" si="3"/>
        <v xml:space="preserve"> sangat baik  dalam menjelaskan hak, kewajiban, dan tanggung  jawab sebagai warga masyarakat dalam kehidupan sehari-hari</v>
      </c>
      <c r="AE7"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7" s="257" t="str">
        <f t="shared" si="7"/>
        <v xml:space="preserve"> sangat baik  dalam menjelaskan hak, kewajiban, dan tanggung  jawab sebagai warga masyarakat dalam kehidupan sehari-hari</v>
      </c>
      <c r="AG7" s="258" t="str">
        <f t="shared" si="8"/>
        <v xml:space="preserve"> sangat baik  dalam menjelaskan hak, kewajiban, dan tanggung  jawab sebagai warga masyarakat dalam kehidupan sehari-hari</v>
      </c>
      <c r="AH7" s="252" t="str">
        <f t="shared" si="9"/>
        <v>ANDHIKA sangat baik  dalam menjelaskan hak, kewajiban, dan tanggung  jawab sebagai warga masyarakat dalam kehidupan sehari-hari</v>
      </c>
      <c r="AI7" s="153"/>
      <c r="AP7" s="469">
        <f t="shared" si="10"/>
        <v>90</v>
      </c>
    </row>
    <row r="8" spans="1:52" ht="59.25" customHeight="1">
      <c r="B8" s="142">
        <v>4</v>
      </c>
      <c r="C8" s="143" t="str">
        <f>SISWA!B9</f>
        <v xml:space="preserve"> 1718250040308</v>
      </c>
      <c r="D8" s="144" t="str">
        <f>SISWA!E9</f>
        <v>ANGGARA</v>
      </c>
      <c r="E8" s="159">
        <v>85</v>
      </c>
      <c r="F8" s="160">
        <v>85</v>
      </c>
      <c r="G8" s="160">
        <v>85</v>
      </c>
      <c r="H8" s="160"/>
      <c r="I8" s="160"/>
      <c r="J8" s="160"/>
      <c r="K8" s="160"/>
      <c r="L8" s="160"/>
      <c r="M8" s="160"/>
      <c r="N8" s="159"/>
      <c r="O8" s="159"/>
      <c r="P8" s="159"/>
      <c r="Q8" s="159"/>
      <c r="R8" s="160"/>
      <c r="S8" s="160"/>
      <c r="T8" s="159"/>
      <c r="U8" s="354">
        <f t="shared" si="4"/>
        <v>85</v>
      </c>
      <c r="V8" s="355" t="str">
        <f>IF(U8&gt;KKM!$G$10,"A",IF(U8&gt;KKM!$H$10,"B",IF(U8&gt;=KKM!$I$10,"C","D")))</f>
        <v>B</v>
      </c>
      <c r="W8" s="356">
        <f t="shared" si="0"/>
        <v>85</v>
      </c>
      <c r="X8" s="361" t="str">
        <f>IF(W8&gt;KKM!$G$10," sangat baik ",IF(W8&gt;KKM!$H$10," baik ",IF(W8&gt;=KKM!$I$10," cukup baik "," perlu bimbingan ")))</f>
        <v xml:space="preserve"> baik </v>
      </c>
      <c r="Y8" s="357">
        <f t="shared" si="1"/>
        <v>85</v>
      </c>
      <c r="Z8" s="361" t="str">
        <f>IF(Y8&gt;KKM!$G$10," sangat baik ",IF(Y8&gt;KKM!$H$10," baik ",IF(Y8&gt;=KKM!$I$10," cukup baik "," perlu bimbingan ")))</f>
        <v xml:space="preserve"> baik </v>
      </c>
      <c r="AA8" s="353" t="str">
        <f t="shared" si="5"/>
        <v>ANGGARA baik  dalam menjelaskan hak, kewajiban, dan tanggung  jawab sebagai warga masyarakat dalam kehidupan sehari-hari</v>
      </c>
      <c r="AB8" s="256"/>
      <c r="AC8" s="257" t="str">
        <f t="shared" si="2"/>
        <v xml:space="preserve"> baik  dalam menjelaskan hak, kewajiban, dan tanggung  jawab sebagai warga masyarakat dalam kehidupan sehari-hari</v>
      </c>
      <c r="AD8" s="257" t="str">
        <f t="shared" si="3"/>
        <v xml:space="preserve"> baik  dalam menjelaskan hak, kewajiban, dan tanggung  jawab sebagai warga masyarakat dalam kehidupan sehari-hari</v>
      </c>
      <c r="AE8" s="257" t="str">
        <f t="shared" si="6"/>
        <v xml:space="preserve"> baik  dalam menjelaskan hak, kewajiban, dan tanggung  jawab sebagai warga masyarakat dalam kehidupan sehari-hari, dan  baik  dalam menjelaskan hak, kewajiban, dan tanggung  jawab sebagai warga masyarakat dalam kehidupan sehari-hari</v>
      </c>
      <c r="AF8" s="257" t="str">
        <f t="shared" si="7"/>
        <v xml:space="preserve"> baik  dalam menjelaskan hak, kewajiban, dan tanggung  jawab sebagai warga masyarakat dalam kehidupan sehari-hari</v>
      </c>
      <c r="AG8" s="258" t="str">
        <f t="shared" si="8"/>
        <v xml:space="preserve"> baik  dalam menjelaskan hak, kewajiban, dan tanggung  jawab sebagai warga masyarakat dalam kehidupan sehari-hari</v>
      </c>
      <c r="AH8" s="252" t="str">
        <f t="shared" si="9"/>
        <v>ANGGARA baik  dalam menjelaskan hak, kewajiban, dan tanggung  jawab sebagai warga masyarakat dalam kehidupan sehari-hari</v>
      </c>
      <c r="AI8" s="153"/>
      <c r="AP8" s="469">
        <f t="shared" si="10"/>
        <v>85</v>
      </c>
    </row>
    <row r="9" spans="1:52" ht="59.25" customHeight="1">
      <c r="B9" s="142">
        <v>5</v>
      </c>
      <c r="C9" s="143" t="str">
        <f>SISWA!B10</f>
        <v>1718250040309</v>
      </c>
      <c r="D9" s="144" t="str">
        <f>SISWA!E10</f>
        <v>ARIA</v>
      </c>
      <c r="E9" s="159">
        <v>90</v>
      </c>
      <c r="F9" s="160">
        <v>90</v>
      </c>
      <c r="G9" s="160">
        <v>90</v>
      </c>
      <c r="H9" s="160"/>
      <c r="I9" s="160"/>
      <c r="J9" s="160"/>
      <c r="K9" s="160"/>
      <c r="L9" s="160"/>
      <c r="M9" s="160"/>
      <c r="N9" s="159"/>
      <c r="O9" s="159"/>
      <c r="P9" s="159"/>
      <c r="Q9" s="159"/>
      <c r="R9" s="160"/>
      <c r="S9" s="160"/>
      <c r="T9" s="159"/>
      <c r="U9" s="354">
        <f t="shared" si="4"/>
        <v>90</v>
      </c>
      <c r="V9" s="355" t="str">
        <f>IF(U9&gt;KKM!$G$10,"A",IF(U9&gt;KKM!$H$10,"B",IF(U9&gt;=KKM!$I$10,"C","D")))</f>
        <v>A</v>
      </c>
      <c r="W9" s="356">
        <f t="shared" si="0"/>
        <v>90</v>
      </c>
      <c r="X9" s="361" t="str">
        <f>IF(W9&gt;KKM!$G$10," sangat baik ",IF(W9&gt;KKM!$H$10," baik ",IF(W9&gt;=KKM!$I$10," cukup baik "," perlu bimbingan ")))</f>
        <v xml:space="preserve"> sangat baik </v>
      </c>
      <c r="Y9" s="357">
        <f t="shared" si="1"/>
        <v>90</v>
      </c>
      <c r="Z9" s="361" t="str">
        <f>IF(Y9&gt;KKM!$G$10," sangat baik ",IF(Y9&gt;KKM!$H$10," baik ",IF(Y9&gt;=KKM!$I$10," cukup baik "," perlu bimbingan ")))</f>
        <v xml:space="preserve"> sangat baik </v>
      </c>
      <c r="AA9" s="353" t="str">
        <f t="shared" si="5"/>
        <v>ARIA sangat baik  dalam menjelaskan hak, kewajiban, dan tanggung  jawab sebagai warga masyarakat dalam kehidupan sehari-hari</v>
      </c>
      <c r="AB9" s="256"/>
      <c r="AC9" s="257" t="str">
        <f t="shared" si="2"/>
        <v xml:space="preserve"> sangat baik  dalam menjelaskan hak, kewajiban, dan tanggung  jawab sebagai warga masyarakat dalam kehidupan sehari-hari</v>
      </c>
      <c r="AD9" s="257" t="str">
        <f t="shared" si="3"/>
        <v xml:space="preserve"> sangat baik  dalam menjelaskan hak, kewajiban, dan tanggung  jawab sebagai warga masyarakat dalam kehidupan sehari-hari</v>
      </c>
      <c r="AE9"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9" s="257" t="str">
        <f t="shared" si="7"/>
        <v xml:space="preserve"> sangat baik  dalam menjelaskan hak, kewajiban, dan tanggung  jawab sebagai warga masyarakat dalam kehidupan sehari-hari</v>
      </c>
      <c r="AG9" s="258" t="str">
        <f t="shared" si="8"/>
        <v xml:space="preserve"> sangat baik  dalam menjelaskan hak, kewajiban, dan tanggung  jawab sebagai warga masyarakat dalam kehidupan sehari-hari</v>
      </c>
      <c r="AH9" s="252" t="str">
        <f t="shared" si="9"/>
        <v>ARIA sangat baik  dalam menjelaskan hak, kewajiban, dan tanggung  jawab sebagai warga masyarakat dalam kehidupan sehari-hari</v>
      </c>
      <c r="AI9" s="153"/>
      <c r="AP9" s="469">
        <f t="shared" si="10"/>
        <v>90</v>
      </c>
    </row>
    <row r="10" spans="1:52" ht="59.25" customHeight="1">
      <c r="B10" s="142">
        <v>6</v>
      </c>
      <c r="C10" s="143" t="str">
        <f>SISWA!B11</f>
        <v>1718250040310</v>
      </c>
      <c r="D10" s="144" t="str">
        <f>SISWA!E11</f>
        <v>CAHAYA</v>
      </c>
      <c r="E10" s="159">
        <v>90</v>
      </c>
      <c r="F10" s="160">
        <v>90</v>
      </c>
      <c r="G10" s="160">
        <v>90</v>
      </c>
      <c r="H10" s="160"/>
      <c r="I10" s="160"/>
      <c r="J10" s="160"/>
      <c r="K10" s="160"/>
      <c r="L10" s="160"/>
      <c r="M10" s="160"/>
      <c r="N10" s="159"/>
      <c r="O10" s="159"/>
      <c r="P10" s="159"/>
      <c r="Q10" s="159"/>
      <c r="R10" s="160"/>
      <c r="S10" s="160"/>
      <c r="T10" s="159"/>
      <c r="U10" s="354">
        <f t="shared" si="4"/>
        <v>90</v>
      </c>
      <c r="V10" s="355" t="str">
        <f>IF(U10&gt;KKM!$G$10,"A",IF(U10&gt;KKM!$H$10,"B",IF(U10&gt;=KKM!$I$10,"C","D")))</f>
        <v>A</v>
      </c>
      <c r="W10" s="356">
        <f t="shared" si="0"/>
        <v>90</v>
      </c>
      <c r="X10" s="361" t="str">
        <f>IF(W10&gt;KKM!$G$10," sangat baik ",IF(W10&gt;KKM!$H$10," baik ",IF(W10&gt;=KKM!$I$10," cukup baik "," perlu bimbingan ")))</f>
        <v xml:space="preserve"> sangat baik </v>
      </c>
      <c r="Y10" s="357">
        <f t="shared" si="1"/>
        <v>90</v>
      </c>
      <c r="Z10" s="361" t="str">
        <f>IF(Y10&gt;KKM!$G$10," sangat baik ",IF(Y10&gt;KKM!$H$10," baik ",IF(Y10&gt;=KKM!$I$10," cukup baik "," perlu bimbingan ")))</f>
        <v xml:space="preserve"> sangat baik </v>
      </c>
      <c r="AA10" s="353" t="str">
        <f t="shared" si="5"/>
        <v>CAHAYA sangat baik  dalam menjelaskan hak, kewajiban, dan tanggung  jawab sebagai warga masyarakat dalam kehidupan sehari-hari</v>
      </c>
      <c r="AB10" s="256"/>
      <c r="AC10" s="257" t="str">
        <f t="shared" si="2"/>
        <v xml:space="preserve"> sangat baik  dalam menjelaskan hak, kewajiban, dan tanggung  jawab sebagai warga masyarakat dalam kehidupan sehari-hari</v>
      </c>
      <c r="AD10" s="257" t="str">
        <f t="shared" si="3"/>
        <v xml:space="preserve"> sangat baik  dalam menjelaskan hak, kewajiban, dan tanggung  jawab sebagai warga masyarakat dalam kehidupan sehari-hari</v>
      </c>
      <c r="AE10"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10" s="257" t="str">
        <f t="shared" si="7"/>
        <v xml:space="preserve"> sangat baik  dalam menjelaskan hak, kewajiban, dan tanggung  jawab sebagai warga masyarakat dalam kehidupan sehari-hari</v>
      </c>
      <c r="AG10" s="258" t="str">
        <f t="shared" si="8"/>
        <v xml:space="preserve"> sangat baik  dalam menjelaskan hak, kewajiban, dan tanggung  jawab sebagai warga masyarakat dalam kehidupan sehari-hari</v>
      </c>
      <c r="AH10" s="252" t="str">
        <f t="shared" si="9"/>
        <v>CAHAYA sangat baik  dalam menjelaskan hak, kewajiban, dan tanggung  jawab sebagai warga masyarakat dalam kehidupan sehari-hari</v>
      </c>
      <c r="AI10" s="153"/>
      <c r="AP10" s="469">
        <f t="shared" si="10"/>
        <v>90</v>
      </c>
    </row>
    <row r="11" spans="1:52" ht="59.25" customHeight="1">
      <c r="B11" s="142">
        <v>7</v>
      </c>
      <c r="C11" s="143" t="str">
        <f>SISWA!B12</f>
        <v>1718250040311</v>
      </c>
      <c r="D11" s="144" t="str">
        <f>SISWA!E12</f>
        <v>CALISTA</v>
      </c>
      <c r="E11" s="159">
        <v>82.5</v>
      </c>
      <c r="F11" s="160">
        <v>82.5</v>
      </c>
      <c r="G11" s="160">
        <v>82.5</v>
      </c>
      <c r="H11" s="160"/>
      <c r="I11" s="160"/>
      <c r="J11" s="160"/>
      <c r="K11" s="160"/>
      <c r="L11" s="160"/>
      <c r="M11" s="160"/>
      <c r="N11" s="159"/>
      <c r="O11" s="159"/>
      <c r="P11" s="159"/>
      <c r="Q11" s="159"/>
      <c r="R11" s="160"/>
      <c r="S11" s="160"/>
      <c r="T11" s="159"/>
      <c r="U11" s="354">
        <f t="shared" si="4"/>
        <v>83</v>
      </c>
      <c r="V11" s="355" t="str">
        <f>IF(U11&gt;KKM!$G$10,"A",IF(U11&gt;KKM!$H$10,"B",IF(U11&gt;=KKM!$I$10,"C","D")))</f>
        <v>B</v>
      </c>
      <c r="W11" s="356">
        <f t="shared" si="0"/>
        <v>82.5</v>
      </c>
      <c r="X11" s="361" t="str">
        <f>IF(W11&gt;KKM!$G$10," sangat baik ",IF(W11&gt;KKM!$H$10," baik ",IF(W11&gt;=KKM!$I$10," cukup baik "," perlu bimbingan ")))</f>
        <v xml:space="preserve"> baik </v>
      </c>
      <c r="Y11" s="357">
        <f t="shared" si="1"/>
        <v>82.5</v>
      </c>
      <c r="Z11" s="361" t="str">
        <f>IF(Y11&gt;KKM!$G$10," sangat baik ",IF(Y11&gt;KKM!$H$10," baik ",IF(Y11&gt;=KKM!$I$10," cukup baik "," perlu bimbingan ")))</f>
        <v xml:space="preserve"> baik </v>
      </c>
      <c r="AA11" s="353" t="str">
        <f t="shared" si="5"/>
        <v>CALISTA baik  dalam menjelaskan hak, kewajiban, dan tanggung  jawab sebagai warga masyarakat dalam kehidupan sehari-hari</v>
      </c>
      <c r="AB11" s="256"/>
      <c r="AC11" s="257" t="str">
        <f t="shared" si="2"/>
        <v xml:space="preserve"> baik  dalam menjelaskan hak, kewajiban, dan tanggung  jawab sebagai warga masyarakat dalam kehidupan sehari-hari</v>
      </c>
      <c r="AD11" s="257" t="str">
        <f t="shared" si="3"/>
        <v xml:space="preserve"> baik  dalam menjelaskan hak, kewajiban, dan tanggung  jawab sebagai warga masyarakat dalam kehidupan sehari-hari</v>
      </c>
      <c r="AE11" s="257" t="str">
        <f t="shared" si="6"/>
        <v xml:space="preserve"> baik  dalam menjelaskan hak, kewajiban, dan tanggung  jawab sebagai warga masyarakat dalam kehidupan sehari-hari, dan  baik  dalam menjelaskan hak, kewajiban, dan tanggung  jawab sebagai warga masyarakat dalam kehidupan sehari-hari</v>
      </c>
      <c r="AF11" s="257" t="str">
        <f t="shared" si="7"/>
        <v xml:space="preserve"> baik  dalam menjelaskan hak, kewajiban, dan tanggung  jawab sebagai warga masyarakat dalam kehidupan sehari-hari</v>
      </c>
      <c r="AG11" s="258" t="str">
        <f t="shared" si="8"/>
        <v xml:space="preserve"> baik  dalam menjelaskan hak, kewajiban, dan tanggung  jawab sebagai warga masyarakat dalam kehidupan sehari-hari</v>
      </c>
      <c r="AH11" s="252" t="str">
        <f t="shared" si="9"/>
        <v>CALISTA baik  dalam menjelaskan hak, kewajiban, dan tanggung  jawab sebagai warga masyarakat dalam kehidupan sehari-hari</v>
      </c>
      <c r="AI11" s="153"/>
      <c r="AP11" s="469">
        <f t="shared" si="10"/>
        <v>83</v>
      </c>
    </row>
    <row r="12" spans="1:52" ht="59.25" customHeight="1">
      <c r="B12" s="142">
        <v>8</v>
      </c>
      <c r="C12" s="143" t="str">
        <f>SISWA!B13</f>
        <v>1718250040312</v>
      </c>
      <c r="D12" s="144" t="str">
        <f>SISWA!E13</f>
        <v>CARISSA</v>
      </c>
      <c r="E12" s="159">
        <v>92.5</v>
      </c>
      <c r="F12" s="160">
        <v>92.5</v>
      </c>
      <c r="G12" s="160">
        <v>92.5</v>
      </c>
      <c r="H12" s="160"/>
      <c r="I12" s="160"/>
      <c r="J12" s="160"/>
      <c r="K12" s="160"/>
      <c r="L12" s="160"/>
      <c r="M12" s="160"/>
      <c r="N12" s="159"/>
      <c r="O12" s="159"/>
      <c r="P12" s="159"/>
      <c r="Q12" s="159"/>
      <c r="R12" s="160"/>
      <c r="S12" s="160"/>
      <c r="T12" s="159"/>
      <c r="U12" s="354">
        <f t="shared" si="4"/>
        <v>93</v>
      </c>
      <c r="V12" s="355" t="str">
        <f>IF(U12&gt;KKM!$G$10,"A",IF(U12&gt;KKM!$H$10,"B",IF(U12&gt;=KKM!$I$10,"C","D")))</f>
        <v>A</v>
      </c>
      <c r="W12" s="356">
        <f t="shared" si="0"/>
        <v>92.5</v>
      </c>
      <c r="X12" s="361" t="str">
        <f>IF(W12&gt;KKM!$G$10," sangat baik ",IF(W12&gt;KKM!$H$10," baik ",IF(W12&gt;=KKM!$I$10," cukup baik "," perlu bimbingan ")))</f>
        <v xml:space="preserve"> sangat baik </v>
      </c>
      <c r="Y12" s="357">
        <f t="shared" si="1"/>
        <v>92.5</v>
      </c>
      <c r="Z12" s="361" t="str">
        <f>IF(Y12&gt;KKM!$G$10," sangat baik ",IF(Y12&gt;KKM!$H$10," baik ",IF(Y12&gt;=KKM!$I$10," cukup baik "," perlu bimbingan ")))</f>
        <v xml:space="preserve"> sangat baik </v>
      </c>
      <c r="AA12" s="353" t="str">
        <f t="shared" si="5"/>
        <v>CARISSA sangat baik  dalam menjelaskan hak, kewajiban, dan tanggung  jawab sebagai warga masyarakat dalam kehidupan sehari-hari</v>
      </c>
      <c r="AB12" s="256"/>
      <c r="AC12" s="257" t="str">
        <f t="shared" si="2"/>
        <v xml:space="preserve"> sangat baik  dalam menjelaskan hak, kewajiban, dan tanggung  jawab sebagai warga masyarakat dalam kehidupan sehari-hari</v>
      </c>
      <c r="AD12" s="257" t="str">
        <f t="shared" si="3"/>
        <v xml:space="preserve"> sangat baik  dalam menjelaskan hak, kewajiban, dan tanggung  jawab sebagai warga masyarakat dalam kehidupan sehari-hari</v>
      </c>
      <c r="AE12"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12" s="257" t="str">
        <f t="shared" si="7"/>
        <v xml:space="preserve"> sangat baik  dalam menjelaskan hak, kewajiban, dan tanggung  jawab sebagai warga masyarakat dalam kehidupan sehari-hari</v>
      </c>
      <c r="AG12" s="258" t="str">
        <f t="shared" si="8"/>
        <v xml:space="preserve"> sangat baik  dalam menjelaskan hak, kewajiban, dan tanggung  jawab sebagai warga masyarakat dalam kehidupan sehari-hari</v>
      </c>
      <c r="AH12" s="252" t="str">
        <f t="shared" si="9"/>
        <v>CARISSA sangat baik  dalam menjelaskan hak, kewajiban, dan tanggung  jawab sebagai warga masyarakat dalam kehidupan sehari-hari</v>
      </c>
      <c r="AI12" s="153"/>
      <c r="AP12" s="469">
        <f t="shared" si="10"/>
        <v>93</v>
      </c>
    </row>
    <row r="13" spans="1:52" ht="59.25" customHeight="1">
      <c r="B13" s="142">
        <v>9</v>
      </c>
      <c r="C13" s="143" t="str">
        <f>SISWA!B14</f>
        <v>1718250040313</v>
      </c>
      <c r="D13" s="144" t="str">
        <f>SISWA!E14</f>
        <v>CHAIDAR</v>
      </c>
      <c r="E13" s="159">
        <v>95</v>
      </c>
      <c r="F13" s="160">
        <v>95</v>
      </c>
      <c r="G13" s="160">
        <v>95</v>
      </c>
      <c r="H13" s="160"/>
      <c r="I13" s="160"/>
      <c r="J13" s="160"/>
      <c r="K13" s="160"/>
      <c r="L13" s="160"/>
      <c r="M13" s="160"/>
      <c r="N13" s="159"/>
      <c r="O13" s="159"/>
      <c r="P13" s="159"/>
      <c r="Q13" s="159"/>
      <c r="R13" s="160"/>
      <c r="S13" s="160"/>
      <c r="T13" s="159"/>
      <c r="U13" s="354">
        <f t="shared" si="4"/>
        <v>95</v>
      </c>
      <c r="V13" s="355" t="str">
        <f>IF(U13&gt;KKM!$G$10,"A",IF(U13&gt;KKM!$H$10,"B",IF(U13&gt;=KKM!$I$10,"C","D")))</f>
        <v>A</v>
      </c>
      <c r="W13" s="356">
        <f t="shared" si="0"/>
        <v>95</v>
      </c>
      <c r="X13" s="361" t="str">
        <f>IF(W13&gt;KKM!$G$10," sangat baik ",IF(W13&gt;KKM!$H$10," baik ",IF(W13&gt;=KKM!$I$10," cukup baik "," perlu bimbingan ")))</f>
        <v xml:space="preserve"> sangat baik </v>
      </c>
      <c r="Y13" s="357">
        <f t="shared" si="1"/>
        <v>95</v>
      </c>
      <c r="Z13" s="361" t="str">
        <f>IF(Y13&gt;KKM!$G$10," sangat baik ",IF(Y13&gt;KKM!$H$10," baik ",IF(Y13&gt;=KKM!$I$10," cukup baik "," perlu bimbingan ")))</f>
        <v xml:space="preserve"> sangat baik </v>
      </c>
      <c r="AA13" s="353" t="str">
        <f t="shared" si="5"/>
        <v>CHAIDAR sangat baik  dalam menjelaskan hak, kewajiban, dan tanggung  jawab sebagai warga masyarakat dalam kehidupan sehari-hari</v>
      </c>
      <c r="AB13" s="256"/>
      <c r="AC13" s="257" t="str">
        <f t="shared" si="2"/>
        <v xml:space="preserve"> sangat baik  dalam menjelaskan hak, kewajiban, dan tanggung  jawab sebagai warga masyarakat dalam kehidupan sehari-hari</v>
      </c>
      <c r="AD13" s="257" t="str">
        <f t="shared" si="3"/>
        <v xml:space="preserve"> sangat baik  dalam menjelaskan hak, kewajiban, dan tanggung  jawab sebagai warga masyarakat dalam kehidupan sehari-hari</v>
      </c>
      <c r="AE13"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13" s="257" t="str">
        <f t="shared" si="7"/>
        <v xml:space="preserve"> sangat baik  dalam menjelaskan hak, kewajiban, dan tanggung  jawab sebagai warga masyarakat dalam kehidupan sehari-hari</v>
      </c>
      <c r="AG13" s="258" t="str">
        <f t="shared" si="8"/>
        <v xml:space="preserve"> sangat baik  dalam menjelaskan hak, kewajiban, dan tanggung  jawab sebagai warga masyarakat dalam kehidupan sehari-hari</v>
      </c>
      <c r="AH13" s="252" t="str">
        <f t="shared" si="9"/>
        <v>CHAIDAR sangat baik  dalam menjelaskan hak, kewajiban, dan tanggung  jawab sebagai warga masyarakat dalam kehidupan sehari-hari</v>
      </c>
      <c r="AI13" s="153"/>
      <c r="AP13" s="469">
        <f t="shared" si="10"/>
        <v>95</v>
      </c>
    </row>
    <row r="14" spans="1:52" ht="59.25" customHeight="1">
      <c r="B14" s="142">
        <v>10</v>
      </c>
      <c r="C14" s="143" t="str">
        <f>SISWA!B15</f>
        <v>1718250040314</v>
      </c>
      <c r="D14" s="144" t="str">
        <f>SISWA!E15</f>
        <v>DAVKA</v>
      </c>
      <c r="E14" s="159">
        <v>90</v>
      </c>
      <c r="F14" s="160">
        <v>90</v>
      </c>
      <c r="G14" s="160">
        <v>90</v>
      </c>
      <c r="H14" s="160"/>
      <c r="I14" s="160"/>
      <c r="J14" s="160"/>
      <c r="K14" s="160"/>
      <c r="L14" s="160"/>
      <c r="M14" s="160"/>
      <c r="N14" s="159"/>
      <c r="O14" s="159"/>
      <c r="P14" s="159"/>
      <c r="Q14" s="159"/>
      <c r="R14" s="160"/>
      <c r="S14" s="160"/>
      <c r="T14" s="159"/>
      <c r="U14" s="354">
        <f t="shared" si="4"/>
        <v>90</v>
      </c>
      <c r="V14" s="355" t="str">
        <f>IF(U14&gt;KKM!$G$10,"A",IF(U14&gt;KKM!$H$10,"B",IF(U14&gt;=KKM!$I$10,"C","D")))</f>
        <v>A</v>
      </c>
      <c r="W14" s="356">
        <f t="shared" si="0"/>
        <v>90</v>
      </c>
      <c r="X14" s="361" t="str">
        <f>IF(W14&gt;KKM!$G$10," sangat baik ",IF(W14&gt;KKM!$H$10," baik ",IF(W14&gt;=KKM!$I$10," cukup baik "," perlu bimbingan ")))</f>
        <v xml:space="preserve"> sangat baik </v>
      </c>
      <c r="Y14" s="357">
        <f t="shared" si="1"/>
        <v>90</v>
      </c>
      <c r="Z14" s="361" t="str">
        <f>IF(Y14&gt;KKM!$G$10," sangat baik ",IF(Y14&gt;KKM!$H$10," baik ",IF(Y14&gt;=KKM!$I$10," cukup baik "," perlu bimbingan ")))</f>
        <v xml:space="preserve"> sangat baik </v>
      </c>
      <c r="AA14" s="353" t="str">
        <f t="shared" si="5"/>
        <v>DAVKA sangat baik  dalam menjelaskan hak, kewajiban, dan tanggung  jawab sebagai warga masyarakat dalam kehidupan sehari-hari</v>
      </c>
      <c r="AB14" s="256"/>
      <c r="AC14" s="257" t="str">
        <f t="shared" si="2"/>
        <v xml:space="preserve"> sangat baik  dalam menjelaskan hak, kewajiban, dan tanggung  jawab sebagai warga masyarakat dalam kehidupan sehari-hari</v>
      </c>
      <c r="AD14" s="257" t="str">
        <f t="shared" si="3"/>
        <v xml:space="preserve"> sangat baik  dalam menjelaskan hak, kewajiban, dan tanggung  jawab sebagai warga masyarakat dalam kehidupan sehari-hari</v>
      </c>
      <c r="AE14"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14" s="257" t="str">
        <f t="shared" si="7"/>
        <v xml:space="preserve"> sangat baik  dalam menjelaskan hak, kewajiban, dan tanggung  jawab sebagai warga masyarakat dalam kehidupan sehari-hari</v>
      </c>
      <c r="AG14" s="258" t="str">
        <f t="shared" si="8"/>
        <v xml:space="preserve"> sangat baik  dalam menjelaskan hak, kewajiban, dan tanggung  jawab sebagai warga masyarakat dalam kehidupan sehari-hari</v>
      </c>
      <c r="AH14" s="252" t="str">
        <f t="shared" si="9"/>
        <v>DAVKA sangat baik  dalam menjelaskan hak, kewajiban, dan tanggung  jawab sebagai warga masyarakat dalam kehidupan sehari-hari</v>
      </c>
      <c r="AI14" s="153"/>
      <c r="AP14" s="469">
        <f t="shared" si="10"/>
        <v>90</v>
      </c>
    </row>
    <row r="15" spans="1:52" ht="59.25" customHeight="1">
      <c r="B15" s="142">
        <v>11</v>
      </c>
      <c r="C15" s="143" t="str">
        <f>SISWA!B16</f>
        <v>1718250040315</v>
      </c>
      <c r="D15" s="144" t="str">
        <f>SISWA!E16</f>
        <v>DZIBRIL</v>
      </c>
      <c r="E15" s="159">
        <v>87.5</v>
      </c>
      <c r="F15" s="160">
        <v>87.5</v>
      </c>
      <c r="G15" s="160">
        <v>87.5</v>
      </c>
      <c r="H15" s="160"/>
      <c r="I15" s="160"/>
      <c r="J15" s="160"/>
      <c r="K15" s="160"/>
      <c r="L15" s="160"/>
      <c r="M15" s="160"/>
      <c r="N15" s="159"/>
      <c r="O15" s="159"/>
      <c r="P15" s="159"/>
      <c r="Q15" s="159"/>
      <c r="R15" s="160"/>
      <c r="S15" s="160"/>
      <c r="T15" s="159"/>
      <c r="U15" s="354">
        <f t="shared" si="4"/>
        <v>88</v>
      </c>
      <c r="V15" s="355" t="str">
        <f>IF(U15&gt;KKM!$G$10,"A",IF(U15&gt;KKM!$H$10,"B",IF(U15&gt;=KKM!$I$10,"C","D")))</f>
        <v>A</v>
      </c>
      <c r="W15" s="356">
        <f t="shared" si="0"/>
        <v>87.5</v>
      </c>
      <c r="X15" s="361" t="str">
        <f>IF(W15&gt;KKM!$G$10," sangat baik ",IF(W15&gt;KKM!$H$10," baik ",IF(W15&gt;=KKM!$I$10," cukup baik "," perlu bimbingan ")))</f>
        <v xml:space="preserve"> sangat baik </v>
      </c>
      <c r="Y15" s="357">
        <f t="shared" si="1"/>
        <v>87.5</v>
      </c>
      <c r="Z15" s="361" t="str">
        <f>IF(Y15&gt;KKM!$G$10," sangat baik ",IF(Y15&gt;KKM!$H$10," baik ",IF(Y15&gt;=KKM!$I$10," cukup baik "," perlu bimbingan ")))</f>
        <v xml:space="preserve"> sangat baik </v>
      </c>
      <c r="AA15" s="353" t="str">
        <f t="shared" si="5"/>
        <v>DZIBRIL sangat baik  dalam menjelaskan hak, kewajiban, dan tanggung  jawab sebagai warga masyarakat dalam kehidupan sehari-hari</v>
      </c>
      <c r="AB15" s="256"/>
      <c r="AC15" s="257" t="str">
        <f t="shared" si="2"/>
        <v xml:space="preserve"> sangat baik  dalam menjelaskan hak, kewajiban, dan tanggung  jawab sebagai warga masyarakat dalam kehidupan sehari-hari</v>
      </c>
      <c r="AD15" s="257" t="str">
        <f t="shared" si="3"/>
        <v xml:space="preserve"> sangat baik  dalam menjelaskan hak, kewajiban, dan tanggung  jawab sebagai warga masyarakat dalam kehidupan sehari-hari</v>
      </c>
      <c r="AE15"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15" s="257" t="str">
        <f t="shared" si="7"/>
        <v xml:space="preserve"> sangat baik  dalam menjelaskan hak, kewajiban, dan tanggung  jawab sebagai warga masyarakat dalam kehidupan sehari-hari</v>
      </c>
      <c r="AG15" s="258" t="str">
        <f t="shared" si="8"/>
        <v xml:space="preserve"> sangat baik  dalam menjelaskan hak, kewajiban, dan tanggung  jawab sebagai warga masyarakat dalam kehidupan sehari-hari</v>
      </c>
      <c r="AH15" s="252" t="str">
        <f t="shared" si="9"/>
        <v>DZIBRIL sangat baik  dalam menjelaskan hak, kewajiban, dan tanggung  jawab sebagai warga masyarakat dalam kehidupan sehari-hari</v>
      </c>
      <c r="AI15" s="153"/>
      <c r="AP15" s="469">
        <f t="shared" si="10"/>
        <v>88</v>
      </c>
    </row>
    <row r="16" spans="1:52" ht="59.25" customHeight="1">
      <c r="B16" s="142">
        <v>12</v>
      </c>
      <c r="C16" s="143" t="str">
        <f>SISWA!B17</f>
        <v>1718250040316</v>
      </c>
      <c r="D16" s="144" t="str">
        <f>SISWA!E17</f>
        <v>ERICHA</v>
      </c>
      <c r="E16" s="159">
        <v>85</v>
      </c>
      <c r="F16" s="160">
        <v>85</v>
      </c>
      <c r="G16" s="160">
        <v>85</v>
      </c>
      <c r="H16" s="160"/>
      <c r="I16" s="160"/>
      <c r="J16" s="160"/>
      <c r="K16" s="160"/>
      <c r="L16" s="160"/>
      <c r="M16" s="160"/>
      <c r="N16" s="159"/>
      <c r="O16" s="159"/>
      <c r="P16" s="159"/>
      <c r="Q16" s="159"/>
      <c r="R16" s="160"/>
      <c r="S16" s="160"/>
      <c r="T16" s="159"/>
      <c r="U16" s="354">
        <f t="shared" si="4"/>
        <v>85</v>
      </c>
      <c r="V16" s="355" t="str">
        <f>IF(U16&gt;KKM!$G$10,"A",IF(U16&gt;KKM!$H$10,"B",IF(U16&gt;=KKM!$I$10,"C","D")))</f>
        <v>B</v>
      </c>
      <c r="W16" s="356">
        <f t="shared" si="0"/>
        <v>85</v>
      </c>
      <c r="X16" s="361" t="str">
        <f>IF(W16&gt;KKM!$G$10," sangat baik ",IF(W16&gt;KKM!$H$10," baik ",IF(W16&gt;=KKM!$I$10," cukup baik "," perlu bimbingan ")))</f>
        <v xml:space="preserve"> baik </v>
      </c>
      <c r="Y16" s="357">
        <f t="shared" si="1"/>
        <v>85</v>
      </c>
      <c r="Z16" s="361" t="str">
        <f>IF(Y16&gt;KKM!$G$10," sangat baik ",IF(Y16&gt;KKM!$H$10," baik ",IF(Y16&gt;=KKM!$I$10," cukup baik "," perlu bimbingan ")))</f>
        <v xml:space="preserve"> baik </v>
      </c>
      <c r="AA16" s="353" t="str">
        <f t="shared" si="5"/>
        <v>ERICHA baik  dalam menjelaskan hak, kewajiban, dan tanggung  jawab sebagai warga masyarakat dalam kehidupan sehari-hari</v>
      </c>
      <c r="AB16" s="256"/>
      <c r="AC16" s="257" t="str">
        <f t="shared" si="2"/>
        <v xml:space="preserve"> baik  dalam menjelaskan hak, kewajiban, dan tanggung  jawab sebagai warga masyarakat dalam kehidupan sehari-hari</v>
      </c>
      <c r="AD16" s="257" t="str">
        <f t="shared" si="3"/>
        <v xml:space="preserve"> baik  dalam menjelaskan hak, kewajiban, dan tanggung  jawab sebagai warga masyarakat dalam kehidupan sehari-hari</v>
      </c>
      <c r="AE16" s="257" t="str">
        <f t="shared" si="6"/>
        <v xml:space="preserve"> baik  dalam menjelaskan hak, kewajiban, dan tanggung  jawab sebagai warga masyarakat dalam kehidupan sehari-hari, dan  baik  dalam menjelaskan hak, kewajiban, dan tanggung  jawab sebagai warga masyarakat dalam kehidupan sehari-hari</v>
      </c>
      <c r="AF16" s="257" t="str">
        <f t="shared" si="7"/>
        <v xml:space="preserve"> baik  dalam menjelaskan hak, kewajiban, dan tanggung  jawab sebagai warga masyarakat dalam kehidupan sehari-hari</v>
      </c>
      <c r="AG16" s="258" t="str">
        <f t="shared" si="8"/>
        <v xml:space="preserve"> baik  dalam menjelaskan hak, kewajiban, dan tanggung  jawab sebagai warga masyarakat dalam kehidupan sehari-hari</v>
      </c>
      <c r="AH16" s="252" t="str">
        <f t="shared" si="9"/>
        <v>ERICHA baik  dalam menjelaskan hak, kewajiban, dan tanggung  jawab sebagai warga masyarakat dalam kehidupan sehari-hari</v>
      </c>
      <c r="AI16" s="153"/>
      <c r="AP16" s="469">
        <f t="shared" si="10"/>
        <v>85</v>
      </c>
    </row>
    <row r="17" spans="2:42" ht="59.25" customHeight="1">
      <c r="B17" s="142">
        <v>13</v>
      </c>
      <c r="C17" s="143" t="str">
        <f>SISWA!B18</f>
        <v>1718250040317</v>
      </c>
      <c r="D17" s="144" t="str">
        <f>SISWA!E18</f>
        <v>HISYAM</v>
      </c>
      <c r="E17" s="159">
        <v>90</v>
      </c>
      <c r="F17" s="160">
        <v>90</v>
      </c>
      <c r="G17" s="160">
        <v>90</v>
      </c>
      <c r="H17" s="160"/>
      <c r="I17" s="160"/>
      <c r="J17" s="160"/>
      <c r="K17" s="160"/>
      <c r="L17" s="160"/>
      <c r="M17" s="160"/>
      <c r="N17" s="159"/>
      <c r="O17" s="159"/>
      <c r="P17" s="159"/>
      <c r="Q17" s="159"/>
      <c r="R17" s="160"/>
      <c r="S17" s="160"/>
      <c r="T17" s="159"/>
      <c r="U17" s="354">
        <f t="shared" si="4"/>
        <v>90</v>
      </c>
      <c r="V17" s="355" t="str">
        <f>IF(U17&gt;KKM!$G$10,"A",IF(U17&gt;KKM!$H$10,"B",IF(U17&gt;=KKM!$I$10,"C","D")))</f>
        <v>A</v>
      </c>
      <c r="W17" s="356">
        <f t="shared" si="0"/>
        <v>90</v>
      </c>
      <c r="X17" s="361" t="str">
        <f>IF(W17&gt;KKM!$G$10," sangat baik ",IF(W17&gt;KKM!$H$10," baik ",IF(W17&gt;=KKM!$I$10," cukup baik "," perlu bimbingan ")))</f>
        <v xml:space="preserve"> sangat baik </v>
      </c>
      <c r="Y17" s="357">
        <f t="shared" si="1"/>
        <v>90</v>
      </c>
      <c r="Z17" s="361" t="str">
        <f>IF(Y17&gt;KKM!$G$10," sangat baik ",IF(Y17&gt;KKM!$H$10," baik ",IF(Y17&gt;=KKM!$I$10," cukup baik "," perlu bimbingan ")))</f>
        <v xml:space="preserve"> sangat baik </v>
      </c>
      <c r="AA17" s="353" t="str">
        <f t="shared" si="5"/>
        <v>HISYAM sangat baik  dalam menjelaskan hak, kewajiban, dan tanggung  jawab sebagai warga masyarakat dalam kehidupan sehari-hari</v>
      </c>
      <c r="AB17" s="256"/>
      <c r="AC17" s="257" t="str">
        <f t="shared" si="2"/>
        <v xml:space="preserve"> sangat baik  dalam menjelaskan hak, kewajiban, dan tanggung  jawab sebagai warga masyarakat dalam kehidupan sehari-hari</v>
      </c>
      <c r="AD17" s="257" t="str">
        <f t="shared" si="3"/>
        <v xml:space="preserve"> sangat baik  dalam menjelaskan hak, kewajiban, dan tanggung  jawab sebagai warga masyarakat dalam kehidupan sehari-hari</v>
      </c>
      <c r="AE17"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17" s="257" t="str">
        <f t="shared" si="7"/>
        <v xml:space="preserve"> sangat baik  dalam menjelaskan hak, kewajiban, dan tanggung  jawab sebagai warga masyarakat dalam kehidupan sehari-hari</v>
      </c>
      <c r="AG17" s="258" t="str">
        <f t="shared" si="8"/>
        <v xml:space="preserve"> sangat baik  dalam menjelaskan hak, kewajiban, dan tanggung  jawab sebagai warga masyarakat dalam kehidupan sehari-hari</v>
      </c>
      <c r="AH17" s="252" t="str">
        <f t="shared" si="9"/>
        <v>HISYAM sangat baik  dalam menjelaskan hak, kewajiban, dan tanggung  jawab sebagai warga masyarakat dalam kehidupan sehari-hari</v>
      </c>
      <c r="AI17" s="153"/>
      <c r="AP17" s="469">
        <f t="shared" si="10"/>
        <v>90</v>
      </c>
    </row>
    <row r="18" spans="2:42" ht="59.25" customHeight="1">
      <c r="B18" s="142">
        <v>14</v>
      </c>
      <c r="C18" s="143" t="str">
        <f>SISWA!B19</f>
        <v>1718250040318</v>
      </c>
      <c r="D18" s="144" t="str">
        <f>SISWA!E19</f>
        <v>FAUZI</v>
      </c>
      <c r="E18" s="159">
        <v>95</v>
      </c>
      <c r="F18" s="160">
        <v>95</v>
      </c>
      <c r="G18" s="160">
        <v>95</v>
      </c>
      <c r="H18" s="160"/>
      <c r="I18" s="160"/>
      <c r="J18" s="160"/>
      <c r="K18" s="160"/>
      <c r="L18" s="160"/>
      <c r="M18" s="160"/>
      <c r="N18" s="159"/>
      <c r="O18" s="159"/>
      <c r="P18" s="159"/>
      <c r="Q18" s="159"/>
      <c r="R18" s="160"/>
      <c r="S18" s="160"/>
      <c r="T18" s="159"/>
      <c r="U18" s="354">
        <f t="shared" si="4"/>
        <v>95</v>
      </c>
      <c r="V18" s="355" t="str">
        <f>IF(U18&gt;KKM!$G$10,"A",IF(U18&gt;KKM!$H$10,"B",IF(U18&gt;=KKM!$I$10,"C","D")))</f>
        <v>A</v>
      </c>
      <c r="W18" s="356">
        <f t="shared" si="0"/>
        <v>95</v>
      </c>
      <c r="X18" s="361" t="str">
        <f>IF(W18&gt;KKM!$G$10," sangat baik ",IF(W18&gt;KKM!$H$10," baik ",IF(W18&gt;=KKM!$I$10," cukup baik "," perlu bimbingan ")))</f>
        <v xml:space="preserve"> sangat baik </v>
      </c>
      <c r="Y18" s="357">
        <f t="shared" si="1"/>
        <v>95</v>
      </c>
      <c r="Z18" s="361" t="str">
        <f>IF(Y18&gt;KKM!$G$10," sangat baik ",IF(Y18&gt;KKM!$H$10," baik ",IF(Y18&gt;=KKM!$I$10," cukup baik "," perlu bimbingan ")))</f>
        <v xml:space="preserve"> sangat baik </v>
      </c>
      <c r="AA18" s="353" t="str">
        <f t="shared" si="5"/>
        <v>FAUZI sangat baik  dalam menjelaskan hak, kewajiban, dan tanggung  jawab sebagai warga masyarakat dalam kehidupan sehari-hari</v>
      </c>
      <c r="AB18" s="256"/>
      <c r="AC18" s="257" t="str">
        <f t="shared" si="2"/>
        <v xml:space="preserve"> sangat baik  dalam menjelaskan hak, kewajiban, dan tanggung  jawab sebagai warga masyarakat dalam kehidupan sehari-hari</v>
      </c>
      <c r="AD18" s="257" t="str">
        <f t="shared" si="3"/>
        <v xml:space="preserve"> sangat baik  dalam menjelaskan hak, kewajiban, dan tanggung  jawab sebagai warga masyarakat dalam kehidupan sehari-hari</v>
      </c>
      <c r="AE18"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18" s="257" t="str">
        <f t="shared" si="7"/>
        <v xml:space="preserve"> sangat baik  dalam menjelaskan hak, kewajiban, dan tanggung  jawab sebagai warga masyarakat dalam kehidupan sehari-hari</v>
      </c>
      <c r="AG18" s="258" t="str">
        <f t="shared" si="8"/>
        <v xml:space="preserve"> sangat baik  dalam menjelaskan hak, kewajiban, dan tanggung  jawab sebagai warga masyarakat dalam kehidupan sehari-hari</v>
      </c>
      <c r="AH18" s="252" t="str">
        <f t="shared" si="9"/>
        <v>FAUZI sangat baik  dalam menjelaskan hak, kewajiban, dan tanggung  jawab sebagai warga masyarakat dalam kehidupan sehari-hari</v>
      </c>
      <c r="AI18" s="153"/>
      <c r="AP18" s="469">
        <f t="shared" si="10"/>
        <v>95</v>
      </c>
    </row>
    <row r="19" spans="2:42" ht="59.25" customHeight="1">
      <c r="B19" s="142">
        <v>15</v>
      </c>
      <c r="C19" s="143" t="str">
        <f>SISWA!B20</f>
        <v>1718250040319</v>
      </c>
      <c r="D19" s="144" t="str">
        <f>SISWA!E20</f>
        <v>FIRLY</v>
      </c>
      <c r="E19" s="159">
        <v>90</v>
      </c>
      <c r="F19" s="160">
        <v>90</v>
      </c>
      <c r="G19" s="160">
        <v>90</v>
      </c>
      <c r="H19" s="160"/>
      <c r="I19" s="160"/>
      <c r="J19" s="160"/>
      <c r="K19" s="160"/>
      <c r="L19" s="160"/>
      <c r="M19" s="160"/>
      <c r="N19" s="159"/>
      <c r="O19" s="159"/>
      <c r="P19" s="159"/>
      <c r="Q19" s="159"/>
      <c r="R19" s="160"/>
      <c r="S19" s="160"/>
      <c r="T19" s="159"/>
      <c r="U19" s="354">
        <f t="shared" si="4"/>
        <v>90</v>
      </c>
      <c r="V19" s="355" t="str">
        <f>IF(U19&gt;KKM!$G$10,"A",IF(U19&gt;KKM!$H$10,"B",IF(U19&gt;=KKM!$I$10,"C","D")))</f>
        <v>A</v>
      </c>
      <c r="W19" s="356">
        <f t="shared" si="0"/>
        <v>90</v>
      </c>
      <c r="X19" s="361" t="str">
        <f>IF(W19&gt;KKM!$G$10," sangat baik ",IF(W19&gt;KKM!$H$10," baik ",IF(W19&gt;=KKM!$I$10," cukup baik "," perlu bimbingan ")))</f>
        <v xml:space="preserve"> sangat baik </v>
      </c>
      <c r="Y19" s="357">
        <f t="shared" si="1"/>
        <v>90</v>
      </c>
      <c r="Z19" s="361" t="str">
        <f>IF(Y19&gt;KKM!$G$10," sangat baik ",IF(Y19&gt;KKM!$H$10," baik ",IF(Y19&gt;=KKM!$I$10," cukup baik "," perlu bimbingan ")))</f>
        <v xml:space="preserve"> sangat baik </v>
      </c>
      <c r="AA19" s="353" t="str">
        <f t="shared" si="5"/>
        <v>FIRLY sangat baik  dalam menjelaskan hak, kewajiban, dan tanggung  jawab sebagai warga masyarakat dalam kehidupan sehari-hari</v>
      </c>
      <c r="AB19" s="256"/>
      <c r="AC19" s="257" t="str">
        <f t="shared" si="2"/>
        <v xml:space="preserve"> sangat baik  dalam menjelaskan hak, kewajiban, dan tanggung  jawab sebagai warga masyarakat dalam kehidupan sehari-hari</v>
      </c>
      <c r="AD19" s="257" t="str">
        <f t="shared" si="3"/>
        <v xml:space="preserve"> sangat baik  dalam menjelaskan hak, kewajiban, dan tanggung  jawab sebagai warga masyarakat dalam kehidupan sehari-hari</v>
      </c>
      <c r="AE19"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19" s="257" t="str">
        <f t="shared" si="7"/>
        <v xml:space="preserve"> sangat baik  dalam menjelaskan hak, kewajiban, dan tanggung  jawab sebagai warga masyarakat dalam kehidupan sehari-hari</v>
      </c>
      <c r="AG19" s="258" t="str">
        <f t="shared" si="8"/>
        <v xml:space="preserve"> sangat baik  dalam menjelaskan hak, kewajiban, dan tanggung  jawab sebagai warga masyarakat dalam kehidupan sehari-hari</v>
      </c>
      <c r="AH19" s="252" t="str">
        <f t="shared" si="9"/>
        <v>FIRLY sangat baik  dalam menjelaskan hak, kewajiban, dan tanggung  jawab sebagai warga masyarakat dalam kehidupan sehari-hari</v>
      </c>
      <c r="AI19" s="153"/>
      <c r="AP19" s="469">
        <f t="shared" si="10"/>
        <v>90</v>
      </c>
    </row>
    <row r="20" spans="2:42" ht="59.25" customHeight="1">
      <c r="B20" s="142">
        <v>16</v>
      </c>
      <c r="C20" s="143" t="str">
        <f>SISWA!B21</f>
        <v>1718250040320</v>
      </c>
      <c r="D20" s="144" t="str">
        <f>SISWA!E21</f>
        <v>HANA</v>
      </c>
      <c r="E20" s="159">
        <v>77.5</v>
      </c>
      <c r="F20" s="160">
        <v>77.5</v>
      </c>
      <c r="G20" s="160">
        <v>77.5</v>
      </c>
      <c r="H20" s="160"/>
      <c r="I20" s="160"/>
      <c r="J20" s="160"/>
      <c r="K20" s="160"/>
      <c r="L20" s="160"/>
      <c r="M20" s="160"/>
      <c r="N20" s="159"/>
      <c r="O20" s="159"/>
      <c r="P20" s="159"/>
      <c r="Q20" s="159"/>
      <c r="R20" s="160"/>
      <c r="S20" s="160"/>
      <c r="T20" s="159"/>
      <c r="U20" s="354">
        <f t="shared" si="4"/>
        <v>78</v>
      </c>
      <c r="V20" s="355" t="str">
        <f>IF(U20&gt;KKM!$G$10,"A",IF(U20&gt;KKM!$H$10,"B",IF(U20&gt;=KKM!$I$10,"C","D")))</f>
        <v>B</v>
      </c>
      <c r="W20" s="356">
        <f t="shared" si="0"/>
        <v>77.5</v>
      </c>
      <c r="X20" s="361" t="str">
        <f>IF(W20&gt;KKM!$G$10," sangat baik ",IF(W20&gt;KKM!$H$10," baik ",IF(W20&gt;=KKM!$I$10," cukup baik "," perlu bimbingan ")))</f>
        <v xml:space="preserve"> baik </v>
      </c>
      <c r="Y20" s="357">
        <f t="shared" si="1"/>
        <v>77.5</v>
      </c>
      <c r="Z20" s="361" t="str">
        <f>IF(Y20&gt;KKM!$G$10," sangat baik ",IF(Y20&gt;KKM!$H$10," baik ",IF(Y20&gt;=KKM!$I$10," cukup baik "," perlu bimbingan ")))</f>
        <v xml:space="preserve"> baik </v>
      </c>
      <c r="AA20" s="353" t="str">
        <f t="shared" si="5"/>
        <v>HANA baik  dalam menjelaskan hak, kewajiban, dan tanggung  jawab sebagai warga masyarakat dalam kehidupan sehari-hari</v>
      </c>
      <c r="AB20" s="256"/>
      <c r="AC20" s="257" t="str">
        <f t="shared" si="2"/>
        <v xml:space="preserve"> baik  dalam menjelaskan hak, kewajiban, dan tanggung  jawab sebagai warga masyarakat dalam kehidupan sehari-hari</v>
      </c>
      <c r="AD20" s="257" t="str">
        <f t="shared" si="3"/>
        <v xml:space="preserve"> baik  dalam menjelaskan hak, kewajiban, dan tanggung  jawab sebagai warga masyarakat dalam kehidupan sehari-hari</v>
      </c>
      <c r="AE20" s="257" t="str">
        <f t="shared" si="6"/>
        <v xml:space="preserve"> baik  dalam menjelaskan hak, kewajiban, dan tanggung  jawab sebagai warga masyarakat dalam kehidupan sehari-hari, dan  baik  dalam menjelaskan hak, kewajiban, dan tanggung  jawab sebagai warga masyarakat dalam kehidupan sehari-hari</v>
      </c>
      <c r="AF20" s="257" t="str">
        <f t="shared" si="7"/>
        <v xml:space="preserve"> baik  dalam menjelaskan hak, kewajiban, dan tanggung  jawab sebagai warga masyarakat dalam kehidupan sehari-hari</v>
      </c>
      <c r="AG20" s="258" t="str">
        <f t="shared" si="8"/>
        <v xml:space="preserve"> baik  dalam menjelaskan hak, kewajiban, dan tanggung  jawab sebagai warga masyarakat dalam kehidupan sehari-hari</v>
      </c>
      <c r="AH20" s="252" t="str">
        <f t="shared" si="9"/>
        <v>HANA baik  dalam menjelaskan hak, kewajiban, dan tanggung  jawab sebagai warga masyarakat dalam kehidupan sehari-hari</v>
      </c>
      <c r="AI20" s="153"/>
      <c r="AP20" s="469">
        <f t="shared" si="10"/>
        <v>78</v>
      </c>
    </row>
    <row r="21" spans="2:42" ht="59.25" customHeight="1">
      <c r="B21" s="142">
        <v>17</v>
      </c>
      <c r="C21" s="143" t="str">
        <f>SISWA!B22</f>
        <v>1718250040321</v>
      </c>
      <c r="D21" s="144" t="str">
        <f>SISWA!E22</f>
        <v>MALLA</v>
      </c>
      <c r="E21" s="159">
        <v>87.5</v>
      </c>
      <c r="F21" s="160">
        <v>87.5</v>
      </c>
      <c r="G21" s="160">
        <v>87.5</v>
      </c>
      <c r="H21" s="160"/>
      <c r="I21" s="160"/>
      <c r="J21" s="160"/>
      <c r="K21" s="160"/>
      <c r="L21" s="160"/>
      <c r="M21" s="160"/>
      <c r="N21" s="159"/>
      <c r="O21" s="159"/>
      <c r="P21" s="159"/>
      <c r="Q21" s="159"/>
      <c r="R21" s="160"/>
      <c r="S21" s="160"/>
      <c r="T21" s="159"/>
      <c r="U21" s="354">
        <f t="shared" si="4"/>
        <v>88</v>
      </c>
      <c r="V21" s="355" t="str">
        <f>IF(U21&gt;KKM!$G$10,"A",IF(U21&gt;KKM!$H$10,"B",IF(U21&gt;=KKM!$I$10,"C","D")))</f>
        <v>A</v>
      </c>
      <c r="W21" s="356">
        <f t="shared" si="0"/>
        <v>87.5</v>
      </c>
      <c r="X21" s="361" t="str">
        <f>IF(W21&gt;KKM!$G$10," sangat baik ",IF(W21&gt;KKM!$H$10," baik ",IF(W21&gt;=KKM!$I$10," cukup baik "," perlu bimbingan ")))</f>
        <v xml:space="preserve"> sangat baik </v>
      </c>
      <c r="Y21" s="357">
        <f t="shared" si="1"/>
        <v>87.5</v>
      </c>
      <c r="Z21" s="361" t="str">
        <f>IF(Y21&gt;KKM!$G$10," sangat baik ",IF(Y21&gt;KKM!$H$10," baik ",IF(Y21&gt;=KKM!$I$10," cukup baik "," perlu bimbingan ")))</f>
        <v xml:space="preserve"> sangat baik </v>
      </c>
      <c r="AA21" s="353" t="str">
        <f t="shared" si="5"/>
        <v>MALLA sangat baik  dalam menjelaskan hak, kewajiban, dan tanggung  jawab sebagai warga masyarakat dalam kehidupan sehari-hari</v>
      </c>
      <c r="AB21" s="256"/>
      <c r="AC21" s="257" t="str">
        <f t="shared" si="2"/>
        <v xml:space="preserve"> sangat baik  dalam menjelaskan hak, kewajiban, dan tanggung  jawab sebagai warga masyarakat dalam kehidupan sehari-hari</v>
      </c>
      <c r="AD21" s="257" t="str">
        <f t="shared" si="3"/>
        <v xml:space="preserve"> sangat baik  dalam menjelaskan hak, kewajiban, dan tanggung  jawab sebagai warga masyarakat dalam kehidupan sehari-hari</v>
      </c>
      <c r="AE21"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21" s="257" t="str">
        <f t="shared" si="7"/>
        <v xml:space="preserve"> sangat baik  dalam menjelaskan hak, kewajiban, dan tanggung  jawab sebagai warga masyarakat dalam kehidupan sehari-hari</v>
      </c>
      <c r="AG21" s="258" t="str">
        <f t="shared" si="8"/>
        <v xml:space="preserve"> sangat baik  dalam menjelaskan hak, kewajiban, dan tanggung  jawab sebagai warga masyarakat dalam kehidupan sehari-hari</v>
      </c>
      <c r="AH21" s="252" t="str">
        <f t="shared" si="9"/>
        <v>MALLA sangat baik  dalam menjelaskan hak, kewajiban, dan tanggung  jawab sebagai warga masyarakat dalam kehidupan sehari-hari</v>
      </c>
      <c r="AI21" s="153"/>
      <c r="AP21" s="469">
        <f t="shared" si="10"/>
        <v>88</v>
      </c>
    </row>
    <row r="22" spans="2:42" ht="59.25" customHeight="1">
      <c r="B22" s="142">
        <v>18</v>
      </c>
      <c r="C22" s="143" t="str">
        <f>SISWA!B23</f>
        <v>1718250040322</v>
      </c>
      <c r="D22" s="144" t="str">
        <f>SISWA!E23</f>
        <v>INTAN</v>
      </c>
      <c r="E22" s="159">
        <v>87.5</v>
      </c>
      <c r="F22" s="160">
        <v>87.5</v>
      </c>
      <c r="G22" s="160">
        <v>87.5</v>
      </c>
      <c r="H22" s="160"/>
      <c r="I22" s="160"/>
      <c r="J22" s="160"/>
      <c r="K22" s="160"/>
      <c r="L22" s="160"/>
      <c r="M22" s="160"/>
      <c r="N22" s="159"/>
      <c r="O22" s="159"/>
      <c r="P22" s="159"/>
      <c r="Q22" s="159"/>
      <c r="R22" s="160"/>
      <c r="S22" s="160"/>
      <c r="T22" s="159"/>
      <c r="U22" s="354">
        <f t="shared" si="4"/>
        <v>88</v>
      </c>
      <c r="V22" s="355" t="str">
        <f>IF(U22&gt;KKM!$G$10,"A",IF(U22&gt;KKM!$H$10,"B",IF(U22&gt;=KKM!$I$10,"C","D")))</f>
        <v>A</v>
      </c>
      <c r="W22" s="356">
        <f t="shared" si="0"/>
        <v>87.5</v>
      </c>
      <c r="X22" s="361" t="str">
        <f>IF(W22&gt;KKM!$G$10," sangat baik ",IF(W22&gt;KKM!$H$10," baik ",IF(W22&gt;=KKM!$I$10," cukup baik "," perlu bimbingan ")))</f>
        <v xml:space="preserve"> sangat baik </v>
      </c>
      <c r="Y22" s="357">
        <f t="shared" si="1"/>
        <v>87.5</v>
      </c>
      <c r="Z22" s="361" t="str">
        <f>IF(Y22&gt;KKM!$G$10," sangat baik ",IF(Y22&gt;KKM!$H$10," baik ",IF(Y22&gt;=KKM!$I$10," cukup baik "," perlu bimbingan ")))</f>
        <v xml:space="preserve"> sangat baik </v>
      </c>
      <c r="AA22" s="353" t="str">
        <f t="shared" si="5"/>
        <v>INTAN sangat baik  dalam menjelaskan hak, kewajiban, dan tanggung  jawab sebagai warga masyarakat dalam kehidupan sehari-hari</v>
      </c>
      <c r="AB22" s="256"/>
      <c r="AC22" s="257" t="str">
        <f t="shared" si="2"/>
        <v xml:space="preserve"> sangat baik  dalam menjelaskan hak, kewajiban, dan tanggung  jawab sebagai warga masyarakat dalam kehidupan sehari-hari</v>
      </c>
      <c r="AD22" s="257" t="str">
        <f t="shared" si="3"/>
        <v xml:space="preserve"> sangat baik  dalam menjelaskan hak, kewajiban, dan tanggung  jawab sebagai warga masyarakat dalam kehidupan sehari-hari</v>
      </c>
      <c r="AE22"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22" s="257" t="str">
        <f t="shared" si="7"/>
        <v xml:space="preserve"> sangat baik  dalam menjelaskan hak, kewajiban, dan tanggung  jawab sebagai warga masyarakat dalam kehidupan sehari-hari</v>
      </c>
      <c r="AG22" s="258" t="str">
        <f t="shared" si="8"/>
        <v xml:space="preserve"> sangat baik  dalam menjelaskan hak, kewajiban, dan tanggung  jawab sebagai warga masyarakat dalam kehidupan sehari-hari</v>
      </c>
      <c r="AH22" s="252" t="str">
        <f t="shared" si="9"/>
        <v>INTAN sangat baik  dalam menjelaskan hak, kewajiban, dan tanggung  jawab sebagai warga masyarakat dalam kehidupan sehari-hari</v>
      </c>
      <c r="AI22" s="153"/>
      <c r="AP22" s="469">
        <f t="shared" si="10"/>
        <v>88</v>
      </c>
    </row>
    <row r="23" spans="2:42" ht="59.25" customHeight="1">
      <c r="B23" s="142">
        <v>19</v>
      </c>
      <c r="C23" s="143" t="str">
        <f>SISWA!B24</f>
        <v>1718250040323</v>
      </c>
      <c r="D23" s="144" t="str">
        <f>SISWA!E24</f>
        <v>JORDY</v>
      </c>
      <c r="E23" s="159">
        <v>87.5</v>
      </c>
      <c r="F23" s="160">
        <v>87.5</v>
      </c>
      <c r="G23" s="160">
        <v>87.5</v>
      </c>
      <c r="H23" s="160"/>
      <c r="I23" s="160"/>
      <c r="J23" s="160"/>
      <c r="K23" s="160"/>
      <c r="L23" s="160"/>
      <c r="M23" s="160"/>
      <c r="N23" s="159"/>
      <c r="O23" s="159"/>
      <c r="P23" s="159"/>
      <c r="Q23" s="159"/>
      <c r="R23" s="160"/>
      <c r="S23" s="160"/>
      <c r="T23" s="159"/>
      <c r="U23" s="354">
        <f t="shared" si="4"/>
        <v>88</v>
      </c>
      <c r="V23" s="355" t="str">
        <f>IF(U23&gt;KKM!$G$10,"A",IF(U23&gt;KKM!$H$10,"B",IF(U23&gt;=KKM!$I$10,"C","D")))</f>
        <v>A</v>
      </c>
      <c r="W23" s="356">
        <f t="shared" si="0"/>
        <v>87.5</v>
      </c>
      <c r="X23" s="361" t="str">
        <f>IF(W23&gt;KKM!$G$10," sangat baik ",IF(W23&gt;KKM!$H$10," baik ",IF(W23&gt;=KKM!$I$10," cukup baik "," perlu bimbingan ")))</f>
        <v xml:space="preserve"> sangat baik </v>
      </c>
      <c r="Y23" s="357">
        <f t="shared" si="1"/>
        <v>87.5</v>
      </c>
      <c r="Z23" s="361" t="str">
        <f>IF(Y23&gt;KKM!$G$10," sangat baik ",IF(Y23&gt;KKM!$H$10," baik ",IF(Y23&gt;=KKM!$I$10," cukup baik "," perlu bimbingan ")))</f>
        <v xml:space="preserve"> sangat baik </v>
      </c>
      <c r="AA23" s="353" t="str">
        <f t="shared" si="5"/>
        <v>JORDY sangat baik  dalam menjelaskan hak, kewajiban, dan tanggung  jawab sebagai warga masyarakat dalam kehidupan sehari-hari</v>
      </c>
      <c r="AB23" s="256"/>
      <c r="AC23" s="257" t="str">
        <f t="shared" si="2"/>
        <v xml:space="preserve"> sangat baik  dalam menjelaskan hak, kewajiban, dan tanggung  jawab sebagai warga masyarakat dalam kehidupan sehari-hari</v>
      </c>
      <c r="AD23" s="257" t="str">
        <f t="shared" si="3"/>
        <v xml:space="preserve"> sangat baik  dalam menjelaskan hak, kewajiban, dan tanggung  jawab sebagai warga masyarakat dalam kehidupan sehari-hari</v>
      </c>
      <c r="AE23"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23" s="257" t="str">
        <f t="shared" si="7"/>
        <v xml:space="preserve"> sangat baik  dalam menjelaskan hak, kewajiban, dan tanggung  jawab sebagai warga masyarakat dalam kehidupan sehari-hari</v>
      </c>
      <c r="AG23" s="258" t="str">
        <f t="shared" si="8"/>
        <v xml:space="preserve"> sangat baik  dalam menjelaskan hak, kewajiban, dan tanggung  jawab sebagai warga masyarakat dalam kehidupan sehari-hari</v>
      </c>
      <c r="AH23" s="252" t="str">
        <f t="shared" si="9"/>
        <v>JORDY sangat baik  dalam menjelaskan hak, kewajiban, dan tanggung  jawab sebagai warga masyarakat dalam kehidupan sehari-hari</v>
      </c>
      <c r="AI23" s="153"/>
      <c r="AP23" s="469">
        <f t="shared" si="10"/>
        <v>88</v>
      </c>
    </row>
    <row r="24" spans="2:42" ht="59.25" customHeight="1">
      <c r="B24" s="142">
        <v>20</v>
      </c>
      <c r="C24" s="143" t="str">
        <f>SISWA!B25</f>
        <v>1718250040324</v>
      </c>
      <c r="D24" s="144" t="str">
        <f>SISWA!E25</f>
        <v>KURNIA</v>
      </c>
      <c r="E24" s="159">
        <v>82.5</v>
      </c>
      <c r="F24" s="160">
        <v>82.5</v>
      </c>
      <c r="G24" s="160">
        <v>82.5</v>
      </c>
      <c r="H24" s="160"/>
      <c r="I24" s="160"/>
      <c r="J24" s="160"/>
      <c r="K24" s="160"/>
      <c r="L24" s="160"/>
      <c r="M24" s="160"/>
      <c r="N24" s="159"/>
      <c r="O24" s="159"/>
      <c r="P24" s="159"/>
      <c r="Q24" s="159"/>
      <c r="R24" s="160"/>
      <c r="S24" s="160"/>
      <c r="T24" s="159"/>
      <c r="U24" s="354">
        <f t="shared" si="4"/>
        <v>83</v>
      </c>
      <c r="V24" s="355" t="str">
        <f>IF(U24&gt;KKM!$G$10,"A",IF(U24&gt;KKM!$H$10,"B",IF(U24&gt;=KKM!$I$10,"C","D")))</f>
        <v>B</v>
      </c>
      <c r="W24" s="356">
        <f t="shared" si="0"/>
        <v>82.5</v>
      </c>
      <c r="X24" s="361" t="str">
        <f>IF(W24&gt;KKM!$G$10," sangat baik ",IF(W24&gt;KKM!$H$10," baik ",IF(W24&gt;=KKM!$I$10," cukup baik "," perlu bimbingan ")))</f>
        <v xml:space="preserve"> baik </v>
      </c>
      <c r="Y24" s="357">
        <f t="shared" si="1"/>
        <v>82.5</v>
      </c>
      <c r="Z24" s="361" t="str">
        <f>IF(Y24&gt;KKM!$G$10," sangat baik ",IF(Y24&gt;KKM!$H$10," baik ",IF(Y24&gt;=KKM!$I$10," cukup baik "," perlu bimbingan ")))</f>
        <v xml:space="preserve"> baik </v>
      </c>
      <c r="AA24" s="353" t="str">
        <f t="shared" si="5"/>
        <v>KURNIA baik  dalam menjelaskan hak, kewajiban, dan tanggung  jawab sebagai warga masyarakat dalam kehidupan sehari-hari</v>
      </c>
      <c r="AB24" s="256"/>
      <c r="AC24" s="257" t="str">
        <f t="shared" si="2"/>
        <v xml:space="preserve"> baik  dalam menjelaskan hak, kewajiban, dan tanggung  jawab sebagai warga masyarakat dalam kehidupan sehari-hari</v>
      </c>
      <c r="AD24" s="257" t="str">
        <f t="shared" si="3"/>
        <v xml:space="preserve"> baik  dalam menjelaskan hak, kewajiban, dan tanggung  jawab sebagai warga masyarakat dalam kehidupan sehari-hari</v>
      </c>
      <c r="AE24" s="257" t="str">
        <f t="shared" si="6"/>
        <v xml:space="preserve"> baik  dalam menjelaskan hak, kewajiban, dan tanggung  jawab sebagai warga masyarakat dalam kehidupan sehari-hari, dan  baik  dalam menjelaskan hak, kewajiban, dan tanggung  jawab sebagai warga masyarakat dalam kehidupan sehari-hari</v>
      </c>
      <c r="AF24" s="257" t="str">
        <f t="shared" si="7"/>
        <v xml:space="preserve"> baik  dalam menjelaskan hak, kewajiban, dan tanggung  jawab sebagai warga masyarakat dalam kehidupan sehari-hari</v>
      </c>
      <c r="AG24" s="258" t="str">
        <f t="shared" si="8"/>
        <v xml:space="preserve"> baik  dalam menjelaskan hak, kewajiban, dan tanggung  jawab sebagai warga masyarakat dalam kehidupan sehari-hari</v>
      </c>
      <c r="AH24" s="252" t="str">
        <f t="shared" si="9"/>
        <v>KURNIA baik  dalam menjelaskan hak, kewajiban, dan tanggung  jawab sebagai warga masyarakat dalam kehidupan sehari-hari</v>
      </c>
      <c r="AI24" s="153"/>
      <c r="AP24" s="469">
        <f t="shared" si="10"/>
        <v>83</v>
      </c>
    </row>
    <row r="25" spans="2:42" ht="59.25" customHeight="1">
      <c r="B25" s="142">
        <v>21</v>
      </c>
      <c r="C25" s="143" t="str">
        <f>SISWA!B26</f>
        <v>1718250040325</v>
      </c>
      <c r="D25" s="144" t="str">
        <f>SISWA!E26</f>
        <v>LATIZA</v>
      </c>
      <c r="E25" s="159">
        <v>97.5</v>
      </c>
      <c r="F25" s="160">
        <v>97.5</v>
      </c>
      <c r="G25" s="160">
        <v>97.5</v>
      </c>
      <c r="H25" s="160"/>
      <c r="I25" s="160"/>
      <c r="J25" s="160"/>
      <c r="K25" s="160"/>
      <c r="L25" s="160"/>
      <c r="M25" s="160"/>
      <c r="N25" s="159"/>
      <c r="O25" s="159"/>
      <c r="P25" s="159"/>
      <c r="Q25" s="159"/>
      <c r="R25" s="160"/>
      <c r="S25" s="160"/>
      <c r="T25" s="159"/>
      <c r="U25" s="354">
        <f t="shared" si="4"/>
        <v>98</v>
      </c>
      <c r="V25" s="355" t="str">
        <f>IF(U25&gt;KKM!$G$10,"A",IF(U25&gt;KKM!$H$10,"B",IF(U25&gt;=KKM!$I$10,"C","D")))</f>
        <v>A</v>
      </c>
      <c r="W25" s="356">
        <f t="shared" si="0"/>
        <v>97.5</v>
      </c>
      <c r="X25" s="361" t="str">
        <f>IF(W25&gt;KKM!$G$10," sangat baik ",IF(W25&gt;KKM!$H$10," baik ",IF(W25&gt;=KKM!$I$10," cukup baik "," perlu bimbingan ")))</f>
        <v xml:space="preserve"> sangat baik </v>
      </c>
      <c r="Y25" s="357">
        <f t="shared" si="1"/>
        <v>97.5</v>
      </c>
      <c r="Z25" s="361" t="str">
        <f>IF(Y25&gt;KKM!$G$10," sangat baik ",IF(Y25&gt;KKM!$H$10," baik ",IF(Y25&gt;=KKM!$I$10," cukup baik "," perlu bimbingan ")))</f>
        <v xml:space="preserve"> sangat baik </v>
      </c>
      <c r="AA25" s="353" t="str">
        <f t="shared" si="5"/>
        <v>LATIZA sangat baik  dalam menjelaskan hak, kewajiban, dan tanggung  jawab sebagai warga masyarakat dalam kehidupan sehari-hari</v>
      </c>
      <c r="AB25" s="256"/>
      <c r="AC25" s="257" t="str">
        <f t="shared" si="2"/>
        <v xml:space="preserve"> sangat baik  dalam menjelaskan hak, kewajiban, dan tanggung  jawab sebagai warga masyarakat dalam kehidupan sehari-hari</v>
      </c>
      <c r="AD25" s="257" t="str">
        <f t="shared" si="3"/>
        <v xml:space="preserve"> sangat baik  dalam menjelaskan hak, kewajiban, dan tanggung  jawab sebagai warga masyarakat dalam kehidupan sehari-hari</v>
      </c>
      <c r="AE25"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25" s="257" t="str">
        <f t="shared" si="7"/>
        <v xml:space="preserve"> sangat baik  dalam menjelaskan hak, kewajiban, dan tanggung  jawab sebagai warga masyarakat dalam kehidupan sehari-hari</v>
      </c>
      <c r="AG25" s="258" t="str">
        <f t="shared" si="8"/>
        <v xml:space="preserve"> sangat baik  dalam menjelaskan hak, kewajiban, dan tanggung  jawab sebagai warga masyarakat dalam kehidupan sehari-hari</v>
      </c>
      <c r="AH25" s="252" t="str">
        <f t="shared" si="9"/>
        <v>LATIZA sangat baik  dalam menjelaskan hak, kewajiban, dan tanggung  jawab sebagai warga masyarakat dalam kehidupan sehari-hari</v>
      </c>
      <c r="AI25" s="153"/>
      <c r="AP25" s="469">
        <f t="shared" si="10"/>
        <v>98</v>
      </c>
    </row>
    <row r="26" spans="2:42" ht="59.25" customHeight="1">
      <c r="B26" s="142">
        <v>22</v>
      </c>
      <c r="C26" s="143" t="str">
        <f>SISWA!B27</f>
        <v>1718250040326</v>
      </c>
      <c r="D26" s="144" t="str">
        <f>SISWA!E27</f>
        <v>RIZKY</v>
      </c>
      <c r="E26" s="159">
        <v>85</v>
      </c>
      <c r="F26" s="160">
        <v>85</v>
      </c>
      <c r="G26" s="160">
        <v>85</v>
      </c>
      <c r="H26" s="160"/>
      <c r="I26" s="160"/>
      <c r="J26" s="160"/>
      <c r="K26" s="160"/>
      <c r="L26" s="160"/>
      <c r="M26" s="160"/>
      <c r="N26" s="159"/>
      <c r="O26" s="159"/>
      <c r="P26" s="159"/>
      <c r="Q26" s="159"/>
      <c r="R26" s="160"/>
      <c r="S26" s="160"/>
      <c r="T26" s="159"/>
      <c r="U26" s="354">
        <f t="shared" si="4"/>
        <v>85</v>
      </c>
      <c r="V26" s="355" t="str">
        <f>IF(U26&gt;KKM!$G$10,"A",IF(U26&gt;KKM!$H$10,"B",IF(U26&gt;=KKM!$I$10,"C","D")))</f>
        <v>B</v>
      </c>
      <c r="W26" s="356">
        <f t="shared" si="0"/>
        <v>85</v>
      </c>
      <c r="X26" s="361" t="str">
        <f>IF(W26&gt;KKM!$G$10," sangat baik ",IF(W26&gt;KKM!$H$10," baik ",IF(W26&gt;=KKM!$I$10," cukup baik "," perlu bimbingan ")))</f>
        <v xml:space="preserve"> baik </v>
      </c>
      <c r="Y26" s="357">
        <f t="shared" si="1"/>
        <v>85</v>
      </c>
      <c r="Z26" s="361" t="str">
        <f>IF(Y26&gt;KKM!$G$10," sangat baik ",IF(Y26&gt;KKM!$H$10," baik ",IF(Y26&gt;=KKM!$I$10," cukup baik "," perlu bimbingan ")))</f>
        <v xml:space="preserve"> baik </v>
      </c>
      <c r="AA26" s="353" t="str">
        <f t="shared" si="5"/>
        <v>RIZKY baik  dalam menjelaskan hak, kewajiban, dan tanggung  jawab sebagai warga masyarakat dalam kehidupan sehari-hari</v>
      </c>
      <c r="AB26" s="256"/>
      <c r="AC26" s="257" t="str">
        <f t="shared" si="2"/>
        <v xml:space="preserve"> baik  dalam menjelaskan hak, kewajiban, dan tanggung  jawab sebagai warga masyarakat dalam kehidupan sehari-hari</v>
      </c>
      <c r="AD26" s="257" t="str">
        <f t="shared" si="3"/>
        <v xml:space="preserve"> baik  dalam menjelaskan hak, kewajiban, dan tanggung  jawab sebagai warga masyarakat dalam kehidupan sehari-hari</v>
      </c>
      <c r="AE26" s="257" t="str">
        <f t="shared" si="6"/>
        <v xml:space="preserve"> baik  dalam menjelaskan hak, kewajiban, dan tanggung  jawab sebagai warga masyarakat dalam kehidupan sehari-hari, dan  baik  dalam menjelaskan hak, kewajiban, dan tanggung  jawab sebagai warga masyarakat dalam kehidupan sehari-hari</v>
      </c>
      <c r="AF26" s="257" t="str">
        <f t="shared" si="7"/>
        <v xml:space="preserve"> baik  dalam menjelaskan hak, kewajiban, dan tanggung  jawab sebagai warga masyarakat dalam kehidupan sehari-hari</v>
      </c>
      <c r="AG26" s="258" t="str">
        <f t="shared" si="8"/>
        <v xml:space="preserve"> baik  dalam menjelaskan hak, kewajiban, dan tanggung  jawab sebagai warga masyarakat dalam kehidupan sehari-hari</v>
      </c>
      <c r="AH26" s="252" t="str">
        <f t="shared" si="9"/>
        <v>RIZKY baik  dalam menjelaskan hak, kewajiban, dan tanggung  jawab sebagai warga masyarakat dalam kehidupan sehari-hari</v>
      </c>
      <c r="AI26" s="153"/>
      <c r="AP26" s="469">
        <f t="shared" si="10"/>
        <v>85</v>
      </c>
    </row>
    <row r="27" spans="2:42" ht="59.25" customHeight="1">
      <c r="B27" s="142">
        <v>23</v>
      </c>
      <c r="C27" s="143" t="str">
        <f>SISWA!B28</f>
        <v>1718250040327</v>
      </c>
      <c r="D27" s="144" t="str">
        <f>SISWA!E28</f>
        <v>RAMADHANDANI</v>
      </c>
      <c r="E27" s="159">
        <v>87.5</v>
      </c>
      <c r="F27" s="160">
        <v>87.5</v>
      </c>
      <c r="G27" s="160">
        <v>87.5</v>
      </c>
      <c r="H27" s="160"/>
      <c r="I27" s="160"/>
      <c r="J27" s="160"/>
      <c r="K27" s="160"/>
      <c r="L27" s="160"/>
      <c r="M27" s="160"/>
      <c r="N27" s="159"/>
      <c r="O27" s="159"/>
      <c r="P27" s="159"/>
      <c r="Q27" s="159"/>
      <c r="R27" s="160"/>
      <c r="S27" s="160"/>
      <c r="T27" s="159"/>
      <c r="U27" s="354">
        <f t="shared" si="4"/>
        <v>88</v>
      </c>
      <c r="V27" s="355" t="str">
        <f>IF(U27&gt;KKM!$G$10,"A",IF(U27&gt;KKM!$H$10,"B",IF(U27&gt;=KKM!$I$10,"C","D")))</f>
        <v>A</v>
      </c>
      <c r="W27" s="356">
        <f t="shared" si="0"/>
        <v>87.5</v>
      </c>
      <c r="X27" s="361" t="str">
        <f>IF(W27&gt;KKM!$G$10," sangat baik ",IF(W27&gt;KKM!$H$10," baik ",IF(W27&gt;=KKM!$I$10," cukup baik "," perlu bimbingan ")))</f>
        <v xml:space="preserve"> sangat baik </v>
      </c>
      <c r="Y27" s="357">
        <f t="shared" si="1"/>
        <v>87.5</v>
      </c>
      <c r="Z27" s="361" t="str">
        <f>IF(Y27&gt;KKM!$G$10," sangat baik ",IF(Y27&gt;KKM!$H$10," baik ",IF(Y27&gt;=KKM!$I$10," cukup baik "," perlu bimbingan ")))</f>
        <v xml:space="preserve"> sangat baik </v>
      </c>
      <c r="AA27" s="353" t="str">
        <f t="shared" si="5"/>
        <v>RAMADHANDANI sangat baik  dalam menjelaskan hak, kewajiban, dan tanggung  jawab sebagai warga masyarakat dalam kehidupan sehari-hari</v>
      </c>
      <c r="AB27" s="256"/>
      <c r="AC27" s="257" t="str">
        <f t="shared" si="2"/>
        <v xml:space="preserve"> sangat baik  dalam menjelaskan hak, kewajiban, dan tanggung  jawab sebagai warga masyarakat dalam kehidupan sehari-hari</v>
      </c>
      <c r="AD27" s="257" t="str">
        <f t="shared" si="3"/>
        <v xml:space="preserve"> sangat baik  dalam menjelaskan hak, kewajiban, dan tanggung  jawab sebagai warga masyarakat dalam kehidupan sehari-hari</v>
      </c>
      <c r="AE27"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27" s="257" t="str">
        <f t="shared" si="7"/>
        <v xml:space="preserve"> sangat baik  dalam menjelaskan hak, kewajiban, dan tanggung  jawab sebagai warga masyarakat dalam kehidupan sehari-hari</v>
      </c>
      <c r="AG27" s="258" t="str">
        <f t="shared" si="8"/>
        <v xml:space="preserve"> sangat baik  dalam menjelaskan hak, kewajiban, dan tanggung  jawab sebagai warga masyarakat dalam kehidupan sehari-hari</v>
      </c>
      <c r="AH27" s="252" t="str">
        <f t="shared" si="9"/>
        <v>RAMADHANDANI sangat baik  dalam menjelaskan hak, kewajiban, dan tanggung  jawab sebagai warga masyarakat dalam kehidupan sehari-hari</v>
      </c>
      <c r="AI27" s="153"/>
      <c r="AP27" s="469">
        <f t="shared" si="10"/>
        <v>88</v>
      </c>
    </row>
    <row r="28" spans="2:42" ht="59.25" customHeight="1">
      <c r="B28" s="142">
        <v>24</v>
      </c>
      <c r="C28" s="143" t="str">
        <f>SISWA!B29</f>
        <v>1718250040328</v>
      </c>
      <c r="D28" s="144" t="str">
        <f>SISWA!E29</f>
        <v>SYAEPUL</v>
      </c>
      <c r="E28" s="159">
        <v>77.5</v>
      </c>
      <c r="F28" s="160">
        <v>77.5</v>
      </c>
      <c r="G28" s="160">
        <v>77.5</v>
      </c>
      <c r="H28" s="160"/>
      <c r="I28" s="160"/>
      <c r="J28" s="160"/>
      <c r="K28" s="160"/>
      <c r="L28" s="160"/>
      <c r="M28" s="160"/>
      <c r="N28" s="159"/>
      <c r="O28" s="159"/>
      <c r="P28" s="159"/>
      <c r="Q28" s="159"/>
      <c r="R28" s="160"/>
      <c r="S28" s="160"/>
      <c r="T28" s="159"/>
      <c r="U28" s="354">
        <f t="shared" si="4"/>
        <v>78</v>
      </c>
      <c r="V28" s="355" t="str">
        <f>IF(U28&gt;KKM!$G$10,"A",IF(U28&gt;KKM!$H$10,"B",IF(U28&gt;=KKM!$I$10,"C","D")))</f>
        <v>B</v>
      </c>
      <c r="W28" s="356">
        <f t="shared" si="0"/>
        <v>77.5</v>
      </c>
      <c r="X28" s="361" t="str">
        <f>IF(W28&gt;KKM!$G$10," sangat baik ",IF(W28&gt;KKM!$H$10," baik ",IF(W28&gt;=KKM!$I$10," cukup baik "," perlu bimbingan ")))</f>
        <v xml:space="preserve"> baik </v>
      </c>
      <c r="Y28" s="357">
        <f t="shared" si="1"/>
        <v>77.5</v>
      </c>
      <c r="Z28" s="361" t="str">
        <f>IF(Y28&gt;KKM!$G$10," sangat baik ",IF(Y28&gt;KKM!$H$10," baik ",IF(Y28&gt;=KKM!$I$10," cukup baik "," perlu bimbingan ")))</f>
        <v xml:space="preserve"> baik </v>
      </c>
      <c r="AA28" s="353" t="str">
        <f t="shared" si="5"/>
        <v>SYAEPUL baik  dalam menjelaskan hak, kewajiban, dan tanggung  jawab sebagai warga masyarakat dalam kehidupan sehari-hari</v>
      </c>
      <c r="AB28" s="256"/>
      <c r="AC28" s="257" t="str">
        <f t="shared" si="2"/>
        <v xml:space="preserve"> baik  dalam menjelaskan hak, kewajiban, dan tanggung  jawab sebagai warga masyarakat dalam kehidupan sehari-hari</v>
      </c>
      <c r="AD28" s="257" t="str">
        <f t="shared" si="3"/>
        <v xml:space="preserve"> baik  dalam menjelaskan hak, kewajiban, dan tanggung  jawab sebagai warga masyarakat dalam kehidupan sehari-hari</v>
      </c>
      <c r="AE28" s="257" t="str">
        <f t="shared" si="6"/>
        <v xml:space="preserve"> baik  dalam menjelaskan hak, kewajiban, dan tanggung  jawab sebagai warga masyarakat dalam kehidupan sehari-hari, dan  baik  dalam menjelaskan hak, kewajiban, dan tanggung  jawab sebagai warga masyarakat dalam kehidupan sehari-hari</v>
      </c>
      <c r="AF28" s="257" t="str">
        <f t="shared" si="7"/>
        <v xml:space="preserve"> baik  dalam menjelaskan hak, kewajiban, dan tanggung  jawab sebagai warga masyarakat dalam kehidupan sehari-hari</v>
      </c>
      <c r="AG28" s="258" t="str">
        <f t="shared" si="8"/>
        <v xml:space="preserve"> baik  dalam menjelaskan hak, kewajiban, dan tanggung  jawab sebagai warga masyarakat dalam kehidupan sehari-hari</v>
      </c>
      <c r="AH28" s="252" t="str">
        <f t="shared" si="9"/>
        <v>SYAEPUL baik  dalam menjelaskan hak, kewajiban, dan tanggung  jawab sebagai warga masyarakat dalam kehidupan sehari-hari</v>
      </c>
      <c r="AI28" s="153"/>
      <c r="AP28" s="469">
        <f t="shared" si="10"/>
        <v>78</v>
      </c>
    </row>
    <row r="29" spans="2:42" ht="59.25" customHeight="1">
      <c r="B29" s="142">
        <v>25</v>
      </c>
      <c r="C29" s="143" t="str">
        <f>SISWA!B30</f>
        <v>1718250040329</v>
      </c>
      <c r="D29" s="144" t="str">
        <f>SISWA!E30</f>
        <v>ALIF</v>
      </c>
      <c r="E29" s="159">
        <v>90</v>
      </c>
      <c r="F29" s="160">
        <v>90</v>
      </c>
      <c r="G29" s="160">
        <v>90</v>
      </c>
      <c r="H29" s="160"/>
      <c r="I29" s="160"/>
      <c r="J29" s="160"/>
      <c r="K29" s="160"/>
      <c r="L29" s="160"/>
      <c r="M29" s="160"/>
      <c r="N29" s="159"/>
      <c r="O29" s="159"/>
      <c r="P29" s="159"/>
      <c r="Q29" s="159"/>
      <c r="R29" s="160"/>
      <c r="S29" s="160"/>
      <c r="T29" s="159"/>
      <c r="U29" s="354">
        <f t="shared" si="4"/>
        <v>90</v>
      </c>
      <c r="V29" s="355" t="str">
        <f>IF(U29&gt;KKM!$G$10,"A",IF(U29&gt;KKM!$H$10,"B",IF(U29&gt;=KKM!$I$10,"C","D")))</f>
        <v>A</v>
      </c>
      <c r="W29" s="356">
        <f t="shared" si="0"/>
        <v>90</v>
      </c>
      <c r="X29" s="361" t="str">
        <f>IF(W29&gt;KKM!$G$10," sangat baik ",IF(W29&gt;KKM!$H$10," baik ",IF(W29&gt;=KKM!$I$10," cukup baik "," perlu bimbingan ")))</f>
        <v xml:space="preserve"> sangat baik </v>
      </c>
      <c r="Y29" s="357">
        <f t="shared" si="1"/>
        <v>90</v>
      </c>
      <c r="Z29" s="361" t="str">
        <f>IF(Y29&gt;KKM!$G$10," sangat baik ",IF(Y29&gt;KKM!$H$10," baik ",IF(Y29&gt;=KKM!$I$10," cukup baik "," perlu bimbingan ")))</f>
        <v xml:space="preserve"> sangat baik </v>
      </c>
      <c r="AA29" s="353" t="str">
        <f t="shared" si="5"/>
        <v>ALIF sangat baik  dalam menjelaskan hak, kewajiban, dan tanggung  jawab sebagai warga masyarakat dalam kehidupan sehari-hari</v>
      </c>
      <c r="AB29" s="256"/>
      <c r="AC29" s="257" t="str">
        <f t="shared" si="2"/>
        <v xml:space="preserve"> sangat baik  dalam menjelaskan hak, kewajiban, dan tanggung  jawab sebagai warga masyarakat dalam kehidupan sehari-hari</v>
      </c>
      <c r="AD29" s="257" t="str">
        <f t="shared" si="3"/>
        <v xml:space="preserve"> sangat baik  dalam menjelaskan hak, kewajiban, dan tanggung  jawab sebagai warga masyarakat dalam kehidupan sehari-hari</v>
      </c>
      <c r="AE29"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29" s="257" t="str">
        <f t="shared" si="7"/>
        <v xml:space="preserve"> sangat baik  dalam menjelaskan hak, kewajiban, dan tanggung  jawab sebagai warga masyarakat dalam kehidupan sehari-hari</v>
      </c>
      <c r="AG29" s="258" t="str">
        <f t="shared" si="8"/>
        <v xml:space="preserve"> sangat baik  dalam menjelaskan hak, kewajiban, dan tanggung  jawab sebagai warga masyarakat dalam kehidupan sehari-hari</v>
      </c>
      <c r="AH29" s="252" t="str">
        <f t="shared" si="9"/>
        <v>ALIF sangat baik  dalam menjelaskan hak, kewajiban, dan tanggung  jawab sebagai warga masyarakat dalam kehidupan sehari-hari</v>
      </c>
      <c r="AI29" s="153"/>
      <c r="AP29" s="469">
        <f t="shared" si="10"/>
        <v>90</v>
      </c>
    </row>
    <row r="30" spans="2:42" ht="59.25" customHeight="1">
      <c r="B30" s="142">
        <v>26</v>
      </c>
      <c r="C30" s="143" t="str">
        <f>SISWA!B31</f>
        <v>1718250040330</v>
      </c>
      <c r="D30" s="144" t="str">
        <f>SISWA!E31</f>
        <v>HIZKIEL</v>
      </c>
      <c r="E30" s="159">
        <v>85</v>
      </c>
      <c r="F30" s="160">
        <v>85</v>
      </c>
      <c r="G30" s="160">
        <v>85</v>
      </c>
      <c r="H30" s="160"/>
      <c r="I30" s="160"/>
      <c r="J30" s="160"/>
      <c r="K30" s="160"/>
      <c r="L30" s="160"/>
      <c r="M30" s="160"/>
      <c r="N30" s="159"/>
      <c r="O30" s="159"/>
      <c r="P30" s="159"/>
      <c r="Q30" s="159"/>
      <c r="R30" s="160"/>
      <c r="S30" s="160"/>
      <c r="T30" s="159"/>
      <c r="U30" s="354">
        <f t="shared" si="4"/>
        <v>85</v>
      </c>
      <c r="V30" s="355" t="str">
        <f>IF(U30&gt;KKM!$G$10,"A",IF(U30&gt;KKM!$H$10,"B",IF(U30&gt;=KKM!$I$10,"C","D")))</f>
        <v>B</v>
      </c>
      <c r="W30" s="356">
        <f t="shared" si="0"/>
        <v>85</v>
      </c>
      <c r="X30" s="361" t="str">
        <f>IF(W30&gt;KKM!$G$10," sangat baik ",IF(W30&gt;KKM!$H$10," baik ",IF(W30&gt;=KKM!$I$10," cukup baik "," perlu bimbingan ")))</f>
        <v xml:space="preserve"> baik </v>
      </c>
      <c r="Y30" s="357">
        <f t="shared" si="1"/>
        <v>85</v>
      </c>
      <c r="Z30" s="361" t="str">
        <f>IF(Y30&gt;KKM!$G$10," sangat baik ",IF(Y30&gt;KKM!$H$10," baik ",IF(Y30&gt;=KKM!$I$10," cukup baik "," perlu bimbingan ")))</f>
        <v xml:space="preserve"> baik </v>
      </c>
      <c r="AA30" s="353" t="str">
        <f t="shared" si="5"/>
        <v>HIZKIEL baik  dalam menjelaskan hak, kewajiban, dan tanggung  jawab sebagai warga masyarakat dalam kehidupan sehari-hari</v>
      </c>
      <c r="AB30" s="256"/>
      <c r="AC30" s="257" t="str">
        <f t="shared" si="2"/>
        <v xml:space="preserve"> baik  dalam menjelaskan hak, kewajiban, dan tanggung  jawab sebagai warga masyarakat dalam kehidupan sehari-hari</v>
      </c>
      <c r="AD30" s="257" t="str">
        <f t="shared" si="3"/>
        <v xml:space="preserve"> baik  dalam menjelaskan hak, kewajiban, dan tanggung  jawab sebagai warga masyarakat dalam kehidupan sehari-hari</v>
      </c>
      <c r="AE30" s="257" t="str">
        <f t="shared" si="6"/>
        <v xml:space="preserve"> baik  dalam menjelaskan hak, kewajiban, dan tanggung  jawab sebagai warga masyarakat dalam kehidupan sehari-hari, dan  baik  dalam menjelaskan hak, kewajiban, dan tanggung  jawab sebagai warga masyarakat dalam kehidupan sehari-hari</v>
      </c>
      <c r="AF30" s="257" t="str">
        <f t="shared" si="7"/>
        <v xml:space="preserve"> baik  dalam menjelaskan hak, kewajiban, dan tanggung  jawab sebagai warga masyarakat dalam kehidupan sehari-hari</v>
      </c>
      <c r="AG30" s="258" t="str">
        <f t="shared" si="8"/>
        <v xml:space="preserve"> baik  dalam menjelaskan hak, kewajiban, dan tanggung  jawab sebagai warga masyarakat dalam kehidupan sehari-hari</v>
      </c>
      <c r="AH30" s="252" t="str">
        <f t="shared" si="9"/>
        <v>HIZKIEL baik  dalam menjelaskan hak, kewajiban, dan tanggung  jawab sebagai warga masyarakat dalam kehidupan sehari-hari</v>
      </c>
      <c r="AI30" s="153"/>
      <c r="AP30" s="469">
        <f t="shared" si="10"/>
        <v>85</v>
      </c>
    </row>
    <row r="31" spans="2:42" ht="59.25" customHeight="1">
      <c r="B31" s="142">
        <v>27</v>
      </c>
      <c r="C31" s="143" t="str">
        <f>SISWA!B32</f>
        <v>1718250040331</v>
      </c>
      <c r="D31" s="144" t="str">
        <f>SISWA!E32</f>
        <v>LAEL</v>
      </c>
      <c r="E31" s="159">
        <v>92.5</v>
      </c>
      <c r="F31" s="160">
        <v>92.5</v>
      </c>
      <c r="G31" s="160">
        <v>92.5</v>
      </c>
      <c r="H31" s="160"/>
      <c r="I31" s="160"/>
      <c r="J31" s="160"/>
      <c r="K31" s="160"/>
      <c r="L31" s="160"/>
      <c r="M31" s="160"/>
      <c r="N31" s="159"/>
      <c r="O31" s="159"/>
      <c r="P31" s="159"/>
      <c r="Q31" s="159"/>
      <c r="R31" s="160"/>
      <c r="S31" s="160"/>
      <c r="T31" s="159"/>
      <c r="U31" s="354">
        <f t="shared" si="4"/>
        <v>93</v>
      </c>
      <c r="V31" s="355" t="str">
        <f>IF(U31&gt;KKM!$G$10,"A",IF(U31&gt;KKM!$H$10,"B",IF(U31&gt;=KKM!$I$10,"C","D")))</f>
        <v>A</v>
      </c>
      <c r="W31" s="356">
        <f t="shared" si="0"/>
        <v>92.5</v>
      </c>
      <c r="X31" s="361" t="str">
        <f>IF(W31&gt;KKM!$G$10," sangat baik ",IF(W31&gt;KKM!$H$10," baik ",IF(W31&gt;=KKM!$I$10," cukup baik "," perlu bimbingan ")))</f>
        <v xml:space="preserve"> sangat baik </v>
      </c>
      <c r="Y31" s="357">
        <f t="shared" si="1"/>
        <v>92.5</v>
      </c>
      <c r="Z31" s="361" t="str">
        <f>IF(Y31&gt;KKM!$G$10," sangat baik ",IF(Y31&gt;KKM!$H$10," baik ",IF(Y31&gt;=KKM!$I$10," cukup baik "," perlu bimbingan ")))</f>
        <v xml:space="preserve"> sangat baik </v>
      </c>
      <c r="AA31" s="353" t="str">
        <f t="shared" si="5"/>
        <v>LAEL sangat baik  dalam menjelaskan hak, kewajiban, dan tanggung  jawab sebagai warga masyarakat dalam kehidupan sehari-hari</v>
      </c>
      <c r="AB31" s="256"/>
      <c r="AC31" s="257" t="str">
        <f t="shared" si="2"/>
        <v xml:space="preserve"> sangat baik  dalam menjelaskan hak, kewajiban, dan tanggung  jawab sebagai warga masyarakat dalam kehidupan sehari-hari</v>
      </c>
      <c r="AD31" s="257" t="str">
        <f t="shared" si="3"/>
        <v xml:space="preserve"> sangat baik  dalam menjelaskan hak, kewajiban, dan tanggung  jawab sebagai warga masyarakat dalam kehidupan sehari-hari</v>
      </c>
      <c r="AE31"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31" s="257" t="str">
        <f t="shared" si="7"/>
        <v xml:space="preserve"> sangat baik  dalam menjelaskan hak, kewajiban, dan tanggung  jawab sebagai warga masyarakat dalam kehidupan sehari-hari</v>
      </c>
      <c r="AG31" s="258" t="str">
        <f t="shared" si="8"/>
        <v xml:space="preserve"> sangat baik  dalam menjelaskan hak, kewajiban, dan tanggung  jawab sebagai warga masyarakat dalam kehidupan sehari-hari</v>
      </c>
      <c r="AH31" s="252" t="str">
        <f t="shared" si="9"/>
        <v>LAEL sangat baik  dalam menjelaskan hak, kewajiban, dan tanggung  jawab sebagai warga masyarakat dalam kehidupan sehari-hari</v>
      </c>
      <c r="AI31" s="153"/>
      <c r="AP31" s="469">
        <f t="shared" si="10"/>
        <v>93</v>
      </c>
    </row>
    <row r="32" spans="2:42" ht="59.25" customHeight="1">
      <c r="B32" s="142">
        <v>28</v>
      </c>
      <c r="C32" s="143" t="str">
        <f>SISWA!B33</f>
        <v>1718250040332</v>
      </c>
      <c r="D32" s="144" t="str">
        <f>SISWA!E33</f>
        <v>NABIL</v>
      </c>
      <c r="E32" s="159">
        <v>82.5</v>
      </c>
      <c r="F32" s="160">
        <v>82.5</v>
      </c>
      <c r="G32" s="160">
        <v>82.5</v>
      </c>
      <c r="H32" s="160"/>
      <c r="I32" s="160"/>
      <c r="J32" s="160"/>
      <c r="K32" s="160"/>
      <c r="L32" s="160"/>
      <c r="M32" s="160"/>
      <c r="N32" s="159"/>
      <c r="O32" s="159"/>
      <c r="P32" s="159"/>
      <c r="Q32" s="159"/>
      <c r="R32" s="160"/>
      <c r="S32" s="160"/>
      <c r="T32" s="159"/>
      <c r="U32" s="354">
        <f t="shared" si="4"/>
        <v>83</v>
      </c>
      <c r="V32" s="355" t="str">
        <f>IF(U32&gt;KKM!$G$10,"A",IF(U32&gt;KKM!$H$10,"B",IF(U32&gt;=KKM!$I$10,"C","D")))</f>
        <v>B</v>
      </c>
      <c r="W32" s="356">
        <f t="shared" si="0"/>
        <v>82.5</v>
      </c>
      <c r="X32" s="361" t="str">
        <f>IF(W32&gt;KKM!$G$10," sangat baik ",IF(W32&gt;KKM!$H$10," baik ",IF(W32&gt;=KKM!$I$10," cukup baik "," perlu bimbingan ")))</f>
        <v xml:space="preserve"> baik </v>
      </c>
      <c r="Y32" s="357">
        <f t="shared" si="1"/>
        <v>82.5</v>
      </c>
      <c r="Z32" s="361" t="str">
        <f>IF(Y32&gt;KKM!$G$10," sangat baik ",IF(Y32&gt;KKM!$H$10," baik ",IF(Y32&gt;=KKM!$I$10," cukup baik "," perlu bimbingan ")))</f>
        <v xml:space="preserve"> baik </v>
      </c>
      <c r="AA32" s="353" t="str">
        <f t="shared" si="5"/>
        <v>NABIL baik  dalam menjelaskan hak, kewajiban, dan tanggung  jawab sebagai warga masyarakat dalam kehidupan sehari-hari</v>
      </c>
      <c r="AB32" s="256"/>
      <c r="AC32" s="257" t="str">
        <f t="shared" si="2"/>
        <v xml:space="preserve"> baik  dalam menjelaskan hak, kewajiban, dan tanggung  jawab sebagai warga masyarakat dalam kehidupan sehari-hari</v>
      </c>
      <c r="AD32" s="257" t="str">
        <f t="shared" si="3"/>
        <v xml:space="preserve"> baik  dalam menjelaskan hak, kewajiban, dan tanggung  jawab sebagai warga masyarakat dalam kehidupan sehari-hari</v>
      </c>
      <c r="AE32" s="257" t="str">
        <f t="shared" si="6"/>
        <v xml:space="preserve"> baik  dalam menjelaskan hak, kewajiban, dan tanggung  jawab sebagai warga masyarakat dalam kehidupan sehari-hari, dan  baik  dalam menjelaskan hak, kewajiban, dan tanggung  jawab sebagai warga masyarakat dalam kehidupan sehari-hari</v>
      </c>
      <c r="AF32" s="257" t="str">
        <f t="shared" si="7"/>
        <v xml:space="preserve"> baik  dalam menjelaskan hak, kewajiban, dan tanggung  jawab sebagai warga masyarakat dalam kehidupan sehari-hari</v>
      </c>
      <c r="AG32" s="258" t="str">
        <f t="shared" si="8"/>
        <v xml:space="preserve"> baik  dalam menjelaskan hak, kewajiban, dan tanggung  jawab sebagai warga masyarakat dalam kehidupan sehari-hari</v>
      </c>
      <c r="AH32" s="252" t="str">
        <f t="shared" si="9"/>
        <v>NABIL baik  dalam menjelaskan hak, kewajiban, dan tanggung  jawab sebagai warga masyarakat dalam kehidupan sehari-hari</v>
      </c>
      <c r="AI32" s="153"/>
      <c r="AP32" s="469">
        <f t="shared" si="10"/>
        <v>83</v>
      </c>
    </row>
    <row r="33" spans="2:42" ht="59.25" customHeight="1">
      <c r="B33" s="142">
        <v>29</v>
      </c>
      <c r="C33" s="143" t="str">
        <f>SISWA!B34</f>
        <v>1718250040333</v>
      </c>
      <c r="D33" s="144" t="str">
        <f>SISWA!E34</f>
        <v>RASYA</v>
      </c>
      <c r="E33" s="159">
        <v>82.5</v>
      </c>
      <c r="F33" s="160">
        <v>82.5</v>
      </c>
      <c r="G33" s="160">
        <v>82.5</v>
      </c>
      <c r="H33" s="160"/>
      <c r="I33" s="160"/>
      <c r="J33" s="160"/>
      <c r="K33" s="160"/>
      <c r="L33" s="160"/>
      <c r="M33" s="160"/>
      <c r="N33" s="159"/>
      <c r="O33" s="159"/>
      <c r="P33" s="159"/>
      <c r="Q33" s="159"/>
      <c r="R33" s="160"/>
      <c r="S33" s="160"/>
      <c r="T33" s="159"/>
      <c r="U33" s="354">
        <f t="shared" si="4"/>
        <v>83</v>
      </c>
      <c r="V33" s="355" t="str">
        <f>IF(U33&gt;KKM!$G$10,"A",IF(U33&gt;KKM!$H$10,"B",IF(U33&gt;=KKM!$I$10,"C","D")))</f>
        <v>B</v>
      </c>
      <c r="W33" s="356">
        <f t="shared" si="0"/>
        <v>82.5</v>
      </c>
      <c r="X33" s="361" t="str">
        <f>IF(W33&gt;KKM!$G$10," sangat baik ",IF(W33&gt;KKM!$H$10," baik ",IF(W33&gt;=KKM!$I$10," cukup baik "," perlu bimbingan ")))</f>
        <v xml:space="preserve"> baik </v>
      </c>
      <c r="Y33" s="357">
        <f t="shared" si="1"/>
        <v>82.5</v>
      </c>
      <c r="Z33" s="361" t="str">
        <f>IF(Y33&gt;KKM!$G$10," sangat baik ",IF(Y33&gt;KKM!$H$10," baik ",IF(Y33&gt;=KKM!$I$10," cukup baik "," perlu bimbingan ")))</f>
        <v xml:space="preserve"> baik </v>
      </c>
      <c r="AA33" s="353" t="str">
        <f t="shared" si="5"/>
        <v>RASYA baik  dalam menjelaskan hak, kewajiban, dan tanggung  jawab sebagai warga masyarakat dalam kehidupan sehari-hari</v>
      </c>
      <c r="AB33" s="256"/>
      <c r="AC33" s="257" t="str">
        <f t="shared" si="2"/>
        <v xml:space="preserve"> baik  dalam menjelaskan hak, kewajiban, dan tanggung  jawab sebagai warga masyarakat dalam kehidupan sehari-hari</v>
      </c>
      <c r="AD33" s="257" t="str">
        <f t="shared" si="3"/>
        <v xml:space="preserve"> baik  dalam menjelaskan hak, kewajiban, dan tanggung  jawab sebagai warga masyarakat dalam kehidupan sehari-hari</v>
      </c>
      <c r="AE33" s="257" t="str">
        <f t="shared" si="6"/>
        <v xml:space="preserve"> baik  dalam menjelaskan hak, kewajiban, dan tanggung  jawab sebagai warga masyarakat dalam kehidupan sehari-hari, dan  baik  dalam menjelaskan hak, kewajiban, dan tanggung  jawab sebagai warga masyarakat dalam kehidupan sehari-hari</v>
      </c>
      <c r="AF33" s="257" t="str">
        <f t="shared" si="7"/>
        <v xml:space="preserve"> baik  dalam menjelaskan hak, kewajiban, dan tanggung  jawab sebagai warga masyarakat dalam kehidupan sehari-hari</v>
      </c>
      <c r="AG33" s="258" t="str">
        <f t="shared" si="8"/>
        <v xml:space="preserve"> baik  dalam menjelaskan hak, kewajiban, dan tanggung  jawab sebagai warga masyarakat dalam kehidupan sehari-hari</v>
      </c>
      <c r="AH33" s="252" t="str">
        <f t="shared" si="9"/>
        <v>RASYA baik  dalam menjelaskan hak, kewajiban, dan tanggung  jawab sebagai warga masyarakat dalam kehidupan sehari-hari</v>
      </c>
      <c r="AI33" s="153"/>
      <c r="AP33" s="469">
        <f t="shared" si="10"/>
        <v>83</v>
      </c>
    </row>
    <row r="34" spans="2:42" ht="59.25" customHeight="1">
      <c r="B34" s="142">
        <v>30</v>
      </c>
      <c r="C34" s="143" t="str">
        <f>SISWA!B35</f>
        <v>1718250040334</v>
      </c>
      <c r="D34" s="144" t="str">
        <f>SISWA!E35</f>
        <v>RIZKI</v>
      </c>
      <c r="E34" s="159">
        <v>92.5</v>
      </c>
      <c r="F34" s="160">
        <v>92.5</v>
      </c>
      <c r="G34" s="160">
        <v>92.5</v>
      </c>
      <c r="H34" s="160"/>
      <c r="I34" s="160"/>
      <c r="J34" s="160"/>
      <c r="K34" s="160"/>
      <c r="L34" s="160"/>
      <c r="M34" s="160"/>
      <c r="N34" s="159"/>
      <c r="O34" s="159"/>
      <c r="P34" s="159"/>
      <c r="Q34" s="159"/>
      <c r="R34" s="160"/>
      <c r="S34" s="160"/>
      <c r="T34" s="159"/>
      <c r="U34" s="354">
        <f t="shared" si="4"/>
        <v>93</v>
      </c>
      <c r="V34" s="355" t="str">
        <f>IF(U34&gt;KKM!$G$10,"A",IF(U34&gt;KKM!$H$10,"B",IF(U34&gt;=KKM!$I$10,"C","D")))</f>
        <v>A</v>
      </c>
      <c r="W34" s="356">
        <f t="shared" si="0"/>
        <v>92.5</v>
      </c>
      <c r="X34" s="361" t="str">
        <f>IF(W34&gt;KKM!$G$10," sangat baik ",IF(W34&gt;KKM!$H$10," baik ",IF(W34&gt;=KKM!$I$10," cukup baik "," perlu bimbingan ")))</f>
        <v xml:space="preserve"> sangat baik </v>
      </c>
      <c r="Y34" s="357">
        <f t="shared" si="1"/>
        <v>92.5</v>
      </c>
      <c r="Z34" s="361" t="str">
        <f>IF(Y34&gt;KKM!$G$10," sangat baik ",IF(Y34&gt;KKM!$H$10," baik ",IF(Y34&gt;=KKM!$I$10," cukup baik "," perlu bimbingan ")))</f>
        <v xml:space="preserve"> sangat baik </v>
      </c>
      <c r="AA34" s="353" t="str">
        <f t="shared" si="5"/>
        <v>RIZKI sangat baik  dalam menjelaskan hak, kewajiban, dan tanggung  jawab sebagai warga masyarakat dalam kehidupan sehari-hari</v>
      </c>
      <c r="AB34" s="256"/>
      <c r="AC34" s="257" t="str">
        <f t="shared" si="2"/>
        <v xml:space="preserve"> sangat baik  dalam menjelaskan hak, kewajiban, dan tanggung  jawab sebagai warga masyarakat dalam kehidupan sehari-hari</v>
      </c>
      <c r="AD34" s="257" t="str">
        <f t="shared" si="3"/>
        <v xml:space="preserve"> sangat baik  dalam menjelaskan hak, kewajiban, dan tanggung  jawab sebagai warga masyarakat dalam kehidupan sehari-hari</v>
      </c>
      <c r="AE34"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34" s="257" t="str">
        <f t="shared" si="7"/>
        <v xml:space="preserve"> sangat baik  dalam menjelaskan hak, kewajiban, dan tanggung  jawab sebagai warga masyarakat dalam kehidupan sehari-hari</v>
      </c>
      <c r="AG34" s="258" t="str">
        <f t="shared" si="8"/>
        <v xml:space="preserve"> sangat baik  dalam menjelaskan hak, kewajiban, dan tanggung  jawab sebagai warga masyarakat dalam kehidupan sehari-hari</v>
      </c>
      <c r="AH34" s="252" t="str">
        <f t="shared" si="9"/>
        <v>RIZKI sangat baik  dalam menjelaskan hak, kewajiban, dan tanggung  jawab sebagai warga masyarakat dalam kehidupan sehari-hari</v>
      </c>
      <c r="AI34" s="153"/>
      <c r="AP34" s="469">
        <f t="shared" si="10"/>
        <v>93</v>
      </c>
    </row>
    <row r="35" spans="2:42" ht="59.25" customHeight="1">
      <c r="B35" s="142">
        <v>31</v>
      </c>
      <c r="C35" s="143" t="str">
        <f>SISWA!B36</f>
        <v>1718250040335</v>
      </c>
      <c r="D35" s="144" t="str">
        <f>SISWA!E36</f>
        <v>SATRIA</v>
      </c>
      <c r="E35" s="159">
        <v>90</v>
      </c>
      <c r="F35" s="160">
        <v>90</v>
      </c>
      <c r="G35" s="160">
        <v>90</v>
      </c>
      <c r="H35" s="160"/>
      <c r="I35" s="160"/>
      <c r="J35" s="160"/>
      <c r="K35" s="160"/>
      <c r="L35" s="160"/>
      <c r="M35" s="160"/>
      <c r="N35" s="159"/>
      <c r="O35" s="159"/>
      <c r="P35" s="159"/>
      <c r="Q35" s="159"/>
      <c r="R35" s="160"/>
      <c r="S35" s="160"/>
      <c r="T35" s="159"/>
      <c r="U35" s="354">
        <f t="shared" si="4"/>
        <v>90</v>
      </c>
      <c r="V35" s="355" t="str">
        <f>IF(U35&gt;KKM!$G$10,"A",IF(U35&gt;KKM!$H$10,"B",IF(U35&gt;=KKM!$I$10,"C","D")))</f>
        <v>A</v>
      </c>
      <c r="W35" s="356">
        <f t="shared" si="0"/>
        <v>90</v>
      </c>
      <c r="X35" s="361" t="str">
        <f>IF(W35&gt;KKM!$G$10," sangat baik ",IF(W35&gt;KKM!$H$10," baik ",IF(W35&gt;=KKM!$I$10," cukup baik "," perlu bimbingan ")))</f>
        <v xml:space="preserve"> sangat baik </v>
      </c>
      <c r="Y35" s="357">
        <f t="shared" si="1"/>
        <v>90</v>
      </c>
      <c r="Z35" s="361" t="str">
        <f>IF(Y35&gt;KKM!$G$10," sangat baik ",IF(Y35&gt;KKM!$H$10," baik ",IF(Y35&gt;=KKM!$I$10," cukup baik "," perlu bimbingan ")))</f>
        <v xml:space="preserve"> sangat baik </v>
      </c>
      <c r="AA35" s="353" t="str">
        <f t="shared" si="5"/>
        <v>SATRIA sangat baik  dalam menjelaskan hak, kewajiban, dan tanggung  jawab sebagai warga masyarakat dalam kehidupan sehari-hari</v>
      </c>
      <c r="AB35" s="256"/>
      <c r="AC35" s="257" t="str">
        <f t="shared" si="2"/>
        <v xml:space="preserve"> sangat baik  dalam menjelaskan hak, kewajiban, dan tanggung  jawab sebagai warga masyarakat dalam kehidupan sehari-hari</v>
      </c>
      <c r="AD35" s="257" t="str">
        <f t="shared" si="3"/>
        <v xml:space="preserve"> sangat baik  dalam menjelaskan hak, kewajiban, dan tanggung  jawab sebagai warga masyarakat dalam kehidupan sehari-hari</v>
      </c>
      <c r="AE35"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35" s="257" t="str">
        <f t="shared" si="7"/>
        <v xml:space="preserve"> sangat baik  dalam menjelaskan hak, kewajiban, dan tanggung  jawab sebagai warga masyarakat dalam kehidupan sehari-hari</v>
      </c>
      <c r="AG35" s="258" t="str">
        <f t="shared" si="8"/>
        <v xml:space="preserve"> sangat baik  dalam menjelaskan hak, kewajiban, dan tanggung  jawab sebagai warga masyarakat dalam kehidupan sehari-hari</v>
      </c>
      <c r="AH35" s="252" t="str">
        <f t="shared" si="9"/>
        <v>SATRIA sangat baik  dalam menjelaskan hak, kewajiban, dan tanggung  jawab sebagai warga masyarakat dalam kehidupan sehari-hari</v>
      </c>
      <c r="AI35" s="153"/>
      <c r="AP35" s="469">
        <f t="shared" si="10"/>
        <v>90</v>
      </c>
    </row>
    <row r="36" spans="2:42" ht="59.25" customHeight="1">
      <c r="B36" s="142">
        <v>32</v>
      </c>
      <c r="C36" s="143" t="str">
        <f>SISWA!B37</f>
        <v>1718250040336</v>
      </c>
      <c r="D36" s="144" t="str">
        <f>SISWA!E37</f>
        <v>NADIA</v>
      </c>
      <c r="E36" s="159">
        <v>97.5</v>
      </c>
      <c r="F36" s="160">
        <v>97.5</v>
      </c>
      <c r="G36" s="160">
        <v>97.5</v>
      </c>
      <c r="H36" s="160"/>
      <c r="I36" s="160"/>
      <c r="J36" s="160"/>
      <c r="K36" s="160"/>
      <c r="L36" s="160"/>
      <c r="M36" s="160"/>
      <c r="N36" s="159"/>
      <c r="O36" s="159"/>
      <c r="P36" s="159"/>
      <c r="Q36" s="159"/>
      <c r="R36" s="160"/>
      <c r="S36" s="160"/>
      <c r="T36" s="159"/>
      <c r="U36" s="354">
        <f t="shared" si="4"/>
        <v>98</v>
      </c>
      <c r="V36" s="355" t="str">
        <f>IF(U36&gt;KKM!$G$10,"A",IF(U36&gt;KKM!$H$10,"B",IF(U36&gt;=KKM!$I$10,"C","D")))</f>
        <v>A</v>
      </c>
      <c r="W36" s="356">
        <f t="shared" si="0"/>
        <v>97.5</v>
      </c>
      <c r="X36" s="361" t="str">
        <f>IF(W36&gt;KKM!$G$10," sangat baik ",IF(W36&gt;KKM!$H$10," baik ",IF(W36&gt;=KKM!$I$10," cukup baik "," perlu bimbingan ")))</f>
        <v xml:space="preserve"> sangat baik </v>
      </c>
      <c r="Y36" s="357">
        <f t="shared" si="1"/>
        <v>97.5</v>
      </c>
      <c r="Z36" s="361" t="str">
        <f>IF(Y36&gt;KKM!$G$10," sangat baik ",IF(Y36&gt;KKM!$H$10," baik ",IF(Y36&gt;=KKM!$I$10," cukup baik "," perlu bimbingan ")))</f>
        <v xml:space="preserve"> sangat baik </v>
      </c>
      <c r="AA36" s="353" t="str">
        <f t="shared" si="5"/>
        <v>NADIA sangat baik  dalam menjelaskan hak, kewajiban, dan tanggung  jawab sebagai warga masyarakat dalam kehidupan sehari-hari</v>
      </c>
      <c r="AB36" s="256"/>
      <c r="AC36" s="257" t="str">
        <f t="shared" si="2"/>
        <v xml:space="preserve"> sangat baik  dalam menjelaskan hak, kewajiban, dan tanggung  jawab sebagai warga masyarakat dalam kehidupan sehari-hari</v>
      </c>
      <c r="AD36" s="257" t="str">
        <f t="shared" si="3"/>
        <v xml:space="preserve"> sangat baik  dalam menjelaskan hak, kewajiban, dan tanggung  jawab sebagai warga masyarakat dalam kehidupan sehari-hari</v>
      </c>
      <c r="AE36"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36" s="257" t="str">
        <f t="shared" si="7"/>
        <v xml:space="preserve"> sangat baik  dalam menjelaskan hak, kewajiban, dan tanggung  jawab sebagai warga masyarakat dalam kehidupan sehari-hari</v>
      </c>
      <c r="AG36" s="258" t="str">
        <f t="shared" si="8"/>
        <v xml:space="preserve"> sangat baik  dalam menjelaskan hak, kewajiban, dan tanggung  jawab sebagai warga masyarakat dalam kehidupan sehari-hari</v>
      </c>
      <c r="AH36" s="252" t="str">
        <f t="shared" si="9"/>
        <v>NADIA sangat baik  dalam menjelaskan hak, kewajiban, dan tanggung  jawab sebagai warga masyarakat dalam kehidupan sehari-hari</v>
      </c>
      <c r="AI36" s="153"/>
      <c r="AP36" s="469">
        <f t="shared" si="10"/>
        <v>98</v>
      </c>
    </row>
    <row r="37" spans="2:42" ht="59.25" customHeight="1">
      <c r="B37" s="142">
        <v>33</v>
      </c>
      <c r="C37" s="143" t="str">
        <f>SISWA!B38</f>
        <v>1718250040337</v>
      </c>
      <c r="D37" s="144" t="str">
        <f>SISWA!E38</f>
        <v>NAFILA</v>
      </c>
      <c r="E37" s="159">
        <v>85</v>
      </c>
      <c r="F37" s="160">
        <v>85</v>
      </c>
      <c r="G37" s="160">
        <v>85</v>
      </c>
      <c r="H37" s="160"/>
      <c r="I37" s="160"/>
      <c r="J37" s="160"/>
      <c r="K37" s="160"/>
      <c r="L37" s="160"/>
      <c r="M37" s="160"/>
      <c r="N37" s="159"/>
      <c r="O37" s="159"/>
      <c r="P37" s="159"/>
      <c r="Q37" s="159"/>
      <c r="R37" s="160"/>
      <c r="S37" s="160"/>
      <c r="T37" s="159"/>
      <c r="U37" s="354">
        <f t="shared" si="4"/>
        <v>85</v>
      </c>
      <c r="V37" s="355" t="str">
        <f>IF(U37&gt;KKM!$G$10,"A",IF(U37&gt;KKM!$H$10,"B",IF(U37&gt;=KKM!$I$10,"C","D")))</f>
        <v>B</v>
      </c>
      <c r="W37" s="356">
        <f t="shared" si="0"/>
        <v>85</v>
      </c>
      <c r="X37" s="361" t="str">
        <f>IF(W37&gt;KKM!$G$10," sangat baik ",IF(W37&gt;KKM!$H$10," baik ",IF(W37&gt;=KKM!$I$10," cukup baik "," perlu bimbingan ")))</f>
        <v xml:space="preserve"> baik </v>
      </c>
      <c r="Y37" s="357">
        <f t="shared" si="1"/>
        <v>85</v>
      </c>
      <c r="Z37" s="361" t="str">
        <f>IF(Y37&gt;KKM!$G$10," sangat baik ",IF(Y37&gt;KKM!$H$10," baik ",IF(Y37&gt;=KKM!$I$10," cukup baik "," perlu bimbingan ")))</f>
        <v xml:space="preserve"> baik </v>
      </c>
      <c r="AA37" s="353" t="str">
        <f t="shared" si="5"/>
        <v>NAFILA baik  dalam menjelaskan hak, kewajiban, dan tanggung  jawab sebagai warga masyarakat dalam kehidupan sehari-hari</v>
      </c>
      <c r="AB37" s="256"/>
      <c r="AC37" s="257" t="str">
        <f t="shared" si="2"/>
        <v xml:space="preserve"> baik  dalam menjelaskan hak, kewajiban, dan tanggung  jawab sebagai warga masyarakat dalam kehidupan sehari-hari</v>
      </c>
      <c r="AD37" s="257" t="str">
        <f t="shared" si="3"/>
        <v xml:space="preserve"> baik  dalam menjelaskan hak, kewajiban, dan tanggung  jawab sebagai warga masyarakat dalam kehidupan sehari-hari</v>
      </c>
      <c r="AE37" s="257" t="str">
        <f t="shared" si="6"/>
        <v xml:space="preserve"> baik  dalam menjelaskan hak, kewajiban, dan tanggung  jawab sebagai warga masyarakat dalam kehidupan sehari-hari, dan  baik  dalam menjelaskan hak, kewajiban, dan tanggung  jawab sebagai warga masyarakat dalam kehidupan sehari-hari</v>
      </c>
      <c r="AF37" s="257" t="str">
        <f t="shared" si="7"/>
        <v xml:space="preserve"> baik  dalam menjelaskan hak, kewajiban, dan tanggung  jawab sebagai warga masyarakat dalam kehidupan sehari-hari</v>
      </c>
      <c r="AG37" s="258" t="str">
        <f t="shared" si="8"/>
        <v xml:space="preserve"> baik  dalam menjelaskan hak, kewajiban, dan tanggung  jawab sebagai warga masyarakat dalam kehidupan sehari-hari</v>
      </c>
      <c r="AH37" s="252" t="str">
        <f t="shared" si="9"/>
        <v>NAFILA baik  dalam menjelaskan hak, kewajiban, dan tanggung  jawab sebagai warga masyarakat dalam kehidupan sehari-hari</v>
      </c>
      <c r="AI37" s="153"/>
      <c r="AP37" s="469">
        <f t="shared" si="10"/>
        <v>85</v>
      </c>
    </row>
    <row r="38" spans="2:42" ht="59.25" customHeight="1">
      <c r="B38" s="142">
        <v>34</v>
      </c>
      <c r="C38" s="143" t="str">
        <f>SISWA!B39</f>
        <v>1718250040338</v>
      </c>
      <c r="D38" s="144" t="str">
        <f>SISWA!E39</f>
        <v>NAZZALA</v>
      </c>
      <c r="E38" s="159">
        <v>85</v>
      </c>
      <c r="F38" s="160">
        <v>85</v>
      </c>
      <c r="G38" s="160">
        <v>85</v>
      </c>
      <c r="H38" s="160"/>
      <c r="I38" s="160"/>
      <c r="J38" s="160"/>
      <c r="K38" s="160"/>
      <c r="L38" s="160"/>
      <c r="M38" s="160"/>
      <c r="N38" s="159"/>
      <c r="O38" s="159"/>
      <c r="P38" s="159"/>
      <c r="Q38" s="159"/>
      <c r="R38" s="160"/>
      <c r="S38" s="160"/>
      <c r="T38" s="159"/>
      <c r="U38" s="354">
        <f t="shared" si="4"/>
        <v>85</v>
      </c>
      <c r="V38" s="355" t="str">
        <f>IF(U38&gt;KKM!$G$10,"A",IF(U38&gt;KKM!$H$10,"B",IF(U38&gt;=KKM!$I$10,"C","D")))</f>
        <v>B</v>
      </c>
      <c r="W38" s="356">
        <f t="shared" si="0"/>
        <v>85</v>
      </c>
      <c r="X38" s="361" t="str">
        <f>IF(W38&gt;KKM!$G$10," sangat baik ",IF(W38&gt;KKM!$H$10," baik ",IF(W38&gt;=KKM!$I$10," cukup baik "," perlu bimbingan ")))</f>
        <v xml:space="preserve"> baik </v>
      </c>
      <c r="Y38" s="357">
        <f t="shared" si="1"/>
        <v>85</v>
      </c>
      <c r="Z38" s="361" t="str">
        <f>IF(Y38&gt;KKM!$G$10," sangat baik ",IF(Y38&gt;KKM!$H$10," baik ",IF(Y38&gt;=KKM!$I$10," cukup baik "," perlu bimbingan ")))</f>
        <v xml:space="preserve"> baik </v>
      </c>
      <c r="AA38" s="353" t="str">
        <f t="shared" si="5"/>
        <v>NAZZALA baik  dalam menjelaskan hak, kewajiban, dan tanggung  jawab sebagai warga masyarakat dalam kehidupan sehari-hari</v>
      </c>
      <c r="AB38" s="256"/>
      <c r="AC38" s="257" t="str">
        <f t="shared" si="2"/>
        <v xml:space="preserve"> baik  dalam menjelaskan hak, kewajiban, dan tanggung  jawab sebagai warga masyarakat dalam kehidupan sehari-hari</v>
      </c>
      <c r="AD38" s="257" t="str">
        <f t="shared" si="3"/>
        <v xml:space="preserve"> baik  dalam menjelaskan hak, kewajiban, dan tanggung  jawab sebagai warga masyarakat dalam kehidupan sehari-hari</v>
      </c>
      <c r="AE38" s="257" t="str">
        <f t="shared" si="6"/>
        <v xml:space="preserve"> baik  dalam menjelaskan hak, kewajiban, dan tanggung  jawab sebagai warga masyarakat dalam kehidupan sehari-hari, dan  baik  dalam menjelaskan hak, kewajiban, dan tanggung  jawab sebagai warga masyarakat dalam kehidupan sehari-hari</v>
      </c>
      <c r="AF38" s="257" t="str">
        <f t="shared" si="7"/>
        <v xml:space="preserve"> baik  dalam menjelaskan hak, kewajiban, dan tanggung  jawab sebagai warga masyarakat dalam kehidupan sehari-hari</v>
      </c>
      <c r="AG38" s="258" t="str">
        <f t="shared" si="8"/>
        <v xml:space="preserve"> baik  dalam menjelaskan hak, kewajiban, dan tanggung  jawab sebagai warga masyarakat dalam kehidupan sehari-hari</v>
      </c>
      <c r="AH38" s="252" t="str">
        <f t="shared" si="9"/>
        <v>NAZZALA baik  dalam menjelaskan hak, kewajiban, dan tanggung  jawab sebagai warga masyarakat dalam kehidupan sehari-hari</v>
      </c>
      <c r="AI38" s="153"/>
      <c r="AP38" s="469">
        <f t="shared" si="10"/>
        <v>85</v>
      </c>
    </row>
    <row r="39" spans="2:42" ht="59.25" customHeight="1">
      <c r="B39" s="142">
        <v>35</v>
      </c>
      <c r="C39" s="143" t="str">
        <f>SISWA!B40</f>
        <v>1718250040339</v>
      </c>
      <c r="D39" s="144" t="str">
        <f>SISWA!E40</f>
        <v>RAFAREL</v>
      </c>
      <c r="E39" s="159">
        <v>87.5</v>
      </c>
      <c r="F39" s="160">
        <v>87.5</v>
      </c>
      <c r="G39" s="160">
        <v>87.5</v>
      </c>
      <c r="H39" s="160"/>
      <c r="I39" s="160"/>
      <c r="J39" s="160"/>
      <c r="K39" s="160"/>
      <c r="L39" s="160"/>
      <c r="M39" s="160"/>
      <c r="N39" s="159"/>
      <c r="O39" s="159"/>
      <c r="P39" s="159"/>
      <c r="Q39" s="159"/>
      <c r="R39" s="160"/>
      <c r="S39" s="160"/>
      <c r="T39" s="159"/>
      <c r="U39" s="354">
        <f t="shared" si="4"/>
        <v>88</v>
      </c>
      <c r="V39" s="355" t="str">
        <f>IF(U39&gt;KKM!$G$10,"A",IF(U39&gt;KKM!$H$10,"B",IF(U39&gt;=KKM!$I$10,"C","D")))</f>
        <v>A</v>
      </c>
      <c r="W39" s="356">
        <f t="shared" si="0"/>
        <v>87.5</v>
      </c>
      <c r="X39" s="361" t="str">
        <f>IF(W39&gt;KKM!$G$10," sangat baik ",IF(W39&gt;KKM!$H$10," baik ",IF(W39&gt;=KKM!$I$10," cukup baik "," perlu bimbingan ")))</f>
        <v xml:space="preserve"> sangat baik </v>
      </c>
      <c r="Y39" s="357">
        <f t="shared" si="1"/>
        <v>87.5</v>
      </c>
      <c r="Z39" s="361" t="str">
        <f>IF(Y39&gt;KKM!$G$10," sangat baik ",IF(Y39&gt;KKM!$H$10," baik ",IF(Y39&gt;=KKM!$I$10," cukup baik "," perlu bimbingan ")))</f>
        <v xml:space="preserve"> sangat baik </v>
      </c>
      <c r="AA39" s="353" t="str">
        <f t="shared" si="5"/>
        <v>RAFAREL sangat baik  dalam menjelaskan hak, kewajiban, dan tanggung  jawab sebagai warga masyarakat dalam kehidupan sehari-hari</v>
      </c>
      <c r="AB39" s="256"/>
      <c r="AC39" s="257" t="str">
        <f t="shared" si="2"/>
        <v xml:space="preserve"> sangat baik  dalam menjelaskan hak, kewajiban, dan tanggung  jawab sebagai warga masyarakat dalam kehidupan sehari-hari</v>
      </c>
      <c r="AD39" s="257" t="str">
        <f t="shared" si="3"/>
        <v xml:space="preserve"> sangat baik  dalam menjelaskan hak, kewajiban, dan tanggung  jawab sebagai warga masyarakat dalam kehidupan sehari-hari</v>
      </c>
      <c r="AE39"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39" s="257" t="str">
        <f t="shared" si="7"/>
        <v xml:space="preserve"> sangat baik  dalam menjelaskan hak, kewajiban, dan tanggung  jawab sebagai warga masyarakat dalam kehidupan sehari-hari</v>
      </c>
      <c r="AG39" s="258" t="str">
        <f t="shared" si="8"/>
        <v xml:space="preserve"> sangat baik  dalam menjelaskan hak, kewajiban, dan tanggung  jawab sebagai warga masyarakat dalam kehidupan sehari-hari</v>
      </c>
      <c r="AH39" s="252" t="str">
        <f t="shared" si="9"/>
        <v>RAFAREL sangat baik  dalam menjelaskan hak, kewajiban, dan tanggung  jawab sebagai warga masyarakat dalam kehidupan sehari-hari</v>
      </c>
      <c r="AI39" s="153"/>
      <c r="AP39" s="469">
        <f t="shared" si="10"/>
        <v>88</v>
      </c>
    </row>
    <row r="40" spans="2:42" ht="59.25" customHeight="1">
      <c r="B40" s="142">
        <v>36</v>
      </c>
      <c r="C40" s="143" t="str">
        <f>SISWA!B41</f>
        <v>1718250040340</v>
      </c>
      <c r="D40" s="144" t="str">
        <f>SISWA!E41</f>
        <v>RAKHA</v>
      </c>
      <c r="E40" s="159">
        <v>92.5</v>
      </c>
      <c r="F40" s="160">
        <v>92.5</v>
      </c>
      <c r="G40" s="160">
        <v>92.5</v>
      </c>
      <c r="H40" s="160"/>
      <c r="I40" s="160"/>
      <c r="J40" s="160"/>
      <c r="K40" s="160"/>
      <c r="L40" s="160"/>
      <c r="M40" s="160"/>
      <c r="N40" s="159"/>
      <c r="O40" s="159"/>
      <c r="P40" s="159"/>
      <c r="Q40" s="159"/>
      <c r="R40" s="160"/>
      <c r="S40" s="160"/>
      <c r="T40" s="159"/>
      <c r="U40" s="354">
        <f t="shared" si="4"/>
        <v>93</v>
      </c>
      <c r="V40" s="355" t="str">
        <f>IF(U40&gt;KKM!$G$10,"A",IF(U40&gt;KKM!$H$10,"B",IF(U40&gt;=KKM!$I$10,"C","D")))</f>
        <v>A</v>
      </c>
      <c r="W40" s="356">
        <f t="shared" si="0"/>
        <v>92.5</v>
      </c>
      <c r="X40" s="361" t="str">
        <f>IF(W40&gt;KKM!$G$10," sangat baik ",IF(W40&gt;KKM!$H$10," baik ",IF(W40&gt;=KKM!$I$10," cukup baik "," perlu bimbingan ")))</f>
        <v xml:space="preserve"> sangat baik </v>
      </c>
      <c r="Y40" s="357">
        <f t="shared" si="1"/>
        <v>92.5</v>
      </c>
      <c r="Z40" s="361" t="str">
        <f>IF(Y40&gt;KKM!$G$10," sangat baik ",IF(Y40&gt;KKM!$H$10," baik ",IF(Y40&gt;=KKM!$I$10," cukup baik "," perlu bimbingan ")))</f>
        <v xml:space="preserve"> sangat baik </v>
      </c>
      <c r="AA40" s="353" t="str">
        <f t="shared" si="5"/>
        <v>RAKHA sangat baik  dalam menjelaskan hak, kewajiban, dan tanggung  jawab sebagai warga masyarakat dalam kehidupan sehari-hari</v>
      </c>
      <c r="AB40" s="256"/>
      <c r="AC40" s="257" t="str">
        <f t="shared" si="2"/>
        <v xml:space="preserve"> sangat baik  dalam menjelaskan hak, kewajiban, dan tanggung  jawab sebagai warga masyarakat dalam kehidupan sehari-hari</v>
      </c>
      <c r="AD40" s="257" t="str">
        <f t="shared" si="3"/>
        <v xml:space="preserve"> sangat baik  dalam menjelaskan hak, kewajiban, dan tanggung  jawab sebagai warga masyarakat dalam kehidupan sehari-hari</v>
      </c>
      <c r="AE40"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40" s="257" t="str">
        <f t="shared" si="7"/>
        <v xml:space="preserve"> sangat baik  dalam menjelaskan hak, kewajiban, dan tanggung  jawab sebagai warga masyarakat dalam kehidupan sehari-hari</v>
      </c>
      <c r="AG40" s="258" t="str">
        <f t="shared" si="8"/>
        <v xml:space="preserve"> sangat baik  dalam menjelaskan hak, kewajiban, dan tanggung  jawab sebagai warga masyarakat dalam kehidupan sehari-hari</v>
      </c>
      <c r="AH40" s="252" t="str">
        <f t="shared" si="9"/>
        <v>RAKHA sangat baik  dalam menjelaskan hak, kewajiban, dan tanggung  jawab sebagai warga masyarakat dalam kehidupan sehari-hari</v>
      </c>
      <c r="AI40" s="153"/>
      <c r="AP40" s="469">
        <f t="shared" si="10"/>
        <v>93</v>
      </c>
    </row>
    <row r="41" spans="2:42" ht="59.25" customHeight="1">
      <c r="B41" s="142">
        <v>37</v>
      </c>
      <c r="C41" s="143" t="str">
        <f>SISWA!B42</f>
        <v>1718250040341</v>
      </c>
      <c r="D41" s="144" t="str">
        <f>SISWA!E42</f>
        <v>RYU</v>
      </c>
      <c r="E41" s="159">
        <v>70</v>
      </c>
      <c r="F41" s="160">
        <v>70</v>
      </c>
      <c r="G41" s="160">
        <v>70</v>
      </c>
      <c r="H41" s="160"/>
      <c r="I41" s="160"/>
      <c r="J41" s="160"/>
      <c r="K41" s="160"/>
      <c r="L41" s="160"/>
      <c r="M41" s="160"/>
      <c r="N41" s="159"/>
      <c r="O41" s="159"/>
      <c r="P41" s="159"/>
      <c r="Q41" s="159"/>
      <c r="R41" s="160"/>
      <c r="S41" s="160"/>
      <c r="T41" s="159"/>
      <c r="U41" s="354">
        <f t="shared" si="4"/>
        <v>70</v>
      </c>
      <c r="V41" s="355" t="str">
        <f>IF(U41&gt;KKM!$G$10,"A",IF(U41&gt;KKM!$H$10,"B",IF(U41&gt;=KKM!$I$10,"C","D")))</f>
        <v>C</v>
      </c>
      <c r="W41" s="356">
        <f t="shared" si="0"/>
        <v>70</v>
      </c>
      <c r="X41" s="361" t="str">
        <f>IF(W41&gt;KKM!$G$10," sangat baik ",IF(W41&gt;KKM!$H$10," baik ",IF(W41&gt;=KKM!$I$10," cukup baik "," perlu bimbingan ")))</f>
        <v xml:space="preserve"> cukup baik </v>
      </c>
      <c r="Y41" s="357">
        <f t="shared" si="1"/>
        <v>70</v>
      </c>
      <c r="Z41" s="361" t="str">
        <f>IF(Y41&gt;KKM!$G$10," sangat baik ",IF(Y41&gt;KKM!$H$10," baik ",IF(Y41&gt;=KKM!$I$10," cukup baik "," perlu bimbingan ")))</f>
        <v xml:space="preserve"> cukup baik </v>
      </c>
      <c r="AA41" s="353" t="str">
        <f t="shared" si="5"/>
        <v>RYU cukup baik  dalam menjelaskan hak, kewajiban, dan tanggung  jawab sebagai warga masyarakat dalam kehidupan sehari-hari</v>
      </c>
      <c r="AB41" s="256"/>
      <c r="AC41" s="257" t="str">
        <f t="shared" si="2"/>
        <v xml:space="preserve"> cukup baik  dalam menjelaskan hak, kewajiban, dan tanggung  jawab sebagai warga masyarakat dalam kehidupan sehari-hari</v>
      </c>
      <c r="AD41" s="257" t="str">
        <f t="shared" si="3"/>
        <v xml:space="preserve"> cukup baik  dalam menjelaskan hak, kewajiban, dan tanggung  jawab sebagai warga masyarakat dalam kehidupan sehari-hari</v>
      </c>
      <c r="AE41" s="257" t="str">
        <f t="shared" si="6"/>
        <v xml:space="preserve"> cukup baik  dalam menjelaskan hak, kewajiban, dan tanggung  jawab sebagai warga masyarakat dalam kehidupan sehari-hari, dan  cukup baik  dalam menjelaskan hak, kewajiban, dan tanggung  jawab sebagai warga masyarakat dalam kehidupan sehari-hari</v>
      </c>
      <c r="AF41" s="257" t="str">
        <f t="shared" si="7"/>
        <v xml:space="preserve"> cukup baik  dalam menjelaskan hak, kewajiban, dan tanggung  jawab sebagai warga masyarakat dalam kehidupan sehari-hari</v>
      </c>
      <c r="AG41" s="258" t="str">
        <f t="shared" si="8"/>
        <v xml:space="preserve"> cukup baik  dalam menjelaskan hak, kewajiban, dan tanggung  jawab sebagai warga masyarakat dalam kehidupan sehari-hari</v>
      </c>
      <c r="AH41" s="252" t="str">
        <f t="shared" si="9"/>
        <v>RYU cukup baik  dalam menjelaskan hak, kewajiban, dan tanggung  jawab sebagai warga masyarakat dalam kehidupan sehari-hari</v>
      </c>
      <c r="AI41" s="153"/>
      <c r="AP41" s="469">
        <f t="shared" si="10"/>
        <v>70</v>
      </c>
    </row>
    <row r="42" spans="2:42" ht="59.25" customHeight="1">
      <c r="B42" s="142">
        <v>38</v>
      </c>
      <c r="C42" s="143" t="str">
        <f>SISWA!B43</f>
        <v>1718250040342</v>
      </c>
      <c r="D42" s="144" t="str">
        <f>SISWA!E43</f>
        <v>SAEPUL</v>
      </c>
      <c r="E42" s="159">
        <v>82.5</v>
      </c>
      <c r="F42" s="160">
        <v>82.5</v>
      </c>
      <c r="G42" s="160">
        <v>82.5</v>
      </c>
      <c r="H42" s="160"/>
      <c r="I42" s="160"/>
      <c r="J42" s="160"/>
      <c r="K42" s="160"/>
      <c r="L42" s="160"/>
      <c r="M42" s="160"/>
      <c r="N42" s="159"/>
      <c r="O42" s="159"/>
      <c r="P42" s="159"/>
      <c r="Q42" s="159"/>
      <c r="R42" s="160"/>
      <c r="S42" s="160"/>
      <c r="T42" s="159"/>
      <c r="U42" s="354">
        <f t="shared" si="4"/>
        <v>83</v>
      </c>
      <c r="V42" s="355" t="str">
        <f>IF(U42&gt;KKM!$G$10,"A",IF(U42&gt;KKM!$H$10,"B",IF(U42&gt;=KKM!$I$10,"C","D")))</f>
        <v>B</v>
      </c>
      <c r="W42" s="356">
        <f t="shared" si="0"/>
        <v>82.5</v>
      </c>
      <c r="X42" s="361" t="str">
        <f>IF(W42&gt;KKM!$G$10," sangat baik ",IF(W42&gt;KKM!$H$10," baik ",IF(W42&gt;=KKM!$I$10," cukup baik "," perlu bimbingan ")))</f>
        <v xml:space="preserve"> baik </v>
      </c>
      <c r="Y42" s="357">
        <f t="shared" si="1"/>
        <v>82.5</v>
      </c>
      <c r="Z42" s="361" t="str">
        <f>IF(Y42&gt;KKM!$G$10," sangat baik ",IF(Y42&gt;KKM!$H$10," baik ",IF(Y42&gt;=KKM!$I$10," cukup baik "," perlu bimbingan ")))</f>
        <v xml:space="preserve"> baik </v>
      </c>
      <c r="AA42" s="353" t="str">
        <f t="shared" si="5"/>
        <v>SAEPUL baik  dalam menjelaskan hak, kewajiban, dan tanggung  jawab sebagai warga masyarakat dalam kehidupan sehari-hari</v>
      </c>
      <c r="AB42" s="256"/>
      <c r="AC42" s="257" t="str">
        <f t="shared" si="2"/>
        <v xml:space="preserve"> baik  dalam menjelaskan hak, kewajiban, dan tanggung  jawab sebagai warga masyarakat dalam kehidupan sehari-hari</v>
      </c>
      <c r="AD42" s="257" t="str">
        <f t="shared" si="3"/>
        <v xml:space="preserve"> baik  dalam menjelaskan hak, kewajiban, dan tanggung  jawab sebagai warga masyarakat dalam kehidupan sehari-hari</v>
      </c>
      <c r="AE42" s="257" t="str">
        <f t="shared" si="6"/>
        <v xml:space="preserve"> baik  dalam menjelaskan hak, kewajiban, dan tanggung  jawab sebagai warga masyarakat dalam kehidupan sehari-hari, dan  baik  dalam menjelaskan hak, kewajiban, dan tanggung  jawab sebagai warga masyarakat dalam kehidupan sehari-hari</v>
      </c>
      <c r="AF42" s="257" t="str">
        <f t="shared" si="7"/>
        <v xml:space="preserve"> baik  dalam menjelaskan hak, kewajiban, dan tanggung  jawab sebagai warga masyarakat dalam kehidupan sehari-hari</v>
      </c>
      <c r="AG42" s="258" t="str">
        <f t="shared" si="8"/>
        <v xml:space="preserve"> baik  dalam menjelaskan hak, kewajiban, dan tanggung  jawab sebagai warga masyarakat dalam kehidupan sehari-hari</v>
      </c>
      <c r="AH42" s="252" t="str">
        <f t="shared" si="9"/>
        <v>SAEPUL baik  dalam menjelaskan hak, kewajiban, dan tanggung  jawab sebagai warga masyarakat dalam kehidupan sehari-hari</v>
      </c>
      <c r="AI42" s="153"/>
      <c r="AP42" s="469">
        <f t="shared" si="10"/>
        <v>83</v>
      </c>
    </row>
    <row r="43" spans="2:42" ht="59.25" customHeight="1">
      <c r="B43" s="142">
        <v>39</v>
      </c>
      <c r="C43" s="143" t="str">
        <f>SISWA!B44</f>
        <v>1718250040343</v>
      </c>
      <c r="D43" s="144" t="str">
        <f>SISWA!E44</f>
        <v>SALMA</v>
      </c>
      <c r="E43" s="159">
        <v>77.5</v>
      </c>
      <c r="F43" s="160">
        <v>77.5</v>
      </c>
      <c r="G43" s="160">
        <v>77.5</v>
      </c>
      <c r="H43" s="160"/>
      <c r="I43" s="160"/>
      <c r="J43" s="160"/>
      <c r="K43" s="160"/>
      <c r="L43" s="160"/>
      <c r="M43" s="160"/>
      <c r="N43" s="159"/>
      <c r="O43" s="159"/>
      <c r="P43" s="159"/>
      <c r="Q43" s="159"/>
      <c r="R43" s="160"/>
      <c r="S43" s="160"/>
      <c r="T43" s="159"/>
      <c r="U43" s="354">
        <f t="shared" si="4"/>
        <v>78</v>
      </c>
      <c r="V43" s="355" t="str">
        <f>IF(U43&gt;KKM!$G$10,"A",IF(U43&gt;KKM!$H$10,"B",IF(U43&gt;=KKM!$I$10,"C","D")))</f>
        <v>B</v>
      </c>
      <c r="W43" s="356">
        <f t="shared" si="0"/>
        <v>77.5</v>
      </c>
      <c r="X43" s="361" t="str">
        <f>IF(W43&gt;KKM!$G$10," sangat baik ",IF(W43&gt;KKM!$H$10," baik ",IF(W43&gt;=KKM!$I$10," cukup baik "," perlu bimbingan ")))</f>
        <v xml:space="preserve"> baik </v>
      </c>
      <c r="Y43" s="357">
        <f t="shared" si="1"/>
        <v>77.5</v>
      </c>
      <c r="Z43" s="361" t="str">
        <f>IF(Y43&gt;KKM!$G$10," sangat baik ",IF(Y43&gt;KKM!$H$10," baik ",IF(Y43&gt;=KKM!$I$10," cukup baik "," perlu bimbingan ")))</f>
        <v xml:space="preserve"> baik </v>
      </c>
      <c r="AA43" s="353" t="str">
        <f t="shared" si="5"/>
        <v>SALMA baik  dalam menjelaskan hak, kewajiban, dan tanggung  jawab sebagai warga masyarakat dalam kehidupan sehari-hari</v>
      </c>
      <c r="AB43" s="256"/>
      <c r="AC43" s="257" t="str">
        <f t="shared" si="2"/>
        <v xml:space="preserve"> baik  dalam menjelaskan hak, kewajiban, dan tanggung  jawab sebagai warga masyarakat dalam kehidupan sehari-hari</v>
      </c>
      <c r="AD43" s="257" t="str">
        <f t="shared" si="3"/>
        <v xml:space="preserve"> baik  dalam menjelaskan hak, kewajiban, dan tanggung  jawab sebagai warga masyarakat dalam kehidupan sehari-hari</v>
      </c>
      <c r="AE43" s="257" t="str">
        <f t="shared" si="6"/>
        <v xml:space="preserve"> baik  dalam menjelaskan hak, kewajiban, dan tanggung  jawab sebagai warga masyarakat dalam kehidupan sehari-hari, dan  baik  dalam menjelaskan hak, kewajiban, dan tanggung  jawab sebagai warga masyarakat dalam kehidupan sehari-hari</v>
      </c>
      <c r="AF43" s="257" t="str">
        <f t="shared" si="7"/>
        <v xml:space="preserve"> baik  dalam menjelaskan hak, kewajiban, dan tanggung  jawab sebagai warga masyarakat dalam kehidupan sehari-hari</v>
      </c>
      <c r="AG43" s="258" t="str">
        <f t="shared" si="8"/>
        <v xml:space="preserve"> baik  dalam menjelaskan hak, kewajiban, dan tanggung  jawab sebagai warga masyarakat dalam kehidupan sehari-hari</v>
      </c>
      <c r="AH43" s="252" t="str">
        <f t="shared" si="9"/>
        <v>SALMA baik  dalam menjelaskan hak, kewajiban, dan tanggung  jawab sebagai warga masyarakat dalam kehidupan sehari-hari</v>
      </c>
      <c r="AI43" s="153"/>
      <c r="AP43" s="469">
        <f t="shared" si="10"/>
        <v>78</v>
      </c>
    </row>
    <row r="44" spans="2:42" ht="59.25" customHeight="1">
      <c r="B44" s="142">
        <v>40</v>
      </c>
      <c r="C44" s="143" t="str">
        <f>SISWA!B45</f>
        <v>1718250040344</v>
      </c>
      <c r="D44" s="144" t="str">
        <f>SISWA!E45</f>
        <v>SYAKILA</v>
      </c>
      <c r="E44" s="159">
        <v>90</v>
      </c>
      <c r="F44" s="160">
        <v>90</v>
      </c>
      <c r="G44" s="160">
        <v>90</v>
      </c>
      <c r="H44" s="160"/>
      <c r="I44" s="160"/>
      <c r="J44" s="160"/>
      <c r="K44" s="160"/>
      <c r="L44" s="160"/>
      <c r="M44" s="160"/>
      <c r="N44" s="159"/>
      <c r="O44" s="159"/>
      <c r="P44" s="159"/>
      <c r="Q44" s="159"/>
      <c r="R44" s="160"/>
      <c r="S44" s="160"/>
      <c r="T44" s="159"/>
      <c r="U44" s="354">
        <f t="shared" si="4"/>
        <v>90</v>
      </c>
      <c r="V44" s="355" t="str">
        <f>IF(U44&gt;KKM!$G$10,"A",IF(U44&gt;KKM!$H$10,"B",IF(U44&gt;=KKM!$I$10,"C","D")))</f>
        <v>A</v>
      </c>
      <c r="W44" s="356">
        <f t="shared" si="0"/>
        <v>90</v>
      </c>
      <c r="X44" s="361" t="str">
        <f>IF(W44&gt;KKM!$G$10," sangat baik ",IF(W44&gt;KKM!$H$10," baik ",IF(W44&gt;=KKM!$I$10," cukup baik "," perlu bimbingan ")))</f>
        <v xml:space="preserve"> sangat baik </v>
      </c>
      <c r="Y44" s="357">
        <f t="shared" si="1"/>
        <v>90</v>
      </c>
      <c r="Z44" s="361" t="str">
        <f>IF(Y44&gt;KKM!$G$10," sangat baik ",IF(Y44&gt;KKM!$H$10," baik ",IF(Y44&gt;=KKM!$I$10," cukup baik "," perlu bimbingan ")))</f>
        <v xml:space="preserve"> sangat baik </v>
      </c>
      <c r="AA44" s="353" t="str">
        <f t="shared" si="5"/>
        <v>SYAKILA sangat baik  dalam menjelaskan hak, kewajiban, dan tanggung  jawab sebagai warga masyarakat dalam kehidupan sehari-hari</v>
      </c>
      <c r="AB44" s="256"/>
      <c r="AC44" s="257" t="str">
        <f t="shared" si="2"/>
        <v xml:space="preserve"> sangat baik  dalam menjelaskan hak, kewajiban, dan tanggung  jawab sebagai warga masyarakat dalam kehidupan sehari-hari</v>
      </c>
      <c r="AD44" s="257" t="str">
        <f t="shared" si="3"/>
        <v xml:space="preserve"> sangat baik  dalam menjelaskan hak, kewajiban, dan tanggung  jawab sebagai warga masyarakat dalam kehidupan sehari-hari</v>
      </c>
      <c r="AE44" s="257" t="str">
        <f t="shared" si="6"/>
        <v xml:space="preserve"> sangat baik  dalam menjelaskan hak, kewajiban, dan tanggung  jawab sebagai warga masyarakat dalam kehidupan sehari-hari, dan  sangat baik  dalam menjelaskan hak, kewajiban, dan tanggung  jawab sebagai warga masyarakat dalam kehidupan sehari-hari</v>
      </c>
      <c r="AF44" s="257" t="str">
        <f t="shared" si="7"/>
        <v xml:space="preserve"> sangat baik  dalam menjelaskan hak, kewajiban, dan tanggung  jawab sebagai warga masyarakat dalam kehidupan sehari-hari</v>
      </c>
      <c r="AG44" s="258" t="str">
        <f t="shared" si="8"/>
        <v xml:space="preserve"> sangat baik  dalam menjelaskan hak, kewajiban, dan tanggung  jawab sebagai warga masyarakat dalam kehidupan sehari-hari</v>
      </c>
      <c r="AH44" s="252" t="str">
        <f t="shared" si="9"/>
        <v>SYAKILA sangat baik  dalam menjelaskan hak, kewajiban, dan tanggung  jawab sebagai warga masyarakat dalam kehidupan sehari-hari</v>
      </c>
      <c r="AI44" s="153"/>
      <c r="AP44" s="469">
        <f t="shared" si="10"/>
        <v>90</v>
      </c>
    </row>
    <row r="45" spans="2:42" ht="59.25" customHeight="1">
      <c r="B45" s="142">
        <v>41</v>
      </c>
      <c r="C45" s="143" t="str">
        <f>SISWA!B46</f>
        <v>1718250040345</v>
      </c>
      <c r="D45" s="144" t="str">
        <f>SISWA!E46</f>
        <v>SYIFA</v>
      </c>
      <c r="E45" s="159">
        <v>72.5</v>
      </c>
      <c r="F45" s="160">
        <v>72.5</v>
      </c>
      <c r="G45" s="160">
        <v>72.5</v>
      </c>
      <c r="H45" s="160"/>
      <c r="I45" s="160"/>
      <c r="J45" s="160"/>
      <c r="K45" s="160"/>
      <c r="L45" s="160"/>
      <c r="M45" s="160"/>
      <c r="N45" s="159"/>
      <c r="O45" s="159"/>
      <c r="P45" s="159"/>
      <c r="Q45" s="159"/>
      <c r="R45" s="160"/>
      <c r="S45" s="160"/>
      <c r="T45" s="159"/>
      <c r="U45" s="354">
        <f t="shared" si="4"/>
        <v>73</v>
      </c>
      <c r="V45" s="355" t="str">
        <f>IF(U45&gt;KKM!$G$10,"A",IF(U45&gt;KKM!$H$10,"B",IF(U45&gt;=KKM!$I$10,"C","D")))</f>
        <v>C</v>
      </c>
      <c r="W45" s="356">
        <f t="shared" si="0"/>
        <v>72.5</v>
      </c>
      <c r="X45" s="361" t="str">
        <f>IF(W45&gt;KKM!$G$10," sangat baik ",IF(W45&gt;KKM!$H$10," baik ",IF(W45&gt;=KKM!$I$10," cukup baik "," perlu bimbingan ")))</f>
        <v xml:space="preserve"> cukup baik </v>
      </c>
      <c r="Y45" s="357">
        <f t="shared" si="1"/>
        <v>72.5</v>
      </c>
      <c r="Z45" s="361" t="str">
        <f>IF(Y45&gt;KKM!$G$10," sangat baik ",IF(Y45&gt;KKM!$H$10," baik ",IF(Y45&gt;=KKM!$I$10," cukup baik "," perlu bimbingan ")))</f>
        <v xml:space="preserve"> cukup baik </v>
      </c>
      <c r="AA45" s="353" t="str">
        <f t="shared" si="5"/>
        <v>SYIFA cukup baik  dalam menjelaskan hak, kewajiban, dan tanggung  jawab sebagai warga masyarakat dalam kehidupan sehari-hari</v>
      </c>
      <c r="AB45" s="256"/>
      <c r="AC45" s="257" t="str">
        <f t="shared" si="2"/>
        <v xml:space="preserve"> cukup baik  dalam menjelaskan hak, kewajiban, dan tanggung  jawab sebagai warga masyarakat dalam kehidupan sehari-hari</v>
      </c>
      <c r="AD45" s="257" t="str">
        <f t="shared" si="3"/>
        <v xml:space="preserve"> cukup baik  dalam menjelaskan hak, kewajiban, dan tanggung  jawab sebagai warga masyarakat dalam kehidupan sehari-hari</v>
      </c>
      <c r="AE45" s="257" t="str">
        <f t="shared" si="6"/>
        <v xml:space="preserve"> cukup baik  dalam menjelaskan hak, kewajiban, dan tanggung  jawab sebagai warga masyarakat dalam kehidupan sehari-hari, dan  cukup baik  dalam menjelaskan hak, kewajiban, dan tanggung  jawab sebagai warga masyarakat dalam kehidupan sehari-hari</v>
      </c>
      <c r="AF45" s="257" t="str">
        <f t="shared" si="7"/>
        <v xml:space="preserve"> cukup baik  dalam menjelaskan hak, kewajiban, dan tanggung  jawab sebagai warga masyarakat dalam kehidupan sehari-hari</v>
      </c>
      <c r="AG45" s="258" t="str">
        <f t="shared" si="8"/>
        <v xml:space="preserve"> cukup baik  dalam menjelaskan hak, kewajiban, dan tanggung  jawab sebagai warga masyarakat dalam kehidupan sehari-hari</v>
      </c>
      <c r="AH45" s="252" t="str">
        <f t="shared" si="9"/>
        <v>SYIFA cukup baik  dalam menjelaskan hak, kewajiban, dan tanggung  jawab sebagai warga masyarakat dalam kehidupan sehari-hari</v>
      </c>
      <c r="AI45" s="153"/>
      <c r="AP45" s="469">
        <f t="shared" si="10"/>
        <v>73</v>
      </c>
    </row>
    <row r="46" spans="2:42" ht="59.25" customHeight="1">
      <c r="B46" s="142">
        <v>42</v>
      </c>
      <c r="C46" s="143" t="str">
        <f>SISWA!B47</f>
        <v>1718250040346</v>
      </c>
      <c r="D46" s="144" t="str">
        <f>SISWA!E47</f>
        <v>WAFDAN</v>
      </c>
      <c r="E46" s="159">
        <v>85</v>
      </c>
      <c r="F46" s="160">
        <v>85</v>
      </c>
      <c r="G46" s="160">
        <v>85</v>
      </c>
      <c r="H46" s="160"/>
      <c r="I46" s="160"/>
      <c r="J46" s="160"/>
      <c r="K46" s="160"/>
      <c r="L46" s="160"/>
      <c r="M46" s="160"/>
      <c r="N46" s="159"/>
      <c r="O46" s="159"/>
      <c r="P46" s="159"/>
      <c r="Q46" s="159"/>
      <c r="R46" s="160"/>
      <c r="S46" s="160"/>
      <c r="T46" s="159"/>
      <c r="U46" s="354">
        <f t="shared" si="4"/>
        <v>85</v>
      </c>
      <c r="V46" s="355" t="str">
        <f>IF(U46&gt;KKM!$G$10,"A",IF(U46&gt;KKM!$H$10,"B",IF(U46&gt;=KKM!$I$10,"C","D")))</f>
        <v>B</v>
      </c>
      <c r="W46" s="356">
        <f t="shared" si="0"/>
        <v>85</v>
      </c>
      <c r="X46" s="361" t="str">
        <f>IF(W46&gt;KKM!$G$10," sangat baik ",IF(W46&gt;KKM!$H$10," baik ",IF(W46&gt;=KKM!$I$10," cukup baik "," perlu bimbingan ")))</f>
        <v xml:space="preserve"> baik </v>
      </c>
      <c r="Y46" s="357">
        <f t="shared" si="1"/>
        <v>85</v>
      </c>
      <c r="Z46" s="361" t="str">
        <f>IF(Y46&gt;KKM!$G$10," sangat baik ",IF(Y46&gt;KKM!$H$10," baik ",IF(Y46&gt;=KKM!$I$10," cukup baik "," perlu bimbingan ")))</f>
        <v xml:space="preserve"> baik </v>
      </c>
      <c r="AA46" s="353" t="str">
        <f t="shared" si="5"/>
        <v>WAFDAN baik  dalam menjelaskan hak, kewajiban, dan tanggung  jawab sebagai warga masyarakat dalam kehidupan sehari-hari</v>
      </c>
      <c r="AB46" s="256"/>
      <c r="AC46" s="257" t="str">
        <f t="shared" si="2"/>
        <v xml:space="preserve"> baik  dalam menjelaskan hak, kewajiban, dan tanggung  jawab sebagai warga masyarakat dalam kehidupan sehari-hari</v>
      </c>
      <c r="AD46" s="257" t="str">
        <f t="shared" si="3"/>
        <v xml:space="preserve"> baik  dalam menjelaskan hak, kewajiban, dan tanggung  jawab sebagai warga masyarakat dalam kehidupan sehari-hari</v>
      </c>
      <c r="AE46" s="257" t="str">
        <f t="shared" si="6"/>
        <v xml:space="preserve"> baik  dalam menjelaskan hak, kewajiban, dan tanggung  jawab sebagai warga masyarakat dalam kehidupan sehari-hari, dan  baik  dalam menjelaskan hak, kewajiban, dan tanggung  jawab sebagai warga masyarakat dalam kehidupan sehari-hari</v>
      </c>
      <c r="AF46" s="257" t="str">
        <f t="shared" si="7"/>
        <v xml:space="preserve"> baik  dalam menjelaskan hak, kewajiban, dan tanggung  jawab sebagai warga masyarakat dalam kehidupan sehari-hari</v>
      </c>
      <c r="AG46" s="258" t="str">
        <f t="shared" si="8"/>
        <v xml:space="preserve"> baik  dalam menjelaskan hak, kewajiban, dan tanggung  jawab sebagai warga masyarakat dalam kehidupan sehari-hari</v>
      </c>
      <c r="AH46" s="252" t="str">
        <f t="shared" si="9"/>
        <v>WAFDAN baik  dalam menjelaskan hak, kewajiban, dan tanggung  jawab sebagai warga masyarakat dalam kehidupan sehari-hari</v>
      </c>
      <c r="AI46" s="153"/>
      <c r="AP46" s="469">
        <f t="shared" si="10"/>
        <v>85</v>
      </c>
    </row>
    <row r="47" spans="2:42" ht="59.25" customHeight="1">
      <c r="B47" s="142">
        <v>43</v>
      </c>
      <c r="C47" s="143" t="str">
        <f>SISWA!B48</f>
        <v>1718250040347</v>
      </c>
      <c r="D47" s="144" t="str">
        <f>SISWA!E48</f>
        <v>ZEVA</v>
      </c>
      <c r="E47" s="159">
        <v>85</v>
      </c>
      <c r="F47" s="160">
        <v>85</v>
      </c>
      <c r="G47" s="160">
        <v>85</v>
      </c>
      <c r="H47" s="160"/>
      <c r="I47" s="160"/>
      <c r="J47" s="160"/>
      <c r="K47" s="160"/>
      <c r="L47" s="160"/>
      <c r="M47" s="160"/>
      <c r="N47" s="159"/>
      <c r="O47" s="159"/>
      <c r="P47" s="159"/>
      <c r="Q47" s="159"/>
      <c r="R47" s="160"/>
      <c r="S47" s="160"/>
      <c r="T47" s="159"/>
      <c r="U47" s="354">
        <f t="shared" si="4"/>
        <v>85</v>
      </c>
      <c r="V47" s="355" t="str">
        <f>IF(U47&gt;KKM!$G$10,"A",IF(U47&gt;KKM!$H$10,"B",IF(U47&gt;=KKM!$I$10,"C","D")))</f>
        <v>B</v>
      </c>
      <c r="W47" s="356">
        <f t="shared" si="0"/>
        <v>85</v>
      </c>
      <c r="X47" s="361" t="str">
        <f>IF(W47&gt;KKM!$G$10," sangat baik ",IF(W47&gt;KKM!$H$10," baik ",IF(W47&gt;=KKM!$I$10," cukup baik "," perlu bimbingan ")))</f>
        <v xml:space="preserve"> baik </v>
      </c>
      <c r="Y47" s="357">
        <f t="shared" si="1"/>
        <v>85</v>
      </c>
      <c r="Z47" s="361" t="str">
        <f>IF(Y47&gt;KKM!$G$10," sangat baik ",IF(Y47&gt;KKM!$H$10," baik ",IF(Y47&gt;=KKM!$I$10," cukup baik "," perlu bimbingan ")))</f>
        <v xml:space="preserve"> baik </v>
      </c>
      <c r="AA47" s="353" t="str">
        <f t="shared" si="5"/>
        <v>ZEVA baik  dalam menjelaskan hak, kewajiban, dan tanggung  jawab sebagai warga masyarakat dalam kehidupan sehari-hari</v>
      </c>
      <c r="AB47" s="256"/>
      <c r="AC47" s="257" t="str">
        <f t="shared" si="2"/>
        <v xml:space="preserve"> baik  dalam menjelaskan hak, kewajiban, dan tanggung  jawab sebagai warga masyarakat dalam kehidupan sehari-hari</v>
      </c>
      <c r="AD47" s="257" t="str">
        <f t="shared" si="3"/>
        <v xml:space="preserve"> baik  dalam menjelaskan hak, kewajiban, dan tanggung  jawab sebagai warga masyarakat dalam kehidupan sehari-hari</v>
      </c>
      <c r="AE47" s="257" t="str">
        <f t="shared" si="6"/>
        <v xml:space="preserve"> baik  dalam menjelaskan hak, kewajiban, dan tanggung  jawab sebagai warga masyarakat dalam kehidupan sehari-hari, dan  baik  dalam menjelaskan hak, kewajiban, dan tanggung  jawab sebagai warga masyarakat dalam kehidupan sehari-hari</v>
      </c>
      <c r="AF47" s="257" t="str">
        <f t="shared" si="7"/>
        <v xml:space="preserve"> baik  dalam menjelaskan hak, kewajiban, dan tanggung  jawab sebagai warga masyarakat dalam kehidupan sehari-hari</v>
      </c>
      <c r="AG47" s="258" t="str">
        <f t="shared" si="8"/>
        <v xml:space="preserve"> baik  dalam menjelaskan hak, kewajiban, dan tanggung  jawab sebagai warga masyarakat dalam kehidupan sehari-hari</v>
      </c>
      <c r="AH47" s="252" t="str">
        <f t="shared" si="9"/>
        <v>ZEVA baik  dalam menjelaskan hak, kewajiban, dan tanggung  jawab sebagai warga masyarakat dalam kehidupan sehari-hari</v>
      </c>
      <c r="AI47" s="153"/>
      <c r="AP47" s="469">
        <f t="shared" si="10"/>
        <v>85</v>
      </c>
    </row>
    <row r="48" spans="2:42" ht="59.25" customHeight="1">
      <c r="B48" s="142">
        <v>44</v>
      </c>
      <c r="C48" s="143">
        <f>SISWA!B49</f>
        <v>0</v>
      </c>
      <c r="D48" s="144">
        <f>SISWA!E49</f>
        <v>0</v>
      </c>
      <c r="E48" s="159"/>
      <c r="F48" s="160"/>
      <c r="G48" s="160"/>
      <c r="H48" s="160"/>
      <c r="I48" s="160"/>
      <c r="J48" s="160"/>
      <c r="K48" s="160"/>
      <c r="L48" s="160"/>
      <c r="M48" s="160"/>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53"/>
      <c r="AP48" s="469" t="str">
        <f t="shared" si="10"/>
        <v/>
      </c>
    </row>
    <row r="49" spans="2:42" ht="59.25" customHeight="1">
      <c r="B49" s="142">
        <v>45</v>
      </c>
      <c r="C49" s="143">
        <f>SISWA!B50</f>
        <v>0</v>
      </c>
      <c r="D49" s="144">
        <f>SISWA!E50</f>
        <v>0</v>
      </c>
      <c r="E49" s="159"/>
      <c r="F49" s="160"/>
      <c r="G49" s="160"/>
      <c r="H49" s="160"/>
      <c r="I49" s="160"/>
      <c r="J49" s="160"/>
      <c r="K49" s="160"/>
      <c r="L49" s="160"/>
      <c r="M49" s="160"/>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53"/>
      <c r="AP49" s="469" t="str">
        <f t="shared" si="10"/>
        <v/>
      </c>
    </row>
    <row r="50" spans="2:42" ht="59.25" customHeight="1">
      <c r="B50" s="142">
        <v>46</v>
      </c>
      <c r="C50" s="143">
        <f>SISWA!B51</f>
        <v>0</v>
      </c>
      <c r="D50" s="144">
        <f>SISWA!E51</f>
        <v>0</v>
      </c>
      <c r="E50" s="159"/>
      <c r="F50" s="160"/>
      <c r="G50" s="160"/>
      <c r="H50" s="160"/>
      <c r="I50" s="160"/>
      <c r="J50" s="160"/>
      <c r="K50" s="160"/>
      <c r="L50" s="160"/>
      <c r="M50" s="160"/>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53"/>
      <c r="AP50" s="469" t="str">
        <f t="shared" si="10"/>
        <v/>
      </c>
    </row>
    <row r="51" spans="2:42" ht="59.25" customHeight="1">
      <c r="B51" s="142">
        <v>47</v>
      </c>
      <c r="C51" s="143">
        <f>SISWA!B52</f>
        <v>0</v>
      </c>
      <c r="D51" s="144">
        <f>SISWA!E52</f>
        <v>0</v>
      </c>
      <c r="E51" s="159"/>
      <c r="F51" s="160"/>
      <c r="G51" s="160"/>
      <c r="H51" s="160"/>
      <c r="I51" s="160"/>
      <c r="J51" s="160"/>
      <c r="K51" s="160"/>
      <c r="L51" s="160"/>
      <c r="M51" s="160"/>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53"/>
      <c r="AP51" s="469" t="str">
        <f t="shared" si="10"/>
        <v/>
      </c>
    </row>
    <row r="52" spans="2:42" ht="59.25" customHeight="1">
      <c r="B52" s="142">
        <v>48</v>
      </c>
      <c r="C52" s="143">
        <f>SISWA!B53</f>
        <v>0</v>
      </c>
      <c r="D52" s="144">
        <f>SISWA!E53</f>
        <v>0</v>
      </c>
      <c r="E52" s="159"/>
      <c r="F52" s="160"/>
      <c r="G52" s="160"/>
      <c r="H52" s="160"/>
      <c r="I52" s="160"/>
      <c r="J52" s="160"/>
      <c r="K52" s="160"/>
      <c r="L52" s="160"/>
      <c r="M52" s="160"/>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53"/>
      <c r="AP52" s="469" t="str">
        <f t="shared" si="10"/>
        <v/>
      </c>
    </row>
    <row r="53" spans="2:42" ht="59.25" customHeight="1">
      <c r="B53" s="142">
        <v>49</v>
      </c>
      <c r="C53" s="143">
        <f>SISWA!B54</f>
        <v>0</v>
      </c>
      <c r="D53" s="144">
        <f>SISWA!E54</f>
        <v>0</v>
      </c>
      <c r="E53" s="159"/>
      <c r="F53" s="160"/>
      <c r="G53" s="160"/>
      <c r="H53" s="160"/>
      <c r="I53" s="160"/>
      <c r="J53" s="160"/>
      <c r="K53" s="160"/>
      <c r="L53" s="160"/>
      <c r="M53" s="160"/>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53"/>
      <c r="AP53" s="469" t="str">
        <f t="shared" si="10"/>
        <v/>
      </c>
    </row>
    <row r="54" spans="2:42" ht="59.25" customHeight="1">
      <c r="B54" s="142">
        <v>50</v>
      </c>
      <c r="C54" s="143">
        <f>SISWA!B55</f>
        <v>0</v>
      </c>
      <c r="D54" s="144">
        <f>SISWA!E55</f>
        <v>0</v>
      </c>
      <c r="E54" s="159"/>
      <c r="F54" s="160"/>
      <c r="G54" s="160"/>
      <c r="H54" s="160"/>
      <c r="I54" s="160"/>
      <c r="J54" s="160"/>
      <c r="K54" s="160"/>
      <c r="L54" s="160"/>
      <c r="M54" s="160"/>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53"/>
      <c r="AP54" s="469" t="str">
        <f t="shared" si="10"/>
        <v/>
      </c>
    </row>
    <row r="55" spans="2:42" ht="15.75">
      <c r="B55" s="154"/>
      <c r="C55" s="154"/>
      <c r="D55" s="154"/>
      <c r="E55" s="145"/>
      <c r="F55" s="146"/>
      <c r="G55" s="146"/>
      <c r="H55" s="146"/>
      <c r="I55" s="146"/>
      <c r="J55" s="146"/>
      <c r="K55" s="146"/>
      <c r="L55" s="146"/>
      <c r="M55" s="146"/>
      <c r="N55" s="145"/>
      <c r="O55" s="145"/>
      <c r="P55" s="145"/>
      <c r="Q55" s="145"/>
      <c r="R55" s="146"/>
      <c r="S55" s="146"/>
      <c r="T55" s="145"/>
      <c r="U55" s="147"/>
      <c r="V55" s="148"/>
      <c r="W55" s="149"/>
      <c r="X55" s="149"/>
      <c r="Y55" s="149"/>
      <c r="Z55" s="149"/>
      <c r="AA55" s="150"/>
      <c r="AB55" s="151"/>
      <c r="AC55" s="152"/>
      <c r="AD55" s="155"/>
      <c r="AE55" s="155"/>
      <c r="AF55" s="155"/>
      <c r="AG55" s="155"/>
      <c r="AH55" s="155"/>
      <c r="AI55" s="153"/>
    </row>
  </sheetData>
  <sheetProtection password="C70C" sheet="1" objects="1" scenarios="1"/>
  <mergeCells count="10">
    <mergeCell ref="V2:V4"/>
    <mergeCell ref="W2:Z2"/>
    <mergeCell ref="AA2:AA4"/>
    <mergeCell ref="W3:X3"/>
    <mergeCell ref="Y3:Z3"/>
    <mergeCell ref="B2:B4"/>
    <mergeCell ref="C2:C4"/>
    <mergeCell ref="D2:D4"/>
    <mergeCell ref="E2:T2"/>
    <mergeCell ref="U2:U4"/>
  </mergeCell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DX55"/>
  <sheetViews>
    <sheetView zoomScale="80" zoomScaleNormal="8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5703125" style="171" customWidth="1"/>
    <col min="2" max="2" width="4.42578125" style="137" customWidth="1"/>
    <col min="3" max="3" width="6.42578125" style="137" customWidth="1"/>
    <col min="4" max="4" width="28.7109375" style="137" customWidth="1"/>
    <col min="5" max="14" width="5" style="137" customWidth="1"/>
    <col min="15" max="19" width="5" style="137" hidden="1" customWidth="1"/>
    <col min="20" max="23" width="5" style="137" customWidth="1"/>
    <col min="24" max="24" width="10.7109375" style="137" customWidth="1"/>
    <col min="25" max="25" width="5" style="137" customWidth="1"/>
    <col min="26" max="26" width="11.7109375" style="137" customWidth="1"/>
    <col min="27" max="27" width="107" style="137" customWidth="1"/>
    <col min="28" max="28" width="36" style="137" customWidth="1"/>
    <col min="29" max="29" width="5" style="137" hidden="1" customWidth="1"/>
    <col min="30" max="30" width="4.7109375" style="137" hidden="1" customWidth="1"/>
    <col min="31" max="31" width="5.140625" style="137" hidden="1" customWidth="1"/>
    <col min="32" max="37" width="5" style="137" hidden="1" customWidth="1"/>
    <col min="38" max="38" width="4.85546875" style="137" hidden="1" customWidth="1"/>
    <col min="39" max="42" width="5" style="137" hidden="1" customWidth="1"/>
    <col min="43" max="44" width="5" style="137" customWidth="1"/>
    <col min="45" max="45" width="5" style="137" hidden="1" customWidth="1"/>
    <col min="46" max="46" width="7.5703125" style="137" hidden="1" customWidth="1"/>
    <col min="47" max="47" width="5" style="137" customWidth="1"/>
    <col min="48" max="55" width="5" style="137" hidden="1" customWidth="1"/>
    <col min="56" max="56" width="84.42578125" style="137" hidden="1" customWidth="1"/>
    <col min="57" max="57" width="29.85546875" style="137" hidden="1" customWidth="1"/>
    <col min="58" max="71" width="10.7109375" style="137" hidden="1" customWidth="1"/>
    <col min="72" max="81" width="9.140625" style="137" hidden="1" customWidth="1"/>
    <col min="82" max="83" width="0" style="137" hidden="1" customWidth="1"/>
    <col min="84" max="91" width="5" style="137" hidden="1" customWidth="1"/>
    <col min="92" max="92" width="84.42578125" style="137" hidden="1" customWidth="1"/>
    <col min="93" max="93" width="29.85546875" style="137" hidden="1" customWidth="1"/>
    <col min="94" max="107" width="10.7109375" style="137" hidden="1" customWidth="1"/>
    <col min="108" max="117" width="9.140625" style="137" hidden="1" customWidth="1"/>
    <col min="118" max="118" width="0" style="137" hidden="1" customWidth="1"/>
    <col min="119" max="127" width="9.140625" style="137" hidden="1" customWidth="1"/>
    <col min="128" max="128" width="0" style="137" hidden="1" customWidth="1"/>
    <col min="129" max="16384" width="9.140625" style="137" hidden="1"/>
  </cols>
  <sheetData>
    <row r="1" spans="1:55" s="512" customFormat="1" ht="45.75" customHeight="1">
      <c r="B1" s="513" t="s">
        <v>61</v>
      </c>
      <c r="C1" s="513"/>
      <c r="D1" s="513"/>
      <c r="E1" s="513"/>
      <c r="F1" s="513"/>
      <c r="G1" s="513"/>
      <c r="H1" s="513"/>
      <c r="I1" s="513"/>
      <c r="J1" s="513"/>
      <c r="K1" s="513"/>
      <c r="L1" s="513"/>
      <c r="M1" s="513"/>
      <c r="N1" s="513"/>
      <c r="O1" s="513"/>
      <c r="P1" s="513"/>
      <c r="Q1" s="513"/>
      <c r="R1" s="513"/>
      <c r="S1" s="513"/>
      <c r="T1" s="513"/>
      <c r="U1" s="513"/>
      <c r="V1" s="513"/>
      <c r="W1" s="513"/>
      <c r="X1" s="513"/>
      <c r="Y1" s="513"/>
      <c r="Z1" s="513"/>
      <c r="AA1" s="513"/>
      <c r="AB1" s="513"/>
      <c r="AC1" s="513"/>
      <c r="AD1" s="513"/>
      <c r="AE1" s="513"/>
      <c r="AF1" s="513"/>
      <c r="AG1" s="513"/>
      <c r="AH1" s="513"/>
      <c r="AI1" s="513"/>
      <c r="AJ1" s="513"/>
      <c r="AK1" s="513"/>
      <c r="AL1" s="513"/>
      <c r="AM1" s="513"/>
      <c r="AN1" s="513"/>
      <c r="AO1" s="513"/>
      <c r="AP1" s="513"/>
      <c r="AQ1" s="513"/>
      <c r="AR1" s="513"/>
      <c r="AS1" s="513"/>
      <c r="AT1" s="513"/>
      <c r="AU1" s="513"/>
      <c r="AV1" s="513"/>
      <c r="AW1" s="513"/>
      <c r="AX1" s="513"/>
      <c r="AY1" s="513"/>
      <c r="AZ1" s="513"/>
      <c r="BA1" s="513"/>
      <c r="BB1" s="513"/>
      <c r="BC1" s="513"/>
    </row>
    <row r="2" spans="1:55"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T2" s="502">
        <f>DEPAN!$E$23</f>
        <v>43</v>
      </c>
    </row>
    <row r="3" spans="1:55" ht="94.5" customHeight="1">
      <c r="B3" s="716"/>
      <c r="C3" s="717"/>
      <c r="D3" s="718"/>
      <c r="E3" s="408" t="str">
        <f>'KI-KD'!$F40</f>
        <v xml:space="preserve">menyajikan ringkasan teks penjelasan (eksplanasi) dari media cetak atau elektronik dengan menggunakan kosakata baku dan kalimat efektif secara lisan, tulis, dan visual.
</v>
      </c>
      <c r="F3" s="408" t="str">
        <f>'KI-KD'!$F41</f>
        <v xml:space="preserve">memaparkan informasi penting dari teks narasi sejarah menggunakan aspek: apa, di mana, kapan, siapa, mengapa, dan bagaimana serta kosakata baku dan kalimat efektif
</v>
      </c>
      <c r="G3" s="408" t="str">
        <f>'KI-KD'!$F42</f>
        <v xml:space="preserve">membuat surat undangan (ulang tahun, kegiatan sekolah, kenaikan kelas, dll.) dengan kalimat efektif dan memperhati kan penggunaan ejaan
</v>
      </c>
      <c r="H3" s="408" t="str">
        <f>'KI-KD'!$F43</f>
        <v>menyajikan kembali peristiwa atau tindakan dengan memperhatikan latar cerita yang terdapat pada teks fiksi</v>
      </c>
      <c r="I3" s="408" t="str">
        <f>'KI-KD'!$F44</f>
        <v>memeragakan kembali informasi yang disampaikan paparan iklan dari media cetak atau elektronik dengan bantuan lisan, tulis, dan visual.</v>
      </c>
      <c r="J3" s="408">
        <f>'KI-KD'!$F45</f>
        <v>0</v>
      </c>
      <c r="K3" s="408">
        <f>'KI-KD'!$F46</f>
        <v>0</v>
      </c>
      <c r="L3" s="408">
        <f>'KI-KD'!$F47</f>
        <v>0</v>
      </c>
      <c r="M3" s="408">
        <f>'KI-KD'!$F48</f>
        <v>0</v>
      </c>
      <c r="N3" s="408">
        <f>'KI-KD'!$F49</f>
        <v>0</v>
      </c>
      <c r="O3" s="408">
        <f>'KI-KD'!$F50</f>
        <v>0</v>
      </c>
      <c r="P3" s="408">
        <f>'KI-KD'!$F51</f>
        <v>0</v>
      </c>
      <c r="Q3" s="138"/>
      <c r="R3" s="138"/>
      <c r="S3" s="138"/>
      <c r="T3" s="138"/>
      <c r="U3" s="720"/>
      <c r="V3" s="721"/>
      <c r="W3" s="712" t="s">
        <v>267</v>
      </c>
      <c r="X3" s="713"/>
      <c r="Y3" s="714" t="s">
        <v>268</v>
      </c>
      <c r="Z3" s="715"/>
      <c r="AA3" s="679"/>
      <c r="AB3" s="2"/>
      <c r="AC3" s="2"/>
      <c r="AD3" s="2"/>
      <c r="AE3" s="2"/>
      <c r="AF3" s="2"/>
      <c r="AG3" s="2"/>
      <c r="AH3" s="253"/>
      <c r="AT3" s="469">
        <f>AT4-AT5</f>
        <v>43</v>
      </c>
    </row>
    <row r="4" spans="1:55" s="141" customFormat="1" ht="25.5" customHeight="1">
      <c r="A4" s="514"/>
      <c r="B4" s="716"/>
      <c r="C4" s="717"/>
      <c r="D4" s="718"/>
      <c r="E4" s="140" t="str">
        <f>'KI-KD'!$E40</f>
        <v>4.3</v>
      </c>
      <c r="F4" s="140" t="str">
        <f>'KI-KD'!$E41</f>
        <v>4.5</v>
      </c>
      <c r="G4" s="140" t="str">
        <f>'KI-KD'!$E42</f>
        <v>4.9</v>
      </c>
      <c r="H4" s="140" t="str">
        <f>'KI-KD'!$E43</f>
        <v>4.8</v>
      </c>
      <c r="I4" s="140" t="str">
        <f>'KI-KD'!$E44</f>
        <v>4.4</v>
      </c>
      <c r="J4" s="140">
        <f>'KI-KD'!$E45</f>
        <v>0</v>
      </c>
      <c r="K4" s="140">
        <f>'KI-KD'!$E46</f>
        <v>0</v>
      </c>
      <c r="L4" s="140">
        <f>'KI-KD'!$E47</f>
        <v>0</v>
      </c>
      <c r="M4" s="140">
        <f>'KI-KD'!$E48</f>
        <v>0</v>
      </c>
      <c r="N4" s="140">
        <f>'KI-KD'!$E49</f>
        <v>0</v>
      </c>
      <c r="O4" s="140">
        <f>'KI-KD'!$E50</f>
        <v>0</v>
      </c>
      <c r="P4" s="140">
        <f>'KI-KD'!$E51</f>
        <v>0</v>
      </c>
      <c r="Q4" s="140"/>
      <c r="R4" s="140"/>
      <c r="S4" s="140"/>
      <c r="T4" s="140"/>
      <c r="U4" s="720"/>
      <c r="V4" s="721"/>
      <c r="W4" s="248" t="s">
        <v>269</v>
      </c>
      <c r="X4" s="249" t="s">
        <v>3</v>
      </c>
      <c r="Y4" s="250" t="s">
        <v>269</v>
      </c>
      <c r="Z4" s="251" t="s">
        <v>3</v>
      </c>
      <c r="AA4" s="680"/>
      <c r="AB4" s="2"/>
      <c r="AC4" s="254" t="s">
        <v>270</v>
      </c>
      <c r="AD4" s="254" t="s">
        <v>271</v>
      </c>
      <c r="AE4" s="254" t="s">
        <v>272</v>
      </c>
      <c r="AF4" s="254" t="s">
        <v>273</v>
      </c>
      <c r="AG4" s="255" t="s">
        <v>266</v>
      </c>
      <c r="AH4" s="252"/>
      <c r="AT4" s="141">
        <v>50</v>
      </c>
    </row>
    <row r="5" spans="1:55" ht="65.25" customHeight="1">
      <c r="B5" s="142">
        <v>1</v>
      </c>
      <c r="C5" s="143" t="str">
        <f>SISWA!B6</f>
        <v>1718250040305</v>
      </c>
      <c r="D5" s="144" t="str">
        <f>SISWA!E6</f>
        <v>YAHYA</v>
      </c>
      <c r="E5" s="159">
        <v>92.75</v>
      </c>
      <c r="F5" s="159">
        <v>92.75</v>
      </c>
      <c r="G5" s="160">
        <v>92.75</v>
      </c>
      <c r="H5" s="159">
        <v>92.75</v>
      </c>
      <c r="I5" s="160">
        <v>92.75</v>
      </c>
      <c r="J5" s="159"/>
      <c r="K5" s="159"/>
      <c r="L5" s="159"/>
      <c r="M5" s="159" t="s">
        <v>766</v>
      </c>
      <c r="N5" s="159"/>
      <c r="O5" s="159"/>
      <c r="P5" s="159"/>
      <c r="Q5" s="159"/>
      <c r="R5" s="160"/>
      <c r="S5" s="160"/>
      <c r="T5" s="159"/>
      <c r="U5" s="354">
        <f>ROUND((AVERAGE(E5:T5)),0)</f>
        <v>93</v>
      </c>
      <c r="V5" s="355" t="str">
        <f>IF(U5&gt;KKM!$G$10,"A",IF(U5&gt;KKM!$H$10,"B",IF(U5&gt;=KKM!$I$10,"C","D")))</f>
        <v>A</v>
      </c>
      <c r="W5" s="356">
        <f t="shared" ref="W5:W54" si="0">MAX(E5:T5)</f>
        <v>92.75</v>
      </c>
      <c r="X5" s="361" t="str">
        <f>IF(W5&gt;KKM!$G$10," sangat baik ",IF(W5&gt;KKM!$H$10," baik ",IF(W5&gt;=KKM!$I$10," cukup baik "," perlu bimbingan ")))</f>
        <v xml:space="preserve"> sangat baik </v>
      </c>
      <c r="Y5" s="357">
        <f t="shared" ref="Y5:Y54" si="1">MIN(E5:T5)</f>
        <v>92.75</v>
      </c>
      <c r="Z5" s="361" t="str">
        <f>IF(Y5&gt;KKM!$G$10," sangat baik ",IF(Y5&gt;KKM!$H$10," baik ",IF(Y5&gt;=KKM!$I$10," cukup baik "," perlu bimbingan ")))</f>
        <v xml:space="preserve"> sangat baik </v>
      </c>
      <c r="AA5" s="353" t="str">
        <f>IFERROR(AH5," ")</f>
        <v xml:space="preserve">YAHYA sangat baik  dalam menyajikan ringkasan teks penjelasan (eksplanasi) dari media cetak atau elektronik dengan menggunakan kosakata baku dan kalimat efektif secara lisan, tulis, dan visual.
</v>
      </c>
      <c r="AB5" s="256"/>
      <c r="AC5" s="257" t="str">
        <f t="shared" ref="AC5:AC54" si="2">X5&amp;" dalam "&amp;INDEX($E$3:$T$3,MATCH(W5,$E5:$T5,0))</f>
        <v xml:space="preserve"> sangat baik  dalam menyajikan ringkasan teks penjelasan (eksplanasi) dari media cetak atau elektronik dengan menggunakan kosakata baku dan kalimat efektif secara lisan, tulis, dan visual.
</v>
      </c>
      <c r="AD5" s="257" t="str">
        <f t="shared" ref="AD5:AD54" si="3">Z5&amp;" dalam "&amp;INDEX($E$3:$T$3,MATCH(Y5,$E5:$T5,0))</f>
        <v xml:space="preserve"> sangat baik  dalam menyajikan ringkasan teks penjelasan (eksplanasi) dari media cetak atau elektronik dengan menggunakan kosakata baku dan kalimat efektif secara lisan, tulis, dan visual.
</v>
      </c>
      <c r="AE5" s="257" t="str">
        <f>AC5&amp;", dan "&amp;AD5</f>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5" s="257" t="str">
        <f>IF(AC5=AD5,AC5," ")</f>
        <v xml:space="preserve"> sangat baik  dalam menyajikan ringkasan teks penjelasan (eksplanasi) dari media cetak atau elektronik dengan menggunakan kosakata baku dan kalimat efektif secara lisan, tulis, dan visual.
</v>
      </c>
      <c r="AG5" s="258" t="str">
        <f>IF(AF5=" ",AE5,AF5)</f>
        <v xml:space="preserve"> sangat baik  dalam menyajikan ringkasan teks penjelasan (eksplanasi) dari media cetak atau elektronik dengan menggunakan kosakata baku dan kalimat efektif secara lisan, tulis, dan visual.
</v>
      </c>
      <c r="AH5" s="252" t="str">
        <f>CONCATENATE(D5,AG5)</f>
        <v xml:space="preserve">YAHYA sangat baik  dalam menyajikan ringkasan teks penjelasan (eksplanasi) dari media cetak atau elektronik dengan menggunakan kosakata baku dan kalimat efektif secara lisan, tulis, dan visual.
</v>
      </c>
      <c r="AI5" s="153"/>
      <c r="AS5" s="469">
        <f>IFERROR(U5,"")</f>
        <v>93</v>
      </c>
      <c r="AT5" s="469">
        <f>COUNTBLANK(AS5:AS54)</f>
        <v>7</v>
      </c>
    </row>
    <row r="6" spans="1:55" ht="65.25" customHeight="1">
      <c r="B6" s="142">
        <v>2</v>
      </c>
      <c r="C6" s="143" t="str">
        <f>SISWA!B7</f>
        <v>1718250040306</v>
      </c>
      <c r="D6" s="144" t="str">
        <f>SISWA!E7</f>
        <v>ADHWA</v>
      </c>
      <c r="E6" s="159">
        <v>88.25</v>
      </c>
      <c r="F6" s="160">
        <v>88.25</v>
      </c>
      <c r="G6" s="160">
        <v>88.25</v>
      </c>
      <c r="H6" s="160">
        <v>88.25</v>
      </c>
      <c r="I6" s="160">
        <v>88.25</v>
      </c>
      <c r="J6" s="159"/>
      <c r="K6" s="159"/>
      <c r="L6" s="159"/>
      <c r="M6" s="159"/>
      <c r="N6" s="159"/>
      <c r="O6" s="159"/>
      <c r="P6" s="159"/>
      <c r="Q6" s="159"/>
      <c r="R6" s="160"/>
      <c r="S6" s="160"/>
      <c r="T6" s="159"/>
      <c r="U6" s="354">
        <f t="shared" ref="U6:U54" si="4">ROUND((AVERAGE(E6:T6)),0)</f>
        <v>88</v>
      </c>
      <c r="V6" s="355" t="str">
        <f>IF(U6&gt;KKM!$G$10,"A",IF(U6&gt;KKM!$H$10,"B",IF(U6&gt;=KKM!$I$10,"C","D")))</f>
        <v>A</v>
      </c>
      <c r="W6" s="356">
        <f t="shared" si="0"/>
        <v>88.25</v>
      </c>
      <c r="X6" s="361" t="str">
        <f>IF(W6&gt;KKM!$G$10," sangat baik ",IF(W6&gt;KKM!$H$10," baik ",IF(W6&gt;=KKM!$I$10," cukup baik "," perlu bimbingan ")))</f>
        <v xml:space="preserve"> sangat baik </v>
      </c>
      <c r="Y6" s="357">
        <f t="shared" si="1"/>
        <v>88.25</v>
      </c>
      <c r="Z6" s="361" t="str">
        <f>IF(Y6&gt;KKM!$G$10," sangat baik ",IF(Y6&gt;KKM!$H$10," baik ",IF(Y6&gt;=KKM!$I$10," cukup baik "," perlu bimbingan ")))</f>
        <v xml:space="preserve"> sangat baik </v>
      </c>
      <c r="AA6" s="353" t="str">
        <f t="shared" ref="AA6:AA54" si="5">IFERROR(AH6," ")</f>
        <v xml:space="preserve">ADHWA sangat baik  dalam menyajikan ringkasan teks penjelasan (eksplanasi) dari media cetak atau elektronik dengan menggunakan kosakata baku dan kalimat efektif secara lisan, tulis, dan visual.
</v>
      </c>
      <c r="AB6" s="256"/>
      <c r="AC6" s="257" t="str">
        <f t="shared" si="2"/>
        <v xml:space="preserve"> sangat baik  dalam menyajikan ringkasan teks penjelasan (eksplanasi) dari media cetak atau elektronik dengan menggunakan kosakata baku dan kalimat efektif secara lisan, tulis, dan visual.
</v>
      </c>
      <c r="AD6" s="257" t="str">
        <f t="shared" si="3"/>
        <v xml:space="preserve"> sangat baik  dalam menyajikan ringkasan teks penjelasan (eksplanasi) dari media cetak atau elektronik dengan menggunakan kosakata baku dan kalimat efektif secara lisan, tulis, dan visual.
</v>
      </c>
      <c r="AE6" s="257" t="str">
        <f t="shared" ref="AE6:AE54" si="6">AC6&amp;", dan "&amp;AD6</f>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6" s="257" t="str">
        <f t="shared" ref="AF6:AF54" si="7">IF(AC6=AD6,AC6," ")</f>
        <v xml:space="preserve"> sangat baik  dalam menyajikan ringkasan teks penjelasan (eksplanasi) dari media cetak atau elektronik dengan menggunakan kosakata baku dan kalimat efektif secara lisan, tulis, dan visual.
</v>
      </c>
      <c r="AG6" s="258" t="str">
        <f t="shared" ref="AG6:AG54" si="8">IF(AF6=" ",AE6,AF6)</f>
        <v xml:space="preserve"> sangat baik  dalam menyajikan ringkasan teks penjelasan (eksplanasi) dari media cetak atau elektronik dengan menggunakan kosakata baku dan kalimat efektif secara lisan, tulis, dan visual.
</v>
      </c>
      <c r="AH6" s="252" t="str">
        <f t="shared" ref="AH6:AH54" si="9">CONCATENATE(D6,AG6)</f>
        <v xml:space="preserve">ADHWA sangat baik  dalam menyajikan ringkasan teks penjelasan (eksplanasi) dari media cetak atau elektronik dengan menggunakan kosakata baku dan kalimat efektif secara lisan, tulis, dan visual.
</v>
      </c>
      <c r="AI6" s="153"/>
      <c r="AS6" s="469">
        <f t="shared" ref="AS6:AS54" si="10">IFERROR(U6,"")</f>
        <v>88</v>
      </c>
      <c r="AT6" s="503">
        <f>IFERROR(AT3/AT2,"0%")</f>
        <v>1</v>
      </c>
    </row>
    <row r="7" spans="1:55" ht="65.25" customHeight="1">
      <c r="B7" s="142">
        <v>3</v>
      </c>
      <c r="C7" s="143" t="str">
        <f>SISWA!B8</f>
        <v xml:space="preserve"> 1718250040307</v>
      </c>
      <c r="D7" s="144" t="str">
        <f>SISWA!E8</f>
        <v>ANDHIKA</v>
      </c>
      <c r="E7" s="159">
        <v>88.5</v>
      </c>
      <c r="F7" s="160">
        <v>88.5</v>
      </c>
      <c r="G7" s="160">
        <v>88.5</v>
      </c>
      <c r="H7" s="160">
        <v>88.5</v>
      </c>
      <c r="I7" s="160">
        <v>88.5</v>
      </c>
      <c r="J7" s="159"/>
      <c r="K7" s="159"/>
      <c r="L7" s="159"/>
      <c r="M7" s="159"/>
      <c r="N7" s="159"/>
      <c r="O7" s="159"/>
      <c r="P7" s="159"/>
      <c r="Q7" s="159"/>
      <c r="R7" s="160"/>
      <c r="S7" s="160"/>
      <c r="T7" s="159"/>
      <c r="U7" s="354">
        <f t="shared" si="4"/>
        <v>89</v>
      </c>
      <c r="V7" s="355" t="str">
        <f>IF(U7&gt;KKM!$G$10,"A",IF(U7&gt;KKM!$H$10,"B",IF(U7&gt;=KKM!$I$10,"C","D")))</f>
        <v>A</v>
      </c>
      <c r="W7" s="356">
        <f t="shared" si="0"/>
        <v>88.5</v>
      </c>
      <c r="X7" s="361" t="str">
        <f>IF(W7&gt;KKM!$G$10," sangat baik ",IF(W7&gt;KKM!$H$10," baik ",IF(W7&gt;=KKM!$I$10," cukup baik "," perlu bimbingan ")))</f>
        <v xml:space="preserve"> sangat baik </v>
      </c>
      <c r="Y7" s="357">
        <f t="shared" si="1"/>
        <v>88.5</v>
      </c>
      <c r="Z7" s="361" t="str">
        <f>IF(Y7&gt;KKM!$G$10," sangat baik ",IF(Y7&gt;KKM!$H$10," baik ",IF(Y7&gt;=KKM!$I$10," cukup baik "," perlu bimbingan ")))</f>
        <v xml:space="preserve"> sangat baik </v>
      </c>
      <c r="AA7" s="353" t="str">
        <f t="shared" si="5"/>
        <v xml:space="preserve">ANDHIKA sangat baik  dalam menyajikan ringkasan teks penjelasan (eksplanasi) dari media cetak atau elektronik dengan menggunakan kosakata baku dan kalimat efektif secara lisan, tulis, dan visual.
</v>
      </c>
      <c r="AB7" s="256"/>
      <c r="AC7" s="257" t="str">
        <f t="shared" si="2"/>
        <v xml:space="preserve"> sangat baik  dalam menyajikan ringkasan teks penjelasan (eksplanasi) dari media cetak atau elektronik dengan menggunakan kosakata baku dan kalimat efektif secara lisan, tulis, dan visual.
</v>
      </c>
      <c r="AD7" s="257" t="str">
        <f t="shared" si="3"/>
        <v xml:space="preserve"> sangat baik  dalam menyajikan ringkasan teks penjelasan (eksplanasi) dari media cetak atau elektronik dengan menggunakan kosakata baku dan kalimat efektif secara lisan, tulis, dan visual.
</v>
      </c>
      <c r="AE7"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7" s="257" t="str">
        <f t="shared" si="7"/>
        <v xml:space="preserve"> sangat baik  dalam menyajikan ringkasan teks penjelasan (eksplanasi) dari media cetak atau elektronik dengan menggunakan kosakata baku dan kalimat efektif secara lisan, tulis, dan visual.
</v>
      </c>
      <c r="AG7" s="258" t="str">
        <f t="shared" si="8"/>
        <v xml:space="preserve"> sangat baik  dalam menyajikan ringkasan teks penjelasan (eksplanasi) dari media cetak atau elektronik dengan menggunakan kosakata baku dan kalimat efektif secara lisan, tulis, dan visual.
</v>
      </c>
      <c r="AH7" s="252" t="str">
        <f t="shared" si="9"/>
        <v xml:space="preserve">ANDHIKA sangat baik  dalam menyajikan ringkasan teks penjelasan (eksplanasi) dari media cetak atau elektronik dengan menggunakan kosakata baku dan kalimat efektif secara lisan, tulis, dan visual.
</v>
      </c>
      <c r="AI7" s="153"/>
      <c r="AS7" s="469">
        <f t="shared" si="10"/>
        <v>89</v>
      </c>
    </row>
    <row r="8" spans="1:55" ht="65.25" customHeight="1">
      <c r="B8" s="142">
        <v>4</v>
      </c>
      <c r="C8" s="143" t="str">
        <f>SISWA!B9</f>
        <v xml:space="preserve"> 1718250040308</v>
      </c>
      <c r="D8" s="144" t="str">
        <f>SISWA!E9</f>
        <v>ANGGARA</v>
      </c>
      <c r="E8" s="159">
        <v>81.75</v>
      </c>
      <c r="F8" s="160">
        <v>81.75</v>
      </c>
      <c r="G8" s="160">
        <v>81.75</v>
      </c>
      <c r="H8" s="160">
        <v>81.75</v>
      </c>
      <c r="I8" s="160">
        <v>81.75</v>
      </c>
      <c r="J8" s="159"/>
      <c r="K8" s="159"/>
      <c r="L8" s="159"/>
      <c r="M8" s="159"/>
      <c r="N8" s="159"/>
      <c r="O8" s="159"/>
      <c r="P8" s="159"/>
      <c r="Q8" s="159"/>
      <c r="R8" s="160"/>
      <c r="S8" s="160"/>
      <c r="T8" s="159"/>
      <c r="U8" s="354">
        <f t="shared" si="4"/>
        <v>82</v>
      </c>
      <c r="V8" s="355" t="str">
        <f>IF(U8&gt;KKM!$G$10,"A",IF(U8&gt;KKM!$H$10,"B",IF(U8&gt;=KKM!$I$10,"C","D")))</f>
        <v>B</v>
      </c>
      <c r="W8" s="356">
        <f t="shared" si="0"/>
        <v>81.75</v>
      </c>
      <c r="X8" s="361" t="str">
        <f>IF(W8&gt;KKM!$G$10," sangat baik ",IF(W8&gt;KKM!$H$10," baik ",IF(W8&gt;=KKM!$I$10," cukup baik "," perlu bimbingan ")))</f>
        <v xml:space="preserve"> baik </v>
      </c>
      <c r="Y8" s="357">
        <f t="shared" si="1"/>
        <v>81.75</v>
      </c>
      <c r="Z8" s="361" t="str">
        <f>IF(Y8&gt;KKM!$G$10," sangat baik ",IF(Y8&gt;KKM!$H$10," baik ",IF(Y8&gt;=KKM!$I$10," cukup baik "," perlu bimbingan ")))</f>
        <v xml:space="preserve"> baik </v>
      </c>
      <c r="AA8" s="353" t="str">
        <f t="shared" si="5"/>
        <v xml:space="preserve">ANGGARA baik  dalam menyajikan ringkasan teks penjelasan (eksplanasi) dari media cetak atau elektronik dengan menggunakan kosakata baku dan kalimat efektif secara lisan, tulis, dan visual.
</v>
      </c>
      <c r="AB8" s="256"/>
      <c r="AC8" s="257" t="str">
        <f t="shared" si="2"/>
        <v xml:space="preserve"> baik  dalam menyajikan ringkasan teks penjelasan (eksplanasi) dari media cetak atau elektronik dengan menggunakan kosakata baku dan kalimat efektif secara lisan, tulis, dan visual.
</v>
      </c>
      <c r="AD8" s="257" t="str">
        <f t="shared" si="3"/>
        <v xml:space="preserve"> baik  dalam menyajikan ringkasan teks penjelasan (eksplanasi) dari media cetak atau elektronik dengan menggunakan kosakata baku dan kalimat efektif secara lisan, tulis, dan visual.
</v>
      </c>
      <c r="AE8"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8" s="257" t="str">
        <f t="shared" si="7"/>
        <v xml:space="preserve"> baik  dalam menyajikan ringkasan teks penjelasan (eksplanasi) dari media cetak atau elektronik dengan menggunakan kosakata baku dan kalimat efektif secara lisan, tulis, dan visual.
</v>
      </c>
      <c r="AG8" s="258" t="str">
        <f t="shared" si="8"/>
        <v xml:space="preserve"> baik  dalam menyajikan ringkasan teks penjelasan (eksplanasi) dari media cetak atau elektronik dengan menggunakan kosakata baku dan kalimat efektif secara lisan, tulis, dan visual.
</v>
      </c>
      <c r="AH8" s="252" t="str">
        <f t="shared" si="9"/>
        <v xml:space="preserve">ANGGARA baik  dalam menyajikan ringkasan teks penjelasan (eksplanasi) dari media cetak atau elektronik dengan menggunakan kosakata baku dan kalimat efektif secara lisan, tulis, dan visual.
</v>
      </c>
      <c r="AI8" s="153"/>
      <c r="AS8" s="469">
        <f t="shared" si="10"/>
        <v>82</v>
      </c>
    </row>
    <row r="9" spans="1:55" ht="65.25" customHeight="1">
      <c r="B9" s="142">
        <v>5</v>
      </c>
      <c r="C9" s="143" t="str">
        <f>SISWA!B10</f>
        <v>1718250040309</v>
      </c>
      <c r="D9" s="144" t="str">
        <f>SISWA!E10</f>
        <v>ARIA</v>
      </c>
      <c r="E9" s="159">
        <v>86</v>
      </c>
      <c r="F9" s="160">
        <v>86</v>
      </c>
      <c r="G9" s="160">
        <v>86</v>
      </c>
      <c r="H9" s="160">
        <v>86</v>
      </c>
      <c r="I9" s="160">
        <v>86</v>
      </c>
      <c r="J9" s="159"/>
      <c r="K9" s="159"/>
      <c r="L9" s="159"/>
      <c r="M9" s="159"/>
      <c r="N9" s="159"/>
      <c r="O9" s="159"/>
      <c r="P9" s="159"/>
      <c r="Q9" s="159"/>
      <c r="R9" s="160"/>
      <c r="S9" s="160"/>
      <c r="T9" s="159"/>
      <c r="U9" s="354">
        <f t="shared" si="4"/>
        <v>86</v>
      </c>
      <c r="V9" s="355" t="str">
        <f>IF(U9&gt;KKM!$G$10,"A",IF(U9&gt;KKM!$H$10,"B",IF(U9&gt;=KKM!$I$10,"C","D")))</f>
        <v>B</v>
      </c>
      <c r="W9" s="356">
        <f t="shared" si="0"/>
        <v>86</v>
      </c>
      <c r="X9" s="361" t="str">
        <f>IF(W9&gt;KKM!$G$10," sangat baik ",IF(W9&gt;KKM!$H$10," baik ",IF(W9&gt;=KKM!$I$10," cukup baik "," perlu bimbingan ")))</f>
        <v xml:space="preserve"> baik </v>
      </c>
      <c r="Y9" s="357">
        <f t="shared" si="1"/>
        <v>86</v>
      </c>
      <c r="Z9" s="361" t="str">
        <f>IF(Y9&gt;KKM!$G$10," sangat baik ",IF(Y9&gt;KKM!$H$10," baik ",IF(Y9&gt;=KKM!$I$10," cukup baik "," perlu bimbingan ")))</f>
        <v xml:space="preserve"> baik </v>
      </c>
      <c r="AA9" s="353" t="str">
        <f t="shared" si="5"/>
        <v xml:space="preserve">ARIA baik  dalam menyajikan ringkasan teks penjelasan (eksplanasi) dari media cetak atau elektronik dengan menggunakan kosakata baku dan kalimat efektif secara lisan, tulis, dan visual.
</v>
      </c>
      <c r="AB9" s="256"/>
      <c r="AC9" s="257" t="str">
        <f t="shared" si="2"/>
        <v xml:space="preserve"> baik  dalam menyajikan ringkasan teks penjelasan (eksplanasi) dari media cetak atau elektronik dengan menggunakan kosakata baku dan kalimat efektif secara lisan, tulis, dan visual.
</v>
      </c>
      <c r="AD9" s="257" t="str">
        <f t="shared" si="3"/>
        <v xml:space="preserve"> baik  dalam menyajikan ringkasan teks penjelasan (eksplanasi) dari media cetak atau elektronik dengan menggunakan kosakata baku dan kalimat efektif secara lisan, tulis, dan visual.
</v>
      </c>
      <c r="AE9"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9" s="257" t="str">
        <f t="shared" si="7"/>
        <v xml:space="preserve"> baik  dalam menyajikan ringkasan teks penjelasan (eksplanasi) dari media cetak atau elektronik dengan menggunakan kosakata baku dan kalimat efektif secara lisan, tulis, dan visual.
</v>
      </c>
      <c r="AG9" s="258" t="str">
        <f t="shared" si="8"/>
        <v xml:space="preserve"> baik  dalam menyajikan ringkasan teks penjelasan (eksplanasi) dari media cetak atau elektronik dengan menggunakan kosakata baku dan kalimat efektif secara lisan, tulis, dan visual.
</v>
      </c>
      <c r="AH9" s="252" t="str">
        <f t="shared" si="9"/>
        <v xml:space="preserve">ARIA baik  dalam menyajikan ringkasan teks penjelasan (eksplanasi) dari media cetak atau elektronik dengan menggunakan kosakata baku dan kalimat efektif secara lisan, tulis, dan visual.
</v>
      </c>
      <c r="AI9" s="153"/>
      <c r="AS9" s="469">
        <f t="shared" si="10"/>
        <v>86</v>
      </c>
    </row>
    <row r="10" spans="1:55" ht="65.25" customHeight="1">
      <c r="B10" s="142">
        <v>6</v>
      </c>
      <c r="C10" s="143" t="str">
        <f>SISWA!B11</f>
        <v>1718250040310</v>
      </c>
      <c r="D10" s="144" t="str">
        <f>SISWA!E11</f>
        <v>CAHAYA</v>
      </c>
      <c r="E10" s="159">
        <v>84.25</v>
      </c>
      <c r="F10" s="160">
        <v>84.25</v>
      </c>
      <c r="G10" s="160">
        <v>84.25</v>
      </c>
      <c r="H10" s="160">
        <v>84.25</v>
      </c>
      <c r="I10" s="160">
        <v>84.25</v>
      </c>
      <c r="J10" s="159"/>
      <c r="K10" s="159"/>
      <c r="L10" s="159"/>
      <c r="M10" s="159"/>
      <c r="N10" s="159"/>
      <c r="O10" s="159"/>
      <c r="P10" s="159"/>
      <c r="Q10" s="159"/>
      <c r="R10" s="160"/>
      <c r="S10" s="160"/>
      <c r="T10" s="159"/>
      <c r="U10" s="354">
        <f t="shared" si="4"/>
        <v>84</v>
      </c>
      <c r="V10" s="355" t="str">
        <f>IF(U10&gt;KKM!$G$10,"A",IF(U10&gt;KKM!$H$10,"B",IF(U10&gt;=KKM!$I$10,"C","D")))</f>
        <v>B</v>
      </c>
      <c r="W10" s="356">
        <f t="shared" si="0"/>
        <v>84.25</v>
      </c>
      <c r="X10" s="361" t="str">
        <f>IF(W10&gt;KKM!$G$10," sangat baik ",IF(W10&gt;KKM!$H$10," baik ",IF(W10&gt;=KKM!$I$10," cukup baik "," perlu bimbingan ")))</f>
        <v xml:space="preserve"> baik </v>
      </c>
      <c r="Y10" s="357">
        <f t="shared" si="1"/>
        <v>84.25</v>
      </c>
      <c r="Z10" s="361" t="str">
        <f>IF(Y10&gt;KKM!$G$10," sangat baik ",IF(Y10&gt;KKM!$H$10," baik ",IF(Y10&gt;=KKM!$I$10," cukup baik "," perlu bimbingan ")))</f>
        <v xml:space="preserve"> baik </v>
      </c>
      <c r="AA10" s="353" t="str">
        <f t="shared" si="5"/>
        <v xml:space="preserve">CAHAYA baik  dalam menyajikan ringkasan teks penjelasan (eksplanasi) dari media cetak atau elektronik dengan menggunakan kosakata baku dan kalimat efektif secara lisan, tulis, dan visual.
</v>
      </c>
      <c r="AB10" s="256"/>
      <c r="AC10" s="257" t="str">
        <f t="shared" si="2"/>
        <v xml:space="preserve"> baik  dalam menyajikan ringkasan teks penjelasan (eksplanasi) dari media cetak atau elektronik dengan menggunakan kosakata baku dan kalimat efektif secara lisan, tulis, dan visual.
</v>
      </c>
      <c r="AD10" s="257" t="str">
        <f t="shared" si="3"/>
        <v xml:space="preserve"> baik  dalam menyajikan ringkasan teks penjelasan (eksplanasi) dari media cetak atau elektronik dengan menggunakan kosakata baku dan kalimat efektif secara lisan, tulis, dan visual.
</v>
      </c>
      <c r="AE10"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10" s="257" t="str">
        <f t="shared" si="7"/>
        <v xml:space="preserve"> baik  dalam menyajikan ringkasan teks penjelasan (eksplanasi) dari media cetak atau elektronik dengan menggunakan kosakata baku dan kalimat efektif secara lisan, tulis, dan visual.
</v>
      </c>
      <c r="AG10" s="258" t="str">
        <f t="shared" si="8"/>
        <v xml:space="preserve"> baik  dalam menyajikan ringkasan teks penjelasan (eksplanasi) dari media cetak atau elektronik dengan menggunakan kosakata baku dan kalimat efektif secara lisan, tulis, dan visual.
</v>
      </c>
      <c r="AH10" s="252" t="str">
        <f t="shared" si="9"/>
        <v xml:space="preserve">CAHAYA baik  dalam menyajikan ringkasan teks penjelasan (eksplanasi) dari media cetak atau elektronik dengan menggunakan kosakata baku dan kalimat efektif secara lisan, tulis, dan visual.
</v>
      </c>
      <c r="AI10" s="153"/>
      <c r="AS10" s="469">
        <f t="shared" si="10"/>
        <v>84</v>
      </c>
    </row>
    <row r="11" spans="1:55" ht="65.25" customHeight="1">
      <c r="B11" s="142">
        <v>7</v>
      </c>
      <c r="C11" s="143" t="str">
        <f>SISWA!B12</f>
        <v>1718250040311</v>
      </c>
      <c r="D11" s="144" t="str">
        <f>SISWA!E12</f>
        <v>CALISTA</v>
      </c>
      <c r="E11" s="159">
        <v>80.25</v>
      </c>
      <c r="F11" s="160">
        <v>80.25</v>
      </c>
      <c r="G11" s="160">
        <v>80.25</v>
      </c>
      <c r="H11" s="160">
        <v>80.25</v>
      </c>
      <c r="I11" s="160">
        <v>80.25</v>
      </c>
      <c r="J11" s="159"/>
      <c r="K11" s="159"/>
      <c r="L11" s="159"/>
      <c r="M11" s="159"/>
      <c r="N11" s="159"/>
      <c r="O11" s="159"/>
      <c r="P11" s="159"/>
      <c r="Q11" s="159"/>
      <c r="R11" s="160"/>
      <c r="S11" s="160"/>
      <c r="T11" s="159"/>
      <c r="U11" s="354">
        <f t="shared" si="4"/>
        <v>80</v>
      </c>
      <c r="V11" s="355" t="str">
        <f>IF(U11&gt;KKM!$G$10,"A",IF(U11&gt;KKM!$H$10,"B",IF(U11&gt;=KKM!$I$10,"C","D")))</f>
        <v>B</v>
      </c>
      <c r="W11" s="356">
        <f t="shared" si="0"/>
        <v>80.25</v>
      </c>
      <c r="X11" s="361" t="str">
        <f>IF(W11&gt;KKM!$G$10," sangat baik ",IF(W11&gt;KKM!$H$10," baik ",IF(W11&gt;=KKM!$I$10," cukup baik "," perlu bimbingan ")))</f>
        <v xml:space="preserve"> baik </v>
      </c>
      <c r="Y11" s="357">
        <f t="shared" si="1"/>
        <v>80.25</v>
      </c>
      <c r="Z11" s="361" t="str">
        <f>IF(Y11&gt;KKM!$G$10," sangat baik ",IF(Y11&gt;KKM!$H$10," baik ",IF(Y11&gt;=KKM!$I$10," cukup baik "," perlu bimbingan ")))</f>
        <v xml:space="preserve"> baik </v>
      </c>
      <c r="AA11" s="353" t="str">
        <f t="shared" si="5"/>
        <v xml:space="preserve">CALISTA baik  dalam menyajikan ringkasan teks penjelasan (eksplanasi) dari media cetak atau elektronik dengan menggunakan kosakata baku dan kalimat efektif secara lisan, tulis, dan visual.
</v>
      </c>
      <c r="AB11" s="256"/>
      <c r="AC11" s="257" t="str">
        <f t="shared" si="2"/>
        <v xml:space="preserve"> baik  dalam menyajikan ringkasan teks penjelasan (eksplanasi) dari media cetak atau elektronik dengan menggunakan kosakata baku dan kalimat efektif secara lisan, tulis, dan visual.
</v>
      </c>
      <c r="AD11" s="257" t="str">
        <f t="shared" si="3"/>
        <v xml:space="preserve"> baik  dalam menyajikan ringkasan teks penjelasan (eksplanasi) dari media cetak atau elektronik dengan menggunakan kosakata baku dan kalimat efektif secara lisan, tulis, dan visual.
</v>
      </c>
      <c r="AE11"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11" s="257" t="str">
        <f t="shared" si="7"/>
        <v xml:space="preserve"> baik  dalam menyajikan ringkasan teks penjelasan (eksplanasi) dari media cetak atau elektronik dengan menggunakan kosakata baku dan kalimat efektif secara lisan, tulis, dan visual.
</v>
      </c>
      <c r="AG11" s="258" t="str">
        <f t="shared" si="8"/>
        <v xml:space="preserve"> baik  dalam menyajikan ringkasan teks penjelasan (eksplanasi) dari media cetak atau elektronik dengan menggunakan kosakata baku dan kalimat efektif secara lisan, tulis, dan visual.
</v>
      </c>
      <c r="AH11" s="252" t="str">
        <f t="shared" si="9"/>
        <v xml:space="preserve">CALISTA baik  dalam menyajikan ringkasan teks penjelasan (eksplanasi) dari media cetak atau elektronik dengan menggunakan kosakata baku dan kalimat efektif secara lisan, tulis, dan visual.
</v>
      </c>
      <c r="AI11" s="153"/>
      <c r="AS11" s="469">
        <f t="shared" si="10"/>
        <v>80</v>
      </c>
    </row>
    <row r="12" spans="1:55" ht="65.25" customHeight="1">
      <c r="B12" s="142">
        <v>8</v>
      </c>
      <c r="C12" s="143" t="str">
        <f>SISWA!B13</f>
        <v>1718250040312</v>
      </c>
      <c r="D12" s="144" t="str">
        <f>SISWA!E13</f>
        <v>CARISSA</v>
      </c>
      <c r="E12" s="159">
        <v>89.5</v>
      </c>
      <c r="F12" s="160">
        <v>89.5</v>
      </c>
      <c r="G12" s="160">
        <v>89.5</v>
      </c>
      <c r="H12" s="160">
        <v>89.5</v>
      </c>
      <c r="I12" s="160">
        <v>89.5</v>
      </c>
      <c r="J12" s="159"/>
      <c r="K12" s="159"/>
      <c r="L12" s="159"/>
      <c r="M12" s="159"/>
      <c r="N12" s="159"/>
      <c r="O12" s="159"/>
      <c r="P12" s="159"/>
      <c r="Q12" s="159"/>
      <c r="R12" s="160"/>
      <c r="S12" s="160"/>
      <c r="T12" s="159"/>
      <c r="U12" s="354">
        <f t="shared" si="4"/>
        <v>90</v>
      </c>
      <c r="V12" s="355" t="str">
        <f>IF(U12&gt;KKM!$G$10,"A",IF(U12&gt;KKM!$H$10,"B",IF(U12&gt;=KKM!$I$10,"C","D")))</f>
        <v>A</v>
      </c>
      <c r="W12" s="356">
        <f t="shared" si="0"/>
        <v>89.5</v>
      </c>
      <c r="X12" s="361" t="str">
        <f>IF(W12&gt;KKM!$G$10," sangat baik ",IF(W12&gt;KKM!$H$10," baik ",IF(W12&gt;=KKM!$I$10," cukup baik "," perlu bimbingan ")))</f>
        <v xml:space="preserve"> sangat baik </v>
      </c>
      <c r="Y12" s="357">
        <f t="shared" si="1"/>
        <v>89.5</v>
      </c>
      <c r="Z12" s="361" t="str">
        <f>IF(Y12&gt;KKM!$G$10," sangat baik ",IF(Y12&gt;KKM!$H$10," baik ",IF(Y12&gt;=KKM!$I$10," cukup baik "," perlu bimbingan ")))</f>
        <v xml:space="preserve"> sangat baik </v>
      </c>
      <c r="AA12" s="353" t="str">
        <f t="shared" si="5"/>
        <v xml:space="preserve">CARISSA sangat baik  dalam menyajikan ringkasan teks penjelasan (eksplanasi) dari media cetak atau elektronik dengan menggunakan kosakata baku dan kalimat efektif secara lisan, tulis, dan visual.
</v>
      </c>
      <c r="AB12" s="256"/>
      <c r="AC12" s="257" t="str">
        <f t="shared" si="2"/>
        <v xml:space="preserve"> sangat baik  dalam menyajikan ringkasan teks penjelasan (eksplanasi) dari media cetak atau elektronik dengan menggunakan kosakata baku dan kalimat efektif secara lisan, tulis, dan visual.
</v>
      </c>
      <c r="AD12" s="257" t="str">
        <f t="shared" si="3"/>
        <v xml:space="preserve"> sangat baik  dalam menyajikan ringkasan teks penjelasan (eksplanasi) dari media cetak atau elektronik dengan menggunakan kosakata baku dan kalimat efektif secara lisan, tulis, dan visual.
</v>
      </c>
      <c r="AE12"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12" s="257" t="str">
        <f t="shared" si="7"/>
        <v xml:space="preserve"> sangat baik  dalam menyajikan ringkasan teks penjelasan (eksplanasi) dari media cetak atau elektronik dengan menggunakan kosakata baku dan kalimat efektif secara lisan, tulis, dan visual.
</v>
      </c>
      <c r="AG12" s="258" t="str">
        <f t="shared" si="8"/>
        <v xml:space="preserve"> sangat baik  dalam menyajikan ringkasan teks penjelasan (eksplanasi) dari media cetak atau elektronik dengan menggunakan kosakata baku dan kalimat efektif secara lisan, tulis, dan visual.
</v>
      </c>
      <c r="AH12" s="252" t="str">
        <f t="shared" si="9"/>
        <v xml:space="preserve">CARISSA sangat baik  dalam menyajikan ringkasan teks penjelasan (eksplanasi) dari media cetak atau elektronik dengan menggunakan kosakata baku dan kalimat efektif secara lisan, tulis, dan visual.
</v>
      </c>
      <c r="AI12" s="153"/>
      <c r="AS12" s="469">
        <f t="shared" si="10"/>
        <v>90</v>
      </c>
    </row>
    <row r="13" spans="1:55" ht="65.25" customHeight="1">
      <c r="B13" s="142">
        <v>9</v>
      </c>
      <c r="C13" s="143" t="str">
        <f>SISWA!B14</f>
        <v>1718250040313</v>
      </c>
      <c r="D13" s="144" t="str">
        <f>SISWA!E14</f>
        <v>CHAIDAR</v>
      </c>
      <c r="E13" s="159">
        <v>84</v>
      </c>
      <c r="F13" s="160">
        <v>84</v>
      </c>
      <c r="G13" s="160">
        <v>84</v>
      </c>
      <c r="H13" s="160">
        <v>84</v>
      </c>
      <c r="I13" s="160">
        <v>84</v>
      </c>
      <c r="J13" s="159"/>
      <c r="K13" s="159"/>
      <c r="L13" s="159"/>
      <c r="M13" s="159"/>
      <c r="N13" s="159"/>
      <c r="O13" s="159"/>
      <c r="P13" s="159"/>
      <c r="Q13" s="159"/>
      <c r="R13" s="160"/>
      <c r="S13" s="160"/>
      <c r="T13" s="159"/>
      <c r="U13" s="354">
        <f t="shared" si="4"/>
        <v>84</v>
      </c>
      <c r="V13" s="355" t="str">
        <f>IF(U13&gt;KKM!$G$10,"A",IF(U13&gt;KKM!$H$10,"B",IF(U13&gt;=KKM!$I$10,"C","D")))</f>
        <v>B</v>
      </c>
      <c r="W13" s="356">
        <f t="shared" si="0"/>
        <v>84</v>
      </c>
      <c r="X13" s="361" t="str">
        <f>IF(W13&gt;KKM!$G$10," sangat baik ",IF(W13&gt;KKM!$H$10," baik ",IF(W13&gt;=KKM!$I$10," cukup baik "," perlu bimbingan ")))</f>
        <v xml:space="preserve"> baik </v>
      </c>
      <c r="Y13" s="357">
        <f t="shared" si="1"/>
        <v>84</v>
      </c>
      <c r="Z13" s="361" t="str">
        <f>IF(Y13&gt;KKM!$G$10," sangat baik ",IF(Y13&gt;KKM!$H$10," baik ",IF(Y13&gt;=KKM!$I$10," cukup baik "," perlu bimbingan ")))</f>
        <v xml:space="preserve"> baik </v>
      </c>
      <c r="AA13" s="353" t="str">
        <f t="shared" si="5"/>
        <v xml:space="preserve">CHAIDAR baik  dalam menyajikan ringkasan teks penjelasan (eksplanasi) dari media cetak atau elektronik dengan menggunakan kosakata baku dan kalimat efektif secara lisan, tulis, dan visual.
</v>
      </c>
      <c r="AB13" s="256"/>
      <c r="AC13" s="257" t="str">
        <f t="shared" si="2"/>
        <v xml:space="preserve"> baik  dalam menyajikan ringkasan teks penjelasan (eksplanasi) dari media cetak atau elektronik dengan menggunakan kosakata baku dan kalimat efektif secara lisan, tulis, dan visual.
</v>
      </c>
      <c r="AD13" s="257" t="str">
        <f t="shared" si="3"/>
        <v xml:space="preserve"> baik  dalam menyajikan ringkasan teks penjelasan (eksplanasi) dari media cetak atau elektronik dengan menggunakan kosakata baku dan kalimat efektif secara lisan, tulis, dan visual.
</v>
      </c>
      <c r="AE13"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13" s="257" t="str">
        <f t="shared" si="7"/>
        <v xml:space="preserve"> baik  dalam menyajikan ringkasan teks penjelasan (eksplanasi) dari media cetak atau elektronik dengan menggunakan kosakata baku dan kalimat efektif secara lisan, tulis, dan visual.
</v>
      </c>
      <c r="AG13" s="258" t="str">
        <f t="shared" si="8"/>
        <v xml:space="preserve"> baik  dalam menyajikan ringkasan teks penjelasan (eksplanasi) dari media cetak atau elektronik dengan menggunakan kosakata baku dan kalimat efektif secara lisan, tulis, dan visual.
</v>
      </c>
      <c r="AH13" s="252" t="str">
        <f t="shared" si="9"/>
        <v xml:space="preserve">CHAIDAR baik  dalam menyajikan ringkasan teks penjelasan (eksplanasi) dari media cetak atau elektronik dengan menggunakan kosakata baku dan kalimat efektif secara lisan, tulis, dan visual.
</v>
      </c>
      <c r="AI13" s="153"/>
      <c r="AS13" s="469">
        <f t="shared" si="10"/>
        <v>84</v>
      </c>
    </row>
    <row r="14" spans="1:55" ht="65.25" customHeight="1">
      <c r="B14" s="142">
        <v>10</v>
      </c>
      <c r="C14" s="143" t="str">
        <f>SISWA!B15</f>
        <v>1718250040314</v>
      </c>
      <c r="D14" s="144" t="str">
        <f>SISWA!E15</f>
        <v>DAVKA</v>
      </c>
      <c r="E14" s="159">
        <v>84.5</v>
      </c>
      <c r="F14" s="160">
        <v>84.5</v>
      </c>
      <c r="G14" s="160">
        <v>84.5</v>
      </c>
      <c r="H14" s="160">
        <v>84.5</v>
      </c>
      <c r="I14" s="160">
        <v>84.5</v>
      </c>
      <c r="J14" s="159"/>
      <c r="K14" s="159"/>
      <c r="L14" s="159"/>
      <c r="M14" s="159"/>
      <c r="N14" s="159"/>
      <c r="O14" s="159"/>
      <c r="P14" s="159"/>
      <c r="Q14" s="159"/>
      <c r="R14" s="160"/>
      <c r="S14" s="160"/>
      <c r="T14" s="159"/>
      <c r="U14" s="354">
        <f t="shared" si="4"/>
        <v>85</v>
      </c>
      <c r="V14" s="355" t="str">
        <f>IF(U14&gt;KKM!$G$10,"A",IF(U14&gt;KKM!$H$10,"B",IF(U14&gt;=KKM!$I$10,"C","D")))</f>
        <v>B</v>
      </c>
      <c r="W14" s="356">
        <f t="shared" si="0"/>
        <v>84.5</v>
      </c>
      <c r="X14" s="361" t="str">
        <f>IF(W14&gt;KKM!$G$10," sangat baik ",IF(W14&gt;KKM!$H$10," baik ",IF(W14&gt;=KKM!$I$10," cukup baik "," perlu bimbingan ")))</f>
        <v xml:space="preserve"> baik </v>
      </c>
      <c r="Y14" s="357">
        <f t="shared" si="1"/>
        <v>84.5</v>
      </c>
      <c r="Z14" s="361" t="str">
        <f>IF(Y14&gt;KKM!$G$10," sangat baik ",IF(Y14&gt;KKM!$H$10," baik ",IF(Y14&gt;=KKM!$I$10," cukup baik "," perlu bimbingan ")))</f>
        <v xml:space="preserve"> baik </v>
      </c>
      <c r="AA14" s="353" t="str">
        <f t="shared" si="5"/>
        <v xml:space="preserve">DAVKA baik  dalam menyajikan ringkasan teks penjelasan (eksplanasi) dari media cetak atau elektronik dengan menggunakan kosakata baku dan kalimat efektif secara lisan, tulis, dan visual.
</v>
      </c>
      <c r="AB14" s="256"/>
      <c r="AC14" s="257" t="str">
        <f t="shared" si="2"/>
        <v xml:space="preserve"> baik  dalam menyajikan ringkasan teks penjelasan (eksplanasi) dari media cetak atau elektronik dengan menggunakan kosakata baku dan kalimat efektif secara lisan, tulis, dan visual.
</v>
      </c>
      <c r="AD14" s="257" t="str">
        <f t="shared" si="3"/>
        <v xml:space="preserve"> baik  dalam menyajikan ringkasan teks penjelasan (eksplanasi) dari media cetak atau elektronik dengan menggunakan kosakata baku dan kalimat efektif secara lisan, tulis, dan visual.
</v>
      </c>
      <c r="AE14"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14" s="257" t="str">
        <f t="shared" si="7"/>
        <v xml:space="preserve"> baik  dalam menyajikan ringkasan teks penjelasan (eksplanasi) dari media cetak atau elektronik dengan menggunakan kosakata baku dan kalimat efektif secara lisan, tulis, dan visual.
</v>
      </c>
      <c r="AG14" s="258" t="str">
        <f t="shared" si="8"/>
        <v xml:space="preserve"> baik  dalam menyajikan ringkasan teks penjelasan (eksplanasi) dari media cetak atau elektronik dengan menggunakan kosakata baku dan kalimat efektif secara lisan, tulis, dan visual.
</v>
      </c>
      <c r="AH14" s="252" t="str">
        <f t="shared" si="9"/>
        <v xml:space="preserve">DAVKA baik  dalam menyajikan ringkasan teks penjelasan (eksplanasi) dari media cetak atau elektronik dengan menggunakan kosakata baku dan kalimat efektif secara lisan, tulis, dan visual.
</v>
      </c>
      <c r="AI14" s="153"/>
      <c r="AS14" s="469">
        <f t="shared" si="10"/>
        <v>85</v>
      </c>
    </row>
    <row r="15" spans="1:55" ht="65.25" customHeight="1">
      <c r="B15" s="142">
        <v>11</v>
      </c>
      <c r="C15" s="143" t="str">
        <f>SISWA!B16</f>
        <v>1718250040315</v>
      </c>
      <c r="D15" s="144" t="str">
        <f>SISWA!E16</f>
        <v>DZIBRIL</v>
      </c>
      <c r="E15" s="159">
        <v>81.25</v>
      </c>
      <c r="F15" s="160">
        <v>81.25</v>
      </c>
      <c r="G15" s="160">
        <v>81.25</v>
      </c>
      <c r="H15" s="160">
        <v>81.25</v>
      </c>
      <c r="I15" s="160">
        <v>81.25</v>
      </c>
      <c r="J15" s="159"/>
      <c r="K15" s="159"/>
      <c r="L15" s="159"/>
      <c r="M15" s="159"/>
      <c r="N15" s="159"/>
      <c r="O15" s="159"/>
      <c r="P15" s="159"/>
      <c r="Q15" s="159"/>
      <c r="R15" s="160"/>
      <c r="S15" s="160"/>
      <c r="T15" s="159"/>
      <c r="U15" s="354">
        <f t="shared" si="4"/>
        <v>81</v>
      </c>
      <c r="V15" s="355" t="str">
        <f>IF(U15&gt;KKM!$G$10,"A",IF(U15&gt;KKM!$H$10,"B",IF(U15&gt;=KKM!$I$10,"C","D")))</f>
        <v>B</v>
      </c>
      <c r="W15" s="356">
        <f t="shared" si="0"/>
        <v>81.25</v>
      </c>
      <c r="X15" s="361" t="str">
        <f>IF(W15&gt;KKM!$G$10," sangat baik ",IF(W15&gt;KKM!$H$10," baik ",IF(W15&gt;=KKM!$I$10," cukup baik "," perlu bimbingan ")))</f>
        <v xml:space="preserve"> baik </v>
      </c>
      <c r="Y15" s="357">
        <f t="shared" si="1"/>
        <v>81.25</v>
      </c>
      <c r="Z15" s="361" t="str">
        <f>IF(Y15&gt;KKM!$G$10," sangat baik ",IF(Y15&gt;KKM!$H$10," baik ",IF(Y15&gt;=KKM!$I$10," cukup baik "," perlu bimbingan ")))</f>
        <v xml:space="preserve"> baik </v>
      </c>
      <c r="AA15" s="353" t="str">
        <f t="shared" si="5"/>
        <v xml:space="preserve">DZIBRIL baik  dalam menyajikan ringkasan teks penjelasan (eksplanasi) dari media cetak atau elektronik dengan menggunakan kosakata baku dan kalimat efektif secara lisan, tulis, dan visual.
</v>
      </c>
      <c r="AB15" s="256"/>
      <c r="AC15" s="257" t="str">
        <f t="shared" si="2"/>
        <v xml:space="preserve"> baik  dalam menyajikan ringkasan teks penjelasan (eksplanasi) dari media cetak atau elektronik dengan menggunakan kosakata baku dan kalimat efektif secara lisan, tulis, dan visual.
</v>
      </c>
      <c r="AD15" s="257" t="str">
        <f t="shared" si="3"/>
        <v xml:space="preserve"> baik  dalam menyajikan ringkasan teks penjelasan (eksplanasi) dari media cetak atau elektronik dengan menggunakan kosakata baku dan kalimat efektif secara lisan, tulis, dan visual.
</v>
      </c>
      <c r="AE15"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15" s="257" t="str">
        <f t="shared" si="7"/>
        <v xml:space="preserve"> baik  dalam menyajikan ringkasan teks penjelasan (eksplanasi) dari media cetak atau elektronik dengan menggunakan kosakata baku dan kalimat efektif secara lisan, tulis, dan visual.
</v>
      </c>
      <c r="AG15" s="258" t="str">
        <f t="shared" si="8"/>
        <v xml:space="preserve"> baik  dalam menyajikan ringkasan teks penjelasan (eksplanasi) dari media cetak atau elektronik dengan menggunakan kosakata baku dan kalimat efektif secara lisan, tulis, dan visual.
</v>
      </c>
      <c r="AH15" s="252" t="str">
        <f t="shared" si="9"/>
        <v xml:space="preserve">DZIBRIL baik  dalam menyajikan ringkasan teks penjelasan (eksplanasi) dari media cetak atau elektronik dengan menggunakan kosakata baku dan kalimat efektif secara lisan, tulis, dan visual.
</v>
      </c>
      <c r="AI15" s="153"/>
      <c r="AS15" s="469">
        <f t="shared" si="10"/>
        <v>81</v>
      </c>
    </row>
    <row r="16" spans="1:55" ht="65.25" customHeight="1">
      <c r="B16" s="142">
        <v>12</v>
      </c>
      <c r="C16" s="143" t="str">
        <f>SISWA!B17</f>
        <v>1718250040316</v>
      </c>
      <c r="D16" s="144" t="str">
        <f>SISWA!E17</f>
        <v>ERICHA</v>
      </c>
      <c r="E16" s="159">
        <v>85.25</v>
      </c>
      <c r="F16" s="160">
        <v>85.25</v>
      </c>
      <c r="G16" s="160">
        <v>85.25</v>
      </c>
      <c r="H16" s="160">
        <v>85.25</v>
      </c>
      <c r="I16" s="160">
        <v>85.25</v>
      </c>
      <c r="J16" s="159"/>
      <c r="K16" s="159"/>
      <c r="L16" s="159"/>
      <c r="M16" s="159"/>
      <c r="N16" s="159"/>
      <c r="O16" s="159"/>
      <c r="P16" s="159"/>
      <c r="Q16" s="159"/>
      <c r="R16" s="160"/>
      <c r="S16" s="160"/>
      <c r="T16" s="159"/>
      <c r="U16" s="354">
        <f t="shared" si="4"/>
        <v>85</v>
      </c>
      <c r="V16" s="355" t="str">
        <f>IF(U16&gt;KKM!$G$10,"A",IF(U16&gt;KKM!$H$10,"B",IF(U16&gt;=KKM!$I$10,"C","D")))</f>
        <v>B</v>
      </c>
      <c r="W16" s="356">
        <f t="shared" si="0"/>
        <v>85.25</v>
      </c>
      <c r="X16" s="361" t="str">
        <f>IF(W16&gt;KKM!$G$10," sangat baik ",IF(W16&gt;KKM!$H$10," baik ",IF(W16&gt;=KKM!$I$10," cukup baik "," perlu bimbingan ")))</f>
        <v xml:space="preserve"> baik </v>
      </c>
      <c r="Y16" s="357">
        <f t="shared" si="1"/>
        <v>85.25</v>
      </c>
      <c r="Z16" s="361" t="str">
        <f>IF(Y16&gt;KKM!$G$10," sangat baik ",IF(Y16&gt;KKM!$H$10," baik ",IF(Y16&gt;=KKM!$I$10," cukup baik "," perlu bimbingan ")))</f>
        <v xml:space="preserve"> baik </v>
      </c>
      <c r="AA16" s="353" t="str">
        <f t="shared" si="5"/>
        <v xml:space="preserve">ERICHA baik  dalam menyajikan ringkasan teks penjelasan (eksplanasi) dari media cetak atau elektronik dengan menggunakan kosakata baku dan kalimat efektif secara lisan, tulis, dan visual.
</v>
      </c>
      <c r="AB16" s="256"/>
      <c r="AC16" s="257" t="str">
        <f t="shared" si="2"/>
        <v xml:space="preserve"> baik  dalam menyajikan ringkasan teks penjelasan (eksplanasi) dari media cetak atau elektronik dengan menggunakan kosakata baku dan kalimat efektif secara lisan, tulis, dan visual.
</v>
      </c>
      <c r="AD16" s="257" t="str">
        <f t="shared" si="3"/>
        <v xml:space="preserve"> baik  dalam menyajikan ringkasan teks penjelasan (eksplanasi) dari media cetak atau elektronik dengan menggunakan kosakata baku dan kalimat efektif secara lisan, tulis, dan visual.
</v>
      </c>
      <c r="AE16"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16" s="257" t="str">
        <f t="shared" si="7"/>
        <v xml:space="preserve"> baik  dalam menyajikan ringkasan teks penjelasan (eksplanasi) dari media cetak atau elektronik dengan menggunakan kosakata baku dan kalimat efektif secara lisan, tulis, dan visual.
</v>
      </c>
      <c r="AG16" s="258" t="str">
        <f t="shared" si="8"/>
        <v xml:space="preserve"> baik  dalam menyajikan ringkasan teks penjelasan (eksplanasi) dari media cetak atau elektronik dengan menggunakan kosakata baku dan kalimat efektif secara lisan, tulis, dan visual.
</v>
      </c>
      <c r="AH16" s="252" t="str">
        <f t="shared" si="9"/>
        <v xml:space="preserve">ERICHA baik  dalam menyajikan ringkasan teks penjelasan (eksplanasi) dari media cetak atau elektronik dengan menggunakan kosakata baku dan kalimat efektif secara lisan, tulis, dan visual.
</v>
      </c>
      <c r="AI16" s="153"/>
      <c r="AS16" s="469">
        <f t="shared" si="10"/>
        <v>85</v>
      </c>
    </row>
    <row r="17" spans="2:45" ht="65.25" customHeight="1">
      <c r="B17" s="142">
        <v>13</v>
      </c>
      <c r="C17" s="143" t="str">
        <f>SISWA!B18</f>
        <v>1718250040317</v>
      </c>
      <c r="D17" s="144" t="str">
        <f>SISWA!E18</f>
        <v>HISYAM</v>
      </c>
      <c r="E17" s="159">
        <v>88</v>
      </c>
      <c r="F17" s="160">
        <v>88</v>
      </c>
      <c r="G17" s="160">
        <v>88</v>
      </c>
      <c r="H17" s="160">
        <v>88</v>
      </c>
      <c r="I17" s="160">
        <v>88</v>
      </c>
      <c r="J17" s="159"/>
      <c r="K17" s="159"/>
      <c r="L17" s="159"/>
      <c r="M17" s="159"/>
      <c r="N17" s="159"/>
      <c r="O17" s="159"/>
      <c r="P17" s="159"/>
      <c r="Q17" s="159"/>
      <c r="R17" s="160"/>
      <c r="S17" s="160"/>
      <c r="T17" s="159"/>
      <c r="U17" s="354">
        <f t="shared" si="4"/>
        <v>88</v>
      </c>
      <c r="V17" s="355" t="str">
        <f>IF(U17&gt;KKM!$G$10,"A",IF(U17&gt;KKM!$H$10,"B",IF(U17&gt;=KKM!$I$10,"C","D")))</f>
        <v>A</v>
      </c>
      <c r="W17" s="356">
        <f t="shared" si="0"/>
        <v>88</v>
      </c>
      <c r="X17" s="361" t="str">
        <f>IF(W17&gt;KKM!$G$10," sangat baik ",IF(W17&gt;KKM!$H$10," baik ",IF(W17&gt;=KKM!$I$10," cukup baik "," perlu bimbingan ")))</f>
        <v xml:space="preserve"> sangat baik </v>
      </c>
      <c r="Y17" s="357">
        <f t="shared" si="1"/>
        <v>88</v>
      </c>
      <c r="Z17" s="361" t="str">
        <f>IF(Y17&gt;KKM!$G$10," sangat baik ",IF(Y17&gt;KKM!$H$10," baik ",IF(Y17&gt;=KKM!$I$10," cukup baik "," perlu bimbingan ")))</f>
        <v xml:space="preserve"> sangat baik </v>
      </c>
      <c r="AA17" s="353" t="str">
        <f t="shared" si="5"/>
        <v xml:space="preserve">HISYAM sangat baik  dalam menyajikan ringkasan teks penjelasan (eksplanasi) dari media cetak atau elektronik dengan menggunakan kosakata baku dan kalimat efektif secara lisan, tulis, dan visual.
</v>
      </c>
      <c r="AB17" s="256"/>
      <c r="AC17" s="257" t="str">
        <f t="shared" si="2"/>
        <v xml:space="preserve"> sangat baik  dalam menyajikan ringkasan teks penjelasan (eksplanasi) dari media cetak atau elektronik dengan menggunakan kosakata baku dan kalimat efektif secara lisan, tulis, dan visual.
</v>
      </c>
      <c r="AD17" s="257" t="str">
        <f t="shared" si="3"/>
        <v xml:space="preserve"> sangat baik  dalam menyajikan ringkasan teks penjelasan (eksplanasi) dari media cetak atau elektronik dengan menggunakan kosakata baku dan kalimat efektif secara lisan, tulis, dan visual.
</v>
      </c>
      <c r="AE17"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17" s="257" t="str">
        <f t="shared" si="7"/>
        <v xml:space="preserve"> sangat baik  dalam menyajikan ringkasan teks penjelasan (eksplanasi) dari media cetak atau elektronik dengan menggunakan kosakata baku dan kalimat efektif secara lisan, tulis, dan visual.
</v>
      </c>
      <c r="AG17" s="258" t="str">
        <f t="shared" si="8"/>
        <v xml:space="preserve"> sangat baik  dalam menyajikan ringkasan teks penjelasan (eksplanasi) dari media cetak atau elektronik dengan menggunakan kosakata baku dan kalimat efektif secara lisan, tulis, dan visual.
</v>
      </c>
      <c r="AH17" s="252" t="str">
        <f t="shared" si="9"/>
        <v xml:space="preserve">HISYAM sangat baik  dalam menyajikan ringkasan teks penjelasan (eksplanasi) dari media cetak atau elektronik dengan menggunakan kosakata baku dan kalimat efektif secara lisan, tulis, dan visual.
</v>
      </c>
      <c r="AI17" s="153"/>
      <c r="AS17" s="469">
        <f t="shared" si="10"/>
        <v>88</v>
      </c>
    </row>
    <row r="18" spans="2:45" ht="65.25" customHeight="1">
      <c r="B18" s="142">
        <v>14</v>
      </c>
      <c r="C18" s="143" t="str">
        <f>SISWA!B19</f>
        <v>1718250040318</v>
      </c>
      <c r="D18" s="144" t="str">
        <f>SISWA!E19</f>
        <v>FAUZI</v>
      </c>
      <c r="E18" s="159">
        <v>92</v>
      </c>
      <c r="F18" s="160">
        <v>92</v>
      </c>
      <c r="G18" s="160">
        <v>92</v>
      </c>
      <c r="H18" s="160">
        <v>92</v>
      </c>
      <c r="I18" s="160">
        <v>92</v>
      </c>
      <c r="J18" s="159"/>
      <c r="K18" s="159"/>
      <c r="L18" s="159"/>
      <c r="M18" s="159"/>
      <c r="N18" s="159"/>
      <c r="O18" s="159"/>
      <c r="P18" s="159"/>
      <c r="Q18" s="159"/>
      <c r="R18" s="160"/>
      <c r="S18" s="160"/>
      <c r="T18" s="159"/>
      <c r="U18" s="354">
        <f t="shared" si="4"/>
        <v>92</v>
      </c>
      <c r="V18" s="355" t="str">
        <f>IF(U18&gt;KKM!$G$10,"A",IF(U18&gt;KKM!$H$10,"B",IF(U18&gt;=KKM!$I$10,"C","D")))</f>
        <v>A</v>
      </c>
      <c r="W18" s="356">
        <f t="shared" si="0"/>
        <v>92</v>
      </c>
      <c r="X18" s="361" t="str">
        <f>IF(W18&gt;KKM!$G$10," sangat baik ",IF(W18&gt;KKM!$H$10," baik ",IF(W18&gt;=KKM!$I$10," cukup baik "," perlu bimbingan ")))</f>
        <v xml:space="preserve"> sangat baik </v>
      </c>
      <c r="Y18" s="357">
        <f t="shared" si="1"/>
        <v>92</v>
      </c>
      <c r="Z18" s="361" t="str">
        <f>IF(Y18&gt;KKM!$G$10," sangat baik ",IF(Y18&gt;KKM!$H$10," baik ",IF(Y18&gt;=KKM!$I$10," cukup baik "," perlu bimbingan ")))</f>
        <v xml:space="preserve"> sangat baik </v>
      </c>
      <c r="AA18" s="353" t="str">
        <f t="shared" si="5"/>
        <v xml:space="preserve">FAUZI sangat baik  dalam menyajikan ringkasan teks penjelasan (eksplanasi) dari media cetak atau elektronik dengan menggunakan kosakata baku dan kalimat efektif secara lisan, tulis, dan visual.
</v>
      </c>
      <c r="AB18" s="256"/>
      <c r="AC18" s="257" t="str">
        <f t="shared" si="2"/>
        <v xml:space="preserve"> sangat baik  dalam menyajikan ringkasan teks penjelasan (eksplanasi) dari media cetak atau elektronik dengan menggunakan kosakata baku dan kalimat efektif secara lisan, tulis, dan visual.
</v>
      </c>
      <c r="AD18" s="257" t="str">
        <f t="shared" si="3"/>
        <v xml:space="preserve"> sangat baik  dalam menyajikan ringkasan teks penjelasan (eksplanasi) dari media cetak atau elektronik dengan menggunakan kosakata baku dan kalimat efektif secara lisan, tulis, dan visual.
</v>
      </c>
      <c r="AE18"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18" s="257" t="str">
        <f t="shared" si="7"/>
        <v xml:space="preserve"> sangat baik  dalam menyajikan ringkasan teks penjelasan (eksplanasi) dari media cetak atau elektronik dengan menggunakan kosakata baku dan kalimat efektif secara lisan, tulis, dan visual.
</v>
      </c>
      <c r="AG18" s="258" t="str">
        <f t="shared" si="8"/>
        <v xml:space="preserve"> sangat baik  dalam menyajikan ringkasan teks penjelasan (eksplanasi) dari media cetak atau elektronik dengan menggunakan kosakata baku dan kalimat efektif secara lisan, tulis, dan visual.
</v>
      </c>
      <c r="AH18" s="252" t="str">
        <f t="shared" si="9"/>
        <v xml:space="preserve">FAUZI sangat baik  dalam menyajikan ringkasan teks penjelasan (eksplanasi) dari media cetak atau elektronik dengan menggunakan kosakata baku dan kalimat efektif secara lisan, tulis, dan visual.
</v>
      </c>
      <c r="AI18" s="153"/>
      <c r="AS18" s="469">
        <f t="shared" si="10"/>
        <v>92</v>
      </c>
    </row>
    <row r="19" spans="2:45" ht="65.25" customHeight="1">
      <c r="B19" s="142">
        <v>15</v>
      </c>
      <c r="C19" s="143" t="str">
        <f>SISWA!B20</f>
        <v>1718250040319</v>
      </c>
      <c r="D19" s="144" t="str">
        <f>SISWA!E20</f>
        <v>FIRLY</v>
      </c>
      <c r="E19" s="159">
        <v>94</v>
      </c>
      <c r="F19" s="160">
        <v>94</v>
      </c>
      <c r="G19" s="160">
        <v>94</v>
      </c>
      <c r="H19" s="160">
        <v>94</v>
      </c>
      <c r="I19" s="160">
        <v>94</v>
      </c>
      <c r="J19" s="159"/>
      <c r="K19" s="159"/>
      <c r="L19" s="159"/>
      <c r="M19" s="159"/>
      <c r="N19" s="159"/>
      <c r="O19" s="159"/>
      <c r="P19" s="159"/>
      <c r="Q19" s="159"/>
      <c r="R19" s="160"/>
      <c r="S19" s="160"/>
      <c r="T19" s="159"/>
      <c r="U19" s="354">
        <f t="shared" si="4"/>
        <v>94</v>
      </c>
      <c r="V19" s="355" t="str">
        <f>IF(U19&gt;KKM!$G$10,"A",IF(U19&gt;KKM!$H$10,"B",IF(U19&gt;=KKM!$I$10,"C","D")))</f>
        <v>A</v>
      </c>
      <c r="W19" s="356">
        <f t="shared" si="0"/>
        <v>94</v>
      </c>
      <c r="X19" s="361" t="str">
        <f>IF(W19&gt;KKM!$G$10," sangat baik ",IF(W19&gt;KKM!$H$10," baik ",IF(W19&gt;=KKM!$I$10," cukup baik "," perlu bimbingan ")))</f>
        <v xml:space="preserve"> sangat baik </v>
      </c>
      <c r="Y19" s="357">
        <f t="shared" si="1"/>
        <v>94</v>
      </c>
      <c r="Z19" s="361" t="str">
        <f>IF(Y19&gt;KKM!$G$10," sangat baik ",IF(Y19&gt;KKM!$H$10," baik ",IF(Y19&gt;=KKM!$I$10," cukup baik "," perlu bimbingan ")))</f>
        <v xml:space="preserve"> sangat baik </v>
      </c>
      <c r="AA19" s="353" t="str">
        <f t="shared" si="5"/>
        <v xml:space="preserve">FIRLY sangat baik  dalam menyajikan ringkasan teks penjelasan (eksplanasi) dari media cetak atau elektronik dengan menggunakan kosakata baku dan kalimat efektif secara lisan, tulis, dan visual.
</v>
      </c>
      <c r="AB19" s="256"/>
      <c r="AC19" s="257" t="str">
        <f t="shared" si="2"/>
        <v xml:space="preserve"> sangat baik  dalam menyajikan ringkasan teks penjelasan (eksplanasi) dari media cetak atau elektronik dengan menggunakan kosakata baku dan kalimat efektif secara lisan, tulis, dan visual.
</v>
      </c>
      <c r="AD19" s="257" t="str">
        <f t="shared" si="3"/>
        <v xml:space="preserve"> sangat baik  dalam menyajikan ringkasan teks penjelasan (eksplanasi) dari media cetak atau elektronik dengan menggunakan kosakata baku dan kalimat efektif secara lisan, tulis, dan visual.
</v>
      </c>
      <c r="AE19"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19" s="257" t="str">
        <f t="shared" si="7"/>
        <v xml:space="preserve"> sangat baik  dalam menyajikan ringkasan teks penjelasan (eksplanasi) dari media cetak atau elektronik dengan menggunakan kosakata baku dan kalimat efektif secara lisan, tulis, dan visual.
</v>
      </c>
      <c r="AG19" s="258" t="str">
        <f t="shared" si="8"/>
        <v xml:space="preserve"> sangat baik  dalam menyajikan ringkasan teks penjelasan (eksplanasi) dari media cetak atau elektronik dengan menggunakan kosakata baku dan kalimat efektif secara lisan, tulis, dan visual.
</v>
      </c>
      <c r="AH19" s="252" t="str">
        <f t="shared" si="9"/>
        <v xml:space="preserve">FIRLY sangat baik  dalam menyajikan ringkasan teks penjelasan (eksplanasi) dari media cetak atau elektronik dengan menggunakan kosakata baku dan kalimat efektif secara lisan, tulis, dan visual.
</v>
      </c>
      <c r="AI19" s="153"/>
      <c r="AS19" s="469">
        <f t="shared" si="10"/>
        <v>94</v>
      </c>
    </row>
    <row r="20" spans="2:45" ht="65.25" customHeight="1">
      <c r="B20" s="142">
        <v>16</v>
      </c>
      <c r="C20" s="143" t="str">
        <f>SISWA!B21</f>
        <v>1718250040320</v>
      </c>
      <c r="D20" s="144" t="str">
        <f>SISWA!E21</f>
        <v>HANA</v>
      </c>
      <c r="E20" s="159">
        <v>81</v>
      </c>
      <c r="F20" s="160">
        <v>81</v>
      </c>
      <c r="G20" s="160">
        <v>81</v>
      </c>
      <c r="H20" s="160">
        <v>81</v>
      </c>
      <c r="I20" s="160">
        <v>81</v>
      </c>
      <c r="J20" s="159"/>
      <c r="K20" s="159"/>
      <c r="L20" s="159"/>
      <c r="M20" s="159"/>
      <c r="N20" s="159"/>
      <c r="O20" s="159"/>
      <c r="P20" s="159"/>
      <c r="Q20" s="159"/>
      <c r="R20" s="160"/>
      <c r="S20" s="160"/>
      <c r="T20" s="159"/>
      <c r="U20" s="354">
        <f t="shared" si="4"/>
        <v>81</v>
      </c>
      <c r="V20" s="355" t="str">
        <f>IF(U20&gt;KKM!$G$10,"A",IF(U20&gt;KKM!$H$10,"B",IF(U20&gt;=KKM!$I$10,"C","D")))</f>
        <v>B</v>
      </c>
      <c r="W20" s="356">
        <f t="shared" si="0"/>
        <v>81</v>
      </c>
      <c r="X20" s="361" t="str">
        <f>IF(W20&gt;KKM!$G$10," sangat baik ",IF(W20&gt;KKM!$H$10," baik ",IF(W20&gt;=KKM!$I$10," cukup baik "," perlu bimbingan ")))</f>
        <v xml:space="preserve"> baik </v>
      </c>
      <c r="Y20" s="357">
        <f t="shared" si="1"/>
        <v>81</v>
      </c>
      <c r="Z20" s="361" t="str">
        <f>IF(Y20&gt;KKM!$G$10," sangat baik ",IF(Y20&gt;KKM!$H$10," baik ",IF(Y20&gt;=KKM!$I$10," cukup baik "," perlu bimbingan ")))</f>
        <v xml:space="preserve"> baik </v>
      </c>
      <c r="AA20" s="353" t="str">
        <f t="shared" si="5"/>
        <v xml:space="preserve">HANA baik  dalam menyajikan ringkasan teks penjelasan (eksplanasi) dari media cetak atau elektronik dengan menggunakan kosakata baku dan kalimat efektif secara lisan, tulis, dan visual.
</v>
      </c>
      <c r="AB20" s="256"/>
      <c r="AC20" s="257" t="str">
        <f t="shared" si="2"/>
        <v xml:space="preserve"> baik  dalam menyajikan ringkasan teks penjelasan (eksplanasi) dari media cetak atau elektronik dengan menggunakan kosakata baku dan kalimat efektif secara lisan, tulis, dan visual.
</v>
      </c>
      <c r="AD20" s="257" t="str">
        <f t="shared" si="3"/>
        <v xml:space="preserve"> baik  dalam menyajikan ringkasan teks penjelasan (eksplanasi) dari media cetak atau elektronik dengan menggunakan kosakata baku dan kalimat efektif secara lisan, tulis, dan visual.
</v>
      </c>
      <c r="AE20"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20" s="257" t="str">
        <f t="shared" si="7"/>
        <v xml:space="preserve"> baik  dalam menyajikan ringkasan teks penjelasan (eksplanasi) dari media cetak atau elektronik dengan menggunakan kosakata baku dan kalimat efektif secara lisan, tulis, dan visual.
</v>
      </c>
      <c r="AG20" s="258" t="str">
        <f t="shared" si="8"/>
        <v xml:space="preserve"> baik  dalam menyajikan ringkasan teks penjelasan (eksplanasi) dari media cetak atau elektronik dengan menggunakan kosakata baku dan kalimat efektif secara lisan, tulis, dan visual.
</v>
      </c>
      <c r="AH20" s="252" t="str">
        <f t="shared" si="9"/>
        <v xml:space="preserve">HANA baik  dalam menyajikan ringkasan teks penjelasan (eksplanasi) dari media cetak atau elektronik dengan menggunakan kosakata baku dan kalimat efektif secara lisan, tulis, dan visual.
</v>
      </c>
      <c r="AI20" s="153"/>
      <c r="AS20" s="469">
        <f t="shared" si="10"/>
        <v>81</v>
      </c>
    </row>
    <row r="21" spans="2:45" ht="65.25" customHeight="1">
      <c r="B21" s="142">
        <v>17</v>
      </c>
      <c r="C21" s="143" t="str">
        <f>SISWA!B22</f>
        <v>1718250040321</v>
      </c>
      <c r="D21" s="144" t="str">
        <f>SISWA!E22</f>
        <v>MALLA</v>
      </c>
      <c r="E21" s="159">
        <v>90.25</v>
      </c>
      <c r="F21" s="160">
        <v>90.25</v>
      </c>
      <c r="G21" s="160">
        <v>90.25</v>
      </c>
      <c r="H21" s="160">
        <v>90.25</v>
      </c>
      <c r="I21" s="160">
        <v>90.25</v>
      </c>
      <c r="J21" s="159"/>
      <c r="K21" s="159"/>
      <c r="L21" s="159"/>
      <c r="M21" s="159"/>
      <c r="N21" s="159"/>
      <c r="O21" s="159"/>
      <c r="P21" s="159"/>
      <c r="Q21" s="159"/>
      <c r="R21" s="160"/>
      <c r="S21" s="160"/>
      <c r="T21" s="159"/>
      <c r="U21" s="354">
        <f t="shared" si="4"/>
        <v>90</v>
      </c>
      <c r="V21" s="355" t="str">
        <f>IF(U21&gt;KKM!$G$10,"A",IF(U21&gt;KKM!$H$10,"B",IF(U21&gt;=KKM!$I$10,"C","D")))</f>
        <v>A</v>
      </c>
      <c r="W21" s="356">
        <f t="shared" si="0"/>
        <v>90.25</v>
      </c>
      <c r="X21" s="361" t="str">
        <f>IF(W21&gt;KKM!$G$10," sangat baik ",IF(W21&gt;KKM!$H$10," baik ",IF(W21&gt;=KKM!$I$10," cukup baik "," perlu bimbingan ")))</f>
        <v xml:space="preserve"> sangat baik </v>
      </c>
      <c r="Y21" s="357">
        <f t="shared" si="1"/>
        <v>90.25</v>
      </c>
      <c r="Z21" s="361" t="str">
        <f>IF(Y21&gt;KKM!$G$10," sangat baik ",IF(Y21&gt;KKM!$H$10," baik ",IF(Y21&gt;=KKM!$I$10," cukup baik "," perlu bimbingan ")))</f>
        <v xml:space="preserve"> sangat baik </v>
      </c>
      <c r="AA21" s="353" t="str">
        <f t="shared" si="5"/>
        <v xml:space="preserve">MALLA sangat baik  dalam menyajikan ringkasan teks penjelasan (eksplanasi) dari media cetak atau elektronik dengan menggunakan kosakata baku dan kalimat efektif secara lisan, tulis, dan visual.
</v>
      </c>
      <c r="AB21" s="256"/>
      <c r="AC21" s="257" t="str">
        <f t="shared" si="2"/>
        <v xml:space="preserve"> sangat baik  dalam menyajikan ringkasan teks penjelasan (eksplanasi) dari media cetak atau elektronik dengan menggunakan kosakata baku dan kalimat efektif secara lisan, tulis, dan visual.
</v>
      </c>
      <c r="AD21" s="257" t="str">
        <f t="shared" si="3"/>
        <v xml:space="preserve"> sangat baik  dalam menyajikan ringkasan teks penjelasan (eksplanasi) dari media cetak atau elektronik dengan menggunakan kosakata baku dan kalimat efektif secara lisan, tulis, dan visual.
</v>
      </c>
      <c r="AE21"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21" s="257" t="str">
        <f t="shared" si="7"/>
        <v xml:space="preserve"> sangat baik  dalam menyajikan ringkasan teks penjelasan (eksplanasi) dari media cetak atau elektronik dengan menggunakan kosakata baku dan kalimat efektif secara lisan, tulis, dan visual.
</v>
      </c>
      <c r="AG21" s="258" t="str">
        <f t="shared" si="8"/>
        <v xml:space="preserve"> sangat baik  dalam menyajikan ringkasan teks penjelasan (eksplanasi) dari media cetak atau elektronik dengan menggunakan kosakata baku dan kalimat efektif secara lisan, tulis, dan visual.
</v>
      </c>
      <c r="AH21" s="252" t="str">
        <f t="shared" si="9"/>
        <v xml:space="preserve">MALLA sangat baik  dalam menyajikan ringkasan teks penjelasan (eksplanasi) dari media cetak atau elektronik dengan menggunakan kosakata baku dan kalimat efektif secara lisan, tulis, dan visual.
</v>
      </c>
      <c r="AI21" s="153"/>
      <c r="AS21" s="469">
        <f t="shared" si="10"/>
        <v>90</v>
      </c>
    </row>
    <row r="22" spans="2:45" ht="65.25" customHeight="1">
      <c r="B22" s="142">
        <v>18</v>
      </c>
      <c r="C22" s="143" t="str">
        <f>SISWA!B23</f>
        <v>1718250040322</v>
      </c>
      <c r="D22" s="144" t="str">
        <f>SISWA!E23</f>
        <v>INTAN</v>
      </c>
      <c r="E22" s="159">
        <v>90.75</v>
      </c>
      <c r="F22" s="160">
        <v>90.75</v>
      </c>
      <c r="G22" s="160">
        <v>90.75</v>
      </c>
      <c r="H22" s="160">
        <v>90.75</v>
      </c>
      <c r="I22" s="160">
        <v>90.75</v>
      </c>
      <c r="J22" s="159"/>
      <c r="K22" s="159"/>
      <c r="L22" s="159"/>
      <c r="M22" s="159"/>
      <c r="N22" s="159"/>
      <c r="O22" s="159"/>
      <c r="P22" s="159"/>
      <c r="Q22" s="159"/>
      <c r="R22" s="160"/>
      <c r="S22" s="160"/>
      <c r="T22" s="159"/>
      <c r="U22" s="354">
        <f t="shared" si="4"/>
        <v>91</v>
      </c>
      <c r="V22" s="355" t="str">
        <f>IF(U22&gt;KKM!$G$10,"A",IF(U22&gt;KKM!$H$10,"B",IF(U22&gt;=KKM!$I$10,"C","D")))</f>
        <v>A</v>
      </c>
      <c r="W22" s="356">
        <f t="shared" si="0"/>
        <v>90.75</v>
      </c>
      <c r="X22" s="361" t="str">
        <f>IF(W22&gt;KKM!$G$10," sangat baik ",IF(W22&gt;KKM!$H$10," baik ",IF(W22&gt;=KKM!$I$10," cukup baik "," perlu bimbingan ")))</f>
        <v xml:space="preserve"> sangat baik </v>
      </c>
      <c r="Y22" s="357">
        <f t="shared" si="1"/>
        <v>90.75</v>
      </c>
      <c r="Z22" s="361" t="str">
        <f>IF(Y22&gt;KKM!$G$10," sangat baik ",IF(Y22&gt;KKM!$H$10," baik ",IF(Y22&gt;=KKM!$I$10," cukup baik "," perlu bimbingan ")))</f>
        <v xml:space="preserve"> sangat baik </v>
      </c>
      <c r="AA22" s="353" t="str">
        <f t="shared" si="5"/>
        <v xml:space="preserve">INTAN sangat baik  dalam menyajikan ringkasan teks penjelasan (eksplanasi) dari media cetak atau elektronik dengan menggunakan kosakata baku dan kalimat efektif secara lisan, tulis, dan visual.
</v>
      </c>
      <c r="AB22" s="256"/>
      <c r="AC22" s="257" t="str">
        <f t="shared" si="2"/>
        <v xml:space="preserve"> sangat baik  dalam menyajikan ringkasan teks penjelasan (eksplanasi) dari media cetak atau elektronik dengan menggunakan kosakata baku dan kalimat efektif secara lisan, tulis, dan visual.
</v>
      </c>
      <c r="AD22" s="257" t="str">
        <f t="shared" si="3"/>
        <v xml:space="preserve"> sangat baik  dalam menyajikan ringkasan teks penjelasan (eksplanasi) dari media cetak atau elektronik dengan menggunakan kosakata baku dan kalimat efektif secara lisan, tulis, dan visual.
</v>
      </c>
      <c r="AE22"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22" s="257" t="str">
        <f t="shared" si="7"/>
        <v xml:space="preserve"> sangat baik  dalam menyajikan ringkasan teks penjelasan (eksplanasi) dari media cetak atau elektronik dengan menggunakan kosakata baku dan kalimat efektif secara lisan, tulis, dan visual.
</v>
      </c>
      <c r="AG22" s="258" t="str">
        <f t="shared" si="8"/>
        <v xml:space="preserve"> sangat baik  dalam menyajikan ringkasan teks penjelasan (eksplanasi) dari media cetak atau elektronik dengan menggunakan kosakata baku dan kalimat efektif secara lisan, tulis, dan visual.
</v>
      </c>
      <c r="AH22" s="252" t="str">
        <f t="shared" si="9"/>
        <v xml:space="preserve">INTAN sangat baik  dalam menyajikan ringkasan teks penjelasan (eksplanasi) dari media cetak atau elektronik dengan menggunakan kosakata baku dan kalimat efektif secara lisan, tulis, dan visual.
</v>
      </c>
      <c r="AI22" s="153"/>
      <c r="AS22" s="469">
        <f t="shared" si="10"/>
        <v>91</v>
      </c>
    </row>
    <row r="23" spans="2:45" ht="65.25" customHeight="1">
      <c r="B23" s="142">
        <v>19</v>
      </c>
      <c r="C23" s="143" t="str">
        <f>SISWA!B24</f>
        <v>1718250040323</v>
      </c>
      <c r="D23" s="144" t="str">
        <f>SISWA!E24</f>
        <v>JORDY</v>
      </c>
      <c r="E23" s="159">
        <v>92.75</v>
      </c>
      <c r="F23" s="160">
        <v>92.75</v>
      </c>
      <c r="G23" s="160">
        <v>92.75</v>
      </c>
      <c r="H23" s="160">
        <v>92.75</v>
      </c>
      <c r="I23" s="160">
        <v>92.75</v>
      </c>
      <c r="J23" s="159"/>
      <c r="K23" s="159"/>
      <c r="L23" s="159"/>
      <c r="M23" s="159"/>
      <c r="N23" s="159"/>
      <c r="O23" s="159"/>
      <c r="P23" s="159"/>
      <c r="Q23" s="159"/>
      <c r="R23" s="160"/>
      <c r="S23" s="160"/>
      <c r="T23" s="159"/>
      <c r="U23" s="354">
        <f t="shared" si="4"/>
        <v>93</v>
      </c>
      <c r="V23" s="355" t="str">
        <f>IF(U23&gt;KKM!$G$10,"A",IF(U23&gt;KKM!$H$10,"B",IF(U23&gt;=KKM!$I$10,"C","D")))</f>
        <v>A</v>
      </c>
      <c r="W23" s="356">
        <f t="shared" si="0"/>
        <v>92.75</v>
      </c>
      <c r="X23" s="361" t="str">
        <f>IF(W23&gt;KKM!$G$10," sangat baik ",IF(W23&gt;KKM!$H$10," baik ",IF(W23&gt;=KKM!$I$10," cukup baik "," perlu bimbingan ")))</f>
        <v xml:space="preserve"> sangat baik </v>
      </c>
      <c r="Y23" s="357">
        <f t="shared" si="1"/>
        <v>92.75</v>
      </c>
      <c r="Z23" s="361" t="str">
        <f>IF(Y23&gt;KKM!$G$10," sangat baik ",IF(Y23&gt;KKM!$H$10," baik ",IF(Y23&gt;=KKM!$I$10," cukup baik "," perlu bimbingan ")))</f>
        <v xml:space="preserve"> sangat baik </v>
      </c>
      <c r="AA23" s="353" t="str">
        <f t="shared" si="5"/>
        <v xml:space="preserve">JORDY sangat baik  dalam menyajikan ringkasan teks penjelasan (eksplanasi) dari media cetak atau elektronik dengan menggunakan kosakata baku dan kalimat efektif secara lisan, tulis, dan visual.
</v>
      </c>
      <c r="AB23" s="256"/>
      <c r="AC23" s="257" t="str">
        <f t="shared" si="2"/>
        <v xml:space="preserve"> sangat baik  dalam menyajikan ringkasan teks penjelasan (eksplanasi) dari media cetak atau elektronik dengan menggunakan kosakata baku dan kalimat efektif secara lisan, tulis, dan visual.
</v>
      </c>
      <c r="AD23" s="257" t="str">
        <f t="shared" si="3"/>
        <v xml:space="preserve"> sangat baik  dalam menyajikan ringkasan teks penjelasan (eksplanasi) dari media cetak atau elektronik dengan menggunakan kosakata baku dan kalimat efektif secara lisan, tulis, dan visual.
</v>
      </c>
      <c r="AE23"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23" s="257" t="str">
        <f t="shared" si="7"/>
        <v xml:space="preserve"> sangat baik  dalam menyajikan ringkasan teks penjelasan (eksplanasi) dari media cetak atau elektronik dengan menggunakan kosakata baku dan kalimat efektif secara lisan, tulis, dan visual.
</v>
      </c>
      <c r="AG23" s="258" t="str">
        <f t="shared" si="8"/>
        <v xml:space="preserve"> sangat baik  dalam menyajikan ringkasan teks penjelasan (eksplanasi) dari media cetak atau elektronik dengan menggunakan kosakata baku dan kalimat efektif secara lisan, tulis, dan visual.
</v>
      </c>
      <c r="AH23" s="252" t="str">
        <f t="shared" si="9"/>
        <v xml:space="preserve">JORDY sangat baik  dalam menyajikan ringkasan teks penjelasan (eksplanasi) dari media cetak atau elektronik dengan menggunakan kosakata baku dan kalimat efektif secara lisan, tulis, dan visual.
</v>
      </c>
      <c r="AI23" s="153"/>
      <c r="AS23" s="469">
        <f t="shared" si="10"/>
        <v>93</v>
      </c>
    </row>
    <row r="24" spans="2:45" ht="65.25" customHeight="1">
      <c r="B24" s="142">
        <v>20</v>
      </c>
      <c r="C24" s="143" t="str">
        <f>SISWA!B25</f>
        <v>1718250040324</v>
      </c>
      <c r="D24" s="144" t="str">
        <f>SISWA!E25</f>
        <v>KURNIA</v>
      </c>
      <c r="E24" s="159">
        <v>86</v>
      </c>
      <c r="F24" s="160">
        <v>86</v>
      </c>
      <c r="G24" s="160">
        <v>86</v>
      </c>
      <c r="H24" s="160">
        <v>86</v>
      </c>
      <c r="I24" s="160">
        <v>86</v>
      </c>
      <c r="J24" s="159"/>
      <c r="K24" s="159"/>
      <c r="L24" s="159"/>
      <c r="M24" s="159"/>
      <c r="N24" s="159"/>
      <c r="O24" s="159"/>
      <c r="P24" s="159"/>
      <c r="Q24" s="159"/>
      <c r="R24" s="160"/>
      <c r="S24" s="160"/>
      <c r="T24" s="159"/>
      <c r="U24" s="354">
        <f t="shared" si="4"/>
        <v>86</v>
      </c>
      <c r="V24" s="355" t="str">
        <f>IF(U24&gt;KKM!$G$10,"A",IF(U24&gt;KKM!$H$10,"B",IF(U24&gt;=KKM!$I$10,"C","D")))</f>
        <v>B</v>
      </c>
      <c r="W24" s="356">
        <f t="shared" si="0"/>
        <v>86</v>
      </c>
      <c r="X24" s="361" t="str">
        <f>IF(W24&gt;KKM!$G$10," sangat baik ",IF(W24&gt;KKM!$H$10," baik ",IF(W24&gt;=KKM!$I$10," cukup baik "," perlu bimbingan ")))</f>
        <v xml:space="preserve"> baik </v>
      </c>
      <c r="Y24" s="357">
        <f t="shared" si="1"/>
        <v>86</v>
      </c>
      <c r="Z24" s="361" t="str">
        <f>IF(Y24&gt;KKM!$G$10," sangat baik ",IF(Y24&gt;KKM!$H$10," baik ",IF(Y24&gt;=KKM!$I$10," cukup baik "," perlu bimbingan ")))</f>
        <v xml:space="preserve"> baik </v>
      </c>
      <c r="AA24" s="353" t="str">
        <f t="shared" si="5"/>
        <v xml:space="preserve">KURNIA baik  dalam menyajikan ringkasan teks penjelasan (eksplanasi) dari media cetak atau elektronik dengan menggunakan kosakata baku dan kalimat efektif secara lisan, tulis, dan visual.
</v>
      </c>
      <c r="AB24" s="256"/>
      <c r="AC24" s="257" t="str">
        <f t="shared" si="2"/>
        <v xml:space="preserve"> baik  dalam menyajikan ringkasan teks penjelasan (eksplanasi) dari media cetak atau elektronik dengan menggunakan kosakata baku dan kalimat efektif secara lisan, tulis, dan visual.
</v>
      </c>
      <c r="AD24" s="257" t="str">
        <f t="shared" si="3"/>
        <v xml:space="preserve"> baik  dalam menyajikan ringkasan teks penjelasan (eksplanasi) dari media cetak atau elektronik dengan menggunakan kosakata baku dan kalimat efektif secara lisan, tulis, dan visual.
</v>
      </c>
      <c r="AE24"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24" s="257" t="str">
        <f t="shared" si="7"/>
        <v xml:space="preserve"> baik  dalam menyajikan ringkasan teks penjelasan (eksplanasi) dari media cetak atau elektronik dengan menggunakan kosakata baku dan kalimat efektif secara lisan, tulis, dan visual.
</v>
      </c>
      <c r="AG24" s="258" t="str">
        <f t="shared" si="8"/>
        <v xml:space="preserve"> baik  dalam menyajikan ringkasan teks penjelasan (eksplanasi) dari media cetak atau elektronik dengan menggunakan kosakata baku dan kalimat efektif secara lisan, tulis, dan visual.
</v>
      </c>
      <c r="AH24" s="252" t="str">
        <f t="shared" si="9"/>
        <v xml:space="preserve">KURNIA baik  dalam menyajikan ringkasan teks penjelasan (eksplanasi) dari media cetak atau elektronik dengan menggunakan kosakata baku dan kalimat efektif secara lisan, tulis, dan visual.
</v>
      </c>
      <c r="AI24" s="153"/>
      <c r="AS24" s="469">
        <f t="shared" si="10"/>
        <v>86</v>
      </c>
    </row>
    <row r="25" spans="2:45" ht="65.25" customHeight="1">
      <c r="B25" s="142">
        <v>21</v>
      </c>
      <c r="C25" s="143" t="str">
        <f>SISWA!B26</f>
        <v>1718250040325</v>
      </c>
      <c r="D25" s="144" t="str">
        <f>SISWA!E26</f>
        <v>LATIZA</v>
      </c>
      <c r="E25" s="159">
        <v>98.25</v>
      </c>
      <c r="F25" s="160">
        <v>98.25</v>
      </c>
      <c r="G25" s="160">
        <v>98.25</v>
      </c>
      <c r="H25" s="160">
        <v>98.25</v>
      </c>
      <c r="I25" s="160">
        <v>98.25</v>
      </c>
      <c r="J25" s="159"/>
      <c r="K25" s="159"/>
      <c r="L25" s="159"/>
      <c r="M25" s="159"/>
      <c r="N25" s="159"/>
      <c r="O25" s="159"/>
      <c r="P25" s="159"/>
      <c r="Q25" s="159"/>
      <c r="R25" s="160"/>
      <c r="S25" s="160"/>
      <c r="T25" s="159"/>
      <c r="U25" s="354">
        <f t="shared" si="4"/>
        <v>98</v>
      </c>
      <c r="V25" s="355" t="str">
        <f>IF(U25&gt;KKM!$G$10,"A",IF(U25&gt;KKM!$H$10,"B",IF(U25&gt;=KKM!$I$10,"C","D")))</f>
        <v>A</v>
      </c>
      <c r="W25" s="356">
        <f t="shared" si="0"/>
        <v>98.25</v>
      </c>
      <c r="X25" s="361" t="str">
        <f>IF(W25&gt;KKM!$G$10," sangat baik ",IF(W25&gt;KKM!$H$10," baik ",IF(W25&gt;=KKM!$I$10," cukup baik "," perlu bimbingan ")))</f>
        <v xml:space="preserve"> sangat baik </v>
      </c>
      <c r="Y25" s="357">
        <f t="shared" si="1"/>
        <v>98.25</v>
      </c>
      <c r="Z25" s="361" t="str">
        <f>IF(Y25&gt;KKM!$G$10," sangat baik ",IF(Y25&gt;KKM!$H$10," baik ",IF(Y25&gt;=KKM!$I$10," cukup baik "," perlu bimbingan ")))</f>
        <v xml:space="preserve"> sangat baik </v>
      </c>
      <c r="AA25" s="353" t="str">
        <f t="shared" si="5"/>
        <v xml:space="preserve">LATIZA sangat baik  dalam menyajikan ringkasan teks penjelasan (eksplanasi) dari media cetak atau elektronik dengan menggunakan kosakata baku dan kalimat efektif secara lisan, tulis, dan visual.
</v>
      </c>
      <c r="AB25" s="256"/>
      <c r="AC25" s="257" t="str">
        <f t="shared" si="2"/>
        <v xml:space="preserve"> sangat baik  dalam menyajikan ringkasan teks penjelasan (eksplanasi) dari media cetak atau elektronik dengan menggunakan kosakata baku dan kalimat efektif secara lisan, tulis, dan visual.
</v>
      </c>
      <c r="AD25" s="257" t="str">
        <f t="shared" si="3"/>
        <v xml:space="preserve"> sangat baik  dalam menyajikan ringkasan teks penjelasan (eksplanasi) dari media cetak atau elektronik dengan menggunakan kosakata baku dan kalimat efektif secara lisan, tulis, dan visual.
</v>
      </c>
      <c r="AE25"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25" s="257" t="str">
        <f t="shared" si="7"/>
        <v xml:space="preserve"> sangat baik  dalam menyajikan ringkasan teks penjelasan (eksplanasi) dari media cetak atau elektronik dengan menggunakan kosakata baku dan kalimat efektif secara lisan, tulis, dan visual.
</v>
      </c>
      <c r="AG25" s="258" t="str">
        <f t="shared" si="8"/>
        <v xml:space="preserve"> sangat baik  dalam menyajikan ringkasan teks penjelasan (eksplanasi) dari media cetak atau elektronik dengan menggunakan kosakata baku dan kalimat efektif secara lisan, tulis, dan visual.
</v>
      </c>
      <c r="AH25" s="252" t="str">
        <f t="shared" si="9"/>
        <v xml:space="preserve">LATIZA sangat baik  dalam menyajikan ringkasan teks penjelasan (eksplanasi) dari media cetak atau elektronik dengan menggunakan kosakata baku dan kalimat efektif secara lisan, tulis, dan visual.
</v>
      </c>
      <c r="AI25" s="153"/>
      <c r="AS25" s="469">
        <f t="shared" si="10"/>
        <v>98</v>
      </c>
    </row>
    <row r="26" spans="2:45" ht="65.25" customHeight="1">
      <c r="B26" s="142">
        <v>22</v>
      </c>
      <c r="C26" s="143" t="str">
        <f>SISWA!B27</f>
        <v>1718250040326</v>
      </c>
      <c r="D26" s="144" t="str">
        <f>SISWA!E27</f>
        <v>RIZKY</v>
      </c>
      <c r="E26" s="159">
        <v>92.75</v>
      </c>
      <c r="F26" s="160">
        <v>92.75</v>
      </c>
      <c r="G26" s="160">
        <v>92.75</v>
      </c>
      <c r="H26" s="160">
        <v>92.75</v>
      </c>
      <c r="I26" s="160">
        <v>92.75</v>
      </c>
      <c r="J26" s="159"/>
      <c r="K26" s="159"/>
      <c r="L26" s="159"/>
      <c r="M26" s="159"/>
      <c r="N26" s="159"/>
      <c r="O26" s="159"/>
      <c r="P26" s="159"/>
      <c r="Q26" s="159"/>
      <c r="R26" s="160"/>
      <c r="S26" s="160"/>
      <c r="T26" s="159"/>
      <c r="U26" s="354">
        <f t="shared" si="4"/>
        <v>93</v>
      </c>
      <c r="V26" s="355" t="str">
        <f>IF(U26&gt;KKM!$G$10,"A",IF(U26&gt;KKM!$H$10,"B",IF(U26&gt;=KKM!$I$10,"C","D")))</f>
        <v>A</v>
      </c>
      <c r="W26" s="356">
        <f t="shared" si="0"/>
        <v>92.75</v>
      </c>
      <c r="X26" s="361" t="str">
        <f>IF(W26&gt;KKM!$G$10," sangat baik ",IF(W26&gt;KKM!$H$10," baik ",IF(W26&gt;=KKM!$I$10," cukup baik "," perlu bimbingan ")))</f>
        <v xml:space="preserve"> sangat baik </v>
      </c>
      <c r="Y26" s="357">
        <f t="shared" si="1"/>
        <v>92.75</v>
      </c>
      <c r="Z26" s="361" t="str">
        <f>IF(Y26&gt;KKM!$G$10," sangat baik ",IF(Y26&gt;KKM!$H$10," baik ",IF(Y26&gt;=KKM!$I$10," cukup baik "," perlu bimbingan ")))</f>
        <v xml:space="preserve"> sangat baik </v>
      </c>
      <c r="AA26" s="353" t="str">
        <f t="shared" si="5"/>
        <v xml:space="preserve">RIZKY sangat baik  dalam menyajikan ringkasan teks penjelasan (eksplanasi) dari media cetak atau elektronik dengan menggunakan kosakata baku dan kalimat efektif secara lisan, tulis, dan visual.
</v>
      </c>
      <c r="AB26" s="256"/>
      <c r="AC26" s="257" t="str">
        <f t="shared" si="2"/>
        <v xml:space="preserve"> sangat baik  dalam menyajikan ringkasan teks penjelasan (eksplanasi) dari media cetak atau elektronik dengan menggunakan kosakata baku dan kalimat efektif secara lisan, tulis, dan visual.
</v>
      </c>
      <c r="AD26" s="257" t="str">
        <f t="shared" si="3"/>
        <v xml:space="preserve"> sangat baik  dalam menyajikan ringkasan teks penjelasan (eksplanasi) dari media cetak atau elektronik dengan menggunakan kosakata baku dan kalimat efektif secara lisan, tulis, dan visual.
</v>
      </c>
      <c r="AE26"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26" s="257" t="str">
        <f t="shared" si="7"/>
        <v xml:space="preserve"> sangat baik  dalam menyajikan ringkasan teks penjelasan (eksplanasi) dari media cetak atau elektronik dengan menggunakan kosakata baku dan kalimat efektif secara lisan, tulis, dan visual.
</v>
      </c>
      <c r="AG26" s="258" t="str">
        <f t="shared" si="8"/>
        <v xml:space="preserve"> sangat baik  dalam menyajikan ringkasan teks penjelasan (eksplanasi) dari media cetak atau elektronik dengan menggunakan kosakata baku dan kalimat efektif secara lisan, tulis, dan visual.
</v>
      </c>
      <c r="AH26" s="252" t="str">
        <f t="shared" si="9"/>
        <v xml:space="preserve">RIZKY sangat baik  dalam menyajikan ringkasan teks penjelasan (eksplanasi) dari media cetak atau elektronik dengan menggunakan kosakata baku dan kalimat efektif secara lisan, tulis, dan visual.
</v>
      </c>
      <c r="AI26" s="153"/>
      <c r="AS26" s="469">
        <f t="shared" si="10"/>
        <v>93</v>
      </c>
    </row>
    <row r="27" spans="2:45" ht="65.25" customHeight="1">
      <c r="B27" s="142">
        <v>23</v>
      </c>
      <c r="C27" s="143" t="str">
        <f>SISWA!B28</f>
        <v>1718250040327</v>
      </c>
      <c r="D27" s="144" t="str">
        <f>SISWA!E28</f>
        <v>RAMADHANDANI</v>
      </c>
      <c r="E27" s="159">
        <v>90.75</v>
      </c>
      <c r="F27" s="160">
        <v>90.75</v>
      </c>
      <c r="G27" s="160">
        <v>90.75</v>
      </c>
      <c r="H27" s="160">
        <v>90.75</v>
      </c>
      <c r="I27" s="160">
        <v>90.75</v>
      </c>
      <c r="J27" s="159"/>
      <c r="K27" s="159"/>
      <c r="L27" s="159"/>
      <c r="M27" s="159"/>
      <c r="N27" s="159"/>
      <c r="O27" s="159"/>
      <c r="P27" s="159"/>
      <c r="Q27" s="159"/>
      <c r="R27" s="160"/>
      <c r="S27" s="160"/>
      <c r="T27" s="159"/>
      <c r="U27" s="354">
        <f t="shared" si="4"/>
        <v>91</v>
      </c>
      <c r="V27" s="355" t="str">
        <f>IF(U27&gt;KKM!$G$10,"A",IF(U27&gt;KKM!$H$10,"B",IF(U27&gt;=KKM!$I$10,"C","D")))</f>
        <v>A</v>
      </c>
      <c r="W27" s="356">
        <f t="shared" si="0"/>
        <v>90.75</v>
      </c>
      <c r="X27" s="361" t="str">
        <f>IF(W27&gt;KKM!$G$10," sangat baik ",IF(W27&gt;KKM!$H$10," baik ",IF(W27&gt;=KKM!$I$10," cukup baik "," perlu bimbingan ")))</f>
        <v xml:space="preserve"> sangat baik </v>
      </c>
      <c r="Y27" s="357">
        <f t="shared" si="1"/>
        <v>90.75</v>
      </c>
      <c r="Z27" s="361" t="str">
        <f>IF(Y27&gt;KKM!$G$10," sangat baik ",IF(Y27&gt;KKM!$H$10," baik ",IF(Y27&gt;=KKM!$I$10," cukup baik "," perlu bimbingan ")))</f>
        <v xml:space="preserve"> sangat baik </v>
      </c>
      <c r="AA27" s="353" t="str">
        <f t="shared" si="5"/>
        <v xml:space="preserve">RAMADHANDANI sangat baik  dalam menyajikan ringkasan teks penjelasan (eksplanasi) dari media cetak atau elektronik dengan menggunakan kosakata baku dan kalimat efektif secara lisan, tulis, dan visual.
</v>
      </c>
      <c r="AB27" s="256"/>
      <c r="AC27" s="257" t="str">
        <f t="shared" si="2"/>
        <v xml:space="preserve"> sangat baik  dalam menyajikan ringkasan teks penjelasan (eksplanasi) dari media cetak atau elektronik dengan menggunakan kosakata baku dan kalimat efektif secara lisan, tulis, dan visual.
</v>
      </c>
      <c r="AD27" s="257" t="str">
        <f t="shared" si="3"/>
        <v xml:space="preserve"> sangat baik  dalam menyajikan ringkasan teks penjelasan (eksplanasi) dari media cetak atau elektronik dengan menggunakan kosakata baku dan kalimat efektif secara lisan, tulis, dan visual.
</v>
      </c>
      <c r="AE27"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27" s="257" t="str">
        <f t="shared" si="7"/>
        <v xml:space="preserve"> sangat baik  dalam menyajikan ringkasan teks penjelasan (eksplanasi) dari media cetak atau elektronik dengan menggunakan kosakata baku dan kalimat efektif secara lisan, tulis, dan visual.
</v>
      </c>
      <c r="AG27" s="258" t="str">
        <f t="shared" si="8"/>
        <v xml:space="preserve"> sangat baik  dalam menyajikan ringkasan teks penjelasan (eksplanasi) dari media cetak atau elektronik dengan menggunakan kosakata baku dan kalimat efektif secara lisan, tulis, dan visual.
</v>
      </c>
      <c r="AH27" s="252" t="str">
        <f t="shared" si="9"/>
        <v xml:space="preserve">RAMADHANDANI sangat baik  dalam menyajikan ringkasan teks penjelasan (eksplanasi) dari media cetak atau elektronik dengan menggunakan kosakata baku dan kalimat efektif secara lisan, tulis, dan visual.
</v>
      </c>
      <c r="AI27" s="153"/>
      <c r="AS27" s="469">
        <f t="shared" si="10"/>
        <v>91</v>
      </c>
    </row>
    <row r="28" spans="2:45" ht="65.25" customHeight="1">
      <c r="B28" s="142">
        <v>24</v>
      </c>
      <c r="C28" s="143" t="str">
        <f>SISWA!B29</f>
        <v>1718250040328</v>
      </c>
      <c r="D28" s="144" t="str">
        <f>SISWA!E29</f>
        <v>SYAEPUL</v>
      </c>
      <c r="E28" s="159">
        <v>80.25</v>
      </c>
      <c r="F28" s="160">
        <v>80.25</v>
      </c>
      <c r="G28" s="160">
        <v>80.25</v>
      </c>
      <c r="H28" s="160">
        <v>80.25</v>
      </c>
      <c r="I28" s="160">
        <v>80.25</v>
      </c>
      <c r="J28" s="159"/>
      <c r="K28" s="159"/>
      <c r="L28" s="159"/>
      <c r="M28" s="159"/>
      <c r="N28" s="159"/>
      <c r="O28" s="159"/>
      <c r="P28" s="159"/>
      <c r="Q28" s="159"/>
      <c r="R28" s="160"/>
      <c r="S28" s="160"/>
      <c r="T28" s="159"/>
      <c r="U28" s="354">
        <f t="shared" si="4"/>
        <v>80</v>
      </c>
      <c r="V28" s="355" t="str">
        <f>IF(U28&gt;KKM!$G$10,"A",IF(U28&gt;KKM!$H$10,"B",IF(U28&gt;=KKM!$I$10,"C","D")))</f>
        <v>B</v>
      </c>
      <c r="W28" s="356">
        <f t="shared" si="0"/>
        <v>80.25</v>
      </c>
      <c r="X28" s="361" t="str">
        <f>IF(W28&gt;KKM!$G$10," sangat baik ",IF(W28&gt;KKM!$H$10," baik ",IF(W28&gt;=KKM!$I$10," cukup baik "," perlu bimbingan ")))</f>
        <v xml:space="preserve"> baik </v>
      </c>
      <c r="Y28" s="357">
        <f t="shared" si="1"/>
        <v>80.25</v>
      </c>
      <c r="Z28" s="361" t="str">
        <f>IF(Y28&gt;KKM!$G$10," sangat baik ",IF(Y28&gt;KKM!$H$10," baik ",IF(Y28&gt;=KKM!$I$10," cukup baik "," perlu bimbingan ")))</f>
        <v xml:space="preserve"> baik </v>
      </c>
      <c r="AA28" s="353" t="str">
        <f t="shared" si="5"/>
        <v xml:space="preserve">SYAEPUL baik  dalam menyajikan ringkasan teks penjelasan (eksplanasi) dari media cetak atau elektronik dengan menggunakan kosakata baku dan kalimat efektif secara lisan, tulis, dan visual.
</v>
      </c>
      <c r="AB28" s="256"/>
      <c r="AC28" s="257" t="str">
        <f t="shared" si="2"/>
        <v xml:space="preserve"> baik  dalam menyajikan ringkasan teks penjelasan (eksplanasi) dari media cetak atau elektronik dengan menggunakan kosakata baku dan kalimat efektif secara lisan, tulis, dan visual.
</v>
      </c>
      <c r="AD28" s="257" t="str">
        <f t="shared" si="3"/>
        <v xml:space="preserve"> baik  dalam menyajikan ringkasan teks penjelasan (eksplanasi) dari media cetak atau elektronik dengan menggunakan kosakata baku dan kalimat efektif secara lisan, tulis, dan visual.
</v>
      </c>
      <c r="AE28"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28" s="257" t="str">
        <f t="shared" si="7"/>
        <v xml:space="preserve"> baik  dalam menyajikan ringkasan teks penjelasan (eksplanasi) dari media cetak atau elektronik dengan menggunakan kosakata baku dan kalimat efektif secara lisan, tulis, dan visual.
</v>
      </c>
      <c r="AG28" s="258" t="str">
        <f t="shared" si="8"/>
        <v xml:space="preserve"> baik  dalam menyajikan ringkasan teks penjelasan (eksplanasi) dari media cetak atau elektronik dengan menggunakan kosakata baku dan kalimat efektif secara lisan, tulis, dan visual.
</v>
      </c>
      <c r="AH28" s="252" t="str">
        <f t="shared" si="9"/>
        <v xml:space="preserve">SYAEPUL baik  dalam menyajikan ringkasan teks penjelasan (eksplanasi) dari media cetak atau elektronik dengan menggunakan kosakata baku dan kalimat efektif secara lisan, tulis, dan visual.
</v>
      </c>
      <c r="AI28" s="153"/>
      <c r="AS28" s="469">
        <f t="shared" si="10"/>
        <v>80</v>
      </c>
    </row>
    <row r="29" spans="2:45" ht="65.25" customHeight="1">
      <c r="B29" s="142">
        <v>25</v>
      </c>
      <c r="C29" s="143" t="str">
        <f>SISWA!B30</f>
        <v>1718250040329</v>
      </c>
      <c r="D29" s="144" t="str">
        <f>SISWA!E30</f>
        <v>ALIF</v>
      </c>
      <c r="E29" s="159">
        <v>82.75</v>
      </c>
      <c r="F29" s="160">
        <v>82.75</v>
      </c>
      <c r="G29" s="160">
        <v>82.75</v>
      </c>
      <c r="H29" s="160">
        <v>82.75</v>
      </c>
      <c r="I29" s="160">
        <v>82.75</v>
      </c>
      <c r="J29" s="159"/>
      <c r="K29" s="159"/>
      <c r="L29" s="159"/>
      <c r="M29" s="159"/>
      <c r="N29" s="159"/>
      <c r="O29" s="159"/>
      <c r="P29" s="159"/>
      <c r="Q29" s="159"/>
      <c r="R29" s="160"/>
      <c r="S29" s="160"/>
      <c r="T29" s="159"/>
      <c r="U29" s="354">
        <f t="shared" si="4"/>
        <v>83</v>
      </c>
      <c r="V29" s="355" t="str">
        <f>IF(U29&gt;KKM!$G$10,"A",IF(U29&gt;KKM!$H$10,"B",IF(U29&gt;=KKM!$I$10,"C","D")))</f>
        <v>B</v>
      </c>
      <c r="W29" s="356">
        <f t="shared" si="0"/>
        <v>82.75</v>
      </c>
      <c r="X29" s="361" t="str">
        <f>IF(W29&gt;KKM!$G$10," sangat baik ",IF(W29&gt;KKM!$H$10," baik ",IF(W29&gt;=KKM!$I$10," cukup baik "," perlu bimbingan ")))</f>
        <v xml:space="preserve"> baik </v>
      </c>
      <c r="Y29" s="357">
        <f t="shared" si="1"/>
        <v>82.75</v>
      </c>
      <c r="Z29" s="361" t="str">
        <f>IF(Y29&gt;KKM!$G$10," sangat baik ",IF(Y29&gt;KKM!$H$10," baik ",IF(Y29&gt;=KKM!$I$10," cukup baik "," perlu bimbingan ")))</f>
        <v xml:space="preserve"> baik </v>
      </c>
      <c r="AA29" s="353" t="str">
        <f t="shared" si="5"/>
        <v xml:space="preserve">ALIF baik  dalam menyajikan ringkasan teks penjelasan (eksplanasi) dari media cetak atau elektronik dengan menggunakan kosakata baku dan kalimat efektif secara lisan, tulis, dan visual.
</v>
      </c>
      <c r="AB29" s="256"/>
      <c r="AC29" s="257" t="str">
        <f t="shared" si="2"/>
        <v xml:space="preserve"> baik  dalam menyajikan ringkasan teks penjelasan (eksplanasi) dari media cetak atau elektronik dengan menggunakan kosakata baku dan kalimat efektif secara lisan, tulis, dan visual.
</v>
      </c>
      <c r="AD29" s="257" t="str">
        <f t="shared" si="3"/>
        <v xml:space="preserve"> baik  dalam menyajikan ringkasan teks penjelasan (eksplanasi) dari media cetak atau elektronik dengan menggunakan kosakata baku dan kalimat efektif secara lisan, tulis, dan visual.
</v>
      </c>
      <c r="AE29"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29" s="257" t="str">
        <f t="shared" si="7"/>
        <v xml:space="preserve"> baik  dalam menyajikan ringkasan teks penjelasan (eksplanasi) dari media cetak atau elektronik dengan menggunakan kosakata baku dan kalimat efektif secara lisan, tulis, dan visual.
</v>
      </c>
      <c r="AG29" s="258" t="str">
        <f t="shared" si="8"/>
        <v xml:space="preserve"> baik  dalam menyajikan ringkasan teks penjelasan (eksplanasi) dari media cetak atau elektronik dengan menggunakan kosakata baku dan kalimat efektif secara lisan, tulis, dan visual.
</v>
      </c>
      <c r="AH29" s="252" t="str">
        <f t="shared" si="9"/>
        <v xml:space="preserve">ALIF baik  dalam menyajikan ringkasan teks penjelasan (eksplanasi) dari media cetak atau elektronik dengan menggunakan kosakata baku dan kalimat efektif secara lisan, tulis, dan visual.
</v>
      </c>
      <c r="AI29" s="153"/>
      <c r="AS29" s="469">
        <f t="shared" si="10"/>
        <v>83</v>
      </c>
    </row>
    <row r="30" spans="2:45" ht="65.25" customHeight="1">
      <c r="B30" s="142">
        <v>26</v>
      </c>
      <c r="C30" s="143" t="str">
        <f>SISWA!B31</f>
        <v>1718250040330</v>
      </c>
      <c r="D30" s="144" t="str">
        <f>SISWA!E31</f>
        <v>HIZKIEL</v>
      </c>
      <c r="E30" s="159">
        <v>89</v>
      </c>
      <c r="F30" s="160">
        <v>89</v>
      </c>
      <c r="G30" s="160">
        <v>89</v>
      </c>
      <c r="H30" s="160">
        <v>89</v>
      </c>
      <c r="I30" s="160">
        <v>89</v>
      </c>
      <c r="J30" s="159"/>
      <c r="K30" s="159"/>
      <c r="L30" s="159"/>
      <c r="M30" s="159"/>
      <c r="N30" s="159"/>
      <c r="O30" s="159"/>
      <c r="P30" s="159"/>
      <c r="Q30" s="159"/>
      <c r="R30" s="160"/>
      <c r="S30" s="160"/>
      <c r="T30" s="159"/>
      <c r="U30" s="354">
        <f t="shared" si="4"/>
        <v>89</v>
      </c>
      <c r="V30" s="355" t="str">
        <f>IF(U30&gt;KKM!$G$10,"A",IF(U30&gt;KKM!$H$10,"B",IF(U30&gt;=KKM!$I$10,"C","D")))</f>
        <v>A</v>
      </c>
      <c r="W30" s="356">
        <f t="shared" si="0"/>
        <v>89</v>
      </c>
      <c r="X30" s="361" t="str">
        <f>IF(W30&gt;KKM!$G$10," sangat baik ",IF(W30&gt;KKM!$H$10," baik ",IF(W30&gt;=KKM!$I$10," cukup baik "," perlu bimbingan ")))</f>
        <v xml:space="preserve"> sangat baik </v>
      </c>
      <c r="Y30" s="357">
        <f t="shared" si="1"/>
        <v>89</v>
      </c>
      <c r="Z30" s="361" t="str">
        <f>IF(Y30&gt;KKM!$G$10," sangat baik ",IF(Y30&gt;KKM!$H$10," baik ",IF(Y30&gt;=KKM!$I$10," cukup baik "," perlu bimbingan ")))</f>
        <v xml:space="preserve"> sangat baik </v>
      </c>
      <c r="AA30" s="353" t="str">
        <f t="shared" si="5"/>
        <v xml:space="preserve">HIZKIEL sangat baik  dalam menyajikan ringkasan teks penjelasan (eksplanasi) dari media cetak atau elektronik dengan menggunakan kosakata baku dan kalimat efektif secara lisan, tulis, dan visual.
</v>
      </c>
      <c r="AB30" s="256"/>
      <c r="AC30" s="257" t="str">
        <f t="shared" si="2"/>
        <v xml:space="preserve"> sangat baik  dalam menyajikan ringkasan teks penjelasan (eksplanasi) dari media cetak atau elektronik dengan menggunakan kosakata baku dan kalimat efektif secara lisan, tulis, dan visual.
</v>
      </c>
      <c r="AD30" s="257" t="str">
        <f t="shared" si="3"/>
        <v xml:space="preserve"> sangat baik  dalam menyajikan ringkasan teks penjelasan (eksplanasi) dari media cetak atau elektronik dengan menggunakan kosakata baku dan kalimat efektif secara lisan, tulis, dan visual.
</v>
      </c>
      <c r="AE30"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30" s="257" t="str">
        <f t="shared" si="7"/>
        <v xml:space="preserve"> sangat baik  dalam menyajikan ringkasan teks penjelasan (eksplanasi) dari media cetak atau elektronik dengan menggunakan kosakata baku dan kalimat efektif secara lisan, tulis, dan visual.
</v>
      </c>
      <c r="AG30" s="258" t="str">
        <f t="shared" si="8"/>
        <v xml:space="preserve"> sangat baik  dalam menyajikan ringkasan teks penjelasan (eksplanasi) dari media cetak atau elektronik dengan menggunakan kosakata baku dan kalimat efektif secara lisan, tulis, dan visual.
</v>
      </c>
      <c r="AH30" s="252" t="str">
        <f t="shared" si="9"/>
        <v xml:space="preserve">HIZKIEL sangat baik  dalam menyajikan ringkasan teks penjelasan (eksplanasi) dari media cetak atau elektronik dengan menggunakan kosakata baku dan kalimat efektif secara lisan, tulis, dan visual.
</v>
      </c>
      <c r="AI30" s="153"/>
      <c r="AS30" s="469">
        <f t="shared" si="10"/>
        <v>89</v>
      </c>
    </row>
    <row r="31" spans="2:45" ht="65.25" customHeight="1">
      <c r="B31" s="142">
        <v>27</v>
      </c>
      <c r="C31" s="143" t="str">
        <f>SISWA!B32</f>
        <v>1718250040331</v>
      </c>
      <c r="D31" s="144" t="str">
        <f>SISWA!E32</f>
        <v>LAEL</v>
      </c>
      <c r="E31" s="159">
        <v>91.5</v>
      </c>
      <c r="F31" s="160">
        <v>91.5</v>
      </c>
      <c r="G31" s="160">
        <v>91.5</v>
      </c>
      <c r="H31" s="160">
        <v>91.5</v>
      </c>
      <c r="I31" s="160">
        <v>91.5</v>
      </c>
      <c r="J31" s="159"/>
      <c r="K31" s="159"/>
      <c r="L31" s="159"/>
      <c r="M31" s="159"/>
      <c r="N31" s="159"/>
      <c r="O31" s="159"/>
      <c r="P31" s="159"/>
      <c r="Q31" s="159"/>
      <c r="R31" s="160"/>
      <c r="S31" s="160"/>
      <c r="T31" s="159"/>
      <c r="U31" s="354">
        <f t="shared" si="4"/>
        <v>92</v>
      </c>
      <c r="V31" s="355" t="str">
        <f>IF(U31&gt;KKM!$G$10,"A",IF(U31&gt;KKM!$H$10,"B",IF(U31&gt;=KKM!$I$10,"C","D")))</f>
        <v>A</v>
      </c>
      <c r="W31" s="356">
        <f t="shared" si="0"/>
        <v>91.5</v>
      </c>
      <c r="X31" s="361" t="str">
        <f>IF(W31&gt;KKM!$G$10," sangat baik ",IF(W31&gt;KKM!$H$10," baik ",IF(W31&gt;=KKM!$I$10," cukup baik "," perlu bimbingan ")))</f>
        <v xml:space="preserve"> sangat baik </v>
      </c>
      <c r="Y31" s="357">
        <f t="shared" si="1"/>
        <v>91.5</v>
      </c>
      <c r="Z31" s="361" t="str">
        <f>IF(Y31&gt;KKM!$G$10," sangat baik ",IF(Y31&gt;KKM!$H$10," baik ",IF(Y31&gt;=KKM!$I$10," cukup baik "," perlu bimbingan ")))</f>
        <v xml:space="preserve"> sangat baik </v>
      </c>
      <c r="AA31" s="353" t="str">
        <f t="shared" si="5"/>
        <v xml:space="preserve">LAEL sangat baik  dalam menyajikan ringkasan teks penjelasan (eksplanasi) dari media cetak atau elektronik dengan menggunakan kosakata baku dan kalimat efektif secara lisan, tulis, dan visual.
</v>
      </c>
      <c r="AB31" s="256"/>
      <c r="AC31" s="257" t="str">
        <f t="shared" si="2"/>
        <v xml:space="preserve"> sangat baik  dalam menyajikan ringkasan teks penjelasan (eksplanasi) dari media cetak atau elektronik dengan menggunakan kosakata baku dan kalimat efektif secara lisan, tulis, dan visual.
</v>
      </c>
      <c r="AD31" s="257" t="str">
        <f t="shared" si="3"/>
        <v xml:space="preserve"> sangat baik  dalam menyajikan ringkasan teks penjelasan (eksplanasi) dari media cetak atau elektronik dengan menggunakan kosakata baku dan kalimat efektif secara lisan, tulis, dan visual.
</v>
      </c>
      <c r="AE31"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31" s="257" t="str">
        <f t="shared" si="7"/>
        <v xml:space="preserve"> sangat baik  dalam menyajikan ringkasan teks penjelasan (eksplanasi) dari media cetak atau elektronik dengan menggunakan kosakata baku dan kalimat efektif secara lisan, tulis, dan visual.
</v>
      </c>
      <c r="AG31" s="258" t="str">
        <f t="shared" si="8"/>
        <v xml:space="preserve"> sangat baik  dalam menyajikan ringkasan teks penjelasan (eksplanasi) dari media cetak atau elektronik dengan menggunakan kosakata baku dan kalimat efektif secara lisan, tulis, dan visual.
</v>
      </c>
      <c r="AH31" s="252" t="str">
        <f t="shared" si="9"/>
        <v xml:space="preserve">LAEL sangat baik  dalam menyajikan ringkasan teks penjelasan (eksplanasi) dari media cetak atau elektronik dengan menggunakan kosakata baku dan kalimat efektif secara lisan, tulis, dan visual.
</v>
      </c>
      <c r="AI31" s="153"/>
      <c r="AS31" s="469">
        <f t="shared" si="10"/>
        <v>92</v>
      </c>
    </row>
    <row r="32" spans="2:45" ht="65.25" customHeight="1">
      <c r="B32" s="142">
        <v>28</v>
      </c>
      <c r="C32" s="143" t="str">
        <f>SISWA!B33</f>
        <v>1718250040332</v>
      </c>
      <c r="D32" s="144" t="str">
        <f>SISWA!E33</f>
        <v>NABIL</v>
      </c>
      <c r="E32" s="159">
        <v>81.5</v>
      </c>
      <c r="F32" s="160">
        <v>81.5</v>
      </c>
      <c r="G32" s="160">
        <v>81.5</v>
      </c>
      <c r="H32" s="160">
        <v>81.5</v>
      </c>
      <c r="I32" s="160">
        <v>81.5</v>
      </c>
      <c r="J32" s="159"/>
      <c r="K32" s="159"/>
      <c r="L32" s="159"/>
      <c r="M32" s="159"/>
      <c r="N32" s="159"/>
      <c r="O32" s="159"/>
      <c r="P32" s="159"/>
      <c r="Q32" s="159"/>
      <c r="R32" s="160"/>
      <c r="S32" s="160"/>
      <c r="T32" s="159"/>
      <c r="U32" s="354">
        <f t="shared" si="4"/>
        <v>82</v>
      </c>
      <c r="V32" s="355" t="str">
        <f>IF(U32&gt;KKM!$G$10,"A",IF(U32&gt;KKM!$H$10,"B",IF(U32&gt;=KKM!$I$10,"C","D")))</f>
        <v>B</v>
      </c>
      <c r="W32" s="356">
        <f t="shared" si="0"/>
        <v>81.5</v>
      </c>
      <c r="X32" s="361" t="str">
        <f>IF(W32&gt;KKM!$G$10," sangat baik ",IF(W32&gt;KKM!$H$10," baik ",IF(W32&gt;=KKM!$I$10," cukup baik "," perlu bimbingan ")))</f>
        <v xml:space="preserve"> baik </v>
      </c>
      <c r="Y32" s="357">
        <f t="shared" si="1"/>
        <v>81.5</v>
      </c>
      <c r="Z32" s="361" t="str">
        <f>IF(Y32&gt;KKM!$G$10," sangat baik ",IF(Y32&gt;KKM!$H$10," baik ",IF(Y32&gt;=KKM!$I$10," cukup baik "," perlu bimbingan ")))</f>
        <v xml:space="preserve"> baik </v>
      </c>
      <c r="AA32" s="353" t="str">
        <f t="shared" si="5"/>
        <v xml:space="preserve">NABIL baik  dalam menyajikan ringkasan teks penjelasan (eksplanasi) dari media cetak atau elektronik dengan menggunakan kosakata baku dan kalimat efektif secara lisan, tulis, dan visual.
</v>
      </c>
      <c r="AB32" s="256"/>
      <c r="AC32" s="257" t="str">
        <f t="shared" si="2"/>
        <v xml:space="preserve"> baik  dalam menyajikan ringkasan teks penjelasan (eksplanasi) dari media cetak atau elektronik dengan menggunakan kosakata baku dan kalimat efektif secara lisan, tulis, dan visual.
</v>
      </c>
      <c r="AD32" s="257" t="str">
        <f t="shared" si="3"/>
        <v xml:space="preserve"> baik  dalam menyajikan ringkasan teks penjelasan (eksplanasi) dari media cetak atau elektronik dengan menggunakan kosakata baku dan kalimat efektif secara lisan, tulis, dan visual.
</v>
      </c>
      <c r="AE32"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32" s="257" t="str">
        <f t="shared" si="7"/>
        <v xml:space="preserve"> baik  dalam menyajikan ringkasan teks penjelasan (eksplanasi) dari media cetak atau elektronik dengan menggunakan kosakata baku dan kalimat efektif secara lisan, tulis, dan visual.
</v>
      </c>
      <c r="AG32" s="258" t="str">
        <f t="shared" si="8"/>
        <v xml:space="preserve"> baik  dalam menyajikan ringkasan teks penjelasan (eksplanasi) dari media cetak atau elektronik dengan menggunakan kosakata baku dan kalimat efektif secara lisan, tulis, dan visual.
</v>
      </c>
      <c r="AH32" s="252" t="str">
        <f t="shared" si="9"/>
        <v xml:space="preserve">NABIL baik  dalam menyajikan ringkasan teks penjelasan (eksplanasi) dari media cetak atau elektronik dengan menggunakan kosakata baku dan kalimat efektif secara lisan, tulis, dan visual.
</v>
      </c>
      <c r="AI32" s="153"/>
      <c r="AS32" s="469">
        <f t="shared" si="10"/>
        <v>82</v>
      </c>
    </row>
    <row r="33" spans="2:45" ht="65.25" customHeight="1">
      <c r="B33" s="142">
        <v>29</v>
      </c>
      <c r="C33" s="143" t="str">
        <f>SISWA!B34</f>
        <v>1718250040333</v>
      </c>
      <c r="D33" s="144" t="str">
        <f>SISWA!E34</f>
        <v>RASYA</v>
      </c>
      <c r="E33" s="159">
        <v>80.5</v>
      </c>
      <c r="F33" s="160">
        <v>80.5</v>
      </c>
      <c r="G33" s="160">
        <v>80.5</v>
      </c>
      <c r="H33" s="160">
        <v>80.5</v>
      </c>
      <c r="I33" s="160">
        <v>80.5</v>
      </c>
      <c r="J33" s="159"/>
      <c r="K33" s="159"/>
      <c r="L33" s="159"/>
      <c r="M33" s="159"/>
      <c r="N33" s="159"/>
      <c r="O33" s="159"/>
      <c r="P33" s="159"/>
      <c r="Q33" s="159"/>
      <c r="R33" s="160"/>
      <c r="S33" s="160"/>
      <c r="T33" s="159"/>
      <c r="U33" s="354">
        <f t="shared" si="4"/>
        <v>81</v>
      </c>
      <c r="V33" s="355" t="str">
        <f>IF(U33&gt;KKM!$G$10,"A",IF(U33&gt;KKM!$H$10,"B",IF(U33&gt;=KKM!$I$10,"C","D")))</f>
        <v>B</v>
      </c>
      <c r="W33" s="356">
        <f t="shared" si="0"/>
        <v>80.5</v>
      </c>
      <c r="X33" s="361" t="str">
        <f>IF(W33&gt;KKM!$G$10," sangat baik ",IF(W33&gt;KKM!$H$10," baik ",IF(W33&gt;=KKM!$I$10," cukup baik "," perlu bimbingan ")))</f>
        <v xml:space="preserve"> baik </v>
      </c>
      <c r="Y33" s="357">
        <f t="shared" si="1"/>
        <v>80.5</v>
      </c>
      <c r="Z33" s="361" t="str">
        <f>IF(Y33&gt;KKM!$G$10," sangat baik ",IF(Y33&gt;KKM!$H$10," baik ",IF(Y33&gt;=KKM!$I$10," cukup baik "," perlu bimbingan ")))</f>
        <v xml:space="preserve"> baik </v>
      </c>
      <c r="AA33" s="353" t="str">
        <f t="shared" si="5"/>
        <v xml:space="preserve">RASYA baik  dalam menyajikan ringkasan teks penjelasan (eksplanasi) dari media cetak atau elektronik dengan menggunakan kosakata baku dan kalimat efektif secara lisan, tulis, dan visual.
</v>
      </c>
      <c r="AB33" s="256"/>
      <c r="AC33" s="257" t="str">
        <f t="shared" si="2"/>
        <v xml:space="preserve"> baik  dalam menyajikan ringkasan teks penjelasan (eksplanasi) dari media cetak atau elektronik dengan menggunakan kosakata baku dan kalimat efektif secara lisan, tulis, dan visual.
</v>
      </c>
      <c r="AD33" s="257" t="str">
        <f t="shared" si="3"/>
        <v xml:space="preserve"> baik  dalam menyajikan ringkasan teks penjelasan (eksplanasi) dari media cetak atau elektronik dengan menggunakan kosakata baku dan kalimat efektif secara lisan, tulis, dan visual.
</v>
      </c>
      <c r="AE33"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33" s="257" t="str">
        <f t="shared" si="7"/>
        <v xml:space="preserve"> baik  dalam menyajikan ringkasan teks penjelasan (eksplanasi) dari media cetak atau elektronik dengan menggunakan kosakata baku dan kalimat efektif secara lisan, tulis, dan visual.
</v>
      </c>
      <c r="AG33" s="258" t="str">
        <f t="shared" si="8"/>
        <v xml:space="preserve"> baik  dalam menyajikan ringkasan teks penjelasan (eksplanasi) dari media cetak atau elektronik dengan menggunakan kosakata baku dan kalimat efektif secara lisan, tulis, dan visual.
</v>
      </c>
      <c r="AH33" s="252" t="str">
        <f t="shared" si="9"/>
        <v xml:space="preserve">RASYA baik  dalam menyajikan ringkasan teks penjelasan (eksplanasi) dari media cetak atau elektronik dengan menggunakan kosakata baku dan kalimat efektif secara lisan, tulis, dan visual.
</v>
      </c>
      <c r="AI33" s="153"/>
      <c r="AS33" s="469">
        <f t="shared" si="10"/>
        <v>81</v>
      </c>
    </row>
    <row r="34" spans="2:45" ht="65.25" customHeight="1">
      <c r="B34" s="142">
        <v>30</v>
      </c>
      <c r="C34" s="143" t="str">
        <f>SISWA!B35</f>
        <v>1718250040334</v>
      </c>
      <c r="D34" s="144" t="str">
        <f>SISWA!E35</f>
        <v>RIZKI</v>
      </c>
      <c r="E34" s="159">
        <v>89</v>
      </c>
      <c r="F34" s="160">
        <v>89</v>
      </c>
      <c r="G34" s="160">
        <v>89</v>
      </c>
      <c r="H34" s="160">
        <v>89</v>
      </c>
      <c r="I34" s="160">
        <v>89</v>
      </c>
      <c r="J34" s="159"/>
      <c r="K34" s="159"/>
      <c r="L34" s="159"/>
      <c r="M34" s="159"/>
      <c r="N34" s="159"/>
      <c r="O34" s="159"/>
      <c r="P34" s="159"/>
      <c r="Q34" s="159"/>
      <c r="R34" s="160"/>
      <c r="S34" s="160"/>
      <c r="T34" s="159"/>
      <c r="U34" s="354">
        <f t="shared" si="4"/>
        <v>89</v>
      </c>
      <c r="V34" s="355" t="str">
        <f>IF(U34&gt;KKM!$G$10,"A",IF(U34&gt;KKM!$H$10,"B",IF(U34&gt;=KKM!$I$10,"C","D")))</f>
        <v>A</v>
      </c>
      <c r="W34" s="356">
        <f t="shared" si="0"/>
        <v>89</v>
      </c>
      <c r="X34" s="361" t="str">
        <f>IF(W34&gt;KKM!$G$10," sangat baik ",IF(W34&gt;KKM!$H$10," baik ",IF(W34&gt;=KKM!$I$10," cukup baik "," perlu bimbingan ")))</f>
        <v xml:space="preserve"> sangat baik </v>
      </c>
      <c r="Y34" s="357">
        <f t="shared" si="1"/>
        <v>89</v>
      </c>
      <c r="Z34" s="361" t="str">
        <f>IF(Y34&gt;KKM!$G$10," sangat baik ",IF(Y34&gt;KKM!$H$10," baik ",IF(Y34&gt;=KKM!$I$10," cukup baik "," perlu bimbingan ")))</f>
        <v xml:space="preserve"> sangat baik </v>
      </c>
      <c r="AA34" s="353" t="str">
        <f t="shared" si="5"/>
        <v xml:space="preserve">RIZKI sangat baik  dalam menyajikan ringkasan teks penjelasan (eksplanasi) dari media cetak atau elektronik dengan menggunakan kosakata baku dan kalimat efektif secara lisan, tulis, dan visual.
</v>
      </c>
      <c r="AB34" s="256"/>
      <c r="AC34" s="257" t="str">
        <f t="shared" si="2"/>
        <v xml:space="preserve"> sangat baik  dalam menyajikan ringkasan teks penjelasan (eksplanasi) dari media cetak atau elektronik dengan menggunakan kosakata baku dan kalimat efektif secara lisan, tulis, dan visual.
</v>
      </c>
      <c r="AD34" s="257" t="str">
        <f t="shared" si="3"/>
        <v xml:space="preserve"> sangat baik  dalam menyajikan ringkasan teks penjelasan (eksplanasi) dari media cetak atau elektronik dengan menggunakan kosakata baku dan kalimat efektif secara lisan, tulis, dan visual.
</v>
      </c>
      <c r="AE34"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34" s="257" t="str">
        <f t="shared" si="7"/>
        <v xml:space="preserve"> sangat baik  dalam menyajikan ringkasan teks penjelasan (eksplanasi) dari media cetak atau elektronik dengan menggunakan kosakata baku dan kalimat efektif secara lisan, tulis, dan visual.
</v>
      </c>
      <c r="AG34" s="258" t="str">
        <f t="shared" si="8"/>
        <v xml:space="preserve"> sangat baik  dalam menyajikan ringkasan teks penjelasan (eksplanasi) dari media cetak atau elektronik dengan menggunakan kosakata baku dan kalimat efektif secara lisan, tulis, dan visual.
</v>
      </c>
      <c r="AH34" s="252" t="str">
        <f t="shared" si="9"/>
        <v xml:space="preserve">RIZKI sangat baik  dalam menyajikan ringkasan teks penjelasan (eksplanasi) dari media cetak atau elektronik dengan menggunakan kosakata baku dan kalimat efektif secara lisan, tulis, dan visual.
</v>
      </c>
      <c r="AI34" s="153"/>
      <c r="AS34" s="469">
        <f t="shared" si="10"/>
        <v>89</v>
      </c>
    </row>
    <row r="35" spans="2:45" ht="65.25" customHeight="1">
      <c r="B35" s="142">
        <v>31</v>
      </c>
      <c r="C35" s="143" t="str">
        <f>SISWA!B36</f>
        <v>1718250040335</v>
      </c>
      <c r="D35" s="144" t="str">
        <f>SISWA!E36</f>
        <v>SATRIA</v>
      </c>
      <c r="E35" s="159">
        <v>92.25</v>
      </c>
      <c r="F35" s="160">
        <v>92.25</v>
      </c>
      <c r="G35" s="160">
        <v>92.25</v>
      </c>
      <c r="H35" s="160">
        <v>92.25</v>
      </c>
      <c r="I35" s="160">
        <v>92.25</v>
      </c>
      <c r="J35" s="159"/>
      <c r="K35" s="159"/>
      <c r="L35" s="159"/>
      <c r="M35" s="159"/>
      <c r="N35" s="159"/>
      <c r="O35" s="159"/>
      <c r="P35" s="159"/>
      <c r="Q35" s="159"/>
      <c r="R35" s="160"/>
      <c r="S35" s="160"/>
      <c r="T35" s="159"/>
      <c r="U35" s="354">
        <f t="shared" si="4"/>
        <v>92</v>
      </c>
      <c r="V35" s="355" t="str">
        <f>IF(U35&gt;KKM!$G$10,"A",IF(U35&gt;KKM!$H$10,"B",IF(U35&gt;=KKM!$I$10,"C","D")))</f>
        <v>A</v>
      </c>
      <c r="W35" s="356">
        <f t="shared" si="0"/>
        <v>92.25</v>
      </c>
      <c r="X35" s="361" t="str">
        <f>IF(W35&gt;KKM!$G$10," sangat baik ",IF(W35&gt;KKM!$H$10," baik ",IF(W35&gt;=KKM!$I$10," cukup baik "," perlu bimbingan ")))</f>
        <v xml:space="preserve"> sangat baik </v>
      </c>
      <c r="Y35" s="357">
        <f t="shared" si="1"/>
        <v>92.25</v>
      </c>
      <c r="Z35" s="361" t="str">
        <f>IF(Y35&gt;KKM!$G$10," sangat baik ",IF(Y35&gt;KKM!$H$10," baik ",IF(Y35&gt;=KKM!$I$10," cukup baik "," perlu bimbingan ")))</f>
        <v xml:space="preserve"> sangat baik </v>
      </c>
      <c r="AA35" s="353" t="str">
        <f t="shared" si="5"/>
        <v xml:space="preserve">SATRIA sangat baik  dalam menyajikan ringkasan teks penjelasan (eksplanasi) dari media cetak atau elektronik dengan menggunakan kosakata baku dan kalimat efektif secara lisan, tulis, dan visual.
</v>
      </c>
      <c r="AB35" s="256"/>
      <c r="AC35" s="257" t="str">
        <f t="shared" si="2"/>
        <v xml:space="preserve"> sangat baik  dalam menyajikan ringkasan teks penjelasan (eksplanasi) dari media cetak atau elektronik dengan menggunakan kosakata baku dan kalimat efektif secara lisan, tulis, dan visual.
</v>
      </c>
      <c r="AD35" s="257" t="str">
        <f t="shared" si="3"/>
        <v xml:space="preserve"> sangat baik  dalam menyajikan ringkasan teks penjelasan (eksplanasi) dari media cetak atau elektronik dengan menggunakan kosakata baku dan kalimat efektif secara lisan, tulis, dan visual.
</v>
      </c>
      <c r="AE35"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35" s="257" t="str">
        <f t="shared" si="7"/>
        <v xml:space="preserve"> sangat baik  dalam menyajikan ringkasan teks penjelasan (eksplanasi) dari media cetak atau elektronik dengan menggunakan kosakata baku dan kalimat efektif secara lisan, tulis, dan visual.
</v>
      </c>
      <c r="AG35" s="258" t="str">
        <f t="shared" si="8"/>
        <v xml:space="preserve"> sangat baik  dalam menyajikan ringkasan teks penjelasan (eksplanasi) dari media cetak atau elektronik dengan menggunakan kosakata baku dan kalimat efektif secara lisan, tulis, dan visual.
</v>
      </c>
      <c r="AH35" s="252" t="str">
        <f t="shared" si="9"/>
        <v xml:space="preserve">SATRIA sangat baik  dalam menyajikan ringkasan teks penjelasan (eksplanasi) dari media cetak atau elektronik dengan menggunakan kosakata baku dan kalimat efektif secara lisan, tulis, dan visual.
</v>
      </c>
      <c r="AI35" s="153"/>
      <c r="AS35" s="469">
        <f t="shared" si="10"/>
        <v>92</v>
      </c>
    </row>
    <row r="36" spans="2:45" ht="65.25" customHeight="1">
      <c r="B36" s="142">
        <v>32</v>
      </c>
      <c r="C36" s="143" t="str">
        <f>SISWA!B37</f>
        <v>1718250040336</v>
      </c>
      <c r="D36" s="144" t="str">
        <f>SISWA!E37</f>
        <v>NADIA</v>
      </c>
      <c r="E36" s="159">
        <v>93.5</v>
      </c>
      <c r="F36" s="160">
        <v>93.5</v>
      </c>
      <c r="G36" s="160">
        <v>93.5</v>
      </c>
      <c r="H36" s="160">
        <v>93.5</v>
      </c>
      <c r="I36" s="160">
        <v>93.5</v>
      </c>
      <c r="J36" s="159"/>
      <c r="K36" s="159"/>
      <c r="L36" s="159"/>
      <c r="M36" s="159"/>
      <c r="N36" s="159"/>
      <c r="O36" s="159"/>
      <c r="P36" s="159"/>
      <c r="Q36" s="159"/>
      <c r="R36" s="160"/>
      <c r="S36" s="160"/>
      <c r="T36" s="159"/>
      <c r="U36" s="354">
        <f t="shared" si="4"/>
        <v>94</v>
      </c>
      <c r="V36" s="355" t="str">
        <f>IF(U36&gt;KKM!$G$10,"A",IF(U36&gt;KKM!$H$10,"B",IF(U36&gt;=KKM!$I$10,"C","D")))</f>
        <v>A</v>
      </c>
      <c r="W36" s="356">
        <f t="shared" si="0"/>
        <v>93.5</v>
      </c>
      <c r="X36" s="361" t="str">
        <f>IF(W36&gt;KKM!$G$10," sangat baik ",IF(W36&gt;KKM!$H$10," baik ",IF(W36&gt;=KKM!$I$10," cukup baik "," perlu bimbingan ")))</f>
        <v xml:space="preserve"> sangat baik </v>
      </c>
      <c r="Y36" s="357">
        <f t="shared" si="1"/>
        <v>93.5</v>
      </c>
      <c r="Z36" s="361" t="str">
        <f>IF(Y36&gt;KKM!$G$10," sangat baik ",IF(Y36&gt;KKM!$H$10," baik ",IF(Y36&gt;=KKM!$I$10," cukup baik "," perlu bimbingan ")))</f>
        <v xml:space="preserve"> sangat baik </v>
      </c>
      <c r="AA36" s="353" t="str">
        <f t="shared" si="5"/>
        <v xml:space="preserve">NADIA sangat baik  dalam menyajikan ringkasan teks penjelasan (eksplanasi) dari media cetak atau elektronik dengan menggunakan kosakata baku dan kalimat efektif secara lisan, tulis, dan visual.
</v>
      </c>
      <c r="AB36" s="256"/>
      <c r="AC36" s="257" t="str">
        <f t="shared" si="2"/>
        <v xml:space="preserve"> sangat baik  dalam menyajikan ringkasan teks penjelasan (eksplanasi) dari media cetak atau elektronik dengan menggunakan kosakata baku dan kalimat efektif secara lisan, tulis, dan visual.
</v>
      </c>
      <c r="AD36" s="257" t="str">
        <f t="shared" si="3"/>
        <v xml:space="preserve"> sangat baik  dalam menyajikan ringkasan teks penjelasan (eksplanasi) dari media cetak atau elektronik dengan menggunakan kosakata baku dan kalimat efektif secara lisan, tulis, dan visual.
</v>
      </c>
      <c r="AE36"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36" s="257" t="str">
        <f t="shared" si="7"/>
        <v xml:space="preserve"> sangat baik  dalam menyajikan ringkasan teks penjelasan (eksplanasi) dari media cetak atau elektronik dengan menggunakan kosakata baku dan kalimat efektif secara lisan, tulis, dan visual.
</v>
      </c>
      <c r="AG36" s="258" t="str">
        <f t="shared" si="8"/>
        <v xml:space="preserve"> sangat baik  dalam menyajikan ringkasan teks penjelasan (eksplanasi) dari media cetak atau elektronik dengan menggunakan kosakata baku dan kalimat efektif secara lisan, tulis, dan visual.
</v>
      </c>
      <c r="AH36" s="252" t="str">
        <f t="shared" si="9"/>
        <v xml:space="preserve">NADIA sangat baik  dalam menyajikan ringkasan teks penjelasan (eksplanasi) dari media cetak atau elektronik dengan menggunakan kosakata baku dan kalimat efektif secara lisan, tulis, dan visual.
</v>
      </c>
      <c r="AI36" s="153"/>
      <c r="AS36" s="469">
        <f t="shared" si="10"/>
        <v>94</v>
      </c>
    </row>
    <row r="37" spans="2:45" ht="65.25" customHeight="1">
      <c r="B37" s="142">
        <v>33</v>
      </c>
      <c r="C37" s="143" t="str">
        <f>SISWA!B38</f>
        <v>1718250040337</v>
      </c>
      <c r="D37" s="144" t="str">
        <f>SISWA!E38</f>
        <v>NAFILA</v>
      </c>
      <c r="E37" s="159">
        <v>81.5</v>
      </c>
      <c r="F37" s="160">
        <v>81.5</v>
      </c>
      <c r="G37" s="160">
        <v>81.5</v>
      </c>
      <c r="H37" s="160">
        <v>81.5</v>
      </c>
      <c r="I37" s="160">
        <v>81.5</v>
      </c>
      <c r="J37" s="159"/>
      <c r="K37" s="159"/>
      <c r="L37" s="159"/>
      <c r="M37" s="159"/>
      <c r="N37" s="159"/>
      <c r="O37" s="159"/>
      <c r="P37" s="159"/>
      <c r="Q37" s="159"/>
      <c r="R37" s="160"/>
      <c r="S37" s="160"/>
      <c r="T37" s="159"/>
      <c r="U37" s="354">
        <f t="shared" si="4"/>
        <v>82</v>
      </c>
      <c r="V37" s="355" t="str">
        <f>IF(U37&gt;KKM!$G$10,"A",IF(U37&gt;KKM!$H$10,"B",IF(U37&gt;=KKM!$I$10,"C","D")))</f>
        <v>B</v>
      </c>
      <c r="W37" s="356">
        <f t="shared" si="0"/>
        <v>81.5</v>
      </c>
      <c r="X37" s="361" t="str">
        <f>IF(W37&gt;KKM!$G$10," sangat baik ",IF(W37&gt;KKM!$H$10," baik ",IF(W37&gt;=KKM!$I$10," cukup baik "," perlu bimbingan ")))</f>
        <v xml:space="preserve"> baik </v>
      </c>
      <c r="Y37" s="357">
        <f t="shared" si="1"/>
        <v>81.5</v>
      </c>
      <c r="Z37" s="361" t="str">
        <f>IF(Y37&gt;KKM!$G$10," sangat baik ",IF(Y37&gt;KKM!$H$10," baik ",IF(Y37&gt;=KKM!$I$10," cukup baik "," perlu bimbingan ")))</f>
        <v xml:space="preserve"> baik </v>
      </c>
      <c r="AA37" s="353" t="str">
        <f t="shared" si="5"/>
        <v xml:space="preserve">NAFILA baik  dalam menyajikan ringkasan teks penjelasan (eksplanasi) dari media cetak atau elektronik dengan menggunakan kosakata baku dan kalimat efektif secara lisan, tulis, dan visual.
</v>
      </c>
      <c r="AB37" s="256"/>
      <c r="AC37" s="257" t="str">
        <f t="shared" si="2"/>
        <v xml:space="preserve"> baik  dalam menyajikan ringkasan teks penjelasan (eksplanasi) dari media cetak atau elektronik dengan menggunakan kosakata baku dan kalimat efektif secara lisan, tulis, dan visual.
</v>
      </c>
      <c r="AD37" s="257" t="str">
        <f t="shared" si="3"/>
        <v xml:space="preserve"> baik  dalam menyajikan ringkasan teks penjelasan (eksplanasi) dari media cetak atau elektronik dengan menggunakan kosakata baku dan kalimat efektif secara lisan, tulis, dan visual.
</v>
      </c>
      <c r="AE37"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37" s="257" t="str">
        <f t="shared" si="7"/>
        <v xml:space="preserve"> baik  dalam menyajikan ringkasan teks penjelasan (eksplanasi) dari media cetak atau elektronik dengan menggunakan kosakata baku dan kalimat efektif secara lisan, tulis, dan visual.
</v>
      </c>
      <c r="AG37" s="258" t="str">
        <f t="shared" si="8"/>
        <v xml:space="preserve"> baik  dalam menyajikan ringkasan teks penjelasan (eksplanasi) dari media cetak atau elektronik dengan menggunakan kosakata baku dan kalimat efektif secara lisan, tulis, dan visual.
</v>
      </c>
      <c r="AH37" s="252" t="str">
        <f t="shared" si="9"/>
        <v xml:space="preserve">NAFILA baik  dalam menyajikan ringkasan teks penjelasan (eksplanasi) dari media cetak atau elektronik dengan menggunakan kosakata baku dan kalimat efektif secara lisan, tulis, dan visual.
</v>
      </c>
      <c r="AI37" s="153"/>
      <c r="AS37" s="469">
        <f t="shared" si="10"/>
        <v>82</v>
      </c>
    </row>
    <row r="38" spans="2:45" ht="65.25" customHeight="1">
      <c r="B38" s="142">
        <v>34</v>
      </c>
      <c r="C38" s="143" t="str">
        <f>SISWA!B39</f>
        <v>1718250040338</v>
      </c>
      <c r="D38" s="144" t="str">
        <f>SISWA!E39</f>
        <v>NAZZALA</v>
      </c>
      <c r="E38" s="159">
        <v>89</v>
      </c>
      <c r="F38" s="160">
        <v>89</v>
      </c>
      <c r="G38" s="160">
        <v>89</v>
      </c>
      <c r="H38" s="160">
        <v>89</v>
      </c>
      <c r="I38" s="160">
        <v>89</v>
      </c>
      <c r="J38" s="159"/>
      <c r="K38" s="159"/>
      <c r="L38" s="159"/>
      <c r="M38" s="159"/>
      <c r="N38" s="159"/>
      <c r="O38" s="159"/>
      <c r="P38" s="159"/>
      <c r="Q38" s="159"/>
      <c r="R38" s="160"/>
      <c r="S38" s="160"/>
      <c r="T38" s="159"/>
      <c r="U38" s="354">
        <f t="shared" si="4"/>
        <v>89</v>
      </c>
      <c r="V38" s="355" t="str">
        <f>IF(U38&gt;KKM!$G$10,"A",IF(U38&gt;KKM!$H$10,"B",IF(U38&gt;=KKM!$I$10,"C","D")))</f>
        <v>A</v>
      </c>
      <c r="W38" s="356">
        <f t="shared" si="0"/>
        <v>89</v>
      </c>
      <c r="X38" s="361" t="str">
        <f>IF(W38&gt;KKM!$G$10," sangat baik ",IF(W38&gt;KKM!$H$10," baik ",IF(W38&gt;=KKM!$I$10," cukup baik "," perlu bimbingan ")))</f>
        <v xml:space="preserve"> sangat baik </v>
      </c>
      <c r="Y38" s="357">
        <f t="shared" si="1"/>
        <v>89</v>
      </c>
      <c r="Z38" s="361" t="str">
        <f>IF(Y38&gt;KKM!$G$10," sangat baik ",IF(Y38&gt;KKM!$H$10," baik ",IF(Y38&gt;=KKM!$I$10," cukup baik "," perlu bimbingan ")))</f>
        <v xml:space="preserve"> sangat baik </v>
      </c>
      <c r="AA38" s="353" t="str">
        <f t="shared" si="5"/>
        <v xml:space="preserve">NAZZALA sangat baik  dalam menyajikan ringkasan teks penjelasan (eksplanasi) dari media cetak atau elektronik dengan menggunakan kosakata baku dan kalimat efektif secara lisan, tulis, dan visual.
</v>
      </c>
      <c r="AB38" s="256"/>
      <c r="AC38" s="257" t="str">
        <f t="shared" si="2"/>
        <v xml:space="preserve"> sangat baik  dalam menyajikan ringkasan teks penjelasan (eksplanasi) dari media cetak atau elektronik dengan menggunakan kosakata baku dan kalimat efektif secara lisan, tulis, dan visual.
</v>
      </c>
      <c r="AD38" s="257" t="str">
        <f t="shared" si="3"/>
        <v xml:space="preserve"> sangat baik  dalam menyajikan ringkasan teks penjelasan (eksplanasi) dari media cetak atau elektronik dengan menggunakan kosakata baku dan kalimat efektif secara lisan, tulis, dan visual.
</v>
      </c>
      <c r="AE38"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38" s="257" t="str">
        <f t="shared" si="7"/>
        <v xml:space="preserve"> sangat baik  dalam menyajikan ringkasan teks penjelasan (eksplanasi) dari media cetak atau elektronik dengan menggunakan kosakata baku dan kalimat efektif secara lisan, tulis, dan visual.
</v>
      </c>
      <c r="AG38" s="258" t="str">
        <f t="shared" si="8"/>
        <v xml:space="preserve"> sangat baik  dalam menyajikan ringkasan teks penjelasan (eksplanasi) dari media cetak atau elektronik dengan menggunakan kosakata baku dan kalimat efektif secara lisan, tulis, dan visual.
</v>
      </c>
      <c r="AH38" s="252" t="str">
        <f t="shared" si="9"/>
        <v xml:space="preserve">NAZZALA sangat baik  dalam menyajikan ringkasan teks penjelasan (eksplanasi) dari media cetak atau elektronik dengan menggunakan kosakata baku dan kalimat efektif secara lisan, tulis, dan visual.
</v>
      </c>
      <c r="AI38" s="153"/>
      <c r="AS38" s="469">
        <f t="shared" si="10"/>
        <v>89</v>
      </c>
    </row>
    <row r="39" spans="2:45" ht="65.25" customHeight="1">
      <c r="B39" s="142">
        <v>35</v>
      </c>
      <c r="C39" s="143" t="str">
        <f>SISWA!B40</f>
        <v>1718250040339</v>
      </c>
      <c r="D39" s="144" t="str">
        <f>SISWA!E40</f>
        <v>RAFAREL</v>
      </c>
      <c r="E39" s="159">
        <v>81</v>
      </c>
      <c r="F39" s="160">
        <v>81</v>
      </c>
      <c r="G39" s="160">
        <v>81</v>
      </c>
      <c r="H39" s="160">
        <v>81</v>
      </c>
      <c r="I39" s="160">
        <v>81</v>
      </c>
      <c r="J39" s="159"/>
      <c r="K39" s="159"/>
      <c r="L39" s="159"/>
      <c r="M39" s="159"/>
      <c r="N39" s="159"/>
      <c r="O39" s="159"/>
      <c r="P39" s="159"/>
      <c r="Q39" s="159"/>
      <c r="R39" s="160"/>
      <c r="S39" s="160"/>
      <c r="T39" s="159"/>
      <c r="U39" s="354">
        <f t="shared" si="4"/>
        <v>81</v>
      </c>
      <c r="V39" s="355" t="str">
        <f>IF(U39&gt;KKM!$G$10,"A",IF(U39&gt;KKM!$H$10,"B",IF(U39&gt;=KKM!$I$10,"C","D")))</f>
        <v>B</v>
      </c>
      <c r="W39" s="356">
        <f t="shared" si="0"/>
        <v>81</v>
      </c>
      <c r="X39" s="361" t="str">
        <f>IF(W39&gt;KKM!$G$10," sangat baik ",IF(W39&gt;KKM!$H$10," baik ",IF(W39&gt;=KKM!$I$10," cukup baik "," perlu bimbingan ")))</f>
        <v xml:space="preserve"> baik </v>
      </c>
      <c r="Y39" s="357">
        <f t="shared" si="1"/>
        <v>81</v>
      </c>
      <c r="Z39" s="361" t="str">
        <f>IF(Y39&gt;KKM!$G$10," sangat baik ",IF(Y39&gt;KKM!$H$10," baik ",IF(Y39&gt;=KKM!$I$10," cukup baik "," perlu bimbingan ")))</f>
        <v xml:space="preserve"> baik </v>
      </c>
      <c r="AA39" s="353" t="str">
        <f t="shared" si="5"/>
        <v xml:space="preserve">RAFAREL baik  dalam menyajikan ringkasan teks penjelasan (eksplanasi) dari media cetak atau elektronik dengan menggunakan kosakata baku dan kalimat efektif secara lisan, tulis, dan visual.
</v>
      </c>
      <c r="AB39" s="256"/>
      <c r="AC39" s="257" t="str">
        <f t="shared" si="2"/>
        <v xml:space="preserve"> baik  dalam menyajikan ringkasan teks penjelasan (eksplanasi) dari media cetak atau elektronik dengan menggunakan kosakata baku dan kalimat efektif secara lisan, tulis, dan visual.
</v>
      </c>
      <c r="AD39" s="257" t="str">
        <f t="shared" si="3"/>
        <v xml:space="preserve"> baik  dalam menyajikan ringkasan teks penjelasan (eksplanasi) dari media cetak atau elektronik dengan menggunakan kosakata baku dan kalimat efektif secara lisan, tulis, dan visual.
</v>
      </c>
      <c r="AE39"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39" s="257" t="str">
        <f t="shared" si="7"/>
        <v xml:space="preserve"> baik  dalam menyajikan ringkasan teks penjelasan (eksplanasi) dari media cetak atau elektronik dengan menggunakan kosakata baku dan kalimat efektif secara lisan, tulis, dan visual.
</v>
      </c>
      <c r="AG39" s="258" t="str">
        <f t="shared" si="8"/>
        <v xml:space="preserve"> baik  dalam menyajikan ringkasan teks penjelasan (eksplanasi) dari media cetak atau elektronik dengan menggunakan kosakata baku dan kalimat efektif secara lisan, tulis, dan visual.
</v>
      </c>
      <c r="AH39" s="252" t="str">
        <f t="shared" si="9"/>
        <v xml:space="preserve">RAFAREL baik  dalam menyajikan ringkasan teks penjelasan (eksplanasi) dari media cetak atau elektronik dengan menggunakan kosakata baku dan kalimat efektif secara lisan, tulis, dan visual.
</v>
      </c>
      <c r="AI39" s="153"/>
      <c r="AS39" s="469">
        <f t="shared" si="10"/>
        <v>81</v>
      </c>
    </row>
    <row r="40" spans="2:45" ht="65.25" customHeight="1">
      <c r="B40" s="142">
        <v>36</v>
      </c>
      <c r="C40" s="143" t="str">
        <f>SISWA!B41</f>
        <v>1718250040340</v>
      </c>
      <c r="D40" s="144" t="str">
        <f>SISWA!E41</f>
        <v>RAKHA</v>
      </c>
      <c r="E40" s="159">
        <v>86</v>
      </c>
      <c r="F40" s="160">
        <v>86</v>
      </c>
      <c r="G40" s="160">
        <v>86</v>
      </c>
      <c r="H40" s="160">
        <v>86</v>
      </c>
      <c r="I40" s="160">
        <v>86</v>
      </c>
      <c r="J40" s="159"/>
      <c r="K40" s="159"/>
      <c r="L40" s="159"/>
      <c r="M40" s="159"/>
      <c r="N40" s="159"/>
      <c r="O40" s="159"/>
      <c r="P40" s="159"/>
      <c r="Q40" s="159"/>
      <c r="R40" s="160"/>
      <c r="S40" s="160"/>
      <c r="T40" s="159"/>
      <c r="U40" s="354">
        <f t="shared" si="4"/>
        <v>86</v>
      </c>
      <c r="V40" s="355" t="str">
        <f>IF(U40&gt;KKM!$G$10,"A",IF(U40&gt;KKM!$H$10,"B",IF(U40&gt;=KKM!$I$10,"C","D")))</f>
        <v>B</v>
      </c>
      <c r="W40" s="356">
        <f t="shared" si="0"/>
        <v>86</v>
      </c>
      <c r="X40" s="361" t="str">
        <f>IF(W40&gt;KKM!$G$10," sangat baik ",IF(W40&gt;KKM!$H$10," baik ",IF(W40&gt;=KKM!$I$10," cukup baik "," perlu bimbingan ")))</f>
        <v xml:space="preserve"> baik </v>
      </c>
      <c r="Y40" s="357">
        <f t="shared" si="1"/>
        <v>86</v>
      </c>
      <c r="Z40" s="361" t="str">
        <f>IF(Y40&gt;KKM!$G$10," sangat baik ",IF(Y40&gt;KKM!$H$10," baik ",IF(Y40&gt;=KKM!$I$10," cukup baik "," perlu bimbingan ")))</f>
        <v xml:space="preserve"> baik </v>
      </c>
      <c r="AA40" s="353" t="str">
        <f t="shared" si="5"/>
        <v xml:space="preserve">RAKHA baik  dalam menyajikan ringkasan teks penjelasan (eksplanasi) dari media cetak atau elektronik dengan menggunakan kosakata baku dan kalimat efektif secara lisan, tulis, dan visual.
</v>
      </c>
      <c r="AB40" s="256"/>
      <c r="AC40" s="257" t="str">
        <f t="shared" si="2"/>
        <v xml:space="preserve"> baik  dalam menyajikan ringkasan teks penjelasan (eksplanasi) dari media cetak atau elektronik dengan menggunakan kosakata baku dan kalimat efektif secara lisan, tulis, dan visual.
</v>
      </c>
      <c r="AD40" s="257" t="str">
        <f t="shared" si="3"/>
        <v xml:space="preserve"> baik  dalam menyajikan ringkasan teks penjelasan (eksplanasi) dari media cetak atau elektronik dengan menggunakan kosakata baku dan kalimat efektif secara lisan, tulis, dan visual.
</v>
      </c>
      <c r="AE40"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40" s="257" t="str">
        <f t="shared" si="7"/>
        <v xml:space="preserve"> baik  dalam menyajikan ringkasan teks penjelasan (eksplanasi) dari media cetak atau elektronik dengan menggunakan kosakata baku dan kalimat efektif secara lisan, tulis, dan visual.
</v>
      </c>
      <c r="AG40" s="258" t="str">
        <f t="shared" si="8"/>
        <v xml:space="preserve"> baik  dalam menyajikan ringkasan teks penjelasan (eksplanasi) dari media cetak atau elektronik dengan menggunakan kosakata baku dan kalimat efektif secara lisan, tulis, dan visual.
</v>
      </c>
      <c r="AH40" s="252" t="str">
        <f t="shared" si="9"/>
        <v xml:space="preserve">RAKHA baik  dalam menyajikan ringkasan teks penjelasan (eksplanasi) dari media cetak atau elektronik dengan menggunakan kosakata baku dan kalimat efektif secara lisan, tulis, dan visual.
</v>
      </c>
      <c r="AI40" s="153"/>
      <c r="AS40" s="469">
        <f t="shared" si="10"/>
        <v>86</v>
      </c>
    </row>
    <row r="41" spans="2:45" ht="65.25" customHeight="1">
      <c r="B41" s="142">
        <v>37</v>
      </c>
      <c r="C41" s="143" t="str">
        <f>SISWA!B42</f>
        <v>1718250040341</v>
      </c>
      <c r="D41" s="144" t="str">
        <f>SISWA!E42</f>
        <v>RYU</v>
      </c>
      <c r="E41" s="159">
        <v>83.25</v>
      </c>
      <c r="F41" s="160">
        <v>83.25</v>
      </c>
      <c r="G41" s="160">
        <v>83.25</v>
      </c>
      <c r="H41" s="160">
        <v>83.25</v>
      </c>
      <c r="I41" s="160">
        <v>83.25</v>
      </c>
      <c r="J41" s="159"/>
      <c r="K41" s="159"/>
      <c r="L41" s="159"/>
      <c r="M41" s="159"/>
      <c r="N41" s="159"/>
      <c r="O41" s="159"/>
      <c r="P41" s="159"/>
      <c r="Q41" s="159"/>
      <c r="R41" s="160"/>
      <c r="S41" s="160"/>
      <c r="T41" s="159"/>
      <c r="U41" s="354">
        <f t="shared" si="4"/>
        <v>83</v>
      </c>
      <c r="V41" s="355" t="str">
        <f>IF(U41&gt;KKM!$G$10,"A",IF(U41&gt;KKM!$H$10,"B",IF(U41&gt;=KKM!$I$10,"C","D")))</f>
        <v>B</v>
      </c>
      <c r="W41" s="356">
        <f t="shared" si="0"/>
        <v>83.25</v>
      </c>
      <c r="X41" s="361" t="str">
        <f>IF(W41&gt;KKM!$G$10," sangat baik ",IF(W41&gt;KKM!$H$10," baik ",IF(W41&gt;=KKM!$I$10," cukup baik "," perlu bimbingan ")))</f>
        <v xml:space="preserve"> baik </v>
      </c>
      <c r="Y41" s="357">
        <f t="shared" si="1"/>
        <v>83.25</v>
      </c>
      <c r="Z41" s="361" t="str">
        <f>IF(Y41&gt;KKM!$G$10," sangat baik ",IF(Y41&gt;KKM!$H$10," baik ",IF(Y41&gt;=KKM!$I$10," cukup baik "," perlu bimbingan ")))</f>
        <v xml:space="preserve"> baik </v>
      </c>
      <c r="AA41" s="353" t="str">
        <f t="shared" si="5"/>
        <v xml:space="preserve">RYU baik  dalam menyajikan ringkasan teks penjelasan (eksplanasi) dari media cetak atau elektronik dengan menggunakan kosakata baku dan kalimat efektif secara lisan, tulis, dan visual.
</v>
      </c>
      <c r="AB41" s="256"/>
      <c r="AC41" s="257" t="str">
        <f t="shared" si="2"/>
        <v xml:space="preserve"> baik  dalam menyajikan ringkasan teks penjelasan (eksplanasi) dari media cetak atau elektronik dengan menggunakan kosakata baku dan kalimat efektif secara lisan, tulis, dan visual.
</v>
      </c>
      <c r="AD41" s="257" t="str">
        <f t="shared" si="3"/>
        <v xml:space="preserve"> baik  dalam menyajikan ringkasan teks penjelasan (eksplanasi) dari media cetak atau elektronik dengan menggunakan kosakata baku dan kalimat efektif secara lisan, tulis, dan visual.
</v>
      </c>
      <c r="AE41"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41" s="257" t="str">
        <f t="shared" si="7"/>
        <v xml:space="preserve"> baik  dalam menyajikan ringkasan teks penjelasan (eksplanasi) dari media cetak atau elektronik dengan menggunakan kosakata baku dan kalimat efektif secara lisan, tulis, dan visual.
</v>
      </c>
      <c r="AG41" s="258" t="str">
        <f t="shared" si="8"/>
        <v xml:space="preserve"> baik  dalam menyajikan ringkasan teks penjelasan (eksplanasi) dari media cetak atau elektronik dengan menggunakan kosakata baku dan kalimat efektif secara lisan, tulis, dan visual.
</v>
      </c>
      <c r="AH41" s="252" t="str">
        <f t="shared" si="9"/>
        <v xml:space="preserve">RYU baik  dalam menyajikan ringkasan teks penjelasan (eksplanasi) dari media cetak atau elektronik dengan menggunakan kosakata baku dan kalimat efektif secara lisan, tulis, dan visual.
</v>
      </c>
      <c r="AI41" s="153"/>
      <c r="AS41" s="469">
        <f t="shared" si="10"/>
        <v>83</v>
      </c>
    </row>
    <row r="42" spans="2:45" ht="65.25" customHeight="1">
      <c r="B42" s="142">
        <v>38</v>
      </c>
      <c r="C42" s="143" t="str">
        <f>SISWA!B43</f>
        <v>1718250040342</v>
      </c>
      <c r="D42" s="144" t="str">
        <f>SISWA!E43</f>
        <v>SAEPUL</v>
      </c>
      <c r="E42" s="159">
        <v>82</v>
      </c>
      <c r="F42" s="160">
        <v>82</v>
      </c>
      <c r="G42" s="160">
        <v>82</v>
      </c>
      <c r="H42" s="160">
        <v>82</v>
      </c>
      <c r="I42" s="160">
        <v>82</v>
      </c>
      <c r="J42" s="159"/>
      <c r="K42" s="159"/>
      <c r="L42" s="159"/>
      <c r="M42" s="159"/>
      <c r="N42" s="159"/>
      <c r="O42" s="159"/>
      <c r="P42" s="159"/>
      <c r="Q42" s="159"/>
      <c r="R42" s="160"/>
      <c r="S42" s="160"/>
      <c r="T42" s="159"/>
      <c r="U42" s="354">
        <f t="shared" si="4"/>
        <v>82</v>
      </c>
      <c r="V42" s="355" t="str">
        <f>IF(U42&gt;KKM!$G$10,"A",IF(U42&gt;KKM!$H$10,"B",IF(U42&gt;=KKM!$I$10,"C","D")))</f>
        <v>B</v>
      </c>
      <c r="W42" s="356">
        <f t="shared" si="0"/>
        <v>82</v>
      </c>
      <c r="X42" s="361" t="str">
        <f>IF(W42&gt;KKM!$G$10," sangat baik ",IF(W42&gt;KKM!$H$10," baik ",IF(W42&gt;=KKM!$I$10," cukup baik "," perlu bimbingan ")))</f>
        <v xml:space="preserve"> baik </v>
      </c>
      <c r="Y42" s="357">
        <f t="shared" si="1"/>
        <v>82</v>
      </c>
      <c r="Z42" s="361" t="str">
        <f>IF(Y42&gt;KKM!$G$10," sangat baik ",IF(Y42&gt;KKM!$H$10," baik ",IF(Y42&gt;=KKM!$I$10," cukup baik "," perlu bimbingan ")))</f>
        <v xml:space="preserve"> baik </v>
      </c>
      <c r="AA42" s="353" t="str">
        <f t="shared" si="5"/>
        <v xml:space="preserve">SAEPUL baik  dalam menyajikan ringkasan teks penjelasan (eksplanasi) dari media cetak atau elektronik dengan menggunakan kosakata baku dan kalimat efektif secara lisan, tulis, dan visual.
</v>
      </c>
      <c r="AB42" s="256"/>
      <c r="AC42" s="257" t="str">
        <f t="shared" si="2"/>
        <v xml:space="preserve"> baik  dalam menyajikan ringkasan teks penjelasan (eksplanasi) dari media cetak atau elektronik dengan menggunakan kosakata baku dan kalimat efektif secara lisan, tulis, dan visual.
</v>
      </c>
      <c r="AD42" s="257" t="str">
        <f t="shared" si="3"/>
        <v xml:space="preserve"> baik  dalam menyajikan ringkasan teks penjelasan (eksplanasi) dari media cetak atau elektronik dengan menggunakan kosakata baku dan kalimat efektif secara lisan, tulis, dan visual.
</v>
      </c>
      <c r="AE42"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42" s="257" t="str">
        <f t="shared" si="7"/>
        <v xml:space="preserve"> baik  dalam menyajikan ringkasan teks penjelasan (eksplanasi) dari media cetak atau elektronik dengan menggunakan kosakata baku dan kalimat efektif secara lisan, tulis, dan visual.
</v>
      </c>
      <c r="AG42" s="258" t="str">
        <f t="shared" si="8"/>
        <v xml:space="preserve"> baik  dalam menyajikan ringkasan teks penjelasan (eksplanasi) dari media cetak atau elektronik dengan menggunakan kosakata baku dan kalimat efektif secara lisan, tulis, dan visual.
</v>
      </c>
      <c r="AH42" s="252" t="str">
        <f t="shared" si="9"/>
        <v xml:space="preserve">SAEPUL baik  dalam menyajikan ringkasan teks penjelasan (eksplanasi) dari media cetak atau elektronik dengan menggunakan kosakata baku dan kalimat efektif secara lisan, tulis, dan visual.
</v>
      </c>
      <c r="AI42" s="153"/>
      <c r="AS42" s="469">
        <f t="shared" si="10"/>
        <v>82</v>
      </c>
    </row>
    <row r="43" spans="2:45" ht="65.25" customHeight="1">
      <c r="B43" s="142">
        <v>39</v>
      </c>
      <c r="C43" s="143" t="str">
        <f>SISWA!B44</f>
        <v>1718250040343</v>
      </c>
      <c r="D43" s="144" t="str">
        <f>SISWA!E44</f>
        <v>SALMA</v>
      </c>
      <c r="E43" s="159">
        <v>84.75</v>
      </c>
      <c r="F43" s="160">
        <v>84.75</v>
      </c>
      <c r="G43" s="160">
        <v>84.75</v>
      </c>
      <c r="H43" s="160">
        <v>84.75</v>
      </c>
      <c r="I43" s="160">
        <v>84.75</v>
      </c>
      <c r="J43" s="159"/>
      <c r="K43" s="159"/>
      <c r="L43" s="159"/>
      <c r="M43" s="159"/>
      <c r="N43" s="159"/>
      <c r="O43" s="159"/>
      <c r="P43" s="159"/>
      <c r="Q43" s="159"/>
      <c r="R43" s="160"/>
      <c r="S43" s="160"/>
      <c r="T43" s="159"/>
      <c r="U43" s="354">
        <f t="shared" si="4"/>
        <v>85</v>
      </c>
      <c r="V43" s="355" t="str">
        <f>IF(U43&gt;KKM!$G$10,"A",IF(U43&gt;KKM!$H$10,"B",IF(U43&gt;=KKM!$I$10,"C","D")))</f>
        <v>B</v>
      </c>
      <c r="W43" s="356">
        <f t="shared" si="0"/>
        <v>84.75</v>
      </c>
      <c r="X43" s="361" t="str">
        <f>IF(W43&gt;KKM!$G$10," sangat baik ",IF(W43&gt;KKM!$H$10," baik ",IF(W43&gt;=KKM!$I$10," cukup baik "," perlu bimbingan ")))</f>
        <v xml:space="preserve"> baik </v>
      </c>
      <c r="Y43" s="357">
        <f t="shared" si="1"/>
        <v>84.75</v>
      </c>
      <c r="Z43" s="361" t="str">
        <f>IF(Y43&gt;KKM!$G$10," sangat baik ",IF(Y43&gt;KKM!$H$10," baik ",IF(Y43&gt;=KKM!$I$10," cukup baik "," perlu bimbingan ")))</f>
        <v xml:space="preserve"> baik </v>
      </c>
      <c r="AA43" s="353" t="str">
        <f t="shared" si="5"/>
        <v xml:space="preserve">SALMA baik  dalam menyajikan ringkasan teks penjelasan (eksplanasi) dari media cetak atau elektronik dengan menggunakan kosakata baku dan kalimat efektif secara lisan, tulis, dan visual.
</v>
      </c>
      <c r="AB43" s="256"/>
      <c r="AC43" s="257" t="str">
        <f t="shared" si="2"/>
        <v xml:space="preserve"> baik  dalam menyajikan ringkasan teks penjelasan (eksplanasi) dari media cetak atau elektronik dengan menggunakan kosakata baku dan kalimat efektif secara lisan, tulis, dan visual.
</v>
      </c>
      <c r="AD43" s="257" t="str">
        <f t="shared" si="3"/>
        <v xml:space="preserve"> baik  dalam menyajikan ringkasan teks penjelasan (eksplanasi) dari media cetak atau elektronik dengan menggunakan kosakata baku dan kalimat efektif secara lisan, tulis, dan visual.
</v>
      </c>
      <c r="AE43"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43" s="257" t="str">
        <f t="shared" si="7"/>
        <v xml:space="preserve"> baik  dalam menyajikan ringkasan teks penjelasan (eksplanasi) dari media cetak atau elektronik dengan menggunakan kosakata baku dan kalimat efektif secara lisan, tulis, dan visual.
</v>
      </c>
      <c r="AG43" s="258" t="str">
        <f t="shared" si="8"/>
        <v xml:space="preserve"> baik  dalam menyajikan ringkasan teks penjelasan (eksplanasi) dari media cetak atau elektronik dengan menggunakan kosakata baku dan kalimat efektif secara lisan, tulis, dan visual.
</v>
      </c>
      <c r="AH43" s="252" t="str">
        <f t="shared" si="9"/>
        <v xml:space="preserve">SALMA baik  dalam menyajikan ringkasan teks penjelasan (eksplanasi) dari media cetak atau elektronik dengan menggunakan kosakata baku dan kalimat efektif secara lisan, tulis, dan visual.
</v>
      </c>
      <c r="AI43" s="153"/>
      <c r="AS43" s="469">
        <f t="shared" si="10"/>
        <v>85</v>
      </c>
    </row>
    <row r="44" spans="2:45" ht="65.25" customHeight="1">
      <c r="B44" s="142">
        <v>40</v>
      </c>
      <c r="C44" s="143" t="str">
        <f>SISWA!B45</f>
        <v>1718250040344</v>
      </c>
      <c r="D44" s="144" t="str">
        <f>SISWA!E45</f>
        <v>SYAKILA</v>
      </c>
      <c r="E44" s="159">
        <v>91</v>
      </c>
      <c r="F44" s="160">
        <v>91</v>
      </c>
      <c r="G44" s="160">
        <v>91</v>
      </c>
      <c r="H44" s="160">
        <v>91</v>
      </c>
      <c r="I44" s="160">
        <v>91</v>
      </c>
      <c r="J44" s="159"/>
      <c r="K44" s="159"/>
      <c r="L44" s="159"/>
      <c r="M44" s="159"/>
      <c r="N44" s="159"/>
      <c r="O44" s="159"/>
      <c r="P44" s="159"/>
      <c r="Q44" s="159"/>
      <c r="R44" s="160"/>
      <c r="S44" s="160"/>
      <c r="T44" s="159"/>
      <c r="U44" s="354">
        <f t="shared" si="4"/>
        <v>91</v>
      </c>
      <c r="V44" s="355" t="str">
        <f>IF(U44&gt;KKM!$G$10,"A",IF(U44&gt;KKM!$H$10,"B",IF(U44&gt;=KKM!$I$10,"C","D")))</f>
        <v>A</v>
      </c>
      <c r="W44" s="356">
        <f t="shared" si="0"/>
        <v>91</v>
      </c>
      <c r="X44" s="361" t="str">
        <f>IF(W44&gt;KKM!$G$10," sangat baik ",IF(W44&gt;KKM!$H$10," baik ",IF(W44&gt;=KKM!$I$10," cukup baik "," perlu bimbingan ")))</f>
        <v xml:space="preserve"> sangat baik </v>
      </c>
      <c r="Y44" s="357">
        <f t="shared" si="1"/>
        <v>91</v>
      </c>
      <c r="Z44" s="361" t="str">
        <f>IF(Y44&gt;KKM!$G$10," sangat baik ",IF(Y44&gt;KKM!$H$10," baik ",IF(Y44&gt;=KKM!$I$10," cukup baik "," perlu bimbingan ")))</f>
        <v xml:space="preserve"> sangat baik </v>
      </c>
      <c r="AA44" s="353" t="str">
        <f t="shared" si="5"/>
        <v xml:space="preserve">SYAKILA sangat baik  dalam menyajikan ringkasan teks penjelasan (eksplanasi) dari media cetak atau elektronik dengan menggunakan kosakata baku dan kalimat efektif secara lisan, tulis, dan visual.
</v>
      </c>
      <c r="AB44" s="256"/>
      <c r="AC44" s="257" t="str">
        <f t="shared" si="2"/>
        <v xml:space="preserve"> sangat baik  dalam menyajikan ringkasan teks penjelasan (eksplanasi) dari media cetak atau elektronik dengan menggunakan kosakata baku dan kalimat efektif secara lisan, tulis, dan visual.
</v>
      </c>
      <c r="AD44" s="257" t="str">
        <f t="shared" si="3"/>
        <v xml:space="preserve"> sangat baik  dalam menyajikan ringkasan teks penjelasan (eksplanasi) dari media cetak atau elektronik dengan menggunakan kosakata baku dan kalimat efektif secara lisan, tulis, dan visual.
</v>
      </c>
      <c r="AE44"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44" s="257" t="str">
        <f t="shared" si="7"/>
        <v xml:space="preserve"> sangat baik  dalam menyajikan ringkasan teks penjelasan (eksplanasi) dari media cetak atau elektronik dengan menggunakan kosakata baku dan kalimat efektif secara lisan, tulis, dan visual.
</v>
      </c>
      <c r="AG44" s="258" t="str">
        <f t="shared" si="8"/>
        <v xml:space="preserve"> sangat baik  dalam menyajikan ringkasan teks penjelasan (eksplanasi) dari media cetak atau elektronik dengan menggunakan kosakata baku dan kalimat efektif secara lisan, tulis, dan visual.
</v>
      </c>
      <c r="AH44" s="252" t="str">
        <f t="shared" si="9"/>
        <v xml:space="preserve">SYAKILA sangat baik  dalam menyajikan ringkasan teks penjelasan (eksplanasi) dari media cetak atau elektronik dengan menggunakan kosakata baku dan kalimat efektif secara lisan, tulis, dan visual.
</v>
      </c>
      <c r="AI44" s="153"/>
      <c r="AS44" s="469">
        <f t="shared" si="10"/>
        <v>91</v>
      </c>
    </row>
    <row r="45" spans="2:45" ht="65.25" customHeight="1">
      <c r="B45" s="142">
        <v>41</v>
      </c>
      <c r="C45" s="143" t="str">
        <f>SISWA!B46</f>
        <v>1718250040345</v>
      </c>
      <c r="D45" s="144" t="str">
        <f>SISWA!E46</f>
        <v>SYIFA</v>
      </c>
      <c r="E45" s="159">
        <v>74.75</v>
      </c>
      <c r="F45" s="160">
        <v>74.75</v>
      </c>
      <c r="G45" s="160">
        <v>74.75</v>
      </c>
      <c r="H45" s="160">
        <v>74.75</v>
      </c>
      <c r="I45" s="160">
        <v>74.75</v>
      </c>
      <c r="J45" s="159"/>
      <c r="K45" s="159"/>
      <c r="L45" s="159"/>
      <c r="M45" s="159"/>
      <c r="N45" s="159"/>
      <c r="O45" s="159"/>
      <c r="P45" s="159"/>
      <c r="Q45" s="159"/>
      <c r="R45" s="160"/>
      <c r="S45" s="160"/>
      <c r="T45" s="159"/>
      <c r="U45" s="354">
        <f t="shared" si="4"/>
        <v>75</v>
      </c>
      <c r="V45" s="355" t="str">
        <f>IF(U45&gt;KKM!$G$10,"A",IF(U45&gt;KKM!$H$10,"B",IF(U45&gt;=KKM!$I$10,"C","D")))</f>
        <v>C</v>
      </c>
      <c r="W45" s="356">
        <f t="shared" si="0"/>
        <v>74.75</v>
      </c>
      <c r="X45" s="361" t="str">
        <f>IF(W45&gt;KKM!$G$10," sangat baik ",IF(W45&gt;KKM!$H$10," baik ",IF(W45&gt;=KKM!$I$10," cukup baik "," perlu bimbingan ")))</f>
        <v xml:space="preserve"> cukup baik </v>
      </c>
      <c r="Y45" s="357">
        <f t="shared" si="1"/>
        <v>74.75</v>
      </c>
      <c r="Z45" s="361" t="str">
        <f>IF(Y45&gt;KKM!$G$10," sangat baik ",IF(Y45&gt;KKM!$H$10," baik ",IF(Y45&gt;=KKM!$I$10," cukup baik "," perlu bimbingan ")))</f>
        <v xml:space="preserve"> cukup baik </v>
      </c>
      <c r="AA45" s="353" t="str">
        <f t="shared" si="5"/>
        <v xml:space="preserve">SYIFA cukup baik  dalam menyajikan ringkasan teks penjelasan (eksplanasi) dari media cetak atau elektronik dengan menggunakan kosakata baku dan kalimat efektif secara lisan, tulis, dan visual.
</v>
      </c>
      <c r="AB45" s="256"/>
      <c r="AC45" s="257" t="str">
        <f t="shared" si="2"/>
        <v xml:space="preserve"> cukup baik  dalam menyajikan ringkasan teks penjelasan (eksplanasi) dari media cetak atau elektronik dengan menggunakan kosakata baku dan kalimat efektif secara lisan, tulis, dan visual.
</v>
      </c>
      <c r="AD45" s="257" t="str">
        <f t="shared" si="3"/>
        <v xml:space="preserve"> cukup baik  dalam menyajikan ringkasan teks penjelasan (eksplanasi) dari media cetak atau elektronik dengan menggunakan kosakata baku dan kalimat efektif secara lisan, tulis, dan visual.
</v>
      </c>
      <c r="AE45" s="257" t="str">
        <f t="shared" si="6"/>
        <v xml:space="preserve"> cukup baik  dalam menyajikan ringkasan teks penjelasan (eksplanasi) dari media cetak atau elektronik dengan menggunakan kosakata baku dan kalimat efektif secara lisan, tulis, dan visual.
, dan  cukup baik  dalam menyajikan ringkasan teks penjelasan (eksplanasi) dari media cetak atau elektronik dengan menggunakan kosakata baku dan kalimat efektif secara lisan, tulis, dan visual.
</v>
      </c>
      <c r="AF45" s="257" t="str">
        <f t="shared" si="7"/>
        <v xml:space="preserve"> cukup baik  dalam menyajikan ringkasan teks penjelasan (eksplanasi) dari media cetak atau elektronik dengan menggunakan kosakata baku dan kalimat efektif secara lisan, tulis, dan visual.
</v>
      </c>
      <c r="AG45" s="258" t="str">
        <f t="shared" si="8"/>
        <v xml:space="preserve"> cukup baik  dalam menyajikan ringkasan teks penjelasan (eksplanasi) dari media cetak atau elektronik dengan menggunakan kosakata baku dan kalimat efektif secara lisan, tulis, dan visual.
</v>
      </c>
      <c r="AH45" s="252" t="str">
        <f t="shared" si="9"/>
        <v xml:space="preserve">SYIFA cukup baik  dalam menyajikan ringkasan teks penjelasan (eksplanasi) dari media cetak atau elektronik dengan menggunakan kosakata baku dan kalimat efektif secara lisan, tulis, dan visual.
</v>
      </c>
      <c r="AI45" s="153"/>
      <c r="AS45" s="469">
        <f t="shared" si="10"/>
        <v>75</v>
      </c>
    </row>
    <row r="46" spans="2:45" ht="65.25" customHeight="1">
      <c r="B46" s="142">
        <v>42</v>
      </c>
      <c r="C46" s="143" t="str">
        <f>SISWA!B47</f>
        <v>1718250040346</v>
      </c>
      <c r="D46" s="144" t="str">
        <f>SISWA!E47</f>
        <v>WAFDAN</v>
      </c>
      <c r="E46" s="159">
        <v>92.25</v>
      </c>
      <c r="F46" s="160">
        <v>92.25</v>
      </c>
      <c r="G46" s="160">
        <v>92.25</v>
      </c>
      <c r="H46" s="160">
        <v>92.25</v>
      </c>
      <c r="I46" s="160">
        <v>92.25</v>
      </c>
      <c r="J46" s="159"/>
      <c r="K46" s="159"/>
      <c r="L46" s="159"/>
      <c r="M46" s="159"/>
      <c r="N46" s="159"/>
      <c r="O46" s="159"/>
      <c r="P46" s="159"/>
      <c r="Q46" s="159"/>
      <c r="R46" s="160"/>
      <c r="S46" s="160"/>
      <c r="T46" s="159"/>
      <c r="U46" s="354">
        <f t="shared" si="4"/>
        <v>92</v>
      </c>
      <c r="V46" s="355" t="str">
        <f>IF(U46&gt;KKM!$G$10,"A",IF(U46&gt;KKM!$H$10,"B",IF(U46&gt;=KKM!$I$10,"C","D")))</f>
        <v>A</v>
      </c>
      <c r="W46" s="356">
        <f t="shared" si="0"/>
        <v>92.25</v>
      </c>
      <c r="X46" s="361" t="str">
        <f>IF(W46&gt;KKM!$G$10," sangat baik ",IF(W46&gt;KKM!$H$10," baik ",IF(W46&gt;=KKM!$I$10," cukup baik "," perlu bimbingan ")))</f>
        <v xml:space="preserve"> sangat baik </v>
      </c>
      <c r="Y46" s="357">
        <f t="shared" si="1"/>
        <v>92.25</v>
      </c>
      <c r="Z46" s="361" t="str">
        <f>IF(Y46&gt;KKM!$G$10," sangat baik ",IF(Y46&gt;KKM!$H$10," baik ",IF(Y46&gt;=KKM!$I$10," cukup baik "," perlu bimbingan ")))</f>
        <v xml:space="preserve"> sangat baik </v>
      </c>
      <c r="AA46" s="353" t="str">
        <f t="shared" si="5"/>
        <v xml:space="preserve">WAFDAN sangat baik  dalam menyajikan ringkasan teks penjelasan (eksplanasi) dari media cetak atau elektronik dengan menggunakan kosakata baku dan kalimat efektif secara lisan, tulis, dan visual.
</v>
      </c>
      <c r="AB46" s="256"/>
      <c r="AC46" s="257" t="str">
        <f t="shared" si="2"/>
        <v xml:space="preserve"> sangat baik  dalam menyajikan ringkasan teks penjelasan (eksplanasi) dari media cetak atau elektronik dengan menggunakan kosakata baku dan kalimat efektif secara lisan, tulis, dan visual.
</v>
      </c>
      <c r="AD46" s="257" t="str">
        <f t="shared" si="3"/>
        <v xml:space="preserve"> sangat baik  dalam menyajikan ringkasan teks penjelasan (eksplanasi) dari media cetak atau elektronik dengan menggunakan kosakata baku dan kalimat efektif secara lisan, tulis, dan visual.
</v>
      </c>
      <c r="AE46" s="257" t="str">
        <f t="shared" si="6"/>
        <v xml:space="preserve"> sangat baik  dalam menyajikan ringkasan teks penjelasan (eksplanasi) dari media cetak atau elektronik dengan menggunakan kosakata baku dan kalimat efektif secara lisan, tulis, dan visual.
, dan  sangat baik  dalam menyajikan ringkasan teks penjelasan (eksplanasi) dari media cetak atau elektronik dengan menggunakan kosakata baku dan kalimat efektif secara lisan, tulis, dan visual.
</v>
      </c>
      <c r="AF46" s="257" t="str">
        <f t="shared" si="7"/>
        <v xml:space="preserve"> sangat baik  dalam menyajikan ringkasan teks penjelasan (eksplanasi) dari media cetak atau elektronik dengan menggunakan kosakata baku dan kalimat efektif secara lisan, tulis, dan visual.
</v>
      </c>
      <c r="AG46" s="258" t="str">
        <f t="shared" si="8"/>
        <v xml:space="preserve"> sangat baik  dalam menyajikan ringkasan teks penjelasan (eksplanasi) dari media cetak atau elektronik dengan menggunakan kosakata baku dan kalimat efektif secara lisan, tulis, dan visual.
</v>
      </c>
      <c r="AH46" s="252" t="str">
        <f t="shared" si="9"/>
        <v xml:space="preserve">WAFDAN sangat baik  dalam menyajikan ringkasan teks penjelasan (eksplanasi) dari media cetak atau elektronik dengan menggunakan kosakata baku dan kalimat efektif secara lisan, tulis, dan visual.
</v>
      </c>
      <c r="AI46" s="153"/>
      <c r="AS46" s="469">
        <f t="shared" si="10"/>
        <v>92</v>
      </c>
    </row>
    <row r="47" spans="2:45" ht="65.25" customHeight="1">
      <c r="B47" s="142">
        <v>43</v>
      </c>
      <c r="C47" s="143" t="str">
        <f>SISWA!B48</f>
        <v>1718250040347</v>
      </c>
      <c r="D47" s="144" t="str">
        <f>SISWA!E48</f>
        <v>ZEVA</v>
      </c>
      <c r="E47" s="159">
        <v>80.5</v>
      </c>
      <c r="F47" s="160">
        <v>80.5</v>
      </c>
      <c r="G47" s="160">
        <v>80.5</v>
      </c>
      <c r="H47" s="160">
        <v>80.5</v>
      </c>
      <c r="I47" s="160">
        <v>80.5</v>
      </c>
      <c r="J47" s="159"/>
      <c r="K47" s="159"/>
      <c r="L47" s="159"/>
      <c r="M47" s="159"/>
      <c r="N47" s="159"/>
      <c r="O47" s="159"/>
      <c r="P47" s="159"/>
      <c r="Q47" s="159"/>
      <c r="R47" s="160"/>
      <c r="S47" s="160"/>
      <c r="T47" s="159"/>
      <c r="U47" s="354">
        <f t="shared" si="4"/>
        <v>81</v>
      </c>
      <c r="V47" s="355" t="str">
        <f>IF(U47&gt;KKM!$G$10,"A",IF(U47&gt;KKM!$H$10,"B",IF(U47&gt;=KKM!$I$10,"C","D")))</f>
        <v>B</v>
      </c>
      <c r="W47" s="356">
        <f t="shared" si="0"/>
        <v>80.5</v>
      </c>
      <c r="X47" s="361" t="str">
        <f>IF(W47&gt;KKM!$G$10," sangat baik ",IF(W47&gt;KKM!$H$10," baik ",IF(W47&gt;=KKM!$I$10," cukup baik "," perlu bimbingan ")))</f>
        <v xml:space="preserve"> baik </v>
      </c>
      <c r="Y47" s="357">
        <f t="shared" si="1"/>
        <v>80.5</v>
      </c>
      <c r="Z47" s="361" t="str">
        <f>IF(Y47&gt;KKM!$G$10," sangat baik ",IF(Y47&gt;KKM!$H$10," baik ",IF(Y47&gt;=KKM!$I$10," cukup baik "," perlu bimbingan ")))</f>
        <v xml:space="preserve"> baik </v>
      </c>
      <c r="AA47" s="353" t="str">
        <f t="shared" si="5"/>
        <v xml:space="preserve">ZEVA baik  dalam menyajikan ringkasan teks penjelasan (eksplanasi) dari media cetak atau elektronik dengan menggunakan kosakata baku dan kalimat efektif secara lisan, tulis, dan visual.
</v>
      </c>
      <c r="AB47" s="256"/>
      <c r="AC47" s="257" t="str">
        <f t="shared" si="2"/>
        <v xml:space="preserve"> baik  dalam menyajikan ringkasan teks penjelasan (eksplanasi) dari media cetak atau elektronik dengan menggunakan kosakata baku dan kalimat efektif secara lisan, tulis, dan visual.
</v>
      </c>
      <c r="AD47" s="257" t="str">
        <f t="shared" si="3"/>
        <v xml:space="preserve"> baik  dalam menyajikan ringkasan teks penjelasan (eksplanasi) dari media cetak atau elektronik dengan menggunakan kosakata baku dan kalimat efektif secara lisan, tulis, dan visual.
</v>
      </c>
      <c r="AE47" s="257" t="str">
        <f t="shared" si="6"/>
        <v xml:space="preserve"> baik  dalam menyajikan ringkasan teks penjelasan (eksplanasi) dari media cetak atau elektronik dengan menggunakan kosakata baku dan kalimat efektif secara lisan, tulis, dan visual.
, dan  baik  dalam menyajikan ringkasan teks penjelasan (eksplanasi) dari media cetak atau elektronik dengan menggunakan kosakata baku dan kalimat efektif secara lisan, tulis, dan visual.
</v>
      </c>
      <c r="AF47" s="257" t="str">
        <f t="shared" si="7"/>
        <v xml:space="preserve"> baik  dalam menyajikan ringkasan teks penjelasan (eksplanasi) dari media cetak atau elektronik dengan menggunakan kosakata baku dan kalimat efektif secara lisan, tulis, dan visual.
</v>
      </c>
      <c r="AG47" s="258" t="str">
        <f t="shared" si="8"/>
        <v xml:space="preserve"> baik  dalam menyajikan ringkasan teks penjelasan (eksplanasi) dari media cetak atau elektronik dengan menggunakan kosakata baku dan kalimat efektif secara lisan, tulis, dan visual.
</v>
      </c>
      <c r="AH47" s="252" t="str">
        <f t="shared" si="9"/>
        <v xml:space="preserve">ZEVA baik  dalam menyajikan ringkasan teks penjelasan (eksplanasi) dari media cetak atau elektronik dengan menggunakan kosakata baku dan kalimat efektif secara lisan, tulis, dan visual.
</v>
      </c>
      <c r="AI47" s="153"/>
      <c r="AS47" s="469">
        <f t="shared" si="10"/>
        <v>81</v>
      </c>
    </row>
    <row r="48" spans="2:45" ht="65.25" customHeight="1">
      <c r="B48" s="142">
        <v>44</v>
      </c>
      <c r="C48" s="143">
        <f>SISWA!B49</f>
        <v>0</v>
      </c>
      <c r="D48" s="144">
        <f>SISWA!E49</f>
        <v>0</v>
      </c>
      <c r="E48" s="159"/>
      <c r="F48" s="160"/>
      <c r="G48" s="160"/>
      <c r="H48" s="160"/>
      <c r="I48" s="160"/>
      <c r="J48" s="159"/>
      <c r="K48" s="159"/>
      <c r="L48" s="159"/>
      <c r="M48" s="159"/>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53"/>
      <c r="AS48" s="469" t="str">
        <f t="shared" si="10"/>
        <v/>
      </c>
    </row>
    <row r="49" spans="2:45" ht="65.25" customHeight="1">
      <c r="B49" s="142">
        <v>45</v>
      </c>
      <c r="C49" s="143">
        <f>SISWA!B50</f>
        <v>0</v>
      </c>
      <c r="D49" s="144">
        <f>SISWA!E50</f>
        <v>0</v>
      </c>
      <c r="E49" s="159"/>
      <c r="F49" s="160"/>
      <c r="G49" s="160"/>
      <c r="H49" s="160"/>
      <c r="I49" s="160"/>
      <c r="J49" s="159"/>
      <c r="K49" s="159"/>
      <c r="L49" s="159"/>
      <c r="M49" s="159"/>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53"/>
      <c r="AS49" s="469" t="str">
        <f t="shared" si="10"/>
        <v/>
      </c>
    </row>
    <row r="50" spans="2:45" ht="65.25" customHeight="1">
      <c r="B50" s="142">
        <v>46</v>
      </c>
      <c r="C50" s="143">
        <f>SISWA!B51</f>
        <v>0</v>
      </c>
      <c r="D50" s="144">
        <f>SISWA!E51</f>
        <v>0</v>
      </c>
      <c r="E50" s="159"/>
      <c r="F50" s="160"/>
      <c r="G50" s="160"/>
      <c r="H50" s="160"/>
      <c r="I50" s="160"/>
      <c r="J50" s="159"/>
      <c r="K50" s="159"/>
      <c r="L50" s="159"/>
      <c r="M50" s="159"/>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53"/>
      <c r="AS50" s="469" t="str">
        <f t="shared" si="10"/>
        <v/>
      </c>
    </row>
    <row r="51" spans="2:45" ht="65.25" customHeight="1">
      <c r="B51" s="142">
        <v>47</v>
      </c>
      <c r="C51" s="143">
        <f>SISWA!B52</f>
        <v>0</v>
      </c>
      <c r="D51" s="144">
        <f>SISWA!E52</f>
        <v>0</v>
      </c>
      <c r="E51" s="159"/>
      <c r="F51" s="160"/>
      <c r="G51" s="160"/>
      <c r="H51" s="160"/>
      <c r="I51" s="160"/>
      <c r="J51" s="159"/>
      <c r="K51" s="159"/>
      <c r="L51" s="159"/>
      <c r="M51" s="159"/>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53"/>
      <c r="AS51" s="469" t="str">
        <f t="shared" si="10"/>
        <v/>
      </c>
    </row>
    <row r="52" spans="2:45" ht="65.25" customHeight="1">
      <c r="B52" s="142">
        <v>48</v>
      </c>
      <c r="C52" s="143">
        <f>SISWA!B53</f>
        <v>0</v>
      </c>
      <c r="D52" s="144">
        <f>SISWA!E53</f>
        <v>0</v>
      </c>
      <c r="E52" s="159"/>
      <c r="F52" s="160"/>
      <c r="G52" s="160"/>
      <c r="H52" s="160"/>
      <c r="I52" s="160"/>
      <c r="J52" s="159"/>
      <c r="K52" s="159"/>
      <c r="L52" s="159"/>
      <c r="M52" s="159"/>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53"/>
      <c r="AS52" s="469" t="str">
        <f t="shared" si="10"/>
        <v/>
      </c>
    </row>
    <row r="53" spans="2:45" ht="65.25" customHeight="1">
      <c r="B53" s="142">
        <v>49</v>
      </c>
      <c r="C53" s="143">
        <f>SISWA!B54</f>
        <v>0</v>
      </c>
      <c r="D53" s="144">
        <f>SISWA!E54</f>
        <v>0</v>
      </c>
      <c r="E53" s="159"/>
      <c r="F53" s="160"/>
      <c r="G53" s="160"/>
      <c r="H53" s="160"/>
      <c r="I53" s="160"/>
      <c r="J53" s="159"/>
      <c r="K53" s="159"/>
      <c r="L53" s="159"/>
      <c r="M53" s="159"/>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53"/>
      <c r="AS53" s="469" t="str">
        <f t="shared" si="10"/>
        <v/>
      </c>
    </row>
    <row r="54" spans="2:45" ht="65.25" customHeight="1">
      <c r="B54" s="142">
        <v>50</v>
      </c>
      <c r="C54" s="143">
        <f>SISWA!B55</f>
        <v>0</v>
      </c>
      <c r="D54" s="144">
        <f>SISWA!E55</f>
        <v>0</v>
      </c>
      <c r="E54" s="159"/>
      <c r="F54" s="160"/>
      <c r="G54" s="160"/>
      <c r="H54" s="160"/>
      <c r="I54" s="160"/>
      <c r="J54" s="159"/>
      <c r="K54" s="159"/>
      <c r="L54" s="159"/>
      <c r="M54" s="159"/>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53"/>
      <c r="AS54" s="469" t="str">
        <f t="shared" si="10"/>
        <v/>
      </c>
    </row>
    <row r="55" spans="2:45" ht="15.75">
      <c r="B55" s="154"/>
      <c r="C55" s="154"/>
      <c r="D55" s="154"/>
      <c r="E55" s="159"/>
      <c r="F55" s="160"/>
      <c r="G55" s="160"/>
      <c r="H55" s="160"/>
      <c r="I55" s="160"/>
      <c r="J55" s="159"/>
      <c r="K55" s="159"/>
      <c r="L55" s="159"/>
      <c r="M55" s="159"/>
      <c r="N55" s="159"/>
      <c r="O55" s="159"/>
      <c r="P55" s="159"/>
      <c r="Q55" s="159"/>
      <c r="R55" s="160"/>
      <c r="S55" s="160"/>
      <c r="T55" s="159"/>
      <c r="U55" s="147"/>
      <c r="V55" s="148"/>
      <c r="W55" s="149"/>
      <c r="X55" s="149"/>
      <c r="Y55" s="149"/>
      <c r="Z55" s="149"/>
      <c r="AA55" s="150"/>
      <c r="AB55" s="151"/>
      <c r="AC55" s="152"/>
      <c r="AD55" s="155"/>
      <c r="AE55" s="155"/>
      <c r="AF55" s="155"/>
      <c r="AG55" s="155"/>
      <c r="AH55" s="155"/>
      <c r="AI55" s="153"/>
    </row>
  </sheetData>
  <sheetProtection password="C70C" sheet="1" objects="1" scenarios="1"/>
  <mergeCells count="10">
    <mergeCell ref="V2:V4"/>
    <mergeCell ref="W2:Z2"/>
    <mergeCell ref="AA2:AA4"/>
    <mergeCell ref="W3:X3"/>
    <mergeCell ref="Y3:Z3"/>
    <mergeCell ref="B2:B4"/>
    <mergeCell ref="C2:C4"/>
    <mergeCell ref="D2:D4"/>
    <mergeCell ref="E2:T2"/>
    <mergeCell ref="U2:U4"/>
  </mergeCell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DL55"/>
  <sheetViews>
    <sheetView zoomScale="80" zoomScaleNormal="80" workbookViewId="0">
      <pane xSplit="4" ySplit="4" topLeftCell="E5" activePane="bottomRight" state="frozen"/>
      <selection pane="topRight" activeCell="E1" sqref="E1"/>
      <selection pane="bottomLeft" activeCell="A5" sqref="A5"/>
      <selection pane="bottomRight" activeCell="J5" sqref="J5"/>
    </sheetView>
  </sheetViews>
  <sheetFormatPr defaultColWidth="0" defaultRowHeight="15"/>
  <cols>
    <col min="1" max="1" width="23.42578125" style="171" customWidth="1"/>
    <col min="2" max="2" width="4.42578125" style="137" customWidth="1"/>
    <col min="3" max="3" width="6.42578125" style="137" customWidth="1"/>
    <col min="4" max="4" width="28.7109375" style="137" customWidth="1"/>
    <col min="5" max="13" width="5.7109375" style="137" customWidth="1"/>
    <col min="14" max="19" width="5.7109375" style="137" hidden="1" customWidth="1"/>
    <col min="20" max="23" width="5.7109375" style="137" customWidth="1"/>
    <col min="24" max="24" width="11.7109375" style="137" customWidth="1"/>
    <col min="25" max="25" width="5.7109375" style="137" customWidth="1"/>
    <col min="26" max="26" width="14.85546875" style="137" customWidth="1"/>
    <col min="27" max="27" width="110.5703125" style="137" customWidth="1"/>
    <col min="28" max="28" width="35" style="137" customWidth="1"/>
    <col min="29" max="29" width="5" style="137" hidden="1" customWidth="1"/>
    <col min="30" max="30" width="4.7109375" style="137" hidden="1" customWidth="1"/>
    <col min="31" max="31" width="5.140625" style="137" hidden="1" customWidth="1"/>
    <col min="32" max="36" width="5" style="137" hidden="1" customWidth="1"/>
    <col min="37" max="37" width="4.85546875" style="137" hidden="1" customWidth="1"/>
    <col min="38" max="40" width="5" style="137" hidden="1" customWidth="1"/>
    <col min="41" max="42" width="5" style="137" customWidth="1"/>
    <col min="43" max="43" width="5" style="137" hidden="1" customWidth="1"/>
    <col min="44" max="44" width="7.140625" style="137" hidden="1" customWidth="1"/>
    <col min="45" max="46" width="5" style="137" customWidth="1"/>
    <col min="47" max="53" width="5" style="137" hidden="1" customWidth="1"/>
    <col min="54" max="54" width="84.42578125" style="137" hidden="1" customWidth="1"/>
    <col min="55" max="55" width="29.85546875" style="137" hidden="1" customWidth="1"/>
    <col min="56" max="69" width="10.7109375" style="137" hidden="1" customWidth="1"/>
    <col min="70" max="74" width="5" style="137" hidden="1" customWidth="1"/>
    <col min="75" max="75" width="4.85546875" style="137" hidden="1" customWidth="1"/>
    <col min="76" max="80" width="5" style="137" hidden="1" customWidth="1"/>
    <col min="81" max="82" width="0" style="137" hidden="1" customWidth="1"/>
    <col min="83" max="89" width="5" style="137" hidden="1" customWidth="1"/>
    <col min="90" max="90" width="84.42578125" style="137" hidden="1" customWidth="1"/>
    <col min="91" max="91" width="29.85546875" style="137" hidden="1" customWidth="1"/>
    <col min="92" max="116" width="10.7109375" style="137" hidden="1" customWidth="1"/>
    <col min="117" max="16384" width="9.140625" style="137" hidden="1"/>
  </cols>
  <sheetData>
    <row r="1" spans="1:53" s="512" customFormat="1" ht="45.75" customHeight="1">
      <c r="B1" s="513" t="s">
        <v>62</v>
      </c>
      <c r="C1" s="513"/>
      <c r="D1" s="513"/>
      <c r="E1" s="513"/>
      <c r="F1" s="513"/>
      <c r="G1" s="513"/>
      <c r="H1" s="513"/>
      <c r="I1" s="513"/>
      <c r="J1" s="513"/>
      <c r="K1" s="513"/>
      <c r="L1" s="513"/>
      <c r="M1" s="513"/>
      <c r="N1" s="513"/>
      <c r="O1" s="513"/>
      <c r="P1" s="513"/>
      <c r="Q1" s="513"/>
      <c r="R1" s="513"/>
      <c r="S1" s="513"/>
      <c r="T1" s="513"/>
      <c r="U1" s="513"/>
      <c r="V1" s="513"/>
      <c r="W1" s="513"/>
      <c r="X1" s="513"/>
      <c r="Y1" s="513"/>
      <c r="Z1" s="513"/>
      <c r="AA1" s="513"/>
      <c r="AB1" s="513"/>
      <c r="AC1" s="513"/>
      <c r="AD1" s="513"/>
      <c r="AE1" s="513"/>
      <c r="AF1" s="513"/>
      <c r="AG1" s="513"/>
      <c r="AH1" s="513"/>
      <c r="AI1" s="513"/>
      <c r="AJ1" s="513"/>
      <c r="AK1" s="513"/>
      <c r="AL1" s="513"/>
      <c r="AM1" s="513"/>
      <c r="AN1" s="513"/>
      <c r="AO1" s="513"/>
      <c r="AP1" s="513"/>
      <c r="AQ1" s="513"/>
      <c r="AR1" s="513"/>
      <c r="AS1" s="513"/>
      <c r="AT1" s="513"/>
      <c r="AU1" s="513"/>
      <c r="AV1" s="513"/>
      <c r="AW1" s="513"/>
      <c r="AX1" s="513"/>
      <c r="AY1" s="513"/>
      <c r="AZ1" s="513"/>
      <c r="BA1" s="513"/>
    </row>
    <row r="2" spans="1:53"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R2" s="502">
        <f>DEPAN!$E$23</f>
        <v>43</v>
      </c>
    </row>
    <row r="3" spans="1:53" ht="94.5" customHeight="1">
      <c r="B3" s="716"/>
      <c r="C3" s="717"/>
      <c r="D3" s="718"/>
      <c r="E3" s="408" t="str">
        <f>'KI-KD'!$F55</f>
        <v xml:space="preserve">menyelesaikan masalah yang berkaitan dengan volume bangun ruang dengan menggunakan satuan volume (seperti kubus satuan) melibatkan pangkat tiga dan akar pangkat tiga
</v>
      </c>
      <c r="F3" s="408" t="str">
        <f>'KI-KD'!$F56</f>
        <v>membuat jaring-jaring bangun ruang sederhana (kubus dan balok)</v>
      </c>
      <c r="G3" s="408" t="str">
        <f>'KI-KD'!$F57</f>
        <v xml:space="preserve">menganalisis data yang berkaitan dengan diri peserta didik atau lingkungan sekitar serta cara pengumpulannya
</v>
      </c>
      <c r="H3" s="408" t="str">
        <f>'KI-KD'!$F58</f>
        <v xml:space="preserve">mengorganisasikan dan menyajikan data yang berkaitan dengan diri peserta didik dan membandingkan dengan data dari lingkungan sekitar dalam bentuk daftar, tabel, diagram gambar (piktogram), diagram batang, atau diagram garis
</v>
      </c>
      <c r="I3" s="408">
        <f>'KI-KD'!$F59</f>
        <v>0</v>
      </c>
      <c r="J3" s="408">
        <f>'KI-KD'!$F60</f>
        <v>0</v>
      </c>
      <c r="K3" s="408">
        <f>'KI-KD'!$F61</f>
        <v>0</v>
      </c>
      <c r="L3" s="408">
        <f>'KI-KD'!$F62</f>
        <v>0</v>
      </c>
      <c r="M3" s="408">
        <f>'KI-KD'!$F63</f>
        <v>0</v>
      </c>
      <c r="N3" s="408">
        <f>'KI-KD'!$F64</f>
        <v>0</v>
      </c>
      <c r="O3" s="408">
        <f>'KI-KD'!$F65</f>
        <v>0</v>
      </c>
      <c r="P3" s="408">
        <f>'KI-KD'!$F66</f>
        <v>0</v>
      </c>
      <c r="Q3" s="138"/>
      <c r="R3" s="138"/>
      <c r="S3" s="138"/>
      <c r="T3" s="138"/>
      <c r="U3" s="720"/>
      <c r="V3" s="721"/>
      <c r="W3" s="712" t="s">
        <v>267</v>
      </c>
      <c r="X3" s="713"/>
      <c r="Y3" s="714" t="s">
        <v>268</v>
      </c>
      <c r="Z3" s="715"/>
      <c r="AA3" s="679"/>
      <c r="AB3" s="2"/>
      <c r="AC3" s="2"/>
      <c r="AD3" s="2"/>
      <c r="AE3" s="2"/>
      <c r="AF3" s="2"/>
      <c r="AG3" s="2"/>
      <c r="AH3" s="253"/>
      <c r="AR3" s="469">
        <f>AR4-AR5</f>
        <v>43</v>
      </c>
    </row>
    <row r="4" spans="1:53" s="141" customFormat="1" ht="25.5" customHeight="1">
      <c r="A4" s="514"/>
      <c r="B4" s="716"/>
      <c r="C4" s="717"/>
      <c r="D4" s="718"/>
      <c r="E4" s="140" t="str">
        <f>'KI-KD'!$E55</f>
        <v>4.5</v>
      </c>
      <c r="F4" s="140" t="str">
        <f>'KI-KD'!$E56</f>
        <v>4.6</v>
      </c>
      <c r="G4" s="140" t="str">
        <f>'KI-KD'!$E57</f>
        <v>4.7</v>
      </c>
      <c r="H4" s="140" t="str">
        <f>'KI-KD'!$E58</f>
        <v>4.8</v>
      </c>
      <c r="I4" s="140">
        <f>'KI-KD'!$E59</f>
        <v>0</v>
      </c>
      <c r="J4" s="140">
        <f>'KI-KD'!$E60</f>
        <v>0</v>
      </c>
      <c r="K4" s="140">
        <f>'KI-KD'!$E61</f>
        <v>0</v>
      </c>
      <c r="L4" s="140">
        <f>'KI-KD'!$E62</f>
        <v>0</v>
      </c>
      <c r="M4" s="140">
        <f>'KI-KD'!$E63</f>
        <v>0</v>
      </c>
      <c r="N4" s="140">
        <f>'KI-KD'!$E64</f>
        <v>0</v>
      </c>
      <c r="O4" s="140">
        <f>'KI-KD'!$E65</f>
        <v>0</v>
      </c>
      <c r="P4" s="140">
        <f>'KI-KD'!$E66</f>
        <v>0</v>
      </c>
      <c r="Q4" s="140"/>
      <c r="R4" s="140"/>
      <c r="S4" s="140"/>
      <c r="T4" s="140"/>
      <c r="U4" s="720"/>
      <c r="V4" s="721"/>
      <c r="W4" s="248" t="s">
        <v>269</v>
      </c>
      <c r="X4" s="249" t="s">
        <v>3</v>
      </c>
      <c r="Y4" s="250" t="s">
        <v>269</v>
      </c>
      <c r="Z4" s="251" t="s">
        <v>3</v>
      </c>
      <c r="AA4" s="680"/>
      <c r="AB4" s="2"/>
      <c r="AC4" s="254" t="s">
        <v>270</v>
      </c>
      <c r="AD4" s="254" t="s">
        <v>271</v>
      </c>
      <c r="AE4" s="254" t="s">
        <v>272</v>
      </c>
      <c r="AF4" s="254" t="s">
        <v>273</v>
      </c>
      <c r="AG4" s="255" t="s">
        <v>266</v>
      </c>
      <c r="AH4" s="252"/>
      <c r="AR4" s="141">
        <v>50</v>
      </c>
    </row>
    <row r="5" spans="1:53" ht="80.25" customHeight="1">
      <c r="B5" s="142">
        <v>1</v>
      </c>
      <c r="C5" s="143" t="str">
        <f>SISWA!B6</f>
        <v>1718250040305</v>
      </c>
      <c r="D5" s="144" t="str">
        <f>SISWA!E6</f>
        <v>YAHYA</v>
      </c>
      <c r="E5" s="159">
        <v>85</v>
      </c>
      <c r="F5" s="159">
        <v>85</v>
      </c>
      <c r="G5" s="160">
        <v>85</v>
      </c>
      <c r="H5" s="159">
        <v>85</v>
      </c>
      <c r="I5" s="160"/>
      <c r="J5" s="159" t="s">
        <v>766</v>
      </c>
      <c r="K5" s="159"/>
      <c r="L5" s="159"/>
      <c r="M5" s="159"/>
      <c r="N5" s="159"/>
      <c r="O5" s="159"/>
      <c r="P5" s="159"/>
      <c r="Q5" s="159"/>
      <c r="R5" s="160"/>
      <c r="S5" s="160"/>
      <c r="T5" s="159"/>
      <c r="U5" s="354">
        <f>ROUND((AVERAGE(E5:T5)),0)</f>
        <v>85</v>
      </c>
      <c r="V5" s="355" t="str">
        <f>IF(U5&gt;KKM!$G$10,"A",IF(U5&gt;KKM!$H$10,"B",IF(U5&gt;=KKM!$I$10,"C","D")))</f>
        <v>B</v>
      </c>
      <c r="W5" s="356">
        <f t="shared" ref="W5:W54" si="0">MAX(E5:T5)</f>
        <v>85</v>
      </c>
      <c r="X5" s="361" t="str">
        <f>IF(W5&gt;KKM!$G$10," sangat baik ",IF(W5&gt;KKM!$H$10," baik ",IF(W5&gt;=KKM!$I$10," cukup baik "," perlu bimbingan ")))</f>
        <v xml:space="preserve"> baik </v>
      </c>
      <c r="Y5" s="357">
        <f t="shared" ref="Y5:Y54" si="1">MIN(E5:T5)</f>
        <v>85</v>
      </c>
      <c r="Z5" s="361" t="str">
        <f>IF(Y5&gt;KKM!$G$10," sangat baik ",IF(Y5&gt;KKM!$H$10," baik ",IF(Y5&gt;=KKM!$I$10," cukup baik "," perlu bimbingan ")))</f>
        <v xml:space="preserve"> baik </v>
      </c>
      <c r="AA5" s="353" t="str">
        <f>IFERROR(AH5," ")</f>
        <v xml:space="preserve">YAHYA baik  dalam menyelesaikan masalah yang berkaitan dengan volume bangun ruang dengan menggunakan satuan volume (seperti kubus satuan) melibatkan pangkat tiga dan akar pangkat tiga
</v>
      </c>
      <c r="AB5" s="256"/>
      <c r="AC5" s="257" t="str">
        <f t="shared" ref="AC5:AC54" si="2">X5&amp;" dalam "&amp;INDEX($E$3:$T$3,MATCH(W5,$E5:$T5,0))</f>
        <v xml:space="preserve"> baik  dalam menyelesaikan masalah yang berkaitan dengan volume bangun ruang dengan menggunakan satuan volume (seperti kubus satuan) melibatkan pangkat tiga dan akar pangkat tiga
</v>
      </c>
      <c r="AD5" s="257" t="str">
        <f t="shared" ref="AD5:AD54" si="3">Z5&amp;" dalam "&amp;INDEX($E$3:$T$3,MATCH(Y5,$E5:$T5,0))</f>
        <v xml:space="preserve"> baik  dalam menyelesaikan masalah yang berkaitan dengan volume bangun ruang dengan menggunakan satuan volume (seperti kubus satuan) melibatkan pangkat tiga dan akar pangkat tiga
</v>
      </c>
      <c r="AE5" s="257" t="str">
        <f>AC5&amp;", dan "&amp;AD5</f>
        <v xml:space="preserve"> baik  dalam menyelesaikan masalah yang berkaitan dengan volume bangun ruang dengan menggunakan satuan volume (seperti kubus satuan) melibatkan pangkat tiga dan akar pangkat tiga
, dan  baik  dalam menyelesaikan masalah yang berkaitan dengan volume bangun ruang dengan menggunakan satuan volume (seperti kubus satuan) melibatkan pangkat tiga dan akar pangkat tiga
</v>
      </c>
      <c r="AF5" s="257" t="str">
        <f>IF(AC5=AD5,AC5," ")</f>
        <v xml:space="preserve"> baik  dalam menyelesaikan masalah yang berkaitan dengan volume bangun ruang dengan menggunakan satuan volume (seperti kubus satuan) melibatkan pangkat tiga dan akar pangkat tiga
</v>
      </c>
      <c r="AG5" s="258" t="str">
        <f>IF(AF5=" ",AE5,AF5)</f>
        <v xml:space="preserve"> baik  dalam menyelesaikan masalah yang berkaitan dengan volume bangun ruang dengan menggunakan satuan volume (seperti kubus satuan) melibatkan pangkat tiga dan akar pangkat tiga
</v>
      </c>
      <c r="AH5" s="252" t="str">
        <f>CONCATENATE(D5,AG5)</f>
        <v xml:space="preserve">YAHYA baik  dalam menyelesaikan masalah yang berkaitan dengan volume bangun ruang dengan menggunakan satuan volume (seperti kubus satuan) melibatkan pangkat tiga dan akar pangkat tiga
</v>
      </c>
      <c r="AQ5" s="469">
        <f>IFERROR(U5,"")</f>
        <v>85</v>
      </c>
      <c r="AR5" s="469">
        <f>COUNTBLANK(AQ5:AQ54)</f>
        <v>7</v>
      </c>
    </row>
    <row r="6" spans="1:53" ht="80.25" customHeight="1">
      <c r="B6" s="142">
        <v>2</v>
      </c>
      <c r="C6" s="143" t="str">
        <f>SISWA!B7</f>
        <v>1718250040306</v>
      </c>
      <c r="D6" s="144" t="str">
        <f>SISWA!E7</f>
        <v>ADHWA</v>
      </c>
      <c r="E6" s="159">
        <v>80</v>
      </c>
      <c r="F6" s="160">
        <v>80</v>
      </c>
      <c r="G6" s="160">
        <v>80</v>
      </c>
      <c r="H6" s="160">
        <v>80</v>
      </c>
      <c r="I6" s="160"/>
      <c r="J6" s="159"/>
      <c r="K6" s="159"/>
      <c r="L6" s="159"/>
      <c r="M6" s="159"/>
      <c r="N6" s="159"/>
      <c r="O6" s="159"/>
      <c r="P6" s="159"/>
      <c r="Q6" s="159"/>
      <c r="R6" s="160"/>
      <c r="S6" s="160"/>
      <c r="T6" s="159"/>
      <c r="U6" s="354">
        <f t="shared" ref="U6:U54" si="4">ROUND((AVERAGE(E6:T6)),0)</f>
        <v>80</v>
      </c>
      <c r="V6" s="355" t="str">
        <f>IF(U6&gt;KKM!$G$10,"A",IF(U6&gt;KKM!$H$10,"B",IF(U6&gt;=KKM!$I$10,"C","D")))</f>
        <v>B</v>
      </c>
      <c r="W6" s="356">
        <f t="shared" si="0"/>
        <v>80</v>
      </c>
      <c r="X6" s="361" t="str">
        <f>IF(W6&gt;KKM!$G$10," sangat baik ",IF(W6&gt;KKM!$H$10," baik ",IF(W6&gt;=KKM!$I$10," cukup baik "," perlu bimbingan ")))</f>
        <v xml:space="preserve"> baik </v>
      </c>
      <c r="Y6" s="357">
        <f t="shared" si="1"/>
        <v>80</v>
      </c>
      <c r="Z6" s="361" t="str">
        <f>IF(Y6&gt;KKM!$G$10," sangat baik ",IF(Y6&gt;KKM!$H$10," baik ",IF(Y6&gt;=KKM!$I$10," cukup baik "," perlu bimbingan ")))</f>
        <v xml:space="preserve"> baik </v>
      </c>
      <c r="AA6" s="353" t="str">
        <f t="shared" ref="AA6:AA54" si="5">IFERROR(AH6," ")</f>
        <v xml:space="preserve">ADHWA baik  dalam menyelesaikan masalah yang berkaitan dengan volume bangun ruang dengan menggunakan satuan volume (seperti kubus satuan) melibatkan pangkat tiga dan akar pangkat tiga
</v>
      </c>
      <c r="AB6" s="256"/>
      <c r="AC6" s="257" t="str">
        <f t="shared" si="2"/>
        <v xml:space="preserve"> baik  dalam menyelesaikan masalah yang berkaitan dengan volume bangun ruang dengan menggunakan satuan volume (seperti kubus satuan) melibatkan pangkat tiga dan akar pangkat tiga
</v>
      </c>
      <c r="AD6" s="257" t="str">
        <f t="shared" si="3"/>
        <v xml:space="preserve"> baik  dalam menyelesaikan masalah yang berkaitan dengan volume bangun ruang dengan menggunakan satuan volume (seperti kubus satuan) melibatkan pangkat tiga dan akar pangkat tiga
</v>
      </c>
      <c r="AE6" s="257" t="str">
        <f t="shared" ref="AE6:AE54" si="6">AC6&amp;", dan "&amp;AD6</f>
        <v xml:space="preserve"> baik  dalam menyelesaikan masalah yang berkaitan dengan volume bangun ruang dengan menggunakan satuan volume (seperti kubus satuan) melibatkan pangkat tiga dan akar pangkat tiga
, dan  baik  dalam menyelesaikan masalah yang berkaitan dengan volume bangun ruang dengan menggunakan satuan volume (seperti kubus satuan) melibatkan pangkat tiga dan akar pangkat tiga
</v>
      </c>
      <c r="AF6" s="257" t="str">
        <f t="shared" ref="AF6:AF54" si="7">IF(AC6=AD6,AC6," ")</f>
        <v xml:space="preserve"> baik  dalam menyelesaikan masalah yang berkaitan dengan volume bangun ruang dengan menggunakan satuan volume (seperti kubus satuan) melibatkan pangkat tiga dan akar pangkat tiga
</v>
      </c>
      <c r="AG6" s="258" t="str">
        <f t="shared" ref="AG6:AG54" si="8">IF(AF6=" ",AE6,AF6)</f>
        <v xml:space="preserve"> baik  dalam menyelesaikan masalah yang berkaitan dengan volume bangun ruang dengan menggunakan satuan volume (seperti kubus satuan) melibatkan pangkat tiga dan akar pangkat tiga
</v>
      </c>
      <c r="AH6" s="252" t="str">
        <f t="shared" ref="AH6:AH54" si="9">CONCATENATE(D6,AG6)</f>
        <v xml:space="preserve">ADHWA baik  dalam menyelesaikan masalah yang berkaitan dengan volume bangun ruang dengan menggunakan satuan volume (seperti kubus satuan) melibatkan pangkat tiga dan akar pangkat tiga
</v>
      </c>
      <c r="AQ6" s="469">
        <f t="shared" ref="AQ6:AQ54" si="10">IFERROR(U6,"")</f>
        <v>80</v>
      </c>
      <c r="AR6" s="503">
        <f>IFERROR(AR3/AR2,"0%")</f>
        <v>1</v>
      </c>
    </row>
    <row r="7" spans="1:53" ht="80.25" customHeight="1">
      <c r="B7" s="142">
        <v>3</v>
      </c>
      <c r="C7" s="143" t="str">
        <f>SISWA!B8</f>
        <v xml:space="preserve"> 1718250040307</v>
      </c>
      <c r="D7" s="144" t="str">
        <f>SISWA!E8</f>
        <v>ANDHIKA</v>
      </c>
      <c r="E7" s="159">
        <v>75</v>
      </c>
      <c r="F7" s="160">
        <v>75</v>
      </c>
      <c r="G7" s="160">
        <v>75</v>
      </c>
      <c r="H7" s="160">
        <v>75</v>
      </c>
      <c r="I7" s="160"/>
      <c r="J7" s="159"/>
      <c r="K7" s="159"/>
      <c r="L7" s="159"/>
      <c r="M7" s="159"/>
      <c r="N7" s="159"/>
      <c r="O7" s="159"/>
      <c r="P7" s="159"/>
      <c r="Q7" s="159"/>
      <c r="R7" s="160"/>
      <c r="S7" s="160"/>
      <c r="T7" s="159"/>
      <c r="U7" s="354">
        <f t="shared" si="4"/>
        <v>75</v>
      </c>
      <c r="V7" s="355" t="str">
        <f>IF(U7&gt;KKM!$G$10,"A",IF(U7&gt;KKM!$H$10,"B",IF(U7&gt;=KKM!$I$10,"C","D")))</f>
        <v>C</v>
      </c>
      <c r="W7" s="356">
        <f t="shared" si="0"/>
        <v>75</v>
      </c>
      <c r="X7" s="361" t="str">
        <f>IF(W7&gt;KKM!$G$10," sangat baik ",IF(W7&gt;KKM!$H$10," baik ",IF(W7&gt;=KKM!$I$10," cukup baik "," perlu bimbingan ")))</f>
        <v xml:space="preserve"> cukup baik </v>
      </c>
      <c r="Y7" s="357">
        <f t="shared" si="1"/>
        <v>75</v>
      </c>
      <c r="Z7" s="361" t="str">
        <f>IF(Y7&gt;KKM!$G$10," sangat baik ",IF(Y7&gt;KKM!$H$10," baik ",IF(Y7&gt;=KKM!$I$10," cukup baik "," perlu bimbingan ")))</f>
        <v xml:space="preserve"> cukup baik </v>
      </c>
      <c r="AA7" s="353" t="str">
        <f t="shared" si="5"/>
        <v xml:space="preserve">ANDHIKA cukup baik  dalam menyelesaikan masalah yang berkaitan dengan volume bangun ruang dengan menggunakan satuan volume (seperti kubus satuan) melibatkan pangkat tiga dan akar pangkat tiga
</v>
      </c>
      <c r="AB7" s="256"/>
      <c r="AC7" s="257" t="str">
        <f t="shared" si="2"/>
        <v xml:space="preserve"> cukup baik  dalam menyelesaikan masalah yang berkaitan dengan volume bangun ruang dengan menggunakan satuan volume (seperti kubus satuan) melibatkan pangkat tiga dan akar pangkat tiga
</v>
      </c>
      <c r="AD7" s="257" t="str">
        <f t="shared" si="3"/>
        <v xml:space="preserve"> cukup baik  dalam menyelesaikan masalah yang berkaitan dengan volume bangun ruang dengan menggunakan satuan volume (seperti kubus satuan) melibatkan pangkat tiga dan akar pangkat tiga
</v>
      </c>
      <c r="AE7"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7" s="257" t="str">
        <f t="shared" si="7"/>
        <v xml:space="preserve"> cukup baik  dalam menyelesaikan masalah yang berkaitan dengan volume bangun ruang dengan menggunakan satuan volume (seperti kubus satuan) melibatkan pangkat tiga dan akar pangkat tiga
</v>
      </c>
      <c r="AG7" s="258" t="str">
        <f t="shared" si="8"/>
        <v xml:space="preserve"> cukup baik  dalam menyelesaikan masalah yang berkaitan dengan volume bangun ruang dengan menggunakan satuan volume (seperti kubus satuan) melibatkan pangkat tiga dan akar pangkat tiga
</v>
      </c>
      <c r="AH7" s="252" t="str">
        <f t="shared" si="9"/>
        <v xml:space="preserve">ANDHIKA cukup baik  dalam menyelesaikan masalah yang berkaitan dengan volume bangun ruang dengan menggunakan satuan volume (seperti kubus satuan) melibatkan pangkat tiga dan akar pangkat tiga
</v>
      </c>
      <c r="AQ7" s="469">
        <f t="shared" si="10"/>
        <v>75</v>
      </c>
    </row>
    <row r="8" spans="1:53" ht="80.25" customHeight="1">
      <c r="B8" s="142">
        <v>4</v>
      </c>
      <c r="C8" s="143" t="str">
        <f>SISWA!B9</f>
        <v xml:space="preserve"> 1718250040308</v>
      </c>
      <c r="D8" s="144" t="str">
        <f>SISWA!E9</f>
        <v>ANGGARA</v>
      </c>
      <c r="E8" s="159">
        <v>70</v>
      </c>
      <c r="F8" s="160">
        <v>70</v>
      </c>
      <c r="G8" s="160">
        <v>70</v>
      </c>
      <c r="H8" s="160">
        <v>70</v>
      </c>
      <c r="I8" s="160"/>
      <c r="J8" s="159"/>
      <c r="K8" s="159"/>
      <c r="L8" s="159"/>
      <c r="M8" s="159"/>
      <c r="N8" s="159"/>
      <c r="O8" s="159"/>
      <c r="P8" s="159"/>
      <c r="Q8" s="159"/>
      <c r="R8" s="160"/>
      <c r="S8" s="160"/>
      <c r="T8" s="159"/>
      <c r="U8" s="354">
        <f t="shared" si="4"/>
        <v>70</v>
      </c>
      <c r="V8" s="355" t="str">
        <f>IF(U8&gt;KKM!$G$10,"A",IF(U8&gt;KKM!$H$10,"B",IF(U8&gt;=KKM!$I$10,"C","D")))</f>
        <v>C</v>
      </c>
      <c r="W8" s="356">
        <f t="shared" si="0"/>
        <v>70</v>
      </c>
      <c r="X8" s="361" t="str">
        <f>IF(W8&gt;KKM!$G$10," sangat baik ",IF(W8&gt;KKM!$H$10," baik ",IF(W8&gt;=KKM!$I$10," cukup baik "," perlu bimbingan ")))</f>
        <v xml:space="preserve"> cukup baik </v>
      </c>
      <c r="Y8" s="357">
        <f t="shared" si="1"/>
        <v>70</v>
      </c>
      <c r="Z8" s="361" t="str">
        <f>IF(Y8&gt;KKM!$G$10," sangat baik ",IF(Y8&gt;KKM!$H$10," baik ",IF(Y8&gt;=KKM!$I$10," cukup baik "," perlu bimbingan ")))</f>
        <v xml:space="preserve"> cukup baik </v>
      </c>
      <c r="AA8" s="353" t="str">
        <f t="shared" si="5"/>
        <v xml:space="preserve">ANGGARA cukup baik  dalam menyelesaikan masalah yang berkaitan dengan volume bangun ruang dengan menggunakan satuan volume (seperti kubus satuan) melibatkan pangkat tiga dan akar pangkat tiga
</v>
      </c>
      <c r="AB8" s="256"/>
      <c r="AC8" s="257" t="str">
        <f t="shared" si="2"/>
        <v xml:space="preserve"> cukup baik  dalam menyelesaikan masalah yang berkaitan dengan volume bangun ruang dengan menggunakan satuan volume (seperti kubus satuan) melibatkan pangkat tiga dan akar pangkat tiga
</v>
      </c>
      <c r="AD8" s="257" t="str">
        <f t="shared" si="3"/>
        <v xml:space="preserve"> cukup baik  dalam menyelesaikan masalah yang berkaitan dengan volume bangun ruang dengan menggunakan satuan volume (seperti kubus satuan) melibatkan pangkat tiga dan akar pangkat tiga
</v>
      </c>
      <c r="AE8"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8" s="257" t="str">
        <f t="shared" si="7"/>
        <v xml:space="preserve"> cukup baik  dalam menyelesaikan masalah yang berkaitan dengan volume bangun ruang dengan menggunakan satuan volume (seperti kubus satuan) melibatkan pangkat tiga dan akar pangkat tiga
</v>
      </c>
      <c r="AG8" s="258" t="str">
        <f t="shared" si="8"/>
        <v xml:space="preserve"> cukup baik  dalam menyelesaikan masalah yang berkaitan dengan volume bangun ruang dengan menggunakan satuan volume (seperti kubus satuan) melibatkan pangkat tiga dan akar pangkat tiga
</v>
      </c>
      <c r="AH8" s="252" t="str">
        <f t="shared" si="9"/>
        <v xml:space="preserve">ANGGARA cukup baik  dalam menyelesaikan masalah yang berkaitan dengan volume bangun ruang dengan menggunakan satuan volume (seperti kubus satuan) melibatkan pangkat tiga dan akar pangkat tiga
</v>
      </c>
      <c r="AQ8" s="469">
        <f t="shared" si="10"/>
        <v>70</v>
      </c>
    </row>
    <row r="9" spans="1:53" ht="80.25" customHeight="1">
      <c r="B9" s="142">
        <v>5</v>
      </c>
      <c r="C9" s="143" t="str">
        <f>SISWA!B10</f>
        <v>1718250040309</v>
      </c>
      <c r="D9" s="144" t="str">
        <f>SISWA!E10</f>
        <v>ARIA</v>
      </c>
      <c r="E9" s="159">
        <v>70</v>
      </c>
      <c r="F9" s="160">
        <v>70</v>
      </c>
      <c r="G9" s="160">
        <v>70</v>
      </c>
      <c r="H9" s="160">
        <v>70</v>
      </c>
      <c r="I9" s="160"/>
      <c r="J9" s="159"/>
      <c r="K9" s="159"/>
      <c r="L9" s="159"/>
      <c r="M9" s="159"/>
      <c r="N9" s="159"/>
      <c r="O9" s="159"/>
      <c r="P9" s="159"/>
      <c r="Q9" s="159"/>
      <c r="R9" s="160"/>
      <c r="S9" s="160"/>
      <c r="T9" s="159"/>
      <c r="U9" s="354">
        <f t="shared" si="4"/>
        <v>70</v>
      </c>
      <c r="V9" s="355" t="str">
        <f>IF(U9&gt;KKM!$G$10,"A",IF(U9&gt;KKM!$H$10,"B",IF(U9&gt;=KKM!$I$10,"C","D")))</f>
        <v>C</v>
      </c>
      <c r="W9" s="356">
        <f t="shared" si="0"/>
        <v>70</v>
      </c>
      <c r="X9" s="361" t="str">
        <f>IF(W9&gt;KKM!$G$10," sangat baik ",IF(W9&gt;KKM!$H$10," baik ",IF(W9&gt;=KKM!$I$10," cukup baik "," perlu bimbingan ")))</f>
        <v xml:space="preserve"> cukup baik </v>
      </c>
      <c r="Y9" s="357">
        <f t="shared" si="1"/>
        <v>70</v>
      </c>
      <c r="Z9" s="361" t="str">
        <f>IF(Y9&gt;KKM!$G$10," sangat baik ",IF(Y9&gt;KKM!$H$10," baik ",IF(Y9&gt;=KKM!$I$10," cukup baik "," perlu bimbingan ")))</f>
        <v xml:space="preserve"> cukup baik </v>
      </c>
      <c r="AA9" s="353" t="str">
        <f t="shared" si="5"/>
        <v xml:space="preserve">ARIA cukup baik  dalam menyelesaikan masalah yang berkaitan dengan volume bangun ruang dengan menggunakan satuan volume (seperti kubus satuan) melibatkan pangkat tiga dan akar pangkat tiga
</v>
      </c>
      <c r="AB9" s="256"/>
      <c r="AC9" s="257" t="str">
        <f t="shared" si="2"/>
        <v xml:space="preserve"> cukup baik  dalam menyelesaikan masalah yang berkaitan dengan volume bangun ruang dengan menggunakan satuan volume (seperti kubus satuan) melibatkan pangkat tiga dan akar pangkat tiga
</v>
      </c>
      <c r="AD9" s="257" t="str">
        <f t="shared" si="3"/>
        <v xml:space="preserve"> cukup baik  dalam menyelesaikan masalah yang berkaitan dengan volume bangun ruang dengan menggunakan satuan volume (seperti kubus satuan) melibatkan pangkat tiga dan akar pangkat tiga
</v>
      </c>
      <c r="AE9"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9" s="257" t="str">
        <f t="shared" si="7"/>
        <v xml:space="preserve"> cukup baik  dalam menyelesaikan masalah yang berkaitan dengan volume bangun ruang dengan menggunakan satuan volume (seperti kubus satuan) melibatkan pangkat tiga dan akar pangkat tiga
</v>
      </c>
      <c r="AG9" s="258" t="str">
        <f t="shared" si="8"/>
        <v xml:space="preserve"> cukup baik  dalam menyelesaikan masalah yang berkaitan dengan volume bangun ruang dengan menggunakan satuan volume (seperti kubus satuan) melibatkan pangkat tiga dan akar pangkat tiga
</v>
      </c>
      <c r="AH9" s="252" t="str">
        <f t="shared" si="9"/>
        <v xml:space="preserve">ARIA cukup baik  dalam menyelesaikan masalah yang berkaitan dengan volume bangun ruang dengan menggunakan satuan volume (seperti kubus satuan) melibatkan pangkat tiga dan akar pangkat tiga
</v>
      </c>
      <c r="AQ9" s="469">
        <f t="shared" si="10"/>
        <v>70</v>
      </c>
    </row>
    <row r="10" spans="1:53" ht="80.25" customHeight="1">
      <c r="B10" s="142">
        <v>6</v>
      </c>
      <c r="C10" s="143" t="str">
        <f>SISWA!B11</f>
        <v>1718250040310</v>
      </c>
      <c r="D10" s="144" t="str">
        <f>SISWA!E11</f>
        <v>CAHAYA</v>
      </c>
      <c r="E10" s="159">
        <v>75</v>
      </c>
      <c r="F10" s="160">
        <v>75</v>
      </c>
      <c r="G10" s="160">
        <v>75</v>
      </c>
      <c r="H10" s="160">
        <v>75</v>
      </c>
      <c r="I10" s="160"/>
      <c r="J10" s="159"/>
      <c r="K10" s="159"/>
      <c r="L10" s="159"/>
      <c r="M10" s="159"/>
      <c r="N10" s="159"/>
      <c r="O10" s="159"/>
      <c r="P10" s="159"/>
      <c r="Q10" s="159"/>
      <c r="R10" s="160"/>
      <c r="S10" s="160"/>
      <c r="T10" s="159"/>
      <c r="U10" s="354">
        <f t="shared" si="4"/>
        <v>75</v>
      </c>
      <c r="V10" s="355" t="str">
        <f>IF(U10&gt;KKM!$G$10,"A",IF(U10&gt;KKM!$H$10,"B",IF(U10&gt;=KKM!$I$10,"C","D")))</f>
        <v>C</v>
      </c>
      <c r="W10" s="356">
        <f t="shared" si="0"/>
        <v>75</v>
      </c>
      <c r="X10" s="361" t="str">
        <f>IF(W10&gt;KKM!$G$10," sangat baik ",IF(W10&gt;KKM!$H$10," baik ",IF(W10&gt;=KKM!$I$10," cukup baik "," perlu bimbingan ")))</f>
        <v xml:space="preserve"> cukup baik </v>
      </c>
      <c r="Y10" s="357">
        <f t="shared" si="1"/>
        <v>75</v>
      </c>
      <c r="Z10" s="361" t="str">
        <f>IF(Y10&gt;KKM!$G$10," sangat baik ",IF(Y10&gt;KKM!$H$10," baik ",IF(Y10&gt;=KKM!$I$10," cukup baik "," perlu bimbingan ")))</f>
        <v xml:space="preserve"> cukup baik </v>
      </c>
      <c r="AA10" s="353" t="str">
        <f t="shared" si="5"/>
        <v xml:space="preserve">CAHAYA cukup baik  dalam menyelesaikan masalah yang berkaitan dengan volume bangun ruang dengan menggunakan satuan volume (seperti kubus satuan) melibatkan pangkat tiga dan akar pangkat tiga
</v>
      </c>
      <c r="AB10" s="256"/>
      <c r="AC10" s="257" t="str">
        <f t="shared" si="2"/>
        <v xml:space="preserve"> cukup baik  dalam menyelesaikan masalah yang berkaitan dengan volume bangun ruang dengan menggunakan satuan volume (seperti kubus satuan) melibatkan pangkat tiga dan akar pangkat tiga
</v>
      </c>
      <c r="AD10" s="257" t="str">
        <f t="shared" si="3"/>
        <v xml:space="preserve"> cukup baik  dalam menyelesaikan masalah yang berkaitan dengan volume bangun ruang dengan menggunakan satuan volume (seperti kubus satuan) melibatkan pangkat tiga dan akar pangkat tiga
</v>
      </c>
      <c r="AE10"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10" s="257" t="str">
        <f t="shared" si="7"/>
        <v xml:space="preserve"> cukup baik  dalam menyelesaikan masalah yang berkaitan dengan volume bangun ruang dengan menggunakan satuan volume (seperti kubus satuan) melibatkan pangkat tiga dan akar pangkat tiga
</v>
      </c>
      <c r="AG10" s="258" t="str">
        <f t="shared" si="8"/>
        <v xml:space="preserve"> cukup baik  dalam menyelesaikan masalah yang berkaitan dengan volume bangun ruang dengan menggunakan satuan volume (seperti kubus satuan) melibatkan pangkat tiga dan akar pangkat tiga
</v>
      </c>
      <c r="AH10" s="252" t="str">
        <f t="shared" si="9"/>
        <v xml:space="preserve">CAHAYA cukup baik  dalam menyelesaikan masalah yang berkaitan dengan volume bangun ruang dengan menggunakan satuan volume (seperti kubus satuan) melibatkan pangkat tiga dan akar pangkat tiga
</v>
      </c>
      <c r="AQ10" s="469">
        <f t="shared" si="10"/>
        <v>75</v>
      </c>
    </row>
    <row r="11" spans="1:53" ht="80.25" customHeight="1">
      <c r="B11" s="142">
        <v>7</v>
      </c>
      <c r="C11" s="143" t="str">
        <f>SISWA!B12</f>
        <v>1718250040311</v>
      </c>
      <c r="D11" s="144" t="str">
        <f>SISWA!E12</f>
        <v>CALISTA</v>
      </c>
      <c r="E11" s="159">
        <v>65</v>
      </c>
      <c r="F11" s="160">
        <v>65</v>
      </c>
      <c r="G11" s="160">
        <v>65</v>
      </c>
      <c r="H11" s="160">
        <v>65</v>
      </c>
      <c r="I11" s="160"/>
      <c r="J11" s="159"/>
      <c r="K11" s="159"/>
      <c r="L11" s="159"/>
      <c r="M11" s="159"/>
      <c r="N11" s="159"/>
      <c r="O11" s="159"/>
      <c r="P11" s="159"/>
      <c r="Q11" s="159"/>
      <c r="R11" s="160"/>
      <c r="S11" s="160"/>
      <c r="T11" s="159"/>
      <c r="U11" s="354">
        <f t="shared" si="4"/>
        <v>65</v>
      </c>
      <c r="V11" s="355" t="str">
        <f>IF(U11&gt;KKM!$G$10,"A",IF(U11&gt;KKM!$H$10,"B",IF(U11&gt;=KKM!$I$10,"C","D")))</f>
        <v>C</v>
      </c>
      <c r="W11" s="356">
        <f t="shared" si="0"/>
        <v>65</v>
      </c>
      <c r="X11" s="361" t="str">
        <f>IF(W11&gt;KKM!$G$10," sangat baik ",IF(W11&gt;KKM!$H$10," baik ",IF(W11&gt;=KKM!$I$10," cukup baik "," perlu bimbingan ")))</f>
        <v xml:space="preserve"> cukup baik </v>
      </c>
      <c r="Y11" s="357">
        <f t="shared" si="1"/>
        <v>65</v>
      </c>
      <c r="Z11" s="361" t="str">
        <f>IF(Y11&gt;KKM!$G$10," sangat baik ",IF(Y11&gt;KKM!$H$10," baik ",IF(Y11&gt;=KKM!$I$10," cukup baik "," perlu bimbingan ")))</f>
        <v xml:space="preserve"> cukup baik </v>
      </c>
      <c r="AA11" s="353" t="str">
        <f t="shared" si="5"/>
        <v xml:space="preserve">CALISTA cukup baik  dalam menyelesaikan masalah yang berkaitan dengan volume bangun ruang dengan menggunakan satuan volume (seperti kubus satuan) melibatkan pangkat tiga dan akar pangkat tiga
</v>
      </c>
      <c r="AB11" s="256"/>
      <c r="AC11" s="257" t="str">
        <f t="shared" si="2"/>
        <v xml:space="preserve"> cukup baik  dalam menyelesaikan masalah yang berkaitan dengan volume bangun ruang dengan menggunakan satuan volume (seperti kubus satuan) melibatkan pangkat tiga dan akar pangkat tiga
</v>
      </c>
      <c r="AD11" s="257" t="str">
        <f t="shared" si="3"/>
        <v xml:space="preserve"> cukup baik  dalam menyelesaikan masalah yang berkaitan dengan volume bangun ruang dengan menggunakan satuan volume (seperti kubus satuan) melibatkan pangkat tiga dan akar pangkat tiga
</v>
      </c>
      <c r="AE11"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11" s="257" t="str">
        <f t="shared" si="7"/>
        <v xml:space="preserve"> cukup baik  dalam menyelesaikan masalah yang berkaitan dengan volume bangun ruang dengan menggunakan satuan volume (seperti kubus satuan) melibatkan pangkat tiga dan akar pangkat tiga
</v>
      </c>
      <c r="AG11" s="258" t="str">
        <f t="shared" si="8"/>
        <v xml:space="preserve"> cukup baik  dalam menyelesaikan masalah yang berkaitan dengan volume bangun ruang dengan menggunakan satuan volume (seperti kubus satuan) melibatkan pangkat tiga dan akar pangkat tiga
</v>
      </c>
      <c r="AH11" s="252" t="str">
        <f t="shared" si="9"/>
        <v xml:space="preserve">CALISTA cukup baik  dalam menyelesaikan masalah yang berkaitan dengan volume bangun ruang dengan menggunakan satuan volume (seperti kubus satuan) melibatkan pangkat tiga dan akar pangkat tiga
</v>
      </c>
      <c r="AQ11" s="469">
        <f t="shared" si="10"/>
        <v>65</v>
      </c>
    </row>
    <row r="12" spans="1:53" ht="80.25" customHeight="1">
      <c r="B12" s="142">
        <v>8</v>
      </c>
      <c r="C12" s="143" t="str">
        <f>SISWA!B13</f>
        <v>1718250040312</v>
      </c>
      <c r="D12" s="144" t="str">
        <f>SISWA!E13</f>
        <v>CARISSA</v>
      </c>
      <c r="E12" s="159">
        <v>80</v>
      </c>
      <c r="F12" s="160">
        <v>80</v>
      </c>
      <c r="G12" s="160">
        <v>80</v>
      </c>
      <c r="H12" s="160">
        <v>80</v>
      </c>
      <c r="I12" s="160"/>
      <c r="J12" s="159"/>
      <c r="K12" s="159"/>
      <c r="L12" s="159"/>
      <c r="M12" s="159"/>
      <c r="N12" s="159"/>
      <c r="O12" s="159"/>
      <c r="P12" s="159"/>
      <c r="Q12" s="159"/>
      <c r="R12" s="160"/>
      <c r="S12" s="160"/>
      <c r="T12" s="159"/>
      <c r="U12" s="354">
        <f t="shared" si="4"/>
        <v>80</v>
      </c>
      <c r="V12" s="355" t="str">
        <f>IF(U12&gt;KKM!$G$10,"A",IF(U12&gt;KKM!$H$10,"B",IF(U12&gt;=KKM!$I$10,"C","D")))</f>
        <v>B</v>
      </c>
      <c r="W12" s="356">
        <f t="shared" si="0"/>
        <v>80</v>
      </c>
      <c r="X12" s="361" t="str">
        <f>IF(W12&gt;KKM!$G$10," sangat baik ",IF(W12&gt;KKM!$H$10," baik ",IF(W12&gt;=KKM!$I$10," cukup baik "," perlu bimbingan ")))</f>
        <v xml:space="preserve"> baik </v>
      </c>
      <c r="Y12" s="357">
        <f t="shared" si="1"/>
        <v>80</v>
      </c>
      <c r="Z12" s="361" t="str">
        <f>IF(Y12&gt;KKM!$G$10," sangat baik ",IF(Y12&gt;KKM!$H$10," baik ",IF(Y12&gt;=KKM!$I$10," cukup baik "," perlu bimbingan ")))</f>
        <v xml:space="preserve"> baik </v>
      </c>
      <c r="AA12" s="353" t="str">
        <f t="shared" si="5"/>
        <v xml:space="preserve">CARISSA baik  dalam menyelesaikan masalah yang berkaitan dengan volume bangun ruang dengan menggunakan satuan volume (seperti kubus satuan) melibatkan pangkat tiga dan akar pangkat tiga
</v>
      </c>
      <c r="AB12" s="256"/>
      <c r="AC12" s="257" t="str">
        <f t="shared" si="2"/>
        <v xml:space="preserve"> baik  dalam menyelesaikan masalah yang berkaitan dengan volume bangun ruang dengan menggunakan satuan volume (seperti kubus satuan) melibatkan pangkat tiga dan akar pangkat tiga
</v>
      </c>
      <c r="AD12" s="257" t="str">
        <f t="shared" si="3"/>
        <v xml:space="preserve"> baik  dalam menyelesaikan masalah yang berkaitan dengan volume bangun ruang dengan menggunakan satuan volume (seperti kubus satuan) melibatkan pangkat tiga dan akar pangkat tiga
</v>
      </c>
      <c r="AE12" s="257" t="str">
        <f t="shared" si="6"/>
        <v xml:space="preserve"> baik  dalam menyelesaikan masalah yang berkaitan dengan volume bangun ruang dengan menggunakan satuan volume (seperti kubus satuan) melibatkan pangkat tiga dan akar pangkat tiga
, dan  baik  dalam menyelesaikan masalah yang berkaitan dengan volume bangun ruang dengan menggunakan satuan volume (seperti kubus satuan) melibatkan pangkat tiga dan akar pangkat tiga
</v>
      </c>
      <c r="AF12" s="257" t="str">
        <f t="shared" si="7"/>
        <v xml:space="preserve"> baik  dalam menyelesaikan masalah yang berkaitan dengan volume bangun ruang dengan menggunakan satuan volume (seperti kubus satuan) melibatkan pangkat tiga dan akar pangkat tiga
</v>
      </c>
      <c r="AG12" s="258" t="str">
        <f t="shared" si="8"/>
        <v xml:space="preserve"> baik  dalam menyelesaikan masalah yang berkaitan dengan volume bangun ruang dengan menggunakan satuan volume (seperti kubus satuan) melibatkan pangkat tiga dan akar pangkat tiga
</v>
      </c>
      <c r="AH12" s="252" t="str">
        <f t="shared" si="9"/>
        <v xml:space="preserve">CARISSA baik  dalam menyelesaikan masalah yang berkaitan dengan volume bangun ruang dengan menggunakan satuan volume (seperti kubus satuan) melibatkan pangkat tiga dan akar pangkat tiga
</v>
      </c>
      <c r="AQ12" s="469">
        <f t="shared" si="10"/>
        <v>80</v>
      </c>
    </row>
    <row r="13" spans="1:53" ht="80.25" customHeight="1">
      <c r="B13" s="142">
        <v>9</v>
      </c>
      <c r="C13" s="143" t="str">
        <f>SISWA!B14</f>
        <v>1718250040313</v>
      </c>
      <c r="D13" s="144" t="str">
        <f>SISWA!E14</f>
        <v>CHAIDAR</v>
      </c>
      <c r="E13" s="159">
        <v>75</v>
      </c>
      <c r="F13" s="160">
        <v>75</v>
      </c>
      <c r="G13" s="160">
        <v>75</v>
      </c>
      <c r="H13" s="160">
        <v>75</v>
      </c>
      <c r="I13" s="160"/>
      <c r="J13" s="159"/>
      <c r="K13" s="159"/>
      <c r="L13" s="159"/>
      <c r="M13" s="159"/>
      <c r="N13" s="159"/>
      <c r="O13" s="159"/>
      <c r="P13" s="159"/>
      <c r="Q13" s="159"/>
      <c r="R13" s="160"/>
      <c r="S13" s="160"/>
      <c r="T13" s="159"/>
      <c r="U13" s="354">
        <f t="shared" si="4"/>
        <v>75</v>
      </c>
      <c r="V13" s="355" t="str">
        <f>IF(U13&gt;KKM!$G$10,"A",IF(U13&gt;KKM!$H$10,"B",IF(U13&gt;=KKM!$I$10,"C","D")))</f>
        <v>C</v>
      </c>
      <c r="W13" s="356">
        <f t="shared" si="0"/>
        <v>75</v>
      </c>
      <c r="X13" s="361" t="str">
        <f>IF(W13&gt;KKM!$G$10," sangat baik ",IF(W13&gt;KKM!$H$10," baik ",IF(W13&gt;=KKM!$I$10," cukup baik "," perlu bimbingan ")))</f>
        <v xml:space="preserve"> cukup baik </v>
      </c>
      <c r="Y13" s="357">
        <f t="shared" si="1"/>
        <v>75</v>
      </c>
      <c r="Z13" s="361" t="str">
        <f>IF(Y13&gt;KKM!$G$10," sangat baik ",IF(Y13&gt;KKM!$H$10," baik ",IF(Y13&gt;=KKM!$I$10," cukup baik "," perlu bimbingan ")))</f>
        <v xml:space="preserve"> cukup baik </v>
      </c>
      <c r="AA13" s="353" t="str">
        <f t="shared" si="5"/>
        <v xml:space="preserve">CHAIDAR cukup baik  dalam menyelesaikan masalah yang berkaitan dengan volume bangun ruang dengan menggunakan satuan volume (seperti kubus satuan) melibatkan pangkat tiga dan akar pangkat tiga
</v>
      </c>
      <c r="AB13" s="256"/>
      <c r="AC13" s="257" t="str">
        <f t="shared" si="2"/>
        <v xml:space="preserve"> cukup baik  dalam menyelesaikan masalah yang berkaitan dengan volume bangun ruang dengan menggunakan satuan volume (seperti kubus satuan) melibatkan pangkat tiga dan akar pangkat tiga
</v>
      </c>
      <c r="AD13" s="257" t="str">
        <f t="shared" si="3"/>
        <v xml:space="preserve"> cukup baik  dalam menyelesaikan masalah yang berkaitan dengan volume bangun ruang dengan menggunakan satuan volume (seperti kubus satuan) melibatkan pangkat tiga dan akar pangkat tiga
</v>
      </c>
      <c r="AE13"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13" s="257" t="str">
        <f t="shared" si="7"/>
        <v xml:space="preserve"> cukup baik  dalam menyelesaikan masalah yang berkaitan dengan volume bangun ruang dengan menggunakan satuan volume (seperti kubus satuan) melibatkan pangkat tiga dan akar pangkat tiga
</v>
      </c>
      <c r="AG13" s="258" t="str">
        <f t="shared" si="8"/>
        <v xml:space="preserve"> cukup baik  dalam menyelesaikan masalah yang berkaitan dengan volume bangun ruang dengan menggunakan satuan volume (seperti kubus satuan) melibatkan pangkat tiga dan akar pangkat tiga
</v>
      </c>
      <c r="AH13" s="252" t="str">
        <f t="shared" si="9"/>
        <v xml:space="preserve">CHAIDAR cukup baik  dalam menyelesaikan masalah yang berkaitan dengan volume bangun ruang dengan menggunakan satuan volume (seperti kubus satuan) melibatkan pangkat tiga dan akar pangkat tiga
</v>
      </c>
      <c r="AQ13" s="469">
        <f t="shared" si="10"/>
        <v>75</v>
      </c>
    </row>
    <row r="14" spans="1:53" ht="80.25" customHeight="1">
      <c r="B14" s="142">
        <v>10</v>
      </c>
      <c r="C14" s="143" t="str">
        <f>SISWA!B15</f>
        <v>1718250040314</v>
      </c>
      <c r="D14" s="144" t="str">
        <f>SISWA!E15</f>
        <v>DAVKA</v>
      </c>
      <c r="E14" s="159">
        <v>75</v>
      </c>
      <c r="F14" s="160">
        <v>75</v>
      </c>
      <c r="G14" s="160">
        <v>75</v>
      </c>
      <c r="H14" s="160">
        <v>75</v>
      </c>
      <c r="I14" s="160"/>
      <c r="J14" s="159"/>
      <c r="K14" s="159"/>
      <c r="L14" s="159"/>
      <c r="M14" s="159"/>
      <c r="N14" s="159"/>
      <c r="O14" s="159"/>
      <c r="P14" s="159"/>
      <c r="Q14" s="159"/>
      <c r="R14" s="160"/>
      <c r="S14" s="160"/>
      <c r="T14" s="159"/>
      <c r="U14" s="354">
        <f t="shared" si="4"/>
        <v>75</v>
      </c>
      <c r="V14" s="355" t="str">
        <f>IF(U14&gt;KKM!$G$10,"A",IF(U14&gt;KKM!$H$10,"B",IF(U14&gt;=KKM!$I$10,"C","D")))</f>
        <v>C</v>
      </c>
      <c r="W14" s="356">
        <f t="shared" si="0"/>
        <v>75</v>
      </c>
      <c r="X14" s="361" t="str">
        <f>IF(W14&gt;KKM!$G$10," sangat baik ",IF(W14&gt;KKM!$H$10," baik ",IF(W14&gt;=KKM!$I$10," cukup baik "," perlu bimbingan ")))</f>
        <v xml:space="preserve"> cukup baik </v>
      </c>
      <c r="Y14" s="357">
        <f t="shared" si="1"/>
        <v>75</v>
      </c>
      <c r="Z14" s="361" t="str">
        <f>IF(Y14&gt;KKM!$G$10," sangat baik ",IF(Y14&gt;KKM!$H$10," baik ",IF(Y14&gt;=KKM!$I$10," cukup baik "," perlu bimbingan ")))</f>
        <v xml:space="preserve"> cukup baik </v>
      </c>
      <c r="AA14" s="353" t="str">
        <f t="shared" si="5"/>
        <v xml:space="preserve">DAVKA cukup baik  dalam menyelesaikan masalah yang berkaitan dengan volume bangun ruang dengan menggunakan satuan volume (seperti kubus satuan) melibatkan pangkat tiga dan akar pangkat tiga
</v>
      </c>
      <c r="AB14" s="256"/>
      <c r="AC14" s="257" t="str">
        <f t="shared" si="2"/>
        <v xml:space="preserve"> cukup baik  dalam menyelesaikan masalah yang berkaitan dengan volume bangun ruang dengan menggunakan satuan volume (seperti kubus satuan) melibatkan pangkat tiga dan akar pangkat tiga
</v>
      </c>
      <c r="AD14" s="257" t="str">
        <f t="shared" si="3"/>
        <v xml:space="preserve"> cukup baik  dalam menyelesaikan masalah yang berkaitan dengan volume bangun ruang dengan menggunakan satuan volume (seperti kubus satuan) melibatkan pangkat tiga dan akar pangkat tiga
</v>
      </c>
      <c r="AE14"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14" s="257" t="str">
        <f t="shared" si="7"/>
        <v xml:space="preserve"> cukup baik  dalam menyelesaikan masalah yang berkaitan dengan volume bangun ruang dengan menggunakan satuan volume (seperti kubus satuan) melibatkan pangkat tiga dan akar pangkat tiga
</v>
      </c>
      <c r="AG14" s="258" t="str">
        <f t="shared" si="8"/>
        <v xml:space="preserve"> cukup baik  dalam menyelesaikan masalah yang berkaitan dengan volume bangun ruang dengan menggunakan satuan volume (seperti kubus satuan) melibatkan pangkat tiga dan akar pangkat tiga
</v>
      </c>
      <c r="AH14" s="252" t="str">
        <f t="shared" si="9"/>
        <v xml:space="preserve">DAVKA cukup baik  dalam menyelesaikan masalah yang berkaitan dengan volume bangun ruang dengan menggunakan satuan volume (seperti kubus satuan) melibatkan pangkat tiga dan akar pangkat tiga
</v>
      </c>
      <c r="AQ14" s="469">
        <f t="shared" si="10"/>
        <v>75</v>
      </c>
    </row>
    <row r="15" spans="1:53" ht="80.25" customHeight="1">
      <c r="B15" s="142">
        <v>11</v>
      </c>
      <c r="C15" s="143" t="str">
        <f>SISWA!B16</f>
        <v>1718250040315</v>
      </c>
      <c r="D15" s="144" t="str">
        <f>SISWA!E16</f>
        <v>DZIBRIL</v>
      </c>
      <c r="E15" s="159">
        <v>70</v>
      </c>
      <c r="F15" s="160">
        <v>70</v>
      </c>
      <c r="G15" s="160">
        <v>70</v>
      </c>
      <c r="H15" s="160">
        <v>70</v>
      </c>
      <c r="I15" s="160"/>
      <c r="J15" s="159"/>
      <c r="K15" s="159"/>
      <c r="L15" s="159"/>
      <c r="M15" s="159"/>
      <c r="N15" s="159"/>
      <c r="O15" s="159"/>
      <c r="P15" s="159"/>
      <c r="Q15" s="159"/>
      <c r="R15" s="160"/>
      <c r="S15" s="160"/>
      <c r="T15" s="159"/>
      <c r="U15" s="354">
        <f t="shared" si="4"/>
        <v>70</v>
      </c>
      <c r="V15" s="355" t="str">
        <f>IF(U15&gt;KKM!$G$10,"A",IF(U15&gt;KKM!$H$10,"B",IF(U15&gt;=KKM!$I$10,"C","D")))</f>
        <v>C</v>
      </c>
      <c r="W15" s="356">
        <f t="shared" si="0"/>
        <v>70</v>
      </c>
      <c r="X15" s="361" t="str">
        <f>IF(W15&gt;KKM!$G$10," sangat baik ",IF(W15&gt;KKM!$H$10," baik ",IF(W15&gt;=KKM!$I$10," cukup baik "," perlu bimbingan ")))</f>
        <v xml:space="preserve"> cukup baik </v>
      </c>
      <c r="Y15" s="357">
        <f t="shared" si="1"/>
        <v>70</v>
      </c>
      <c r="Z15" s="361" t="str">
        <f>IF(Y15&gt;KKM!$G$10," sangat baik ",IF(Y15&gt;KKM!$H$10," baik ",IF(Y15&gt;=KKM!$I$10," cukup baik "," perlu bimbingan ")))</f>
        <v xml:space="preserve"> cukup baik </v>
      </c>
      <c r="AA15" s="353" t="str">
        <f t="shared" si="5"/>
        <v xml:space="preserve">DZIBRIL cukup baik  dalam menyelesaikan masalah yang berkaitan dengan volume bangun ruang dengan menggunakan satuan volume (seperti kubus satuan) melibatkan pangkat tiga dan akar pangkat tiga
</v>
      </c>
      <c r="AB15" s="256"/>
      <c r="AC15" s="257" t="str">
        <f t="shared" si="2"/>
        <v xml:space="preserve"> cukup baik  dalam menyelesaikan masalah yang berkaitan dengan volume bangun ruang dengan menggunakan satuan volume (seperti kubus satuan) melibatkan pangkat tiga dan akar pangkat tiga
</v>
      </c>
      <c r="AD15" s="257" t="str">
        <f t="shared" si="3"/>
        <v xml:space="preserve"> cukup baik  dalam menyelesaikan masalah yang berkaitan dengan volume bangun ruang dengan menggunakan satuan volume (seperti kubus satuan) melibatkan pangkat tiga dan akar pangkat tiga
</v>
      </c>
      <c r="AE15"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15" s="257" t="str">
        <f t="shared" si="7"/>
        <v xml:space="preserve"> cukup baik  dalam menyelesaikan masalah yang berkaitan dengan volume bangun ruang dengan menggunakan satuan volume (seperti kubus satuan) melibatkan pangkat tiga dan akar pangkat tiga
</v>
      </c>
      <c r="AG15" s="258" t="str">
        <f t="shared" si="8"/>
        <v xml:space="preserve"> cukup baik  dalam menyelesaikan masalah yang berkaitan dengan volume bangun ruang dengan menggunakan satuan volume (seperti kubus satuan) melibatkan pangkat tiga dan akar pangkat tiga
</v>
      </c>
      <c r="AH15" s="252" t="str">
        <f t="shared" si="9"/>
        <v xml:space="preserve">DZIBRIL cukup baik  dalam menyelesaikan masalah yang berkaitan dengan volume bangun ruang dengan menggunakan satuan volume (seperti kubus satuan) melibatkan pangkat tiga dan akar pangkat tiga
</v>
      </c>
      <c r="AQ15" s="469">
        <f t="shared" si="10"/>
        <v>70</v>
      </c>
    </row>
    <row r="16" spans="1:53" ht="80.25" customHeight="1">
      <c r="B16" s="142">
        <v>12</v>
      </c>
      <c r="C16" s="143" t="str">
        <f>SISWA!B17</f>
        <v>1718250040316</v>
      </c>
      <c r="D16" s="144" t="str">
        <f>SISWA!E17</f>
        <v>ERICHA</v>
      </c>
      <c r="E16" s="159">
        <v>80</v>
      </c>
      <c r="F16" s="160">
        <v>80</v>
      </c>
      <c r="G16" s="160">
        <v>80</v>
      </c>
      <c r="H16" s="160">
        <v>80</v>
      </c>
      <c r="I16" s="160"/>
      <c r="J16" s="159"/>
      <c r="K16" s="159"/>
      <c r="L16" s="159"/>
      <c r="M16" s="159"/>
      <c r="N16" s="159"/>
      <c r="O16" s="159"/>
      <c r="P16" s="159"/>
      <c r="Q16" s="159"/>
      <c r="R16" s="160"/>
      <c r="S16" s="160"/>
      <c r="T16" s="159"/>
      <c r="U16" s="354">
        <f t="shared" si="4"/>
        <v>80</v>
      </c>
      <c r="V16" s="355" t="str">
        <f>IF(U16&gt;KKM!$G$10,"A",IF(U16&gt;KKM!$H$10,"B",IF(U16&gt;=KKM!$I$10,"C","D")))</f>
        <v>B</v>
      </c>
      <c r="W16" s="356">
        <f t="shared" si="0"/>
        <v>80</v>
      </c>
      <c r="X16" s="361" t="str">
        <f>IF(W16&gt;KKM!$G$10," sangat baik ",IF(W16&gt;KKM!$H$10," baik ",IF(W16&gt;=KKM!$I$10," cukup baik "," perlu bimbingan ")))</f>
        <v xml:space="preserve"> baik </v>
      </c>
      <c r="Y16" s="357">
        <f t="shared" si="1"/>
        <v>80</v>
      </c>
      <c r="Z16" s="361" t="str">
        <f>IF(Y16&gt;KKM!$G$10," sangat baik ",IF(Y16&gt;KKM!$H$10," baik ",IF(Y16&gt;=KKM!$I$10," cukup baik "," perlu bimbingan ")))</f>
        <v xml:space="preserve"> baik </v>
      </c>
      <c r="AA16" s="353" t="str">
        <f t="shared" si="5"/>
        <v xml:space="preserve">ERICHA baik  dalam menyelesaikan masalah yang berkaitan dengan volume bangun ruang dengan menggunakan satuan volume (seperti kubus satuan) melibatkan pangkat tiga dan akar pangkat tiga
</v>
      </c>
      <c r="AB16" s="256"/>
      <c r="AC16" s="257" t="str">
        <f t="shared" si="2"/>
        <v xml:space="preserve"> baik  dalam menyelesaikan masalah yang berkaitan dengan volume bangun ruang dengan menggunakan satuan volume (seperti kubus satuan) melibatkan pangkat tiga dan akar pangkat tiga
</v>
      </c>
      <c r="AD16" s="257" t="str">
        <f t="shared" si="3"/>
        <v xml:space="preserve"> baik  dalam menyelesaikan masalah yang berkaitan dengan volume bangun ruang dengan menggunakan satuan volume (seperti kubus satuan) melibatkan pangkat tiga dan akar pangkat tiga
</v>
      </c>
      <c r="AE16" s="257" t="str">
        <f t="shared" si="6"/>
        <v xml:space="preserve"> baik  dalam menyelesaikan masalah yang berkaitan dengan volume bangun ruang dengan menggunakan satuan volume (seperti kubus satuan) melibatkan pangkat tiga dan akar pangkat tiga
, dan  baik  dalam menyelesaikan masalah yang berkaitan dengan volume bangun ruang dengan menggunakan satuan volume (seperti kubus satuan) melibatkan pangkat tiga dan akar pangkat tiga
</v>
      </c>
      <c r="AF16" s="257" t="str">
        <f t="shared" si="7"/>
        <v xml:space="preserve"> baik  dalam menyelesaikan masalah yang berkaitan dengan volume bangun ruang dengan menggunakan satuan volume (seperti kubus satuan) melibatkan pangkat tiga dan akar pangkat tiga
</v>
      </c>
      <c r="AG16" s="258" t="str">
        <f t="shared" si="8"/>
        <v xml:space="preserve"> baik  dalam menyelesaikan masalah yang berkaitan dengan volume bangun ruang dengan menggunakan satuan volume (seperti kubus satuan) melibatkan pangkat tiga dan akar pangkat tiga
</v>
      </c>
      <c r="AH16" s="252" t="str">
        <f t="shared" si="9"/>
        <v xml:space="preserve">ERICHA baik  dalam menyelesaikan masalah yang berkaitan dengan volume bangun ruang dengan menggunakan satuan volume (seperti kubus satuan) melibatkan pangkat tiga dan akar pangkat tiga
</v>
      </c>
      <c r="AQ16" s="469">
        <f t="shared" si="10"/>
        <v>80</v>
      </c>
    </row>
    <row r="17" spans="2:43" ht="80.25" customHeight="1">
      <c r="B17" s="142">
        <v>13</v>
      </c>
      <c r="C17" s="143" t="str">
        <f>SISWA!B18</f>
        <v>1718250040317</v>
      </c>
      <c r="D17" s="144" t="str">
        <f>SISWA!E18</f>
        <v>HISYAM</v>
      </c>
      <c r="E17" s="159">
        <v>70</v>
      </c>
      <c r="F17" s="160">
        <v>70</v>
      </c>
      <c r="G17" s="160">
        <v>70</v>
      </c>
      <c r="H17" s="160">
        <v>70</v>
      </c>
      <c r="I17" s="160"/>
      <c r="J17" s="159"/>
      <c r="K17" s="159"/>
      <c r="L17" s="159"/>
      <c r="M17" s="159"/>
      <c r="N17" s="159"/>
      <c r="O17" s="159"/>
      <c r="P17" s="159"/>
      <c r="Q17" s="159"/>
      <c r="R17" s="160"/>
      <c r="S17" s="160"/>
      <c r="T17" s="159"/>
      <c r="U17" s="354">
        <f t="shared" si="4"/>
        <v>70</v>
      </c>
      <c r="V17" s="355" t="str">
        <f>IF(U17&gt;KKM!$G$10,"A",IF(U17&gt;KKM!$H$10,"B",IF(U17&gt;=KKM!$I$10,"C","D")))</f>
        <v>C</v>
      </c>
      <c r="W17" s="356">
        <f t="shared" si="0"/>
        <v>70</v>
      </c>
      <c r="X17" s="361" t="str">
        <f>IF(W17&gt;KKM!$G$10," sangat baik ",IF(W17&gt;KKM!$H$10," baik ",IF(W17&gt;=KKM!$I$10," cukup baik "," perlu bimbingan ")))</f>
        <v xml:space="preserve"> cukup baik </v>
      </c>
      <c r="Y17" s="357">
        <f t="shared" si="1"/>
        <v>70</v>
      </c>
      <c r="Z17" s="361" t="str">
        <f>IF(Y17&gt;KKM!$G$10," sangat baik ",IF(Y17&gt;KKM!$H$10," baik ",IF(Y17&gt;=KKM!$I$10," cukup baik "," perlu bimbingan ")))</f>
        <v xml:space="preserve"> cukup baik </v>
      </c>
      <c r="AA17" s="353" t="str">
        <f t="shared" si="5"/>
        <v xml:space="preserve">HISYAM cukup baik  dalam menyelesaikan masalah yang berkaitan dengan volume bangun ruang dengan menggunakan satuan volume (seperti kubus satuan) melibatkan pangkat tiga dan akar pangkat tiga
</v>
      </c>
      <c r="AB17" s="256"/>
      <c r="AC17" s="257" t="str">
        <f t="shared" si="2"/>
        <v xml:space="preserve"> cukup baik  dalam menyelesaikan masalah yang berkaitan dengan volume bangun ruang dengan menggunakan satuan volume (seperti kubus satuan) melibatkan pangkat tiga dan akar pangkat tiga
</v>
      </c>
      <c r="AD17" s="257" t="str">
        <f t="shared" si="3"/>
        <v xml:space="preserve"> cukup baik  dalam menyelesaikan masalah yang berkaitan dengan volume bangun ruang dengan menggunakan satuan volume (seperti kubus satuan) melibatkan pangkat tiga dan akar pangkat tiga
</v>
      </c>
      <c r="AE17"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17" s="257" t="str">
        <f t="shared" si="7"/>
        <v xml:space="preserve"> cukup baik  dalam menyelesaikan masalah yang berkaitan dengan volume bangun ruang dengan menggunakan satuan volume (seperti kubus satuan) melibatkan pangkat tiga dan akar pangkat tiga
</v>
      </c>
      <c r="AG17" s="258" t="str">
        <f t="shared" si="8"/>
        <v xml:space="preserve"> cukup baik  dalam menyelesaikan masalah yang berkaitan dengan volume bangun ruang dengan menggunakan satuan volume (seperti kubus satuan) melibatkan pangkat tiga dan akar pangkat tiga
</v>
      </c>
      <c r="AH17" s="252" t="str">
        <f t="shared" si="9"/>
        <v xml:space="preserve">HISYAM cukup baik  dalam menyelesaikan masalah yang berkaitan dengan volume bangun ruang dengan menggunakan satuan volume (seperti kubus satuan) melibatkan pangkat tiga dan akar pangkat tiga
</v>
      </c>
      <c r="AQ17" s="469">
        <f t="shared" si="10"/>
        <v>70</v>
      </c>
    </row>
    <row r="18" spans="2:43" ht="80.25" customHeight="1">
      <c r="B18" s="142">
        <v>14</v>
      </c>
      <c r="C18" s="143" t="str">
        <f>SISWA!B19</f>
        <v>1718250040318</v>
      </c>
      <c r="D18" s="144" t="str">
        <f>SISWA!E19</f>
        <v>FAUZI</v>
      </c>
      <c r="E18" s="159">
        <v>75</v>
      </c>
      <c r="F18" s="160">
        <v>75</v>
      </c>
      <c r="G18" s="160">
        <v>75</v>
      </c>
      <c r="H18" s="160">
        <v>75</v>
      </c>
      <c r="I18" s="160"/>
      <c r="J18" s="159"/>
      <c r="K18" s="159"/>
      <c r="L18" s="159"/>
      <c r="M18" s="159"/>
      <c r="N18" s="159"/>
      <c r="O18" s="159"/>
      <c r="P18" s="159"/>
      <c r="Q18" s="159"/>
      <c r="R18" s="160"/>
      <c r="S18" s="160"/>
      <c r="T18" s="159"/>
      <c r="U18" s="354">
        <f t="shared" si="4"/>
        <v>75</v>
      </c>
      <c r="V18" s="355" t="str">
        <f>IF(U18&gt;KKM!$G$10,"A",IF(U18&gt;KKM!$H$10,"B",IF(U18&gt;=KKM!$I$10,"C","D")))</f>
        <v>C</v>
      </c>
      <c r="W18" s="356">
        <f t="shared" si="0"/>
        <v>75</v>
      </c>
      <c r="X18" s="361" t="str">
        <f>IF(W18&gt;KKM!$G$10," sangat baik ",IF(W18&gt;KKM!$H$10," baik ",IF(W18&gt;=KKM!$I$10," cukup baik "," perlu bimbingan ")))</f>
        <v xml:space="preserve"> cukup baik </v>
      </c>
      <c r="Y18" s="357">
        <f t="shared" si="1"/>
        <v>75</v>
      </c>
      <c r="Z18" s="361" t="str">
        <f>IF(Y18&gt;KKM!$G$10," sangat baik ",IF(Y18&gt;KKM!$H$10," baik ",IF(Y18&gt;=KKM!$I$10," cukup baik "," perlu bimbingan ")))</f>
        <v xml:space="preserve"> cukup baik </v>
      </c>
      <c r="AA18" s="353" t="str">
        <f t="shared" si="5"/>
        <v xml:space="preserve">FAUZI cukup baik  dalam menyelesaikan masalah yang berkaitan dengan volume bangun ruang dengan menggunakan satuan volume (seperti kubus satuan) melibatkan pangkat tiga dan akar pangkat tiga
</v>
      </c>
      <c r="AB18" s="256"/>
      <c r="AC18" s="257" t="str">
        <f t="shared" si="2"/>
        <v xml:space="preserve"> cukup baik  dalam menyelesaikan masalah yang berkaitan dengan volume bangun ruang dengan menggunakan satuan volume (seperti kubus satuan) melibatkan pangkat tiga dan akar pangkat tiga
</v>
      </c>
      <c r="AD18" s="257" t="str">
        <f t="shared" si="3"/>
        <v xml:space="preserve"> cukup baik  dalam menyelesaikan masalah yang berkaitan dengan volume bangun ruang dengan menggunakan satuan volume (seperti kubus satuan) melibatkan pangkat tiga dan akar pangkat tiga
</v>
      </c>
      <c r="AE18"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18" s="257" t="str">
        <f t="shared" si="7"/>
        <v xml:space="preserve"> cukup baik  dalam menyelesaikan masalah yang berkaitan dengan volume bangun ruang dengan menggunakan satuan volume (seperti kubus satuan) melibatkan pangkat tiga dan akar pangkat tiga
</v>
      </c>
      <c r="AG18" s="258" t="str">
        <f t="shared" si="8"/>
        <v xml:space="preserve"> cukup baik  dalam menyelesaikan masalah yang berkaitan dengan volume bangun ruang dengan menggunakan satuan volume (seperti kubus satuan) melibatkan pangkat tiga dan akar pangkat tiga
</v>
      </c>
      <c r="AH18" s="252" t="str">
        <f t="shared" si="9"/>
        <v xml:space="preserve">FAUZI cukup baik  dalam menyelesaikan masalah yang berkaitan dengan volume bangun ruang dengan menggunakan satuan volume (seperti kubus satuan) melibatkan pangkat tiga dan akar pangkat tiga
</v>
      </c>
      <c r="AQ18" s="469">
        <f t="shared" si="10"/>
        <v>75</v>
      </c>
    </row>
    <row r="19" spans="2:43" ht="80.25" customHeight="1">
      <c r="B19" s="142">
        <v>15</v>
      </c>
      <c r="C19" s="143" t="str">
        <f>SISWA!B20</f>
        <v>1718250040319</v>
      </c>
      <c r="D19" s="144" t="str">
        <f>SISWA!E20</f>
        <v>FIRLY</v>
      </c>
      <c r="E19" s="159">
        <v>80</v>
      </c>
      <c r="F19" s="160">
        <v>80</v>
      </c>
      <c r="G19" s="160">
        <v>80</v>
      </c>
      <c r="H19" s="160">
        <v>80</v>
      </c>
      <c r="I19" s="160"/>
      <c r="J19" s="159"/>
      <c r="K19" s="159"/>
      <c r="L19" s="159"/>
      <c r="M19" s="159"/>
      <c r="N19" s="159"/>
      <c r="O19" s="159"/>
      <c r="P19" s="159"/>
      <c r="Q19" s="159"/>
      <c r="R19" s="160"/>
      <c r="S19" s="160"/>
      <c r="T19" s="159"/>
      <c r="U19" s="354">
        <f t="shared" si="4"/>
        <v>80</v>
      </c>
      <c r="V19" s="355" t="str">
        <f>IF(U19&gt;KKM!$G$10,"A",IF(U19&gt;KKM!$H$10,"B",IF(U19&gt;=KKM!$I$10,"C","D")))</f>
        <v>B</v>
      </c>
      <c r="W19" s="356">
        <f t="shared" si="0"/>
        <v>80</v>
      </c>
      <c r="X19" s="361" t="str">
        <f>IF(W19&gt;KKM!$G$10," sangat baik ",IF(W19&gt;KKM!$H$10," baik ",IF(W19&gt;=KKM!$I$10," cukup baik "," perlu bimbingan ")))</f>
        <v xml:space="preserve"> baik </v>
      </c>
      <c r="Y19" s="357">
        <f t="shared" si="1"/>
        <v>80</v>
      </c>
      <c r="Z19" s="361" t="str">
        <f>IF(Y19&gt;KKM!$G$10," sangat baik ",IF(Y19&gt;KKM!$H$10," baik ",IF(Y19&gt;=KKM!$I$10," cukup baik "," perlu bimbingan ")))</f>
        <v xml:space="preserve"> baik </v>
      </c>
      <c r="AA19" s="353" t="str">
        <f t="shared" si="5"/>
        <v xml:space="preserve">FIRLY baik  dalam menyelesaikan masalah yang berkaitan dengan volume bangun ruang dengan menggunakan satuan volume (seperti kubus satuan) melibatkan pangkat tiga dan akar pangkat tiga
</v>
      </c>
      <c r="AB19" s="256"/>
      <c r="AC19" s="257" t="str">
        <f t="shared" si="2"/>
        <v xml:space="preserve"> baik  dalam menyelesaikan masalah yang berkaitan dengan volume bangun ruang dengan menggunakan satuan volume (seperti kubus satuan) melibatkan pangkat tiga dan akar pangkat tiga
</v>
      </c>
      <c r="AD19" s="257" t="str">
        <f t="shared" si="3"/>
        <v xml:space="preserve"> baik  dalam menyelesaikan masalah yang berkaitan dengan volume bangun ruang dengan menggunakan satuan volume (seperti kubus satuan) melibatkan pangkat tiga dan akar pangkat tiga
</v>
      </c>
      <c r="AE19" s="257" t="str">
        <f t="shared" si="6"/>
        <v xml:space="preserve"> baik  dalam menyelesaikan masalah yang berkaitan dengan volume bangun ruang dengan menggunakan satuan volume (seperti kubus satuan) melibatkan pangkat tiga dan akar pangkat tiga
, dan  baik  dalam menyelesaikan masalah yang berkaitan dengan volume bangun ruang dengan menggunakan satuan volume (seperti kubus satuan) melibatkan pangkat tiga dan akar pangkat tiga
</v>
      </c>
      <c r="AF19" s="257" t="str">
        <f t="shared" si="7"/>
        <v xml:space="preserve"> baik  dalam menyelesaikan masalah yang berkaitan dengan volume bangun ruang dengan menggunakan satuan volume (seperti kubus satuan) melibatkan pangkat tiga dan akar pangkat tiga
</v>
      </c>
      <c r="AG19" s="258" t="str">
        <f t="shared" si="8"/>
        <v xml:space="preserve"> baik  dalam menyelesaikan masalah yang berkaitan dengan volume bangun ruang dengan menggunakan satuan volume (seperti kubus satuan) melibatkan pangkat tiga dan akar pangkat tiga
</v>
      </c>
      <c r="AH19" s="252" t="str">
        <f t="shared" si="9"/>
        <v xml:space="preserve">FIRLY baik  dalam menyelesaikan masalah yang berkaitan dengan volume bangun ruang dengan menggunakan satuan volume (seperti kubus satuan) melibatkan pangkat tiga dan akar pangkat tiga
</v>
      </c>
      <c r="AQ19" s="469">
        <f t="shared" si="10"/>
        <v>80</v>
      </c>
    </row>
    <row r="20" spans="2:43" ht="80.25" customHeight="1">
      <c r="B20" s="142">
        <v>16</v>
      </c>
      <c r="C20" s="143" t="str">
        <f>SISWA!B21</f>
        <v>1718250040320</v>
      </c>
      <c r="D20" s="144" t="str">
        <f>SISWA!E21</f>
        <v>HANA</v>
      </c>
      <c r="E20" s="159">
        <v>70</v>
      </c>
      <c r="F20" s="160">
        <v>70</v>
      </c>
      <c r="G20" s="160">
        <v>70</v>
      </c>
      <c r="H20" s="160">
        <v>70</v>
      </c>
      <c r="I20" s="160"/>
      <c r="J20" s="159"/>
      <c r="K20" s="159"/>
      <c r="L20" s="159"/>
      <c r="M20" s="159"/>
      <c r="N20" s="159"/>
      <c r="O20" s="159"/>
      <c r="P20" s="159"/>
      <c r="Q20" s="159"/>
      <c r="R20" s="160"/>
      <c r="S20" s="160"/>
      <c r="T20" s="159"/>
      <c r="U20" s="354">
        <f t="shared" si="4"/>
        <v>70</v>
      </c>
      <c r="V20" s="355" t="str">
        <f>IF(U20&gt;KKM!$G$10,"A",IF(U20&gt;KKM!$H$10,"B",IF(U20&gt;=KKM!$I$10,"C","D")))</f>
        <v>C</v>
      </c>
      <c r="W20" s="356">
        <f t="shared" si="0"/>
        <v>70</v>
      </c>
      <c r="X20" s="361" t="str">
        <f>IF(W20&gt;KKM!$G$10," sangat baik ",IF(W20&gt;KKM!$H$10," baik ",IF(W20&gt;=KKM!$I$10," cukup baik "," perlu bimbingan ")))</f>
        <v xml:space="preserve"> cukup baik </v>
      </c>
      <c r="Y20" s="357">
        <f t="shared" si="1"/>
        <v>70</v>
      </c>
      <c r="Z20" s="361" t="str">
        <f>IF(Y20&gt;KKM!$G$10," sangat baik ",IF(Y20&gt;KKM!$H$10," baik ",IF(Y20&gt;=KKM!$I$10," cukup baik "," perlu bimbingan ")))</f>
        <v xml:space="preserve"> cukup baik </v>
      </c>
      <c r="AA20" s="353" t="str">
        <f t="shared" si="5"/>
        <v xml:space="preserve">HANA cukup baik  dalam menyelesaikan masalah yang berkaitan dengan volume bangun ruang dengan menggunakan satuan volume (seperti kubus satuan) melibatkan pangkat tiga dan akar pangkat tiga
</v>
      </c>
      <c r="AB20" s="256"/>
      <c r="AC20" s="257" t="str">
        <f t="shared" si="2"/>
        <v xml:space="preserve"> cukup baik  dalam menyelesaikan masalah yang berkaitan dengan volume bangun ruang dengan menggunakan satuan volume (seperti kubus satuan) melibatkan pangkat tiga dan akar pangkat tiga
</v>
      </c>
      <c r="AD20" s="257" t="str">
        <f t="shared" si="3"/>
        <v xml:space="preserve"> cukup baik  dalam menyelesaikan masalah yang berkaitan dengan volume bangun ruang dengan menggunakan satuan volume (seperti kubus satuan) melibatkan pangkat tiga dan akar pangkat tiga
</v>
      </c>
      <c r="AE20"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20" s="257" t="str">
        <f t="shared" si="7"/>
        <v xml:space="preserve"> cukup baik  dalam menyelesaikan masalah yang berkaitan dengan volume bangun ruang dengan menggunakan satuan volume (seperti kubus satuan) melibatkan pangkat tiga dan akar pangkat tiga
</v>
      </c>
      <c r="AG20" s="258" t="str">
        <f t="shared" si="8"/>
        <v xml:space="preserve"> cukup baik  dalam menyelesaikan masalah yang berkaitan dengan volume bangun ruang dengan menggunakan satuan volume (seperti kubus satuan) melibatkan pangkat tiga dan akar pangkat tiga
</v>
      </c>
      <c r="AH20" s="252" t="str">
        <f t="shared" si="9"/>
        <v xml:space="preserve">HANA cukup baik  dalam menyelesaikan masalah yang berkaitan dengan volume bangun ruang dengan menggunakan satuan volume (seperti kubus satuan) melibatkan pangkat tiga dan akar pangkat tiga
</v>
      </c>
      <c r="AQ20" s="469">
        <f t="shared" si="10"/>
        <v>70</v>
      </c>
    </row>
    <row r="21" spans="2:43" ht="80.25" customHeight="1">
      <c r="B21" s="142">
        <v>17</v>
      </c>
      <c r="C21" s="143" t="str">
        <f>SISWA!B22</f>
        <v>1718250040321</v>
      </c>
      <c r="D21" s="144" t="str">
        <f>SISWA!E22</f>
        <v>MALLA</v>
      </c>
      <c r="E21" s="159">
        <v>70</v>
      </c>
      <c r="F21" s="160">
        <v>70</v>
      </c>
      <c r="G21" s="160">
        <v>70</v>
      </c>
      <c r="H21" s="160">
        <v>70</v>
      </c>
      <c r="I21" s="160"/>
      <c r="J21" s="159"/>
      <c r="K21" s="159"/>
      <c r="L21" s="159"/>
      <c r="M21" s="159"/>
      <c r="N21" s="159"/>
      <c r="O21" s="159"/>
      <c r="P21" s="159"/>
      <c r="Q21" s="159"/>
      <c r="R21" s="160"/>
      <c r="S21" s="160"/>
      <c r="T21" s="159"/>
      <c r="U21" s="354">
        <f t="shared" si="4"/>
        <v>70</v>
      </c>
      <c r="V21" s="355" t="str">
        <f>IF(U21&gt;KKM!$G$10,"A",IF(U21&gt;KKM!$H$10,"B",IF(U21&gt;=KKM!$I$10,"C","D")))</f>
        <v>C</v>
      </c>
      <c r="W21" s="356">
        <f t="shared" si="0"/>
        <v>70</v>
      </c>
      <c r="X21" s="361" t="str">
        <f>IF(W21&gt;KKM!$G$10," sangat baik ",IF(W21&gt;KKM!$H$10," baik ",IF(W21&gt;=KKM!$I$10," cukup baik "," perlu bimbingan ")))</f>
        <v xml:space="preserve"> cukup baik </v>
      </c>
      <c r="Y21" s="357">
        <f t="shared" si="1"/>
        <v>70</v>
      </c>
      <c r="Z21" s="361" t="str">
        <f>IF(Y21&gt;KKM!$G$10," sangat baik ",IF(Y21&gt;KKM!$H$10," baik ",IF(Y21&gt;=KKM!$I$10," cukup baik "," perlu bimbingan ")))</f>
        <v xml:space="preserve"> cukup baik </v>
      </c>
      <c r="AA21" s="353" t="str">
        <f t="shared" si="5"/>
        <v xml:space="preserve">MALLA cukup baik  dalam menyelesaikan masalah yang berkaitan dengan volume bangun ruang dengan menggunakan satuan volume (seperti kubus satuan) melibatkan pangkat tiga dan akar pangkat tiga
</v>
      </c>
      <c r="AB21" s="256"/>
      <c r="AC21" s="257" t="str">
        <f t="shared" si="2"/>
        <v xml:space="preserve"> cukup baik  dalam menyelesaikan masalah yang berkaitan dengan volume bangun ruang dengan menggunakan satuan volume (seperti kubus satuan) melibatkan pangkat tiga dan akar pangkat tiga
</v>
      </c>
      <c r="AD21" s="257" t="str">
        <f t="shared" si="3"/>
        <v xml:space="preserve"> cukup baik  dalam menyelesaikan masalah yang berkaitan dengan volume bangun ruang dengan menggunakan satuan volume (seperti kubus satuan) melibatkan pangkat tiga dan akar pangkat tiga
</v>
      </c>
      <c r="AE21"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21" s="257" t="str">
        <f t="shared" si="7"/>
        <v xml:space="preserve"> cukup baik  dalam menyelesaikan masalah yang berkaitan dengan volume bangun ruang dengan menggunakan satuan volume (seperti kubus satuan) melibatkan pangkat tiga dan akar pangkat tiga
</v>
      </c>
      <c r="AG21" s="258" t="str">
        <f t="shared" si="8"/>
        <v xml:space="preserve"> cukup baik  dalam menyelesaikan masalah yang berkaitan dengan volume bangun ruang dengan menggunakan satuan volume (seperti kubus satuan) melibatkan pangkat tiga dan akar pangkat tiga
</v>
      </c>
      <c r="AH21" s="252" t="str">
        <f t="shared" si="9"/>
        <v xml:space="preserve">MALLA cukup baik  dalam menyelesaikan masalah yang berkaitan dengan volume bangun ruang dengan menggunakan satuan volume (seperti kubus satuan) melibatkan pangkat tiga dan akar pangkat tiga
</v>
      </c>
      <c r="AQ21" s="469">
        <f t="shared" si="10"/>
        <v>70</v>
      </c>
    </row>
    <row r="22" spans="2:43" ht="80.25" customHeight="1">
      <c r="B22" s="142">
        <v>18</v>
      </c>
      <c r="C22" s="143" t="str">
        <f>SISWA!B23</f>
        <v>1718250040322</v>
      </c>
      <c r="D22" s="144" t="str">
        <f>SISWA!E23</f>
        <v>INTAN</v>
      </c>
      <c r="E22" s="159">
        <v>70</v>
      </c>
      <c r="F22" s="160">
        <v>70</v>
      </c>
      <c r="G22" s="160">
        <v>70</v>
      </c>
      <c r="H22" s="160">
        <v>70</v>
      </c>
      <c r="I22" s="160"/>
      <c r="J22" s="159"/>
      <c r="K22" s="159"/>
      <c r="L22" s="159"/>
      <c r="M22" s="159"/>
      <c r="N22" s="159"/>
      <c r="O22" s="159"/>
      <c r="P22" s="159"/>
      <c r="Q22" s="159"/>
      <c r="R22" s="160"/>
      <c r="S22" s="160"/>
      <c r="T22" s="159"/>
      <c r="U22" s="354">
        <f t="shared" si="4"/>
        <v>70</v>
      </c>
      <c r="V22" s="355" t="str">
        <f>IF(U22&gt;KKM!$G$10,"A",IF(U22&gt;KKM!$H$10,"B",IF(U22&gt;=KKM!$I$10,"C","D")))</f>
        <v>C</v>
      </c>
      <c r="W22" s="356">
        <f t="shared" si="0"/>
        <v>70</v>
      </c>
      <c r="X22" s="361" t="str">
        <f>IF(W22&gt;KKM!$G$10," sangat baik ",IF(W22&gt;KKM!$H$10," baik ",IF(W22&gt;=KKM!$I$10," cukup baik "," perlu bimbingan ")))</f>
        <v xml:space="preserve"> cukup baik </v>
      </c>
      <c r="Y22" s="357">
        <f t="shared" si="1"/>
        <v>70</v>
      </c>
      <c r="Z22" s="361" t="str">
        <f>IF(Y22&gt;KKM!$G$10," sangat baik ",IF(Y22&gt;KKM!$H$10," baik ",IF(Y22&gt;=KKM!$I$10," cukup baik "," perlu bimbingan ")))</f>
        <v xml:space="preserve"> cukup baik </v>
      </c>
      <c r="AA22" s="353" t="str">
        <f t="shared" si="5"/>
        <v xml:space="preserve">INTAN cukup baik  dalam menyelesaikan masalah yang berkaitan dengan volume bangun ruang dengan menggunakan satuan volume (seperti kubus satuan) melibatkan pangkat tiga dan akar pangkat tiga
</v>
      </c>
      <c r="AB22" s="256"/>
      <c r="AC22" s="257" t="str">
        <f t="shared" si="2"/>
        <v xml:space="preserve"> cukup baik  dalam menyelesaikan masalah yang berkaitan dengan volume bangun ruang dengan menggunakan satuan volume (seperti kubus satuan) melibatkan pangkat tiga dan akar pangkat tiga
</v>
      </c>
      <c r="AD22" s="257" t="str">
        <f t="shared" si="3"/>
        <v xml:space="preserve"> cukup baik  dalam menyelesaikan masalah yang berkaitan dengan volume bangun ruang dengan menggunakan satuan volume (seperti kubus satuan) melibatkan pangkat tiga dan akar pangkat tiga
</v>
      </c>
      <c r="AE22"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22" s="257" t="str">
        <f t="shared" si="7"/>
        <v xml:space="preserve"> cukup baik  dalam menyelesaikan masalah yang berkaitan dengan volume bangun ruang dengan menggunakan satuan volume (seperti kubus satuan) melibatkan pangkat tiga dan akar pangkat tiga
</v>
      </c>
      <c r="AG22" s="258" t="str">
        <f t="shared" si="8"/>
        <v xml:space="preserve"> cukup baik  dalam menyelesaikan masalah yang berkaitan dengan volume bangun ruang dengan menggunakan satuan volume (seperti kubus satuan) melibatkan pangkat tiga dan akar pangkat tiga
</v>
      </c>
      <c r="AH22" s="252" t="str">
        <f t="shared" si="9"/>
        <v xml:space="preserve">INTAN cukup baik  dalam menyelesaikan masalah yang berkaitan dengan volume bangun ruang dengan menggunakan satuan volume (seperti kubus satuan) melibatkan pangkat tiga dan akar pangkat tiga
</v>
      </c>
      <c r="AQ22" s="469">
        <f t="shared" si="10"/>
        <v>70</v>
      </c>
    </row>
    <row r="23" spans="2:43" ht="80.25" customHeight="1">
      <c r="B23" s="142">
        <v>19</v>
      </c>
      <c r="C23" s="143" t="str">
        <f>SISWA!B24</f>
        <v>1718250040323</v>
      </c>
      <c r="D23" s="144" t="str">
        <f>SISWA!E24</f>
        <v>JORDY</v>
      </c>
      <c r="E23" s="159">
        <v>75</v>
      </c>
      <c r="F23" s="160">
        <v>75</v>
      </c>
      <c r="G23" s="160">
        <v>75</v>
      </c>
      <c r="H23" s="160">
        <v>75</v>
      </c>
      <c r="I23" s="160"/>
      <c r="J23" s="159"/>
      <c r="K23" s="159"/>
      <c r="L23" s="159"/>
      <c r="M23" s="159"/>
      <c r="N23" s="159"/>
      <c r="O23" s="159"/>
      <c r="P23" s="159"/>
      <c r="Q23" s="159"/>
      <c r="R23" s="160"/>
      <c r="S23" s="160"/>
      <c r="T23" s="159"/>
      <c r="U23" s="354">
        <f t="shared" si="4"/>
        <v>75</v>
      </c>
      <c r="V23" s="355" t="str">
        <f>IF(U23&gt;KKM!$G$10,"A",IF(U23&gt;KKM!$H$10,"B",IF(U23&gt;=KKM!$I$10,"C","D")))</f>
        <v>C</v>
      </c>
      <c r="W23" s="356">
        <f t="shared" si="0"/>
        <v>75</v>
      </c>
      <c r="X23" s="361" t="str">
        <f>IF(W23&gt;KKM!$G$10," sangat baik ",IF(W23&gt;KKM!$H$10," baik ",IF(W23&gt;=KKM!$I$10," cukup baik "," perlu bimbingan ")))</f>
        <v xml:space="preserve"> cukup baik </v>
      </c>
      <c r="Y23" s="357">
        <f t="shared" si="1"/>
        <v>75</v>
      </c>
      <c r="Z23" s="361" t="str">
        <f>IF(Y23&gt;KKM!$G$10," sangat baik ",IF(Y23&gt;KKM!$H$10," baik ",IF(Y23&gt;=KKM!$I$10," cukup baik "," perlu bimbingan ")))</f>
        <v xml:space="preserve"> cukup baik </v>
      </c>
      <c r="AA23" s="353" t="str">
        <f t="shared" si="5"/>
        <v xml:space="preserve">JORDY cukup baik  dalam menyelesaikan masalah yang berkaitan dengan volume bangun ruang dengan menggunakan satuan volume (seperti kubus satuan) melibatkan pangkat tiga dan akar pangkat tiga
</v>
      </c>
      <c r="AB23" s="256"/>
      <c r="AC23" s="257" t="str">
        <f t="shared" si="2"/>
        <v xml:space="preserve"> cukup baik  dalam menyelesaikan masalah yang berkaitan dengan volume bangun ruang dengan menggunakan satuan volume (seperti kubus satuan) melibatkan pangkat tiga dan akar pangkat tiga
</v>
      </c>
      <c r="AD23" s="257" t="str">
        <f t="shared" si="3"/>
        <v xml:space="preserve"> cukup baik  dalam menyelesaikan masalah yang berkaitan dengan volume bangun ruang dengan menggunakan satuan volume (seperti kubus satuan) melibatkan pangkat tiga dan akar pangkat tiga
</v>
      </c>
      <c r="AE23"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23" s="257" t="str">
        <f t="shared" si="7"/>
        <v xml:space="preserve"> cukup baik  dalam menyelesaikan masalah yang berkaitan dengan volume bangun ruang dengan menggunakan satuan volume (seperti kubus satuan) melibatkan pangkat tiga dan akar pangkat tiga
</v>
      </c>
      <c r="AG23" s="258" t="str">
        <f t="shared" si="8"/>
        <v xml:space="preserve"> cukup baik  dalam menyelesaikan masalah yang berkaitan dengan volume bangun ruang dengan menggunakan satuan volume (seperti kubus satuan) melibatkan pangkat tiga dan akar pangkat tiga
</v>
      </c>
      <c r="AH23" s="252" t="str">
        <f t="shared" si="9"/>
        <v xml:space="preserve">JORDY cukup baik  dalam menyelesaikan masalah yang berkaitan dengan volume bangun ruang dengan menggunakan satuan volume (seperti kubus satuan) melibatkan pangkat tiga dan akar pangkat tiga
</v>
      </c>
      <c r="AQ23" s="469">
        <f t="shared" si="10"/>
        <v>75</v>
      </c>
    </row>
    <row r="24" spans="2:43" ht="80.25" customHeight="1">
      <c r="B24" s="142">
        <v>20</v>
      </c>
      <c r="C24" s="143" t="str">
        <f>SISWA!B25</f>
        <v>1718250040324</v>
      </c>
      <c r="D24" s="144" t="str">
        <f>SISWA!E25</f>
        <v>KURNIA</v>
      </c>
      <c r="E24" s="159">
        <v>70</v>
      </c>
      <c r="F24" s="160">
        <v>70</v>
      </c>
      <c r="G24" s="160">
        <v>70</v>
      </c>
      <c r="H24" s="160">
        <v>70</v>
      </c>
      <c r="I24" s="160"/>
      <c r="J24" s="159"/>
      <c r="K24" s="159"/>
      <c r="L24" s="159"/>
      <c r="M24" s="159"/>
      <c r="N24" s="159"/>
      <c r="O24" s="159"/>
      <c r="P24" s="159"/>
      <c r="Q24" s="159"/>
      <c r="R24" s="160"/>
      <c r="S24" s="160"/>
      <c r="T24" s="159"/>
      <c r="U24" s="354">
        <f t="shared" si="4"/>
        <v>70</v>
      </c>
      <c r="V24" s="355" t="str">
        <f>IF(U24&gt;KKM!$G$10,"A",IF(U24&gt;KKM!$H$10,"B",IF(U24&gt;=KKM!$I$10,"C","D")))</f>
        <v>C</v>
      </c>
      <c r="W24" s="356">
        <f t="shared" si="0"/>
        <v>70</v>
      </c>
      <c r="X24" s="361" t="str">
        <f>IF(W24&gt;KKM!$G$10," sangat baik ",IF(W24&gt;KKM!$H$10," baik ",IF(W24&gt;=KKM!$I$10," cukup baik "," perlu bimbingan ")))</f>
        <v xml:space="preserve"> cukup baik </v>
      </c>
      <c r="Y24" s="357">
        <f t="shared" si="1"/>
        <v>70</v>
      </c>
      <c r="Z24" s="361" t="str">
        <f>IF(Y24&gt;KKM!$G$10," sangat baik ",IF(Y24&gt;KKM!$H$10," baik ",IF(Y24&gt;=KKM!$I$10," cukup baik "," perlu bimbingan ")))</f>
        <v xml:space="preserve"> cukup baik </v>
      </c>
      <c r="AA24" s="353" t="str">
        <f t="shared" si="5"/>
        <v xml:space="preserve">KURNIA cukup baik  dalam menyelesaikan masalah yang berkaitan dengan volume bangun ruang dengan menggunakan satuan volume (seperti kubus satuan) melibatkan pangkat tiga dan akar pangkat tiga
</v>
      </c>
      <c r="AB24" s="256"/>
      <c r="AC24" s="257" t="str">
        <f t="shared" si="2"/>
        <v xml:space="preserve"> cukup baik  dalam menyelesaikan masalah yang berkaitan dengan volume bangun ruang dengan menggunakan satuan volume (seperti kubus satuan) melibatkan pangkat tiga dan akar pangkat tiga
</v>
      </c>
      <c r="AD24" s="257" t="str">
        <f t="shared" si="3"/>
        <v xml:space="preserve"> cukup baik  dalam menyelesaikan masalah yang berkaitan dengan volume bangun ruang dengan menggunakan satuan volume (seperti kubus satuan) melibatkan pangkat tiga dan akar pangkat tiga
</v>
      </c>
      <c r="AE24"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24" s="257" t="str">
        <f t="shared" si="7"/>
        <v xml:space="preserve"> cukup baik  dalam menyelesaikan masalah yang berkaitan dengan volume bangun ruang dengan menggunakan satuan volume (seperti kubus satuan) melibatkan pangkat tiga dan akar pangkat tiga
</v>
      </c>
      <c r="AG24" s="258" t="str">
        <f t="shared" si="8"/>
        <v xml:space="preserve"> cukup baik  dalam menyelesaikan masalah yang berkaitan dengan volume bangun ruang dengan menggunakan satuan volume (seperti kubus satuan) melibatkan pangkat tiga dan akar pangkat tiga
</v>
      </c>
      <c r="AH24" s="252" t="str">
        <f t="shared" si="9"/>
        <v xml:space="preserve">KURNIA cukup baik  dalam menyelesaikan masalah yang berkaitan dengan volume bangun ruang dengan menggunakan satuan volume (seperti kubus satuan) melibatkan pangkat tiga dan akar pangkat tiga
</v>
      </c>
      <c r="AQ24" s="469">
        <f t="shared" si="10"/>
        <v>70</v>
      </c>
    </row>
    <row r="25" spans="2:43" ht="80.25" customHeight="1">
      <c r="B25" s="142">
        <v>21</v>
      </c>
      <c r="C25" s="143" t="str">
        <f>SISWA!B26</f>
        <v>1718250040325</v>
      </c>
      <c r="D25" s="144" t="str">
        <f>SISWA!E26</f>
        <v>LATIZA</v>
      </c>
      <c r="E25" s="159">
        <v>95</v>
      </c>
      <c r="F25" s="160">
        <v>95</v>
      </c>
      <c r="G25" s="160">
        <v>95</v>
      </c>
      <c r="H25" s="160">
        <v>95</v>
      </c>
      <c r="I25" s="160"/>
      <c r="J25" s="159"/>
      <c r="K25" s="159"/>
      <c r="L25" s="159"/>
      <c r="M25" s="159"/>
      <c r="N25" s="159"/>
      <c r="O25" s="159"/>
      <c r="P25" s="159"/>
      <c r="Q25" s="159"/>
      <c r="R25" s="160"/>
      <c r="S25" s="160"/>
      <c r="T25" s="159"/>
      <c r="U25" s="354">
        <f t="shared" si="4"/>
        <v>95</v>
      </c>
      <c r="V25" s="355" t="str">
        <f>IF(U25&gt;KKM!$G$10,"A",IF(U25&gt;KKM!$H$10,"B",IF(U25&gt;=KKM!$I$10,"C","D")))</f>
        <v>A</v>
      </c>
      <c r="W25" s="356">
        <f t="shared" si="0"/>
        <v>95</v>
      </c>
      <c r="X25" s="361" t="str">
        <f>IF(W25&gt;KKM!$G$10," sangat baik ",IF(W25&gt;KKM!$H$10," baik ",IF(W25&gt;=KKM!$I$10," cukup baik "," perlu bimbingan ")))</f>
        <v xml:space="preserve"> sangat baik </v>
      </c>
      <c r="Y25" s="357">
        <f t="shared" si="1"/>
        <v>95</v>
      </c>
      <c r="Z25" s="361" t="str">
        <f>IF(Y25&gt;KKM!$G$10," sangat baik ",IF(Y25&gt;KKM!$H$10," baik ",IF(Y25&gt;=KKM!$I$10," cukup baik "," perlu bimbingan ")))</f>
        <v xml:space="preserve"> sangat baik </v>
      </c>
      <c r="AA25" s="353" t="str">
        <f t="shared" si="5"/>
        <v xml:space="preserve">LATIZA sangat baik  dalam menyelesaikan masalah yang berkaitan dengan volume bangun ruang dengan menggunakan satuan volume (seperti kubus satuan) melibatkan pangkat tiga dan akar pangkat tiga
</v>
      </c>
      <c r="AB25" s="256"/>
      <c r="AC25" s="257" t="str">
        <f t="shared" si="2"/>
        <v xml:space="preserve"> sangat baik  dalam menyelesaikan masalah yang berkaitan dengan volume bangun ruang dengan menggunakan satuan volume (seperti kubus satuan) melibatkan pangkat tiga dan akar pangkat tiga
</v>
      </c>
      <c r="AD25" s="257" t="str">
        <f t="shared" si="3"/>
        <v xml:space="preserve"> sangat baik  dalam menyelesaikan masalah yang berkaitan dengan volume bangun ruang dengan menggunakan satuan volume (seperti kubus satuan) melibatkan pangkat tiga dan akar pangkat tiga
</v>
      </c>
      <c r="AE25" s="257" t="str">
        <f t="shared" si="6"/>
        <v xml:space="preserve"> sangat baik  dalam menyelesaikan masalah yang berkaitan dengan volume bangun ruang dengan menggunakan satuan volume (seperti kubus satuan) melibatkan pangkat tiga dan akar pangkat tiga
, dan  sangat baik  dalam menyelesaikan masalah yang berkaitan dengan volume bangun ruang dengan menggunakan satuan volume (seperti kubus satuan) melibatkan pangkat tiga dan akar pangkat tiga
</v>
      </c>
      <c r="AF25" s="257" t="str">
        <f t="shared" si="7"/>
        <v xml:space="preserve"> sangat baik  dalam menyelesaikan masalah yang berkaitan dengan volume bangun ruang dengan menggunakan satuan volume (seperti kubus satuan) melibatkan pangkat tiga dan akar pangkat tiga
</v>
      </c>
      <c r="AG25" s="258" t="str">
        <f t="shared" si="8"/>
        <v xml:space="preserve"> sangat baik  dalam menyelesaikan masalah yang berkaitan dengan volume bangun ruang dengan menggunakan satuan volume (seperti kubus satuan) melibatkan pangkat tiga dan akar pangkat tiga
</v>
      </c>
      <c r="AH25" s="252" t="str">
        <f t="shared" si="9"/>
        <v xml:space="preserve">LATIZA sangat baik  dalam menyelesaikan masalah yang berkaitan dengan volume bangun ruang dengan menggunakan satuan volume (seperti kubus satuan) melibatkan pangkat tiga dan akar pangkat tiga
</v>
      </c>
      <c r="AQ25" s="469">
        <f t="shared" si="10"/>
        <v>95</v>
      </c>
    </row>
    <row r="26" spans="2:43" ht="80.25" customHeight="1">
      <c r="B26" s="142">
        <v>22</v>
      </c>
      <c r="C26" s="143" t="str">
        <f>SISWA!B27</f>
        <v>1718250040326</v>
      </c>
      <c r="D26" s="144" t="str">
        <f>SISWA!E27</f>
        <v>RIZKY</v>
      </c>
      <c r="E26" s="159">
        <v>75</v>
      </c>
      <c r="F26" s="160">
        <v>75</v>
      </c>
      <c r="G26" s="160">
        <v>75</v>
      </c>
      <c r="H26" s="160">
        <v>75</v>
      </c>
      <c r="I26" s="160"/>
      <c r="J26" s="159"/>
      <c r="K26" s="159"/>
      <c r="L26" s="159"/>
      <c r="M26" s="159"/>
      <c r="N26" s="159"/>
      <c r="O26" s="159"/>
      <c r="P26" s="159"/>
      <c r="Q26" s="159"/>
      <c r="R26" s="160"/>
      <c r="S26" s="160"/>
      <c r="T26" s="159"/>
      <c r="U26" s="354">
        <f t="shared" si="4"/>
        <v>75</v>
      </c>
      <c r="V26" s="355" t="str">
        <f>IF(U26&gt;KKM!$G$10,"A",IF(U26&gt;KKM!$H$10,"B",IF(U26&gt;=KKM!$I$10,"C","D")))</f>
        <v>C</v>
      </c>
      <c r="W26" s="356">
        <f t="shared" si="0"/>
        <v>75</v>
      </c>
      <c r="X26" s="361" t="str">
        <f>IF(W26&gt;KKM!$G$10," sangat baik ",IF(W26&gt;KKM!$H$10," baik ",IF(W26&gt;=KKM!$I$10," cukup baik "," perlu bimbingan ")))</f>
        <v xml:space="preserve"> cukup baik </v>
      </c>
      <c r="Y26" s="357">
        <f t="shared" si="1"/>
        <v>75</v>
      </c>
      <c r="Z26" s="361" t="str">
        <f>IF(Y26&gt;KKM!$G$10," sangat baik ",IF(Y26&gt;KKM!$H$10," baik ",IF(Y26&gt;=KKM!$I$10," cukup baik "," perlu bimbingan ")))</f>
        <v xml:space="preserve"> cukup baik </v>
      </c>
      <c r="AA26" s="353" t="str">
        <f t="shared" si="5"/>
        <v xml:space="preserve">RIZKY cukup baik  dalam menyelesaikan masalah yang berkaitan dengan volume bangun ruang dengan menggunakan satuan volume (seperti kubus satuan) melibatkan pangkat tiga dan akar pangkat tiga
</v>
      </c>
      <c r="AB26" s="256"/>
      <c r="AC26" s="257" t="str">
        <f t="shared" si="2"/>
        <v xml:space="preserve"> cukup baik  dalam menyelesaikan masalah yang berkaitan dengan volume bangun ruang dengan menggunakan satuan volume (seperti kubus satuan) melibatkan pangkat tiga dan akar pangkat tiga
</v>
      </c>
      <c r="AD26" s="257" t="str">
        <f t="shared" si="3"/>
        <v xml:space="preserve"> cukup baik  dalam menyelesaikan masalah yang berkaitan dengan volume bangun ruang dengan menggunakan satuan volume (seperti kubus satuan) melibatkan pangkat tiga dan akar pangkat tiga
</v>
      </c>
      <c r="AE26"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26" s="257" t="str">
        <f t="shared" si="7"/>
        <v xml:space="preserve"> cukup baik  dalam menyelesaikan masalah yang berkaitan dengan volume bangun ruang dengan menggunakan satuan volume (seperti kubus satuan) melibatkan pangkat tiga dan akar pangkat tiga
</v>
      </c>
      <c r="AG26" s="258" t="str">
        <f t="shared" si="8"/>
        <v xml:space="preserve"> cukup baik  dalam menyelesaikan masalah yang berkaitan dengan volume bangun ruang dengan menggunakan satuan volume (seperti kubus satuan) melibatkan pangkat tiga dan akar pangkat tiga
</v>
      </c>
      <c r="AH26" s="252" t="str">
        <f t="shared" si="9"/>
        <v xml:space="preserve">RIZKY cukup baik  dalam menyelesaikan masalah yang berkaitan dengan volume bangun ruang dengan menggunakan satuan volume (seperti kubus satuan) melibatkan pangkat tiga dan akar pangkat tiga
</v>
      </c>
      <c r="AQ26" s="469">
        <f t="shared" si="10"/>
        <v>75</v>
      </c>
    </row>
    <row r="27" spans="2:43" ht="80.25" customHeight="1">
      <c r="B27" s="142">
        <v>23</v>
      </c>
      <c r="C27" s="143" t="str">
        <f>SISWA!B28</f>
        <v>1718250040327</v>
      </c>
      <c r="D27" s="144" t="str">
        <f>SISWA!E28</f>
        <v>RAMADHANDANI</v>
      </c>
      <c r="E27" s="159">
        <v>70</v>
      </c>
      <c r="F27" s="160">
        <v>70</v>
      </c>
      <c r="G27" s="160">
        <v>70</v>
      </c>
      <c r="H27" s="160">
        <v>70</v>
      </c>
      <c r="I27" s="160"/>
      <c r="J27" s="159"/>
      <c r="K27" s="159"/>
      <c r="L27" s="159"/>
      <c r="M27" s="159"/>
      <c r="N27" s="159"/>
      <c r="O27" s="159"/>
      <c r="P27" s="159"/>
      <c r="Q27" s="159"/>
      <c r="R27" s="160"/>
      <c r="S27" s="160"/>
      <c r="T27" s="159"/>
      <c r="U27" s="354">
        <f t="shared" si="4"/>
        <v>70</v>
      </c>
      <c r="V27" s="355" t="str">
        <f>IF(U27&gt;KKM!$G$10,"A",IF(U27&gt;KKM!$H$10,"B",IF(U27&gt;=KKM!$I$10,"C","D")))</f>
        <v>C</v>
      </c>
      <c r="W27" s="356">
        <f t="shared" si="0"/>
        <v>70</v>
      </c>
      <c r="X27" s="361" t="str">
        <f>IF(W27&gt;KKM!$G$10," sangat baik ",IF(W27&gt;KKM!$H$10," baik ",IF(W27&gt;=KKM!$I$10," cukup baik "," perlu bimbingan ")))</f>
        <v xml:space="preserve"> cukup baik </v>
      </c>
      <c r="Y27" s="357">
        <f t="shared" si="1"/>
        <v>70</v>
      </c>
      <c r="Z27" s="361" t="str">
        <f>IF(Y27&gt;KKM!$G$10," sangat baik ",IF(Y27&gt;KKM!$H$10," baik ",IF(Y27&gt;=KKM!$I$10," cukup baik "," perlu bimbingan ")))</f>
        <v xml:space="preserve"> cukup baik </v>
      </c>
      <c r="AA27" s="353" t="str">
        <f t="shared" si="5"/>
        <v xml:space="preserve">RAMADHANDANI cukup baik  dalam menyelesaikan masalah yang berkaitan dengan volume bangun ruang dengan menggunakan satuan volume (seperti kubus satuan) melibatkan pangkat tiga dan akar pangkat tiga
</v>
      </c>
      <c r="AB27" s="256"/>
      <c r="AC27" s="257" t="str">
        <f t="shared" si="2"/>
        <v xml:space="preserve"> cukup baik  dalam menyelesaikan masalah yang berkaitan dengan volume bangun ruang dengan menggunakan satuan volume (seperti kubus satuan) melibatkan pangkat tiga dan akar pangkat tiga
</v>
      </c>
      <c r="AD27" s="257" t="str">
        <f t="shared" si="3"/>
        <v xml:space="preserve"> cukup baik  dalam menyelesaikan masalah yang berkaitan dengan volume bangun ruang dengan menggunakan satuan volume (seperti kubus satuan) melibatkan pangkat tiga dan akar pangkat tiga
</v>
      </c>
      <c r="AE27"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27" s="257" t="str">
        <f t="shared" si="7"/>
        <v xml:space="preserve"> cukup baik  dalam menyelesaikan masalah yang berkaitan dengan volume bangun ruang dengan menggunakan satuan volume (seperti kubus satuan) melibatkan pangkat tiga dan akar pangkat tiga
</v>
      </c>
      <c r="AG27" s="258" t="str">
        <f t="shared" si="8"/>
        <v xml:space="preserve"> cukup baik  dalam menyelesaikan masalah yang berkaitan dengan volume bangun ruang dengan menggunakan satuan volume (seperti kubus satuan) melibatkan pangkat tiga dan akar pangkat tiga
</v>
      </c>
      <c r="AH27" s="252" t="str">
        <f t="shared" si="9"/>
        <v xml:space="preserve">RAMADHANDANI cukup baik  dalam menyelesaikan masalah yang berkaitan dengan volume bangun ruang dengan menggunakan satuan volume (seperti kubus satuan) melibatkan pangkat tiga dan akar pangkat tiga
</v>
      </c>
      <c r="AQ27" s="469">
        <f t="shared" si="10"/>
        <v>70</v>
      </c>
    </row>
    <row r="28" spans="2:43" ht="80.25" customHeight="1">
      <c r="B28" s="142">
        <v>24</v>
      </c>
      <c r="C28" s="143" t="str">
        <f>SISWA!B29</f>
        <v>1718250040328</v>
      </c>
      <c r="D28" s="144" t="str">
        <f>SISWA!E29</f>
        <v>SYAEPUL</v>
      </c>
      <c r="E28" s="159">
        <v>70</v>
      </c>
      <c r="F28" s="160">
        <v>70</v>
      </c>
      <c r="G28" s="160">
        <v>70</v>
      </c>
      <c r="H28" s="160">
        <v>70</v>
      </c>
      <c r="I28" s="160"/>
      <c r="J28" s="159"/>
      <c r="K28" s="159"/>
      <c r="L28" s="159"/>
      <c r="M28" s="159"/>
      <c r="N28" s="159"/>
      <c r="O28" s="159"/>
      <c r="P28" s="159"/>
      <c r="Q28" s="159"/>
      <c r="R28" s="160"/>
      <c r="S28" s="160"/>
      <c r="T28" s="159"/>
      <c r="U28" s="354">
        <f t="shared" si="4"/>
        <v>70</v>
      </c>
      <c r="V28" s="355" t="str">
        <f>IF(U28&gt;KKM!$G$10,"A",IF(U28&gt;KKM!$H$10,"B",IF(U28&gt;=KKM!$I$10,"C","D")))</f>
        <v>C</v>
      </c>
      <c r="W28" s="356">
        <f t="shared" si="0"/>
        <v>70</v>
      </c>
      <c r="X28" s="361" t="str">
        <f>IF(W28&gt;KKM!$G$10," sangat baik ",IF(W28&gt;KKM!$H$10," baik ",IF(W28&gt;=KKM!$I$10," cukup baik "," perlu bimbingan ")))</f>
        <v xml:space="preserve"> cukup baik </v>
      </c>
      <c r="Y28" s="357">
        <f t="shared" si="1"/>
        <v>70</v>
      </c>
      <c r="Z28" s="361" t="str">
        <f>IF(Y28&gt;KKM!$G$10," sangat baik ",IF(Y28&gt;KKM!$H$10," baik ",IF(Y28&gt;=KKM!$I$10," cukup baik "," perlu bimbingan ")))</f>
        <v xml:space="preserve"> cukup baik </v>
      </c>
      <c r="AA28" s="353" t="str">
        <f t="shared" si="5"/>
        <v xml:space="preserve">SYAEPUL cukup baik  dalam menyelesaikan masalah yang berkaitan dengan volume bangun ruang dengan menggunakan satuan volume (seperti kubus satuan) melibatkan pangkat tiga dan akar pangkat tiga
</v>
      </c>
      <c r="AB28" s="256"/>
      <c r="AC28" s="257" t="str">
        <f t="shared" si="2"/>
        <v xml:space="preserve"> cukup baik  dalam menyelesaikan masalah yang berkaitan dengan volume bangun ruang dengan menggunakan satuan volume (seperti kubus satuan) melibatkan pangkat tiga dan akar pangkat tiga
</v>
      </c>
      <c r="AD28" s="257" t="str">
        <f t="shared" si="3"/>
        <v xml:space="preserve"> cukup baik  dalam menyelesaikan masalah yang berkaitan dengan volume bangun ruang dengan menggunakan satuan volume (seperti kubus satuan) melibatkan pangkat tiga dan akar pangkat tiga
</v>
      </c>
      <c r="AE28"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28" s="257" t="str">
        <f t="shared" si="7"/>
        <v xml:space="preserve"> cukup baik  dalam menyelesaikan masalah yang berkaitan dengan volume bangun ruang dengan menggunakan satuan volume (seperti kubus satuan) melibatkan pangkat tiga dan akar pangkat tiga
</v>
      </c>
      <c r="AG28" s="258" t="str">
        <f t="shared" si="8"/>
        <v xml:space="preserve"> cukup baik  dalam menyelesaikan masalah yang berkaitan dengan volume bangun ruang dengan menggunakan satuan volume (seperti kubus satuan) melibatkan pangkat tiga dan akar pangkat tiga
</v>
      </c>
      <c r="AH28" s="252" t="str">
        <f t="shared" si="9"/>
        <v xml:space="preserve">SYAEPUL cukup baik  dalam menyelesaikan masalah yang berkaitan dengan volume bangun ruang dengan menggunakan satuan volume (seperti kubus satuan) melibatkan pangkat tiga dan akar pangkat tiga
</v>
      </c>
      <c r="AQ28" s="469">
        <f t="shared" si="10"/>
        <v>70</v>
      </c>
    </row>
    <row r="29" spans="2:43" ht="80.25" customHeight="1">
      <c r="B29" s="142">
        <v>25</v>
      </c>
      <c r="C29" s="143" t="str">
        <f>SISWA!B30</f>
        <v>1718250040329</v>
      </c>
      <c r="D29" s="144" t="str">
        <f>SISWA!E30</f>
        <v>ALIF</v>
      </c>
      <c r="E29" s="159">
        <v>75</v>
      </c>
      <c r="F29" s="160">
        <v>75</v>
      </c>
      <c r="G29" s="160">
        <v>75</v>
      </c>
      <c r="H29" s="160">
        <v>75</v>
      </c>
      <c r="I29" s="160"/>
      <c r="J29" s="159"/>
      <c r="K29" s="159"/>
      <c r="L29" s="159"/>
      <c r="M29" s="159"/>
      <c r="N29" s="159"/>
      <c r="O29" s="159"/>
      <c r="P29" s="159"/>
      <c r="Q29" s="159"/>
      <c r="R29" s="160"/>
      <c r="S29" s="160"/>
      <c r="T29" s="159"/>
      <c r="U29" s="354">
        <f t="shared" si="4"/>
        <v>75</v>
      </c>
      <c r="V29" s="355" t="str">
        <f>IF(U29&gt;KKM!$G$10,"A",IF(U29&gt;KKM!$H$10,"B",IF(U29&gt;=KKM!$I$10,"C","D")))</f>
        <v>C</v>
      </c>
      <c r="W29" s="356">
        <f t="shared" si="0"/>
        <v>75</v>
      </c>
      <c r="X29" s="361" t="str">
        <f>IF(W29&gt;KKM!$G$10," sangat baik ",IF(W29&gt;KKM!$H$10," baik ",IF(W29&gt;=KKM!$I$10," cukup baik "," perlu bimbingan ")))</f>
        <v xml:space="preserve"> cukup baik </v>
      </c>
      <c r="Y29" s="357">
        <f t="shared" si="1"/>
        <v>75</v>
      </c>
      <c r="Z29" s="361" t="str">
        <f>IF(Y29&gt;KKM!$G$10," sangat baik ",IF(Y29&gt;KKM!$H$10," baik ",IF(Y29&gt;=KKM!$I$10," cukup baik "," perlu bimbingan ")))</f>
        <v xml:space="preserve"> cukup baik </v>
      </c>
      <c r="AA29" s="353" t="str">
        <f t="shared" si="5"/>
        <v xml:space="preserve">ALIF cukup baik  dalam menyelesaikan masalah yang berkaitan dengan volume bangun ruang dengan menggunakan satuan volume (seperti kubus satuan) melibatkan pangkat tiga dan akar pangkat tiga
</v>
      </c>
      <c r="AB29" s="256"/>
      <c r="AC29" s="257" t="str">
        <f t="shared" si="2"/>
        <v xml:space="preserve"> cukup baik  dalam menyelesaikan masalah yang berkaitan dengan volume bangun ruang dengan menggunakan satuan volume (seperti kubus satuan) melibatkan pangkat tiga dan akar pangkat tiga
</v>
      </c>
      <c r="AD29" s="257" t="str">
        <f t="shared" si="3"/>
        <v xml:space="preserve"> cukup baik  dalam menyelesaikan masalah yang berkaitan dengan volume bangun ruang dengan menggunakan satuan volume (seperti kubus satuan) melibatkan pangkat tiga dan akar pangkat tiga
</v>
      </c>
      <c r="AE29"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29" s="257" t="str">
        <f t="shared" si="7"/>
        <v xml:space="preserve"> cukup baik  dalam menyelesaikan masalah yang berkaitan dengan volume bangun ruang dengan menggunakan satuan volume (seperti kubus satuan) melibatkan pangkat tiga dan akar pangkat tiga
</v>
      </c>
      <c r="AG29" s="258" t="str">
        <f t="shared" si="8"/>
        <v xml:space="preserve"> cukup baik  dalam menyelesaikan masalah yang berkaitan dengan volume bangun ruang dengan menggunakan satuan volume (seperti kubus satuan) melibatkan pangkat tiga dan akar pangkat tiga
</v>
      </c>
      <c r="AH29" s="252" t="str">
        <f t="shared" si="9"/>
        <v xml:space="preserve">ALIF cukup baik  dalam menyelesaikan masalah yang berkaitan dengan volume bangun ruang dengan menggunakan satuan volume (seperti kubus satuan) melibatkan pangkat tiga dan akar pangkat tiga
</v>
      </c>
      <c r="AQ29" s="469">
        <f t="shared" si="10"/>
        <v>75</v>
      </c>
    </row>
    <row r="30" spans="2:43" ht="80.25" customHeight="1">
      <c r="B30" s="142">
        <v>26</v>
      </c>
      <c r="C30" s="143" t="str">
        <f>SISWA!B31</f>
        <v>1718250040330</v>
      </c>
      <c r="D30" s="144" t="str">
        <f>SISWA!E31</f>
        <v>HIZKIEL</v>
      </c>
      <c r="E30" s="159">
        <v>70</v>
      </c>
      <c r="F30" s="160">
        <v>70</v>
      </c>
      <c r="G30" s="160">
        <v>70</v>
      </c>
      <c r="H30" s="160">
        <v>70</v>
      </c>
      <c r="I30" s="160"/>
      <c r="J30" s="159"/>
      <c r="K30" s="159"/>
      <c r="L30" s="159"/>
      <c r="M30" s="159"/>
      <c r="N30" s="159"/>
      <c r="O30" s="159"/>
      <c r="P30" s="159"/>
      <c r="Q30" s="159"/>
      <c r="R30" s="160"/>
      <c r="S30" s="160"/>
      <c r="T30" s="159"/>
      <c r="U30" s="354">
        <f t="shared" si="4"/>
        <v>70</v>
      </c>
      <c r="V30" s="355" t="str">
        <f>IF(U30&gt;KKM!$G$10,"A",IF(U30&gt;KKM!$H$10,"B",IF(U30&gt;=KKM!$I$10,"C","D")))</f>
        <v>C</v>
      </c>
      <c r="W30" s="356">
        <f t="shared" si="0"/>
        <v>70</v>
      </c>
      <c r="X30" s="361" t="str">
        <f>IF(W30&gt;KKM!$G$10," sangat baik ",IF(W30&gt;KKM!$H$10," baik ",IF(W30&gt;=KKM!$I$10," cukup baik "," perlu bimbingan ")))</f>
        <v xml:space="preserve"> cukup baik </v>
      </c>
      <c r="Y30" s="357">
        <f t="shared" si="1"/>
        <v>70</v>
      </c>
      <c r="Z30" s="361" t="str">
        <f>IF(Y30&gt;KKM!$G$10," sangat baik ",IF(Y30&gt;KKM!$H$10," baik ",IF(Y30&gt;=KKM!$I$10," cukup baik "," perlu bimbingan ")))</f>
        <v xml:space="preserve"> cukup baik </v>
      </c>
      <c r="AA30" s="353" t="str">
        <f t="shared" si="5"/>
        <v xml:space="preserve">HIZKIEL cukup baik  dalam menyelesaikan masalah yang berkaitan dengan volume bangun ruang dengan menggunakan satuan volume (seperti kubus satuan) melibatkan pangkat tiga dan akar pangkat tiga
</v>
      </c>
      <c r="AB30" s="256"/>
      <c r="AC30" s="257" t="str">
        <f t="shared" si="2"/>
        <v xml:space="preserve"> cukup baik  dalam menyelesaikan masalah yang berkaitan dengan volume bangun ruang dengan menggunakan satuan volume (seperti kubus satuan) melibatkan pangkat tiga dan akar pangkat tiga
</v>
      </c>
      <c r="AD30" s="257" t="str">
        <f t="shared" si="3"/>
        <v xml:space="preserve"> cukup baik  dalam menyelesaikan masalah yang berkaitan dengan volume bangun ruang dengan menggunakan satuan volume (seperti kubus satuan) melibatkan pangkat tiga dan akar pangkat tiga
</v>
      </c>
      <c r="AE30"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30" s="257" t="str">
        <f t="shared" si="7"/>
        <v xml:space="preserve"> cukup baik  dalam menyelesaikan masalah yang berkaitan dengan volume bangun ruang dengan menggunakan satuan volume (seperti kubus satuan) melibatkan pangkat tiga dan akar pangkat tiga
</v>
      </c>
      <c r="AG30" s="258" t="str">
        <f t="shared" si="8"/>
        <v xml:space="preserve"> cukup baik  dalam menyelesaikan masalah yang berkaitan dengan volume bangun ruang dengan menggunakan satuan volume (seperti kubus satuan) melibatkan pangkat tiga dan akar pangkat tiga
</v>
      </c>
      <c r="AH30" s="252" t="str">
        <f t="shared" si="9"/>
        <v xml:space="preserve">HIZKIEL cukup baik  dalam menyelesaikan masalah yang berkaitan dengan volume bangun ruang dengan menggunakan satuan volume (seperti kubus satuan) melibatkan pangkat tiga dan akar pangkat tiga
</v>
      </c>
      <c r="AQ30" s="469">
        <f t="shared" si="10"/>
        <v>70</v>
      </c>
    </row>
    <row r="31" spans="2:43" ht="80.25" customHeight="1">
      <c r="B31" s="142">
        <v>27</v>
      </c>
      <c r="C31" s="143" t="str">
        <f>SISWA!B32</f>
        <v>1718250040331</v>
      </c>
      <c r="D31" s="144" t="str">
        <f>SISWA!E32</f>
        <v>LAEL</v>
      </c>
      <c r="E31" s="159">
        <v>80</v>
      </c>
      <c r="F31" s="160">
        <v>80</v>
      </c>
      <c r="G31" s="160">
        <v>80</v>
      </c>
      <c r="H31" s="160">
        <v>80</v>
      </c>
      <c r="I31" s="160"/>
      <c r="J31" s="159"/>
      <c r="K31" s="159"/>
      <c r="L31" s="159"/>
      <c r="M31" s="159"/>
      <c r="N31" s="159"/>
      <c r="O31" s="159"/>
      <c r="P31" s="159"/>
      <c r="Q31" s="159"/>
      <c r="R31" s="160"/>
      <c r="S31" s="160"/>
      <c r="T31" s="159"/>
      <c r="U31" s="354">
        <f t="shared" si="4"/>
        <v>80</v>
      </c>
      <c r="V31" s="355" t="str">
        <f>IF(U31&gt;KKM!$G$10,"A",IF(U31&gt;KKM!$H$10,"B",IF(U31&gt;=KKM!$I$10,"C","D")))</f>
        <v>B</v>
      </c>
      <c r="W31" s="356">
        <f t="shared" si="0"/>
        <v>80</v>
      </c>
      <c r="X31" s="361" t="str">
        <f>IF(W31&gt;KKM!$G$10," sangat baik ",IF(W31&gt;KKM!$H$10," baik ",IF(W31&gt;=KKM!$I$10," cukup baik "," perlu bimbingan ")))</f>
        <v xml:space="preserve"> baik </v>
      </c>
      <c r="Y31" s="357">
        <f t="shared" si="1"/>
        <v>80</v>
      </c>
      <c r="Z31" s="361" t="str">
        <f>IF(Y31&gt;KKM!$G$10," sangat baik ",IF(Y31&gt;KKM!$H$10," baik ",IF(Y31&gt;=KKM!$I$10," cukup baik "," perlu bimbingan ")))</f>
        <v xml:space="preserve"> baik </v>
      </c>
      <c r="AA31" s="353" t="str">
        <f t="shared" si="5"/>
        <v xml:space="preserve">LAEL baik  dalam menyelesaikan masalah yang berkaitan dengan volume bangun ruang dengan menggunakan satuan volume (seperti kubus satuan) melibatkan pangkat tiga dan akar pangkat tiga
</v>
      </c>
      <c r="AB31" s="256"/>
      <c r="AC31" s="257" t="str">
        <f t="shared" si="2"/>
        <v xml:space="preserve"> baik  dalam menyelesaikan masalah yang berkaitan dengan volume bangun ruang dengan menggunakan satuan volume (seperti kubus satuan) melibatkan pangkat tiga dan akar pangkat tiga
</v>
      </c>
      <c r="AD31" s="257" t="str">
        <f t="shared" si="3"/>
        <v xml:space="preserve"> baik  dalam menyelesaikan masalah yang berkaitan dengan volume bangun ruang dengan menggunakan satuan volume (seperti kubus satuan) melibatkan pangkat tiga dan akar pangkat tiga
</v>
      </c>
      <c r="AE31" s="257" t="str">
        <f t="shared" si="6"/>
        <v xml:space="preserve"> baik  dalam menyelesaikan masalah yang berkaitan dengan volume bangun ruang dengan menggunakan satuan volume (seperti kubus satuan) melibatkan pangkat tiga dan akar pangkat tiga
, dan  baik  dalam menyelesaikan masalah yang berkaitan dengan volume bangun ruang dengan menggunakan satuan volume (seperti kubus satuan) melibatkan pangkat tiga dan akar pangkat tiga
</v>
      </c>
      <c r="AF31" s="257" t="str">
        <f t="shared" si="7"/>
        <v xml:space="preserve"> baik  dalam menyelesaikan masalah yang berkaitan dengan volume bangun ruang dengan menggunakan satuan volume (seperti kubus satuan) melibatkan pangkat tiga dan akar pangkat tiga
</v>
      </c>
      <c r="AG31" s="258" t="str">
        <f t="shared" si="8"/>
        <v xml:space="preserve"> baik  dalam menyelesaikan masalah yang berkaitan dengan volume bangun ruang dengan menggunakan satuan volume (seperti kubus satuan) melibatkan pangkat tiga dan akar pangkat tiga
</v>
      </c>
      <c r="AH31" s="252" t="str">
        <f t="shared" si="9"/>
        <v xml:space="preserve">LAEL baik  dalam menyelesaikan masalah yang berkaitan dengan volume bangun ruang dengan menggunakan satuan volume (seperti kubus satuan) melibatkan pangkat tiga dan akar pangkat tiga
</v>
      </c>
      <c r="AQ31" s="469">
        <f t="shared" si="10"/>
        <v>80</v>
      </c>
    </row>
    <row r="32" spans="2:43" ht="80.25" customHeight="1">
      <c r="B32" s="142">
        <v>28</v>
      </c>
      <c r="C32" s="143" t="str">
        <f>SISWA!B33</f>
        <v>1718250040332</v>
      </c>
      <c r="D32" s="144" t="str">
        <f>SISWA!E33</f>
        <v>NABIL</v>
      </c>
      <c r="E32" s="159">
        <v>70</v>
      </c>
      <c r="F32" s="160">
        <v>70</v>
      </c>
      <c r="G32" s="160">
        <v>70</v>
      </c>
      <c r="H32" s="160">
        <v>70</v>
      </c>
      <c r="I32" s="160"/>
      <c r="J32" s="159"/>
      <c r="K32" s="159"/>
      <c r="L32" s="159"/>
      <c r="M32" s="159"/>
      <c r="N32" s="159"/>
      <c r="O32" s="159"/>
      <c r="P32" s="159"/>
      <c r="Q32" s="159"/>
      <c r="R32" s="160"/>
      <c r="S32" s="160"/>
      <c r="T32" s="159"/>
      <c r="U32" s="354">
        <f t="shared" si="4"/>
        <v>70</v>
      </c>
      <c r="V32" s="355" t="str">
        <f>IF(U32&gt;KKM!$G$10,"A",IF(U32&gt;KKM!$H$10,"B",IF(U32&gt;=KKM!$I$10,"C","D")))</f>
        <v>C</v>
      </c>
      <c r="W32" s="356">
        <f t="shared" si="0"/>
        <v>70</v>
      </c>
      <c r="X32" s="361" t="str">
        <f>IF(W32&gt;KKM!$G$10," sangat baik ",IF(W32&gt;KKM!$H$10," baik ",IF(W32&gt;=KKM!$I$10," cukup baik "," perlu bimbingan ")))</f>
        <v xml:space="preserve"> cukup baik </v>
      </c>
      <c r="Y32" s="357">
        <f t="shared" si="1"/>
        <v>70</v>
      </c>
      <c r="Z32" s="361" t="str">
        <f>IF(Y32&gt;KKM!$G$10," sangat baik ",IF(Y32&gt;KKM!$H$10," baik ",IF(Y32&gt;=KKM!$I$10," cukup baik "," perlu bimbingan ")))</f>
        <v xml:space="preserve"> cukup baik </v>
      </c>
      <c r="AA32" s="353" t="str">
        <f t="shared" si="5"/>
        <v xml:space="preserve">NABIL cukup baik  dalam menyelesaikan masalah yang berkaitan dengan volume bangun ruang dengan menggunakan satuan volume (seperti kubus satuan) melibatkan pangkat tiga dan akar pangkat tiga
</v>
      </c>
      <c r="AB32" s="256"/>
      <c r="AC32" s="257" t="str">
        <f t="shared" si="2"/>
        <v xml:space="preserve"> cukup baik  dalam menyelesaikan masalah yang berkaitan dengan volume bangun ruang dengan menggunakan satuan volume (seperti kubus satuan) melibatkan pangkat tiga dan akar pangkat tiga
</v>
      </c>
      <c r="AD32" s="257" t="str">
        <f t="shared" si="3"/>
        <v xml:space="preserve"> cukup baik  dalam menyelesaikan masalah yang berkaitan dengan volume bangun ruang dengan menggunakan satuan volume (seperti kubus satuan) melibatkan pangkat tiga dan akar pangkat tiga
</v>
      </c>
      <c r="AE32"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32" s="257" t="str">
        <f t="shared" si="7"/>
        <v xml:space="preserve"> cukup baik  dalam menyelesaikan masalah yang berkaitan dengan volume bangun ruang dengan menggunakan satuan volume (seperti kubus satuan) melibatkan pangkat tiga dan akar pangkat tiga
</v>
      </c>
      <c r="AG32" s="258" t="str">
        <f t="shared" si="8"/>
        <v xml:space="preserve"> cukup baik  dalam menyelesaikan masalah yang berkaitan dengan volume bangun ruang dengan menggunakan satuan volume (seperti kubus satuan) melibatkan pangkat tiga dan akar pangkat tiga
</v>
      </c>
      <c r="AH32" s="252" t="str">
        <f t="shared" si="9"/>
        <v xml:space="preserve">NABIL cukup baik  dalam menyelesaikan masalah yang berkaitan dengan volume bangun ruang dengan menggunakan satuan volume (seperti kubus satuan) melibatkan pangkat tiga dan akar pangkat tiga
</v>
      </c>
      <c r="AQ32" s="469">
        <f t="shared" si="10"/>
        <v>70</v>
      </c>
    </row>
    <row r="33" spans="2:43" ht="80.25" customHeight="1">
      <c r="B33" s="142">
        <v>29</v>
      </c>
      <c r="C33" s="143" t="str">
        <f>SISWA!B34</f>
        <v>1718250040333</v>
      </c>
      <c r="D33" s="144" t="str">
        <f>SISWA!E34</f>
        <v>RASYA</v>
      </c>
      <c r="E33" s="159">
        <v>70</v>
      </c>
      <c r="F33" s="160">
        <v>70</v>
      </c>
      <c r="G33" s="160">
        <v>70</v>
      </c>
      <c r="H33" s="160">
        <v>70</v>
      </c>
      <c r="I33" s="160"/>
      <c r="J33" s="159"/>
      <c r="K33" s="159"/>
      <c r="L33" s="159"/>
      <c r="M33" s="159"/>
      <c r="N33" s="159"/>
      <c r="O33" s="159"/>
      <c r="P33" s="159"/>
      <c r="Q33" s="159"/>
      <c r="R33" s="160"/>
      <c r="S33" s="160"/>
      <c r="T33" s="159"/>
      <c r="U33" s="354">
        <f t="shared" si="4"/>
        <v>70</v>
      </c>
      <c r="V33" s="355" t="str">
        <f>IF(U33&gt;KKM!$G$10,"A",IF(U33&gt;KKM!$H$10,"B",IF(U33&gt;=KKM!$I$10,"C","D")))</f>
        <v>C</v>
      </c>
      <c r="W33" s="356">
        <f t="shared" si="0"/>
        <v>70</v>
      </c>
      <c r="X33" s="361" t="str">
        <f>IF(W33&gt;KKM!$G$10," sangat baik ",IF(W33&gt;KKM!$H$10," baik ",IF(W33&gt;=KKM!$I$10," cukup baik "," perlu bimbingan ")))</f>
        <v xml:space="preserve"> cukup baik </v>
      </c>
      <c r="Y33" s="357">
        <f t="shared" si="1"/>
        <v>70</v>
      </c>
      <c r="Z33" s="361" t="str">
        <f>IF(Y33&gt;KKM!$G$10," sangat baik ",IF(Y33&gt;KKM!$H$10," baik ",IF(Y33&gt;=KKM!$I$10," cukup baik "," perlu bimbingan ")))</f>
        <v xml:space="preserve"> cukup baik </v>
      </c>
      <c r="AA33" s="353" t="str">
        <f t="shared" si="5"/>
        <v xml:space="preserve">RASYA cukup baik  dalam menyelesaikan masalah yang berkaitan dengan volume bangun ruang dengan menggunakan satuan volume (seperti kubus satuan) melibatkan pangkat tiga dan akar pangkat tiga
</v>
      </c>
      <c r="AB33" s="256"/>
      <c r="AC33" s="257" t="str">
        <f t="shared" si="2"/>
        <v xml:space="preserve"> cukup baik  dalam menyelesaikan masalah yang berkaitan dengan volume bangun ruang dengan menggunakan satuan volume (seperti kubus satuan) melibatkan pangkat tiga dan akar pangkat tiga
</v>
      </c>
      <c r="AD33" s="257" t="str">
        <f t="shared" si="3"/>
        <v xml:space="preserve"> cukup baik  dalam menyelesaikan masalah yang berkaitan dengan volume bangun ruang dengan menggunakan satuan volume (seperti kubus satuan) melibatkan pangkat tiga dan akar pangkat tiga
</v>
      </c>
      <c r="AE33"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33" s="257" t="str">
        <f t="shared" si="7"/>
        <v xml:space="preserve"> cukup baik  dalam menyelesaikan masalah yang berkaitan dengan volume bangun ruang dengan menggunakan satuan volume (seperti kubus satuan) melibatkan pangkat tiga dan akar pangkat tiga
</v>
      </c>
      <c r="AG33" s="258" t="str">
        <f t="shared" si="8"/>
        <v xml:space="preserve"> cukup baik  dalam menyelesaikan masalah yang berkaitan dengan volume bangun ruang dengan menggunakan satuan volume (seperti kubus satuan) melibatkan pangkat tiga dan akar pangkat tiga
</v>
      </c>
      <c r="AH33" s="252" t="str">
        <f t="shared" si="9"/>
        <v xml:space="preserve">RASYA cukup baik  dalam menyelesaikan masalah yang berkaitan dengan volume bangun ruang dengan menggunakan satuan volume (seperti kubus satuan) melibatkan pangkat tiga dan akar pangkat tiga
</v>
      </c>
      <c r="AQ33" s="469">
        <f t="shared" si="10"/>
        <v>70</v>
      </c>
    </row>
    <row r="34" spans="2:43" ht="80.25" customHeight="1">
      <c r="B34" s="142">
        <v>30</v>
      </c>
      <c r="C34" s="143" t="str">
        <f>SISWA!B35</f>
        <v>1718250040334</v>
      </c>
      <c r="D34" s="144" t="str">
        <f>SISWA!E35</f>
        <v>RIZKI</v>
      </c>
      <c r="E34" s="159">
        <v>85</v>
      </c>
      <c r="F34" s="160">
        <v>85</v>
      </c>
      <c r="G34" s="160">
        <v>85</v>
      </c>
      <c r="H34" s="160">
        <v>85</v>
      </c>
      <c r="I34" s="160"/>
      <c r="J34" s="159"/>
      <c r="K34" s="159"/>
      <c r="L34" s="159"/>
      <c r="M34" s="159"/>
      <c r="N34" s="159"/>
      <c r="O34" s="159"/>
      <c r="P34" s="159"/>
      <c r="Q34" s="159"/>
      <c r="R34" s="160"/>
      <c r="S34" s="160"/>
      <c r="T34" s="159"/>
      <c r="U34" s="354">
        <f t="shared" si="4"/>
        <v>85</v>
      </c>
      <c r="V34" s="355" t="str">
        <f>IF(U34&gt;KKM!$G$10,"A",IF(U34&gt;KKM!$H$10,"B",IF(U34&gt;=KKM!$I$10,"C","D")))</f>
        <v>B</v>
      </c>
      <c r="W34" s="356">
        <f t="shared" si="0"/>
        <v>85</v>
      </c>
      <c r="X34" s="361" t="str">
        <f>IF(W34&gt;KKM!$G$10," sangat baik ",IF(W34&gt;KKM!$H$10," baik ",IF(W34&gt;=KKM!$I$10," cukup baik "," perlu bimbingan ")))</f>
        <v xml:space="preserve"> baik </v>
      </c>
      <c r="Y34" s="357">
        <f t="shared" si="1"/>
        <v>85</v>
      </c>
      <c r="Z34" s="361" t="str">
        <f>IF(Y34&gt;KKM!$G$10," sangat baik ",IF(Y34&gt;KKM!$H$10," baik ",IF(Y34&gt;=KKM!$I$10," cukup baik "," perlu bimbingan ")))</f>
        <v xml:space="preserve"> baik </v>
      </c>
      <c r="AA34" s="353" t="str">
        <f t="shared" si="5"/>
        <v xml:space="preserve">RIZKI baik  dalam menyelesaikan masalah yang berkaitan dengan volume bangun ruang dengan menggunakan satuan volume (seperti kubus satuan) melibatkan pangkat tiga dan akar pangkat tiga
</v>
      </c>
      <c r="AB34" s="256"/>
      <c r="AC34" s="257" t="str">
        <f t="shared" si="2"/>
        <v xml:space="preserve"> baik  dalam menyelesaikan masalah yang berkaitan dengan volume bangun ruang dengan menggunakan satuan volume (seperti kubus satuan) melibatkan pangkat tiga dan akar pangkat tiga
</v>
      </c>
      <c r="AD34" s="257" t="str">
        <f t="shared" si="3"/>
        <v xml:space="preserve"> baik  dalam menyelesaikan masalah yang berkaitan dengan volume bangun ruang dengan menggunakan satuan volume (seperti kubus satuan) melibatkan pangkat tiga dan akar pangkat tiga
</v>
      </c>
      <c r="AE34" s="257" t="str">
        <f t="shared" si="6"/>
        <v xml:space="preserve"> baik  dalam menyelesaikan masalah yang berkaitan dengan volume bangun ruang dengan menggunakan satuan volume (seperti kubus satuan) melibatkan pangkat tiga dan akar pangkat tiga
, dan  baik  dalam menyelesaikan masalah yang berkaitan dengan volume bangun ruang dengan menggunakan satuan volume (seperti kubus satuan) melibatkan pangkat tiga dan akar pangkat tiga
</v>
      </c>
      <c r="AF34" s="257" t="str">
        <f t="shared" si="7"/>
        <v xml:space="preserve"> baik  dalam menyelesaikan masalah yang berkaitan dengan volume bangun ruang dengan menggunakan satuan volume (seperti kubus satuan) melibatkan pangkat tiga dan akar pangkat tiga
</v>
      </c>
      <c r="AG34" s="258" t="str">
        <f t="shared" si="8"/>
        <v xml:space="preserve"> baik  dalam menyelesaikan masalah yang berkaitan dengan volume bangun ruang dengan menggunakan satuan volume (seperti kubus satuan) melibatkan pangkat tiga dan akar pangkat tiga
</v>
      </c>
      <c r="AH34" s="252" t="str">
        <f t="shared" si="9"/>
        <v xml:space="preserve">RIZKI baik  dalam menyelesaikan masalah yang berkaitan dengan volume bangun ruang dengan menggunakan satuan volume (seperti kubus satuan) melibatkan pangkat tiga dan akar pangkat tiga
</v>
      </c>
      <c r="AQ34" s="469">
        <f t="shared" si="10"/>
        <v>85</v>
      </c>
    </row>
    <row r="35" spans="2:43" ht="80.25" customHeight="1">
      <c r="B35" s="142">
        <v>31</v>
      </c>
      <c r="C35" s="143" t="str">
        <f>SISWA!B36</f>
        <v>1718250040335</v>
      </c>
      <c r="D35" s="144" t="str">
        <f>SISWA!E36</f>
        <v>SATRIA</v>
      </c>
      <c r="E35" s="159">
        <v>75</v>
      </c>
      <c r="F35" s="160">
        <v>75</v>
      </c>
      <c r="G35" s="160">
        <v>75</v>
      </c>
      <c r="H35" s="160">
        <v>75</v>
      </c>
      <c r="I35" s="160"/>
      <c r="J35" s="159"/>
      <c r="K35" s="159"/>
      <c r="L35" s="159"/>
      <c r="M35" s="159"/>
      <c r="N35" s="159"/>
      <c r="O35" s="159"/>
      <c r="P35" s="159"/>
      <c r="Q35" s="159"/>
      <c r="R35" s="160"/>
      <c r="S35" s="160"/>
      <c r="T35" s="159"/>
      <c r="U35" s="354">
        <f t="shared" si="4"/>
        <v>75</v>
      </c>
      <c r="V35" s="355" t="str">
        <f>IF(U35&gt;KKM!$G$10,"A",IF(U35&gt;KKM!$H$10,"B",IF(U35&gt;=KKM!$I$10,"C","D")))</f>
        <v>C</v>
      </c>
      <c r="W35" s="356">
        <f t="shared" si="0"/>
        <v>75</v>
      </c>
      <c r="X35" s="361" t="str">
        <f>IF(W35&gt;KKM!$G$10," sangat baik ",IF(W35&gt;KKM!$H$10," baik ",IF(W35&gt;=KKM!$I$10," cukup baik "," perlu bimbingan ")))</f>
        <v xml:space="preserve"> cukup baik </v>
      </c>
      <c r="Y35" s="357">
        <f t="shared" si="1"/>
        <v>75</v>
      </c>
      <c r="Z35" s="361" t="str">
        <f>IF(Y35&gt;KKM!$G$10," sangat baik ",IF(Y35&gt;KKM!$H$10," baik ",IF(Y35&gt;=KKM!$I$10," cukup baik "," perlu bimbingan ")))</f>
        <v xml:space="preserve"> cukup baik </v>
      </c>
      <c r="AA35" s="353" t="str">
        <f t="shared" si="5"/>
        <v xml:space="preserve">SATRIA cukup baik  dalam menyelesaikan masalah yang berkaitan dengan volume bangun ruang dengan menggunakan satuan volume (seperti kubus satuan) melibatkan pangkat tiga dan akar pangkat tiga
</v>
      </c>
      <c r="AB35" s="256"/>
      <c r="AC35" s="257" t="str">
        <f t="shared" si="2"/>
        <v xml:space="preserve"> cukup baik  dalam menyelesaikan masalah yang berkaitan dengan volume bangun ruang dengan menggunakan satuan volume (seperti kubus satuan) melibatkan pangkat tiga dan akar pangkat tiga
</v>
      </c>
      <c r="AD35" s="257" t="str">
        <f t="shared" si="3"/>
        <v xml:space="preserve"> cukup baik  dalam menyelesaikan masalah yang berkaitan dengan volume bangun ruang dengan menggunakan satuan volume (seperti kubus satuan) melibatkan pangkat tiga dan akar pangkat tiga
</v>
      </c>
      <c r="AE35"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35" s="257" t="str">
        <f t="shared" si="7"/>
        <v xml:space="preserve"> cukup baik  dalam menyelesaikan masalah yang berkaitan dengan volume bangun ruang dengan menggunakan satuan volume (seperti kubus satuan) melibatkan pangkat tiga dan akar pangkat tiga
</v>
      </c>
      <c r="AG35" s="258" t="str">
        <f t="shared" si="8"/>
        <v xml:space="preserve"> cukup baik  dalam menyelesaikan masalah yang berkaitan dengan volume bangun ruang dengan menggunakan satuan volume (seperti kubus satuan) melibatkan pangkat tiga dan akar pangkat tiga
</v>
      </c>
      <c r="AH35" s="252" t="str">
        <f t="shared" si="9"/>
        <v xml:space="preserve">SATRIA cukup baik  dalam menyelesaikan masalah yang berkaitan dengan volume bangun ruang dengan menggunakan satuan volume (seperti kubus satuan) melibatkan pangkat tiga dan akar pangkat tiga
</v>
      </c>
      <c r="AQ35" s="469">
        <f t="shared" si="10"/>
        <v>75</v>
      </c>
    </row>
    <row r="36" spans="2:43" ht="80.25" customHeight="1">
      <c r="B36" s="142">
        <v>32</v>
      </c>
      <c r="C36" s="143" t="str">
        <f>SISWA!B37</f>
        <v>1718250040336</v>
      </c>
      <c r="D36" s="144" t="str">
        <f>SISWA!E37</f>
        <v>NADIA</v>
      </c>
      <c r="E36" s="159">
        <v>85</v>
      </c>
      <c r="F36" s="160">
        <v>85</v>
      </c>
      <c r="G36" s="160">
        <v>85</v>
      </c>
      <c r="H36" s="160">
        <v>85</v>
      </c>
      <c r="I36" s="160"/>
      <c r="J36" s="159"/>
      <c r="K36" s="159"/>
      <c r="L36" s="159"/>
      <c r="M36" s="159"/>
      <c r="N36" s="159"/>
      <c r="O36" s="159"/>
      <c r="P36" s="159"/>
      <c r="Q36" s="159"/>
      <c r="R36" s="160"/>
      <c r="S36" s="160"/>
      <c r="T36" s="159"/>
      <c r="U36" s="354">
        <f t="shared" si="4"/>
        <v>85</v>
      </c>
      <c r="V36" s="355" t="str">
        <f>IF(U36&gt;KKM!$G$10,"A",IF(U36&gt;KKM!$H$10,"B",IF(U36&gt;=KKM!$I$10,"C","D")))</f>
        <v>B</v>
      </c>
      <c r="W36" s="356">
        <f t="shared" si="0"/>
        <v>85</v>
      </c>
      <c r="X36" s="361" t="str">
        <f>IF(W36&gt;KKM!$G$10," sangat baik ",IF(W36&gt;KKM!$H$10," baik ",IF(W36&gt;=KKM!$I$10," cukup baik "," perlu bimbingan ")))</f>
        <v xml:space="preserve"> baik </v>
      </c>
      <c r="Y36" s="357">
        <f t="shared" si="1"/>
        <v>85</v>
      </c>
      <c r="Z36" s="361" t="str">
        <f>IF(Y36&gt;KKM!$G$10," sangat baik ",IF(Y36&gt;KKM!$H$10," baik ",IF(Y36&gt;=KKM!$I$10," cukup baik "," perlu bimbingan ")))</f>
        <v xml:space="preserve"> baik </v>
      </c>
      <c r="AA36" s="353" t="str">
        <f t="shared" si="5"/>
        <v xml:space="preserve">NADIA baik  dalam menyelesaikan masalah yang berkaitan dengan volume bangun ruang dengan menggunakan satuan volume (seperti kubus satuan) melibatkan pangkat tiga dan akar pangkat tiga
</v>
      </c>
      <c r="AB36" s="256"/>
      <c r="AC36" s="257" t="str">
        <f t="shared" si="2"/>
        <v xml:space="preserve"> baik  dalam menyelesaikan masalah yang berkaitan dengan volume bangun ruang dengan menggunakan satuan volume (seperti kubus satuan) melibatkan pangkat tiga dan akar pangkat tiga
</v>
      </c>
      <c r="AD36" s="257" t="str">
        <f t="shared" si="3"/>
        <v xml:space="preserve"> baik  dalam menyelesaikan masalah yang berkaitan dengan volume bangun ruang dengan menggunakan satuan volume (seperti kubus satuan) melibatkan pangkat tiga dan akar pangkat tiga
</v>
      </c>
      <c r="AE36" s="257" t="str">
        <f t="shared" si="6"/>
        <v xml:space="preserve"> baik  dalam menyelesaikan masalah yang berkaitan dengan volume bangun ruang dengan menggunakan satuan volume (seperti kubus satuan) melibatkan pangkat tiga dan akar pangkat tiga
, dan  baik  dalam menyelesaikan masalah yang berkaitan dengan volume bangun ruang dengan menggunakan satuan volume (seperti kubus satuan) melibatkan pangkat tiga dan akar pangkat tiga
</v>
      </c>
      <c r="AF36" s="257" t="str">
        <f t="shared" si="7"/>
        <v xml:space="preserve"> baik  dalam menyelesaikan masalah yang berkaitan dengan volume bangun ruang dengan menggunakan satuan volume (seperti kubus satuan) melibatkan pangkat tiga dan akar pangkat tiga
</v>
      </c>
      <c r="AG36" s="258" t="str">
        <f t="shared" si="8"/>
        <v xml:space="preserve"> baik  dalam menyelesaikan masalah yang berkaitan dengan volume bangun ruang dengan menggunakan satuan volume (seperti kubus satuan) melibatkan pangkat tiga dan akar pangkat tiga
</v>
      </c>
      <c r="AH36" s="252" t="str">
        <f t="shared" si="9"/>
        <v xml:space="preserve">NADIA baik  dalam menyelesaikan masalah yang berkaitan dengan volume bangun ruang dengan menggunakan satuan volume (seperti kubus satuan) melibatkan pangkat tiga dan akar pangkat tiga
</v>
      </c>
      <c r="AQ36" s="469">
        <f t="shared" si="10"/>
        <v>85</v>
      </c>
    </row>
    <row r="37" spans="2:43" ht="80.25" customHeight="1">
      <c r="B37" s="142">
        <v>33</v>
      </c>
      <c r="C37" s="143" t="str">
        <f>SISWA!B38</f>
        <v>1718250040337</v>
      </c>
      <c r="D37" s="144" t="str">
        <f>SISWA!E38</f>
        <v>NAFILA</v>
      </c>
      <c r="E37" s="159">
        <v>65</v>
      </c>
      <c r="F37" s="160">
        <v>65</v>
      </c>
      <c r="G37" s="160">
        <v>65</v>
      </c>
      <c r="H37" s="160">
        <v>65</v>
      </c>
      <c r="I37" s="160"/>
      <c r="J37" s="159"/>
      <c r="K37" s="159"/>
      <c r="L37" s="159"/>
      <c r="M37" s="159"/>
      <c r="N37" s="159"/>
      <c r="O37" s="159"/>
      <c r="P37" s="159"/>
      <c r="Q37" s="159"/>
      <c r="R37" s="160"/>
      <c r="S37" s="160"/>
      <c r="T37" s="159"/>
      <c r="U37" s="354">
        <f t="shared" si="4"/>
        <v>65</v>
      </c>
      <c r="V37" s="355" t="str">
        <f>IF(U37&gt;KKM!$G$10,"A",IF(U37&gt;KKM!$H$10,"B",IF(U37&gt;=KKM!$I$10,"C","D")))</f>
        <v>C</v>
      </c>
      <c r="W37" s="356">
        <f t="shared" si="0"/>
        <v>65</v>
      </c>
      <c r="X37" s="361" t="str">
        <f>IF(W37&gt;KKM!$G$10," sangat baik ",IF(W37&gt;KKM!$H$10," baik ",IF(W37&gt;=KKM!$I$10," cukup baik "," perlu bimbingan ")))</f>
        <v xml:space="preserve"> cukup baik </v>
      </c>
      <c r="Y37" s="357">
        <f t="shared" si="1"/>
        <v>65</v>
      </c>
      <c r="Z37" s="361" t="str">
        <f>IF(Y37&gt;KKM!$G$10," sangat baik ",IF(Y37&gt;KKM!$H$10," baik ",IF(Y37&gt;=KKM!$I$10," cukup baik "," perlu bimbingan ")))</f>
        <v xml:space="preserve"> cukup baik </v>
      </c>
      <c r="AA37" s="353" t="str">
        <f t="shared" si="5"/>
        <v xml:space="preserve">NAFILA cukup baik  dalam menyelesaikan masalah yang berkaitan dengan volume bangun ruang dengan menggunakan satuan volume (seperti kubus satuan) melibatkan pangkat tiga dan akar pangkat tiga
</v>
      </c>
      <c r="AB37" s="256"/>
      <c r="AC37" s="257" t="str">
        <f t="shared" si="2"/>
        <v xml:space="preserve"> cukup baik  dalam menyelesaikan masalah yang berkaitan dengan volume bangun ruang dengan menggunakan satuan volume (seperti kubus satuan) melibatkan pangkat tiga dan akar pangkat tiga
</v>
      </c>
      <c r="AD37" s="257" t="str">
        <f t="shared" si="3"/>
        <v xml:space="preserve"> cukup baik  dalam menyelesaikan masalah yang berkaitan dengan volume bangun ruang dengan menggunakan satuan volume (seperti kubus satuan) melibatkan pangkat tiga dan akar pangkat tiga
</v>
      </c>
      <c r="AE37"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37" s="257" t="str">
        <f t="shared" si="7"/>
        <v xml:space="preserve"> cukup baik  dalam menyelesaikan masalah yang berkaitan dengan volume bangun ruang dengan menggunakan satuan volume (seperti kubus satuan) melibatkan pangkat tiga dan akar pangkat tiga
</v>
      </c>
      <c r="AG37" s="258" t="str">
        <f t="shared" si="8"/>
        <v xml:space="preserve"> cukup baik  dalam menyelesaikan masalah yang berkaitan dengan volume bangun ruang dengan menggunakan satuan volume (seperti kubus satuan) melibatkan pangkat tiga dan akar pangkat tiga
</v>
      </c>
      <c r="AH37" s="252" t="str">
        <f t="shared" si="9"/>
        <v xml:space="preserve">NAFILA cukup baik  dalam menyelesaikan masalah yang berkaitan dengan volume bangun ruang dengan menggunakan satuan volume (seperti kubus satuan) melibatkan pangkat tiga dan akar pangkat tiga
</v>
      </c>
      <c r="AQ37" s="469">
        <f t="shared" si="10"/>
        <v>65</v>
      </c>
    </row>
    <row r="38" spans="2:43" ht="80.25" customHeight="1">
      <c r="B38" s="142">
        <v>34</v>
      </c>
      <c r="C38" s="143" t="str">
        <f>SISWA!B39</f>
        <v>1718250040338</v>
      </c>
      <c r="D38" s="144" t="str">
        <f>SISWA!E39</f>
        <v>NAZZALA</v>
      </c>
      <c r="E38" s="159">
        <v>75</v>
      </c>
      <c r="F38" s="160">
        <v>75</v>
      </c>
      <c r="G38" s="160">
        <v>75</v>
      </c>
      <c r="H38" s="160">
        <v>75</v>
      </c>
      <c r="I38" s="160"/>
      <c r="J38" s="159"/>
      <c r="K38" s="159"/>
      <c r="L38" s="159"/>
      <c r="M38" s="159"/>
      <c r="N38" s="159"/>
      <c r="O38" s="159"/>
      <c r="P38" s="159"/>
      <c r="Q38" s="159"/>
      <c r="R38" s="160"/>
      <c r="S38" s="160"/>
      <c r="T38" s="159"/>
      <c r="U38" s="354">
        <f t="shared" si="4"/>
        <v>75</v>
      </c>
      <c r="V38" s="355" t="str">
        <f>IF(U38&gt;KKM!$G$10,"A",IF(U38&gt;KKM!$H$10,"B",IF(U38&gt;=KKM!$I$10,"C","D")))</f>
        <v>C</v>
      </c>
      <c r="W38" s="356">
        <f t="shared" si="0"/>
        <v>75</v>
      </c>
      <c r="X38" s="361" t="str">
        <f>IF(W38&gt;KKM!$G$10," sangat baik ",IF(W38&gt;KKM!$H$10," baik ",IF(W38&gt;=KKM!$I$10," cukup baik "," perlu bimbingan ")))</f>
        <v xml:space="preserve"> cukup baik </v>
      </c>
      <c r="Y38" s="357">
        <f t="shared" si="1"/>
        <v>75</v>
      </c>
      <c r="Z38" s="361" t="str">
        <f>IF(Y38&gt;KKM!$G$10," sangat baik ",IF(Y38&gt;KKM!$H$10," baik ",IF(Y38&gt;=KKM!$I$10," cukup baik "," perlu bimbingan ")))</f>
        <v xml:space="preserve"> cukup baik </v>
      </c>
      <c r="AA38" s="353" t="str">
        <f t="shared" si="5"/>
        <v xml:space="preserve">NAZZALA cukup baik  dalam menyelesaikan masalah yang berkaitan dengan volume bangun ruang dengan menggunakan satuan volume (seperti kubus satuan) melibatkan pangkat tiga dan akar pangkat tiga
</v>
      </c>
      <c r="AB38" s="256"/>
      <c r="AC38" s="257" t="str">
        <f t="shared" si="2"/>
        <v xml:space="preserve"> cukup baik  dalam menyelesaikan masalah yang berkaitan dengan volume bangun ruang dengan menggunakan satuan volume (seperti kubus satuan) melibatkan pangkat tiga dan akar pangkat tiga
</v>
      </c>
      <c r="AD38" s="257" t="str">
        <f t="shared" si="3"/>
        <v xml:space="preserve"> cukup baik  dalam menyelesaikan masalah yang berkaitan dengan volume bangun ruang dengan menggunakan satuan volume (seperti kubus satuan) melibatkan pangkat tiga dan akar pangkat tiga
</v>
      </c>
      <c r="AE38"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38" s="257" t="str">
        <f t="shared" si="7"/>
        <v xml:space="preserve"> cukup baik  dalam menyelesaikan masalah yang berkaitan dengan volume bangun ruang dengan menggunakan satuan volume (seperti kubus satuan) melibatkan pangkat tiga dan akar pangkat tiga
</v>
      </c>
      <c r="AG38" s="258" t="str">
        <f t="shared" si="8"/>
        <v xml:space="preserve"> cukup baik  dalam menyelesaikan masalah yang berkaitan dengan volume bangun ruang dengan menggunakan satuan volume (seperti kubus satuan) melibatkan pangkat tiga dan akar pangkat tiga
</v>
      </c>
      <c r="AH38" s="252" t="str">
        <f t="shared" si="9"/>
        <v xml:space="preserve">NAZZALA cukup baik  dalam menyelesaikan masalah yang berkaitan dengan volume bangun ruang dengan menggunakan satuan volume (seperti kubus satuan) melibatkan pangkat tiga dan akar pangkat tiga
</v>
      </c>
      <c r="AQ38" s="469">
        <f t="shared" si="10"/>
        <v>75</v>
      </c>
    </row>
    <row r="39" spans="2:43" ht="80.25" customHeight="1">
      <c r="B39" s="142">
        <v>35</v>
      </c>
      <c r="C39" s="143" t="str">
        <f>SISWA!B40</f>
        <v>1718250040339</v>
      </c>
      <c r="D39" s="144" t="str">
        <f>SISWA!E40</f>
        <v>RAFAREL</v>
      </c>
      <c r="E39" s="159">
        <v>75</v>
      </c>
      <c r="F39" s="160">
        <v>75</v>
      </c>
      <c r="G39" s="160">
        <v>75</v>
      </c>
      <c r="H39" s="160">
        <v>75</v>
      </c>
      <c r="I39" s="160"/>
      <c r="J39" s="159"/>
      <c r="K39" s="159"/>
      <c r="L39" s="159"/>
      <c r="M39" s="159"/>
      <c r="N39" s="159"/>
      <c r="O39" s="159"/>
      <c r="P39" s="159"/>
      <c r="Q39" s="159"/>
      <c r="R39" s="160"/>
      <c r="S39" s="160"/>
      <c r="T39" s="159"/>
      <c r="U39" s="354">
        <f t="shared" si="4"/>
        <v>75</v>
      </c>
      <c r="V39" s="355" t="str">
        <f>IF(U39&gt;KKM!$G$10,"A",IF(U39&gt;KKM!$H$10,"B",IF(U39&gt;=KKM!$I$10,"C","D")))</f>
        <v>C</v>
      </c>
      <c r="W39" s="356">
        <f t="shared" si="0"/>
        <v>75</v>
      </c>
      <c r="X39" s="361" t="str">
        <f>IF(W39&gt;KKM!$G$10," sangat baik ",IF(W39&gt;KKM!$H$10," baik ",IF(W39&gt;=KKM!$I$10," cukup baik "," perlu bimbingan ")))</f>
        <v xml:space="preserve"> cukup baik </v>
      </c>
      <c r="Y39" s="357">
        <f t="shared" si="1"/>
        <v>75</v>
      </c>
      <c r="Z39" s="361" t="str">
        <f>IF(Y39&gt;KKM!$G$10," sangat baik ",IF(Y39&gt;KKM!$H$10," baik ",IF(Y39&gt;=KKM!$I$10," cukup baik "," perlu bimbingan ")))</f>
        <v xml:space="preserve"> cukup baik </v>
      </c>
      <c r="AA39" s="353" t="str">
        <f t="shared" si="5"/>
        <v xml:space="preserve">RAFAREL cukup baik  dalam menyelesaikan masalah yang berkaitan dengan volume bangun ruang dengan menggunakan satuan volume (seperti kubus satuan) melibatkan pangkat tiga dan akar pangkat tiga
</v>
      </c>
      <c r="AB39" s="256"/>
      <c r="AC39" s="257" t="str">
        <f t="shared" si="2"/>
        <v xml:space="preserve"> cukup baik  dalam menyelesaikan masalah yang berkaitan dengan volume bangun ruang dengan menggunakan satuan volume (seperti kubus satuan) melibatkan pangkat tiga dan akar pangkat tiga
</v>
      </c>
      <c r="AD39" s="257" t="str">
        <f t="shared" si="3"/>
        <v xml:space="preserve"> cukup baik  dalam menyelesaikan masalah yang berkaitan dengan volume bangun ruang dengan menggunakan satuan volume (seperti kubus satuan) melibatkan pangkat tiga dan akar pangkat tiga
</v>
      </c>
      <c r="AE39"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39" s="257" t="str">
        <f t="shared" si="7"/>
        <v xml:space="preserve"> cukup baik  dalam menyelesaikan masalah yang berkaitan dengan volume bangun ruang dengan menggunakan satuan volume (seperti kubus satuan) melibatkan pangkat tiga dan akar pangkat tiga
</v>
      </c>
      <c r="AG39" s="258" t="str">
        <f t="shared" si="8"/>
        <v xml:space="preserve"> cukup baik  dalam menyelesaikan masalah yang berkaitan dengan volume bangun ruang dengan menggunakan satuan volume (seperti kubus satuan) melibatkan pangkat tiga dan akar pangkat tiga
</v>
      </c>
      <c r="AH39" s="252" t="str">
        <f t="shared" si="9"/>
        <v xml:space="preserve">RAFAREL cukup baik  dalam menyelesaikan masalah yang berkaitan dengan volume bangun ruang dengan menggunakan satuan volume (seperti kubus satuan) melibatkan pangkat tiga dan akar pangkat tiga
</v>
      </c>
      <c r="AQ39" s="469">
        <f t="shared" si="10"/>
        <v>75</v>
      </c>
    </row>
    <row r="40" spans="2:43" ht="80.25" customHeight="1">
      <c r="B40" s="142">
        <v>36</v>
      </c>
      <c r="C40" s="143" t="str">
        <f>SISWA!B41</f>
        <v>1718250040340</v>
      </c>
      <c r="D40" s="144" t="str">
        <f>SISWA!E41</f>
        <v>RAKHA</v>
      </c>
      <c r="E40" s="159">
        <v>70</v>
      </c>
      <c r="F40" s="160">
        <v>70</v>
      </c>
      <c r="G40" s="160">
        <v>70</v>
      </c>
      <c r="H40" s="160">
        <v>70</v>
      </c>
      <c r="I40" s="160"/>
      <c r="J40" s="159"/>
      <c r="K40" s="159"/>
      <c r="L40" s="159"/>
      <c r="M40" s="159"/>
      <c r="N40" s="159"/>
      <c r="O40" s="159"/>
      <c r="P40" s="159"/>
      <c r="Q40" s="159"/>
      <c r="R40" s="160"/>
      <c r="S40" s="160"/>
      <c r="T40" s="159"/>
      <c r="U40" s="354">
        <f t="shared" si="4"/>
        <v>70</v>
      </c>
      <c r="V40" s="355" t="str">
        <f>IF(U40&gt;KKM!$G$10,"A",IF(U40&gt;KKM!$H$10,"B",IF(U40&gt;=KKM!$I$10,"C","D")))</f>
        <v>C</v>
      </c>
      <c r="W40" s="356">
        <f t="shared" si="0"/>
        <v>70</v>
      </c>
      <c r="X40" s="361" t="str">
        <f>IF(W40&gt;KKM!$G$10," sangat baik ",IF(W40&gt;KKM!$H$10," baik ",IF(W40&gt;=KKM!$I$10," cukup baik "," perlu bimbingan ")))</f>
        <v xml:space="preserve"> cukup baik </v>
      </c>
      <c r="Y40" s="357">
        <f t="shared" si="1"/>
        <v>70</v>
      </c>
      <c r="Z40" s="361" t="str">
        <f>IF(Y40&gt;KKM!$G$10," sangat baik ",IF(Y40&gt;KKM!$H$10," baik ",IF(Y40&gt;=KKM!$I$10," cukup baik "," perlu bimbingan ")))</f>
        <v xml:space="preserve"> cukup baik </v>
      </c>
      <c r="AA40" s="353" t="str">
        <f t="shared" si="5"/>
        <v xml:space="preserve">RAKHA cukup baik  dalam menyelesaikan masalah yang berkaitan dengan volume bangun ruang dengan menggunakan satuan volume (seperti kubus satuan) melibatkan pangkat tiga dan akar pangkat tiga
</v>
      </c>
      <c r="AB40" s="256"/>
      <c r="AC40" s="257" t="str">
        <f t="shared" si="2"/>
        <v xml:space="preserve"> cukup baik  dalam menyelesaikan masalah yang berkaitan dengan volume bangun ruang dengan menggunakan satuan volume (seperti kubus satuan) melibatkan pangkat tiga dan akar pangkat tiga
</v>
      </c>
      <c r="AD40" s="257" t="str">
        <f t="shared" si="3"/>
        <v xml:space="preserve"> cukup baik  dalam menyelesaikan masalah yang berkaitan dengan volume bangun ruang dengan menggunakan satuan volume (seperti kubus satuan) melibatkan pangkat tiga dan akar pangkat tiga
</v>
      </c>
      <c r="AE40"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40" s="257" t="str">
        <f t="shared" si="7"/>
        <v xml:space="preserve"> cukup baik  dalam menyelesaikan masalah yang berkaitan dengan volume bangun ruang dengan menggunakan satuan volume (seperti kubus satuan) melibatkan pangkat tiga dan akar pangkat tiga
</v>
      </c>
      <c r="AG40" s="258" t="str">
        <f t="shared" si="8"/>
        <v xml:space="preserve"> cukup baik  dalam menyelesaikan masalah yang berkaitan dengan volume bangun ruang dengan menggunakan satuan volume (seperti kubus satuan) melibatkan pangkat tiga dan akar pangkat tiga
</v>
      </c>
      <c r="AH40" s="252" t="str">
        <f t="shared" si="9"/>
        <v xml:space="preserve">RAKHA cukup baik  dalam menyelesaikan masalah yang berkaitan dengan volume bangun ruang dengan menggunakan satuan volume (seperti kubus satuan) melibatkan pangkat tiga dan akar pangkat tiga
</v>
      </c>
      <c r="AQ40" s="469">
        <f t="shared" si="10"/>
        <v>70</v>
      </c>
    </row>
    <row r="41" spans="2:43" ht="80.25" customHeight="1">
      <c r="B41" s="142">
        <v>37</v>
      </c>
      <c r="C41" s="143" t="str">
        <f>SISWA!B42</f>
        <v>1718250040341</v>
      </c>
      <c r="D41" s="144" t="str">
        <f>SISWA!E42</f>
        <v>RYU</v>
      </c>
      <c r="E41" s="159">
        <v>65</v>
      </c>
      <c r="F41" s="160">
        <v>65</v>
      </c>
      <c r="G41" s="160">
        <v>65</v>
      </c>
      <c r="H41" s="160">
        <v>65</v>
      </c>
      <c r="I41" s="160"/>
      <c r="J41" s="159"/>
      <c r="K41" s="159"/>
      <c r="L41" s="159"/>
      <c r="M41" s="159"/>
      <c r="N41" s="159"/>
      <c r="O41" s="159"/>
      <c r="P41" s="159"/>
      <c r="Q41" s="159"/>
      <c r="R41" s="160"/>
      <c r="S41" s="160"/>
      <c r="T41" s="159"/>
      <c r="U41" s="354">
        <f t="shared" si="4"/>
        <v>65</v>
      </c>
      <c r="V41" s="355" t="str">
        <f>IF(U41&gt;KKM!$G$10,"A",IF(U41&gt;KKM!$H$10,"B",IF(U41&gt;=KKM!$I$10,"C","D")))</f>
        <v>C</v>
      </c>
      <c r="W41" s="356">
        <f t="shared" si="0"/>
        <v>65</v>
      </c>
      <c r="X41" s="361" t="str">
        <f>IF(W41&gt;KKM!$G$10," sangat baik ",IF(W41&gt;KKM!$H$10," baik ",IF(W41&gt;=KKM!$I$10," cukup baik "," perlu bimbingan ")))</f>
        <v xml:space="preserve"> cukup baik </v>
      </c>
      <c r="Y41" s="357">
        <f t="shared" si="1"/>
        <v>65</v>
      </c>
      <c r="Z41" s="361" t="str">
        <f>IF(Y41&gt;KKM!$G$10," sangat baik ",IF(Y41&gt;KKM!$H$10," baik ",IF(Y41&gt;=KKM!$I$10," cukup baik "," perlu bimbingan ")))</f>
        <v xml:space="preserve"> cukup baik </v>
      </c>
      <c r="AA41" s="353" t="str">
        <f t="shared" si="5"/>
        <v xml:space="preserve">RYU cukup baik  dalam menyelesaikan masalah yang berkaitan dengan volume bangun ruang dengan menggunakan satuan volume (seperti kubus satuan) melibatkan pangkat tiga dan akar pangkat tiga
</v>
      </c>
      <c r="AB41" s="256"/>
      <c r="AC41" s="257" t="str">
        <f t="shared" si="2"/>
        <v xml:space="preserve"> cukup baik  dalam menyelesaikan masalah yang berkaitan dengan volume bangun ruang dengan menggunakan satuan volume (seperti kubus satuan) melibatkan pangkat tiga dan akar pangkat tiga
</v>
      </c>
      <c r="AD41" s="257" t="str">
        <f t="shared" si="3"/>
        <v xml:space="preserve"> cukup baik  dalam menyelesaikan masalah yang berkaitan dengan volume bangun ruang dengan menggunakan satuan volume (seperti kubus satuan) melibatkan pangkat tiga dan akar pangkat tiga
</v>
      </c>
      <c r="AE41"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41" s="257" t="str">
        <f t="shared" si="7"/>
        <v xml:space="preserve"> cukup baik  dalam menyelesaikan masalah yang berkaitan dengan volume bangun ruang dengan menggunakan satuan volume (seperti kubus satuan) melibatkan pangkat tiga dan akar pangkat tiga
</v>
      </c>
      <c r="AG41" s="258" t="str">
        <f t="shared" si="8"/>
        <v xml:space="preserve"> cukup baik  dalam menyelesaikan masalah yang berkaitan dengan volume bangun ruang dengan menggunakan satuan volume (seperti kubus satuan) melibatkan pangkat tiga dan akar pangkat tiga
</v>
      </c>
      <c r="AH41" s="252" t="str">
        <f t="shared" si="9"/>
        <v xml:space="preserve">RYU cukup baik  dalam menyelesaikan masalah yang berkaitan dengan volume bangun ruang dengan menggunakan satuan volume (seperti kubus satuan) melibatkan pangkat tiga dan akar pangkat tiga
</v>
      </c>
      <c r="AQ41" s="469">
        <f t="shared" si="10"/>
        <v>65</v>
      </c>
    </row>
    <row r="42" spans="2:43" ht="80.25" customHeight="1">
      <c r="B42" s="142">
        <v>38</v>
      </c>
      <c r="C42" s="143" t="str">
        <f>SISWA!B43</f>
        <v>1718250040342</v>
      </c>
      <c r="D42" s="144" t="str">
        <f>SISWA!E43</f>
        <v>SAEPUL</v>
      </c>
      <c r="E42" s="159">
        <v>70</v>
      </c>
      <c r="F42" s="160">
        <v>70</v>
      </c>
      <c r="G42" s="160">
        <v>70</v>
      </c>
      <c r="H42" s="160">
        <v>70</v>
      </c>
      <c r="I42" s="160"/>
      <c r="J42" s="159"/>
      <c r="K42" s="159"/>
      <c r="L42" s="159"/>
      <c r="M42" s="159"/>
      <c r="N42" s="159"/>
      <c r="O42" s="159"/>
      <c r="P42" s="159"/>
      <c r="Q42" s="159"/>
      <c r="R42" s="160"/>
      <c r="S42" s="160"/>
      <c r="T42" s="159"/>
      <c r="U42" s="354">
        <f t="shared" si="4"/>
        <v>70</v>
      </c>
      <c r="V42" s="355" t="str">
        <f>IF(U42&gt;KKM!$G$10,"A",IF(U42&gt;KKM!$H$10,"B",IF(U42&gt;=KKM!$I$10,"C","D")))</f>
        <v>C</v>
      </c>
      <c r="W42" s="356">
        <f t="shared" si="0"/>
        <v>70</v>
      </c>
      <c r="X42" s="361" t="str">
        <f>IF(W42&gt;KKM!$G$10," sangat baik ",IF(W42&gt;KKM!$H$10," baik ",IF(W42&gt;=KKM!$I$10," cukup baik "," perlu bimbingan ")))</f>
        <v xml:space="preserve"> cukup baik </v>
      </c>
      <c r="Y42" s="357">
        <f t="shared" si="1"/>
        <v>70</v>
      </c>
      <c r="Z42" s="361" t="str">
        <f>IF(Y42&gt;KKM!$G$10," sangat baik ",IF(Y42&gt;KKM!$H$10," baik ",IF(Y42&gt;=KKM!$I$10," cukup baik "," perlu bimbingan ")))</f>
        <v xml:space="preserve"> cukup baik </v>
      </c>
      <c r="AA42" s="353" t="str">
        <f t="shared" si="5"/>
        <v xml:space="preserve">SAEPUL cukup baik  dalam menyelesaikan masalah yang berkaitan dengan volume bangun ruang dengan menggunakan satuan volume (seperti kubus satuan) melibatkan pangkat tiga dan akar pangkat tiga
</v>
      </c>
      <c r="AB42" s="256"/>
      <c r="AC42" s="257" t="str">
        <f t="shared" si="2"/>
        <v xml:space="preserve"> cukup baik  dalam menyelesaikan masalah yang berkaitan dengan volume bangun ruang dengan menggunakan satuan volume (seperti kubus satuan) melibatkan pangkat tiga dan akar pangkat tiga
</v>
      </c>
      <c r="AD42" s="257" t="str">
        <f t="shared" si="3"/>
        <v xml:space="preserve"> cukup baik  dalam menyelesaikan masalah yang berkaitan dengan volume bangun ruang dengan menggunakan satuan volume (seperti kubus satuan) melibatkan pangkat tiga dan akar pangkat tiga
</v>
      </c>
      <c r="AE42"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42" s="257" t="str">
        <f t="shared" si="7"/>
        <v xml:space="preserve"> cukup baik  dalam menyelesaikan masalah yang berkaitan dengan volume bangun ruang dengan menggunakan satuan volume (seperti kubus satuan) melibatkan pangkat tiga dan akar pangkat tiga
</v>
      </c>
      <c r="AG42" s="258" t="str">
        <f t="shared" si="8"/>
        <v xml:space="preserve"> cukup baik  dalam menyelesaikan masalah yang berkaitan dengan volume bangun ruang dengan menggunakan satuan volume (seperti kubus satuan) melibatkan pangkat tiga dan akar pangkat tiga
</v>
      </c>
      <c r="AH42" s="252" t="str">
        <f t="shared" si="9"/>
        <v xml:space="preserve">SAEPUL cukup baik  dalam menyelesaikan masalah yang berkaitan dengan volume bangun ruang dengan menggunakan satuan volume (seperti kubus satuan) melibatkan pangkat tiga dan akar pangkat tiga
</v>
      </c>
      <c r="AQ42" s="469">
        <f t="shared" si="10"/>
        <v>70</v>
      </c>
    </row>
    <row r="43" spans="2:43" ht="80.25" customHeight="1">
      <c r="B43" s="142">
        <v>39</v>
      </c>
      <c r="C43" s="143" t="str">
        <f>SISWA!B44</f>
        <v>1718250040343</v>
      </c>
      <c r="D43" s="144" t="str">
        <f>SISWA!E44</f>
        <v>SALMA</v>
      </c>
      <c r="E43" s="159">
        <v>70</v>
      </c>
      <c r="F43" s="160">
        <v>70</v>
      </c>
      <c r="G43" s="160">
        <v>70</v>
      </c>
      <c r="H43" s="160">
        <v>70</v>
      </c>
      <c r="I43" s="160"/>
      <c r="J43" s="159"/>
      <c r="K43" s="159"/>
      <c r="L43" s="159"/>
      <c r="M43" s="159"/>
      <c r="N43" s="159"/>
      <c r="O43" s="159"/>
      <c r="P43" s="159"/>
      <c r="Q43" s="159"/>
      <c r="R43" s="160"/>
      <c r="S43" s="160"/>
      <c r="T43" s="159"/>
      <c r="U43" s="354">
        <f t="shared" si="4"/>
        <v>70</v>
      </c>
      <c r="V43" s="355" t="str">
        <f>IF(U43&gt;KKM!$G$10,"A",IF(U43&gt;KKM!$H$10,"B",IF(U43&gt;=KKM!$I$10,"C","D")))</f>
        <v>C</v>
      </c>
      <c r="W43" s="356">
        <f t="shared" si="0"/>
        <v>70</v>
      </c>
      <c r="X43" s="361" t="str">
        <f>IF(W43&gt;KKM!$G$10," sangat baik ",IF(W43&gt;KKM!$H$10," baik ",IF(W43&gt;=KKM!$I$10," cukup baik "," perlu bimbingan ")))</f>
        <v xml:space="preserve"> cukup baik </v>
      </c>
      <c r="Y43" s="357">
        <f t="shared" si="1"/>
        <v>70</v>
      </c>
      <c r="Z43" s="361" t="str">
        <f>IF(Y43&gt;KKM!$G$10," sangat baik ",IF(Y43&gt;KKM!$H$10," baik ",IF(Y43&gt;=KKM!$I$10," cukup baik "," perlu bimbingan ")))</f>
        <v xml:space="preserve"> cukup baik </v>
      </c>
      <c r="AA43" s="353" t="str">
        <f t="shared" si="5"/>
        <v xml:space="preserve">SALMA cukup baik  dalam menyelesaikan masalah yang berkaitan dengan volume bangun ruang dengan menggunakan satuan volume (seperti kubus satuan) melibatkan pangkat tiga dan akar pangkat tiga
</v>
      </c>
      <c r="AB43" s="256"/>
      <c r="AC43" s="257" t="str">
        <f t="shared" si="2"/>
        <v xml:space="preserve"> cukup baik  dalam menyelesaikan masalah yang berkaitan dengan volume bangun ruang dengan menggunakan satuan volume (seperti kubus satuan) melibatkan pangkat tiga dan akar pangkat tiga
</v>
      </c>
      <c r="AD43" s="257" t="str">
        <f t="shared" si="3"/>
        <v xml:space="preserve"> cukup baik  dalam menyelesaikan masalah yang berkaitan dengan volume bangun ruang dengan menggunakan satuan volume (seperti kubus satuan) melibatkan pangkat tiga dan akar pangkat tiga
</v>
      </c>
      <c r="AE43"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43" s="257" t="str">
        <f t="shared" si="7"/>
        <v xml:space="preserve"> cukup baik  dalam menyelesaikan masalah yang berkaitan dengan volume bangun ruang dengan menggunakan satuan volume (seperti kubus satuan) melibatkan pangkat tiga dan akar pangkat tiga
</v>
      </c>
      <c r="AG43" s="258" t="str">
        <f t="shared" si="8"/>
        <v xml:space="preserve"> cukup baik  dalam menyelesaikan masalah yang berkaitan dengan volume bangun ruang dengan menggunakan satuan volume (seperti kubus satuan) melibatkan pangkat tiga dan akar pangkat tiga
</v>
      </c>
      <c r="AH43" s="252" t="str">
        <f t="shared" si="9"/>
        <v xml:space="preserve">SALMA cukup baik  dalam menyelesaikan masalah yang berkaitan dengan volume bangun ruang dengan menggunakan satuan volume (seperti kubus satuan) melibatkan pangkat tiga dan akar pangkat tiga
</v>
      </c>
      <c r="AQ43" s="469">
        <f t="shared" si="10"/>
        <v>70</v>
      </c>
    </row>
    <row r="44" spans="2:43" ht="80.25" customHeight="1">
      <c r="B44" s="142">
        <v>40</v>
      </c>
      <c r="C44" s="143" t="str">
        <f>SISWA!B45</f>
        <v>1718250040344</v>
      </c>
      <c r="D44" s="144" t="str">
        <f>SISWA!E45</f>
        <v>SYAKILA</v>
      </c>
      <c r="E44" s="159">
        <v>75</v>
      </c>
      <c r="F44" s="160">
        <v>75</v>
      </c>
      <c r="G44" s="160">
        <v>75</v>
      </c>
      <c r="H44" s="160">
        <v>75</v>
      </c>
      <c r="I44" s="160"/>
      <c r="J44" s="159"/>
      <c r="K44" s="159"/>
      <c r="L44" s="159"/>
      <c r="M44" s="159"/>
      <c r="N44" s="159"/>
      <c r="O44" s="159"/>
      <c r="P44" s="159"/>
      <c r="Q44" s="159"/>
      <c r="R44" s="160"/>
      <c r="S44" s="160"/>
      <c r="T44" s="159"/>
      <c r="U44" s="354">
        <f t="shared" si="4"/>
        <v>75</v>
      </c>
      <c r="V44" s="355" t="str">
        <f>IF(U44&gt;KKM!$G$10,"A",IF(U44&gt;KKM!$H$10,"B",IF(U44&gt;=KKM!$I$10,"C","D")))</f>
        <v>C</v>
      </c>
      <c r="W44" s="356">
        <f t="shared" si="0"/>
        <v>75</v>
      </c>
      <c r="X44" s="361" t="str">
        <f>IF(W44&gt;KKM!$G$10," sangat baik ",IF(W44&gt;KKM!$H$10," baik ",IF(W44&gt;=KKM!$I$10," cukup baik "," perlu bimbingan ")))</f>
        <v xml:space="preserve"> cukup baik </v>
      </c>
      <c r="Y44" s="357">
        <f t="shared" si="1"/>
        <v>75</v>
      </c>
      <c r="Z44" s="361" t="str">
        <f>IF(Y44&gt;KKM!$G$10," sangat baik ",IF(Y44&gt;KKM!$H$10," baik ",IF(Y44&gt;=KKM!$I$10," cukup baik "," perlu bimbingan ")))</f>
        <v xml:space="preserve"> cukup baik </v>
      </c>
      <c r="AA44" s="353" t="str">
        <f t="shared" si="5"/>
        <v xml:space="preserve">SYAKILA cukup baik  dalam menyelesaikan masalah yang berkaitan dengan volume bangun ruang dengan menggunakan satuan volume (seperti kubus satuan) melibatkan pangkat tiga dan akar pangkat tiga
</v>
      </c>
      <c r="AB44" s="256"/>
      <c r="AC44" s="257" t="str">
        <f t="shared" si="2"/>
        <v xml:space="preserve"> cukup baik  dalam menyelesaikan masalah yang berkaitan dengan volume bangun ruang dengan menggunakan satuan volume (seperti kubus satuan) melibatkan pangkat tiga dan akar pangkat tiga
</v>
      </c>
      <c r="AD44" s="257" t="str">
        <f t="shared" si="3"/>
        <v xml:space="preserve"> cukup baik  dalam menyelesaikan masalah yang berkaitan dengan volume bangun ruang dengan menggunakan satuan volume (seperti kubus satuan) melibatkan pangkat tiga dan akar pangkat tiga
</v>
      </c>
      <c r="AE44"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44" s="257" t="str">
        <f t="shared" si="7"/>
        <v xml:space="preserve"> cukup baik  dalam menyelesaikan masalah yang berkaitan dengan volume bangun ruang dengan menggunakan satuan volume (seperti kubus satuan) melibatkan pangkat tiga dan akar pangkat tiga
</v>
      </c>
      <c r="AG44" s="258" t="str">
        <f t="shared" si="8"/>
        <v xml:space="preserve"> cukup baik  dalam menyelesaikan masalah yang berkaitan dengan volume bangun ruang dengan menggunakan satuan volume (seperti kubus satuan) melibatkan pangkat tiga dan akar pangkat tiga
</v>
      </c>
      <c r="AH44" s="252" t="str">
        <f t="shared" si="9"/>
        <v xml:space="preserve">SYAKILA cukup baik  dalam menyelesaikan masalah yang berkaitan dengan volume bangun ruang dengan menggunakan satuan volume (seperti kubus satuan) melibatkan pangkat tiga dan akar pangkat tiga
</v>
      </c>
      <c r="AQ44" s="469">
        <f t="shared" si="10"/>
        <v>75</v>
      </c>
    </row>
    <row r="45" spans="2:43" ht="80.25" customHeight="1">
      <c r="B45" s="142">
        <v>41</v>
      </c>
      <c r="C45" s="143" t="str">
        <f>SISWA!B46</f>
        <v>1718250040345</v>
      </c>
      <c r="D45" s="144" t="str">
        <f>SISWA!E46</f>
        <v>SYIFA</v>
      </c>
      <c r="E45" s="159">
        <v>70</v>
      </c>
      <c r="F45" s="160">
        <v>70</v>
      </c>
      <c r="G45" s="160">
        <v>70</v>
      </c>
      <c r="H45" s="160">
        <v>70</v>
      </c>
      <c r="I45" s="160"/>
      <c r="J45" s="159"/>
      <c r="K45" s="159"/>
      <c r="L45" s="159"/>
      <c r="M45" s="159"/>
      <c r="N45" s="159"/>
      <c r="O45" s="159"/>
      <c r="P45" s="159"/>
      <c r="Q45" s="159"/>
      <c r="R45" s="160"/>
      <c r="S45" s="160"/>
      <c r="T45" s="159"/>
      <c r="U45" s="354">
        <f t="shared" si="4"/>
        <v>70</v>
      </c>
      <c r="V45" s="355" t="str">
        <f>IF(U45&gt;KKM!$G$10,"A",IF(U45&gt;KKM!$H$10,"B",IF(U45&gt;=KKM!$I$10,"C","D")))</f>
        <v>C</v>
      </c>
      <c r="W45" s="356">
        <f t="shared" si="0"/>
        <v>70</v>
      </c>
      <c r="X45" s="361" t="str">
        <f>IF(W45&gt;KKM!$G$10," sangat baik ",IF(W45&gt;KKM!$H$10," baik ",IF(W45&gt;=KKM!$I$10," cukup baik "," perlu bimbingan ")))</f>
        <v xml:space="preserve"> cukup baik </v>
      </c>
      <c r="Y45" s="357">
        <f t="shared" si="1"/>
        <v>70</v>
      </c>
      <c r="Z45" s="361" t="str">
        <f>IF(Y45&gt;KKM!$G$10," sangat baik ",IF(Y45&gt;KKM!$H$10," baik ",IF(Y45&gt;=KKM!$I$10," cukup baik "," perlu bimbingan ")))</f>
        <v xml:space="preserve"> cukup baik </v>
      </c>
      <c r="AA45" s="353" t="str">
        <f t="shared" si="5"/>
        <v xml:space="preserve">SYIFA cukup baik  dalam menyelesaikan masalah yang berkaitan dengan volume bangun ruang dengan menggunakan satuan volume (seperti kubus satuan) melibatkan pangkat tiga dan akar pangkat tiga
</v>
      </c>
      <c r="AB45" s="256"/>
      <c r="AC45" s="257" t="str">
        <f t="shared" si="2"/>
        <v xml:space="preserve"> cukup baik  dalam menyelesaikan masalah yang berkaitan dengan volume bangun ruang dengan menggunakan satuan volume (seperti kubus satuan) melibatkan pangkat tiga dan akar pangkat tiga
</v>
      </c>
      <c r="AD45" s="257" t="str">
        <f t="shared" si="3"/>
        <v xml:space="preserve"> cukup baik  dalam menyelesaikan masalah yang berkaitan dengan volume bangun ruang dengan menggunakan satuan volume (seperti kubus satuan) melibatkan pangkat tiga dan akar pangkat tiga
</v>
      </c>
      <c r="AE45"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45" s="257" t="str">
        <f t="shared" si="7"/>
        <v xml:space="preserve"> cukup baik  dalam menyelesaikan masalah yang berkaitan dengan volume bangun ruang dengan menggunakan satuan volume (seperti kubus satuan) melibatkan pangkat tiga dan akar pangkat tiga
</v>
      </c>
      <c r="AG45" s="258" t="str">
        <f t="shared" si="8"/>
        <v xml:space="preserve"> cukup baik  dalam menyelesaikan masalah yang berkaitan dengan volume bangun ruang dengan menggunakan satuan volume (seperti kubus satuan) melibatkan pangkat tiga dan akar pangkat tiga
</v>
      </c>
      <c r="AH45" s="252" t="str">
        <f t="shared" si="9"/>
        <v xml:space="preserve">SYIFA cukup baik  dalam menyelesaikan masalah yang berkaitan dengan volume bangun ruang dengan menggunakan satuan volume (seperti kubus satuan) melibatkan pangkat tiga dan akar pangkat tiga
</v>
      </c>
      <c r="AQ45" s="469">
        <f t="shared" si="10"/>
        <v>70</v>
      </c>
    </row>
    <row r="46" spans="2:43" ht="80.25" customHeight="1">
      <c r="B46" s="142">
        <v>42</v>
      </c>
      <c r="C46" s="143" t="str">
        <f>SISWA!B47</f>
        <v>1718250040346</v>
      </c>
      <c r="D46" s="144" t="str">
        <f>SISWA!E47</f>
        <v>WAFDAN</v>
      </c>
      <c r="E46" s="159">
        <v>75</v>
      </c>
      <c r="F46" s="160">
        <v>75</v>
      </c>
      <c r="G46" s="160">
        <v>75</v>
      </c>
      <c r="H46" s="160">
        <v>75</v>
      </c>
      <c r="I46" s="160"/>
      <c r="J46" s="159"/>
      <c r="K46" s="159"/>
      <c r="L46" s="159"/>
      <c r="M46" s="159"/>
      <c r="N46" s="159"/>
      <c r="O46" s="159"/>
      <c r="P46" s="159"/>
      <c r="Q46" s="159"/>
      <c r="R46" s="160"/>
      <c r="S46" s="160"/>
      <c r="T46" s="159"/>
      <c r="U46" s="354">
        <f t="shared" si="4"/>
        <v>75</v>
      </c>
      <c r="V46" s="355" t="str">
        <f>IF(U46&gt;KKM!$G$10,"A",IF(U46&gt;KKM!$H$10,"B",IF(U46&gt;=KKM!$I$10,"C","D")))</f>
        <v>C</v>
      </c>
      <c r="W46" s="356">
        <f t="shared" si="0"/>
        <v>75</v>
      </c>
      <c r="X46" s="361" t="str">
        <f>IF(W46&gt;KKM!$G$10," sangat baik ",IF(W46&gt;KKM!$H$10," baik ",IF(W46&gt;=KKM!$I$10," cukup baik "," perlu bimbingan ")))</f>
        <v xml:space="preserve"> cukup baik </v>
      </c>
      <c r="Y46" s="357">
        <f t="shared" si="1"/>
        <v>75</v>
      </c>
      <c r="Z46" s="361" t="str">
        <f>IF(Y46&gt;KKM!$G$10," sangat baik ",IF(Y46&gt;KKM!$H$10," baik ",IF(Y46&gt;=KKM!$I$10," cukup baik "," perlu bimbingan ")))</f>
        <v xml:space="preserve"> cukup baik </v>
      </c>
      <c r="AA46" s="353" t="str">
        <f t="shared" si="5"/>
        <v xml:space="preserve">WAFDAN cukup baik  dalam menyelesaikan masalah yang berkaitan dengan volume bangun ruang dengan menggunakan satuan volume (seperti kubus satuan) melibatkan pangkat tiga dan akar pangkat tiga
</v>
      </c>
      <c r="AB46" s="256"/>
      <c r="AC46" s="257" t="str">
        <f t="shared" si="2"/>
        <v xml:space="preserve"> cukup baik  dalam menyelesaikan masalah yang berkaitan dengan volume bangun ruang dengan menggunakan satuan volume (seperti kubus satuan) melibatkan pangkat tiga dan akar pangkat tiga
</v>
      </c>
      <c r="AD46" s="257" t="str">
        <f t="shared" si="3"/>
        <v xml:space="preserve"> cukup baik  dalam menyelesaikan masalah yang berkaitan dengan volume bangun ruang dengan menggunakan satuan volume (seperti kubus satuan) melibatkan pangkat tiga dan akar pangkat tiga
</v>
      </c>
      <c r="AE46"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46" s="257" t="str">
        <f t="shared" si="7"/>
        <v xml:space="preserve"> cukup baik  dalam menyelesaikan masalah yang berkaitan dengan volume bangun ruang dengan menggunakan satuan volume (seperti kubus satuan) melibatkan pangkat tiga dan akar pangkat tiga
</v>
      </c>
      <c r="AG46" s="258" t="str">
        <f t="shared" si="8"/>
        <v xml:space="preserve"> cukup baik  dalam menyelesaikan masalah yang berkaitan dengan volume bangun ruang dengan menggunakan satuan volume (seperti kubus satuan) melibatkan pangkat tiga dan akar pangkat tiga
</v>
      </c>
      <c r="AH46" s="252" t="str">
        <f t="shared" si="9"/>
        <v xml:space="preserve">WAFDAN cukup baik  dalam menyelesaikan masalah yang berkaitan dengan volume bangun ruang dengan menggunakan satuan volume (seperti kubus satuan) melibatkan pangkat tiga dan akar pangkat tiga
</v>
      </c>
      <c r="AQ46" s="469">
        <f t="shared" si="10"/>
        <v>75</v>
      </c>
    </row>
    <row r="47" spans="2:43" ht="80.25" customHeight="1">
      <c r="B47" s="142">
        <v>43</v>
      </c>
      <c r="C47" s="143" t="str">
        <f>SISWA!B48</f>
        <v>1718250040347</v>
      </c>
      <c r="D47" s="144" t="str">
        <f>SISWA!E48</f>
        <v>ZEVA</v>
      </c>
      <c r="E47" s="159">
        <v>75</v>
      </c>
      <c r="F47" s="160">
        <v>75</v>
      </c>
      <c r="G47" s="160">
        <v>75</v>
      </c>
      <c r="H47" s="160">
        <v>75</v>
      </c>
      <c r="I47" s="160"/>
      <c r="J47" s="159"/>
      <c r="K47" s="159"/>
      <c r="L47" s="159"/>
      <c r="M47" s="159"/>
      <c r="N47" s="159"/>
      <c r="O47" s="159"/>
      <c r="P47" s="159"/>
      <c r="Q47" s="159"/>
      <c r="R47" s="160"/>
      <c r="S47" s="160"/>
      <c r="T47" s="159"/>
      <c r="U47" s="354">
        <f t="shared" si="4"/>
        <v>75</v>
      </c>
      <c r="V47" s="355" t="str">
        <f>IF(U47&gt;KKM!$G$10,"A",IF(U47&gt;KKM!$H$10,"B",IF(U47&gt;=KKM!$I$10,"C","D")))</f>
        <v>C</v>
      </c>
      <c r="W47" s="356">
        <f t="shared" si="0"/>
        <v>75</v>
      </c>
      <c r="X47" s="361" t="str">
        <f>IF(W47&gt;KKM!$G$10," sangat baik ",IF(W47&gt;KKM!$H$10," baik ",IF(W47&gt;=KKM!$I$10," cukup baik "," perlu bimbingan ")))</f>
        <v xml:space="preserve"> cukup baik </v>
      </c>
      <c r="Y47" s="357">
        <f t="shared" si="1"/>
        <v>75</v>
      </c>
      <c r="Z47" s="361" t="str">
        <f>IF(Y47&gt;KKM!$G$10," sangat baik ",IF(Y47&gt;KKM!$H$10," baik ",IF(Y47&gt;=KKM!$I$10," cukup baik "," perlu bimbingan ")))</f>
        <v xml:space="preserve"> cukup baik </v>
      </c>
      <c r="AA47" s="353" t="str">
        <f t="shared" si="5"/>
        <v xml:space="preserve">ZEVA cukup baik  dalam menyelesaikan masalah yang berkaitan dengan volume bangun ruang dengan menggunakan satuan volume (seperti kubus satuan) melibatkan pangkat tiga dan akar pangkat tiga
</v>
      </c>
      <c r="AB47" s="256"/>
      <c r="AC47" s="257" t="str">
        <f t="shared" si="2"/>
        <v xml:space="preserve"> cukup baik  dalam menyelesaikan masalah yang berkaitan dengan volume bangun ruang dengan menggunakan satuan volume (seperti kubus satuan) melibatkan pangkat tiga dan akar pangkat tiga
</v>
      </c>
      <c r="AD47" s="257" t="str">
        <f t="shared" si="3"/>
        <v xml:space="preserve"> cukup baik  dalam menyelesaikan masalah yang berkaitan dengan volume bangun ruang dengan menggunakan satuan volume (seperti kubus satuan) melibatkan pangkat tiga dan akar pangkat tiga
</v>
      </c>
      <c r="AE47" s="257" t="str">
        <f t="shared" si="6"/>
        <v xml:space="preserve"> cukup baik  dalam menyelesaikan masalah yang berkaitan dengan volume bangun ruang dengan menggunakan satuan volume (seperti kubus satuan) melibatkan pangkat tiga dan akar pangkat tiga
, dan  cukup baik  dalam menyelesaikan masalah yang berkaitan dengan volume bangun ruang dengan menggunakan satuan volume (seperti kubus satuan) melibatkan pangkat tiga dan akar pangkat tiga
</v>
      </c>
      <c r="AF47" s="257" t="str">
        <f t="shared" si="7"/>
        <v xml:space="preserve"> cukup baik  dalam menyelesaikan masalah yang berkaitan dengan volume bangun ruang dengan menggunakan satuan volume (seperti kubus satuan) melibatkan pangkat tiga dan akar pangkat tiga
</v>
      </c>
      <c r="AG47" s="258" t="str">
        <f t="shared" si="8"/>
        <v xml:space="preserve"> cukup baik  dalam menyelesaikan masalah yang berkaitan dengan volume bangun ruang dengan menggunakan satuan volume (seperti kubus satuan) melibatkan pangkat tiga dan akar pangkat tiga
</v>
      </c>
      <c r="AH47" s="252" t="str">
        <f t="shared" si="9"/>
        <v xml:space="preserve">ZEVA cukup baik  dalam menyelesaikan masalah yang berkaitan dengan volume bangun ruang dengan menggunakan satuan volume (seperti kubus satuan) melibatkan pangkat tiga dan akar pangkat tiga
</v>
      </c>
      <c r="AQ47" s="469">
        <f t="shared" si="10"/>
        <v>75</v>
      </c>
    </row>
    <row r="48" spans="2:43" ht="80.25" customHeight="1">
      <c r="B48" s="142">
        <v>44</v>
      </c>
      <c r="C48" s="143">
        <f>SISWA!B49</f>
        <v>0</v>
      </c>
      <c r="D48" s="144">
        <f>SISWA!E49</f>
        <v>0</v>
      </c>
      <c r="E48" s="159"/>
      <c r="F48" s="160"/>
      <c r="G48" s="160"/>
      <c r="H48" s="160"/>
      <c r="I48" s="160"/>
      <c r="J48" s="159"/>
      <c r="K48" s="159"/>
      <c r="L48" s="159"/>
      <c r="M48" s="159"/>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Q48" s="469" t="str">
        <f t="shared" si="10"/>
        <v/>
      </c>
    </row>
    <row r="49" spans="2:43" ht="80.25" customHeight="1">
      <c r="B49" s="142">
        <v>45</v>
      </c>
      <c r="C49" s="143">
        <f>SISWA!B50</f>
        <v>0</v>
      </c>
      <c r="D49" s="144">
        <f>SISWA!E50</f>
        <v>0</v>
      </c>
      <c r="E49" s="159"/>
      <c r="F49" s="160"/>
      <c r="G49" s="160"/>
      <c r="H49" s="160"/>
      <c r="I49" s="160"/>
      <c r="J49" s="159"/>
      <c r="K49" s="159"/>
      <c r="L49" s="159"/>
      <c r="M49" s="159"/>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Q49" s="469" t="str">
        <f t="shared" si="10"/>
        <v/>
      </c>
    </row>
    <row r="50" spans="2:43" ht="80.25" customHeight="1">
      <c r="B50" s="142">
        <v>46</v>
      </c>
      <c r="C50" s="143">
        <f>SISWA!B51</f>
        <v>0</v>
      </c>
      <c r="D50" s="144">
        <f>SISWA!E51</f>
        <v>0</v>
      </c>
      <c r="E50" s="159"/>
      <c r="F50" s="160"/>
      <c r="G50" s="160"/>
      <c r="H50" s="160"/>
      <c r="I50" s="160"/>
      <c r="J50" s="159"/>
      <c r="K50" s="159"/>
      <c r="L50" s="159"/>
      <c r="M50" s="159"/>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Q50" s="469" t="str">
        <f t="shared" si="10"/>
        <v/>
      </c>
    </row>
    <row r="51" spans="2:43" ht="80.25" customHeight="1">
      <c r="B51" s="142">
        <v>47</v>
      </c>
      <c r="C51" s="143">
        <f>SISWA!B52</f>
        <v>0</v>
      </c>
      <c r="D51" s="144">
        <f>SISWA!E52</f>
        <v>0</v>
      </c>
      <c r="E51" s="159"/>
      <c r="F51" s="160"/>
      <c r="G51" s="160"/>
      <c r="H51" s="160"/>
      <c r="I51" s="160"/>
      <c r="J51" s="159"/>
      <c r="K51" s="159"/>
      <c r="L51" s="159"/>
      <c r="M51" s="159"/>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Q51" s="469" t="str">
        <f t="shared" si="10"/>
        <v/>
      </c>
    </row>
    <row r="52" spans="2:43" ht="80.25" customHeight="1">
      <c r="B52" s="142">
        <v>48</v>
      </c>
      <c r="C52" s="143">
        <f>SISWA!B53</f>
        <v>0</v>
      </c>
      <c r="D52" s="144">
        <f>SISWA!E53</f>
        <v>0</v>
      </c>
      <c r="E52" s="159"/>
      <c r="F52" s="160"/>
      <c r="G52" s="160"/>
      <c r="H52" s="160"/>
      <c r="I52" s="160"/>
      <c r="J52" s="159"/>
      <c r="K52" s="159"/>
      <c r="L52" s="159"/>
      <c r="M52" s="159"/>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Q52" s="469" t="str">
        <f t="shared" si="10"/>
        <v/>
      </c>
    </row>
    <row r="53" spans="2:43" ht="80.25" customHeight="1">
      <c r="B53" s="142">
        <v>49</v>
      </c>
      <c r="C53" s="143">
        <f>SISWA!B54</f>
        <v>0</v>
      </c>
      <c r="D53" s="144">
        <f>SISWA!E54</f>
        <v>0</v>
      </c>
      <c r="E53" s="159"/>
      <c r="F53" s="160"/>
      <c r="G53" s="160"/>
      <c r="H53" s="160"/>
      <c r="I53" s="160"/>
      <c r="J53" s="159"/>
      <c r="K53" s="159"/>
      <c r="L53" s="159"/>
      <c r="M53" s="159"/>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Q53" s="469" t="str">
        <f t="shared" si="10"/>
        <v/>
      </c>
    </row>
    <row r="54" spans="2:43" ht="80.25" customHeight="1">
      <c r="B54" s="142">
        <v>50</v>
      </c>
      <c r="C54" s="143">
        <f>SISWA!B55</f>
        <v>0</v>
      </c>
      <c r="D54" s="144">
        <f>SISWA!E55</f>
        <v>0</v>
      </c>
      <c r="E54" s="159"/>
      <c r="F54" s="160"/>
      <c r="G54" s="160"/>
      <c r="H54" s="160"/>
      <c r="I54" s="160"/>
      <c r="J54" s="159"/>
      <c r="K54" s="159"/>
      <c r="L54" s="159"/>
      <c r="M54" s="159"/>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Q54" s="469" t="str">
        <f t="shared" si="10"/>
        <v/>
      </c>
    </row>
    <row r="55" spans="2:43" ht="15.75">
      <c r="B55" s="154"/>
      <c r="C55" s="154"/>
      <c r="D55" s="154"/>
      <c r="E55" s="159"/>
      <c r="F55" s="160"/>
      <c r="G55" s="160"/>
      <c r="H55" s="160"/>
      <c r="I55" s="160"/>
      <c r="J55" s="159"/>
      <c r="K55" s="159"/>
      <c r="L55" s="159"/>
      <c r="M55" s="159"/>
      <c r="N55" s="159"/>
      <c r="O55" s="159"/>
      <c r="P55" s="159"/>
      <c r="Q55" s="159"/>
      <c r="R55" s="160"/>
      <c r="S55" s="160"/>
      <c r="T55" s="159"/>
      <c r="U55" s="147"/>
      <c r="V55" s="148"/>
      <c r="W55" s="149"/>
      <c r="X55" s="149"/>
      <c r="Y55" s="149"/>
      <c r="Z55" s="149"/>
      <c r="AA55" s="150"/>
      <c r="AB55" s="151"/>
      <c r="AC55" s="152"/>
      <c r="AD55" s="155"/>
      <c r="AE55" s="155"/>
      <c r="AF55" s="155"/>
      <c r="AG55" s="155"/>
      <c r="AH55" s="155"/>
    </row>
  </sheetData>
  <sheetProtection password="C70C" sheet="1" objects="1" scenarios="1"/>
  <mergeCells count="10">
    <mergeCell ref="V2:V4"/>
    <mergeCell ref="W2:Z2"/>
    <mergeCell ref="AA2:AA4"/>
    <mergeCell ref="W3:X3"/>
    <mergeCell ref="Y3:Z3"/>
    <mergeCell ref="B2:B4"/>
    <mergeCell ref="C2:C4"/>
    <mergeCell ref="D2:D4"/>
    <mergeCell ref="E2:T2"/>
    <mergeCell ref="U2:U4"/>
  </mergeCell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DL55"/>
  <sheetViews>
    <sheetView zoomScale="80" zoomScaleNormal="80" workbookViewId="0">
      <pane xSplit="4" ySplit="4" topLeftCell="E5" activePane="bottomRight" state="frozen"/>
      <selection pane="topRight" activeCell="E1" sqref="E1"/>
      <selection pane="bottomLeft" activeCell="A5" sqref="A5"/>
      <selection pane="bottomRight" activeCell="J7" sqref="J7"/>
    </sheetView>
  </sheetViews>
  <sheetFormatPr defaultColWidth="0" defaultRowHeight="15"/>
  <cols>
    <col min="1" max="1" width="23.42578125" style="171" customWidth="1"/>
    <col min="2" max="2" width="4.42578125" style="137" customWidth="1"/>
    <col min="3" max="3" width="6.42578125" style="137" customWidth="1"/>
    <col min="4" max="4" width="28.7109375" style="137" customWidth="1"/>
    <col min="5" max="12" width="5.7109375" style="137" customWidth="1"/>
    <col min="13" max="19" width="5.7109375" style="137" hidden="1" customWidth="1"/>
    <col min="20" max="23" width="5.7109375" style="137" customWidth="1"/>
    <col min="24" max="24" width="12.42578125" style="137" customWidth="1"/>
    <col min="25" max="25" width="5.7109375" style="137" customWidth="1"/>
    <col min="26" max="26" width="13.5703125" style="137" customWidth="1"/>
    <col min="27" max="27" width="103" style="137" customWidth="1"/>
    <col min="28" max="28" width="33.140625" style="137" customWidth="1"/>
    <col min="29" max="29" width="5" style="137" hidden="1" customWidth="1"/>
    <col min="30" max="30" width="4.7109375" style="137" hidden="1" customWidth="1"/>
    <col min="31" max="31" width="5.140625" style="137" hidden="1" customWidth="1"/>
    <col min="32" max="37" width="5" style="137" hidden="1" customWidth="1"/>
    <col min="38" max="38" width="4.85546875" style="137" hidden="1" customWidth="1"/>
    <col min="39" max="41" width="5" style="137" hidden="1" customWidth="1"/>
    <col min="42" max="44" width="5" style="137" customWidth="1"/>
    <col min="45" max="45" width="5" style="137" hidden="1" customWidth="1"/>
    <col min="46" max="46" width="6.42578125" style="137" hidden="1" customWidth="1"/>
    <col min="47" max="47" width="5" style="137" customWidth="1"/>
    <col min="48" max="54" width="5" style="137" hidden="1" customWidth="1"/>
    <col min="55" max="55" width="84.42578125" style="137" hidden="1" customWidth="1"/>
    <col min="56" max="56" width="29.85546875" style="137" hidden="1" customWidth="1"/>
    <col min="57" max="70" width="10.7109375" style="137" hidden="1" customWidth="1"/>
    <col min="71" max="75" width="5" style="137" hidden="1" customWidth="1"/>
    <col min="76" max="76" width="4.85546875" style="137" hidden="1" customWidth="1"/>
    <col min="77" max="81" width="5" style="137" hidden="1" customWidth="1"/>
    <col min="82" max="83" width="0" style="137" hidden="1" customWidth="1"/>
    <col min="84" max="90" width="5" style="137" hidden="1" customWidth="1"/>
    <col min="91" max="91" width="84.42578125" style="137" hidden="1" customWidth="1"/>
    <col min="92" max="92" width="29.85546875" style="137" hidden="1" customWidth="1"/>
    <col min="93" max="116" width="10.7109375" style="137" hidden="1" customWidth="1"/>
    <col min="117" max="16384" width="9.140625" style="137" hidden="1"/>
  </cols>
  <sheetData>
    <row r="1" spans="1:54" s="512" customFormat="1" ht="45.75" customHeight="1">
      <c r="B1" s="513" t="s">
        <v>206</v>
      </c>
      <c r="C1" s="513"/>
      <c r="D1" s="513"/>
      <c r="E1" s="513"/>
      <c r="F1" s="513"/>
      <c r="G1" s="513"/>
      <c r="H1" s="513"/>
      <c r="I1" s="513"/>
      <c r="J1" s="513"/>
      <c r="K1" s="513"/>
      <c r="L1" s="513"/>
      <c r="M1" s="513"/>
      <c r="N1" s="513"/>
      <c r="O1" s="513"/>
      <c r="P1" s="513"/>
      <c r="Q1" s="513"/>
      <c r="R1" s="513"/>
      <c r="S1" s="513"/>
      <c r="T1" s="513"/>
      <c r="U1" s="513"/>
      <c r="V1" s="513"/>
      <c r="W1" s="513"/>
      <c r="X1" s="513"/>
      <c r="Y1" s="513"/>
      <c r="Z1" s="513"/>
      <c r="AA1" s="513"/>
      <c r="AB1" s="513"/>
      <c r="AC1" s="513"/>
      <c r="AD1" s="513"/>
      <c r="AE1" s="513"/>
      <c r="AF1" s="513"/>
      <c r="AG1" s="513"/>
      <c r="AH1" s="513"/>
      <c r="AI1" s="513"/>
      <c r="AJ1" s="513"/>
      <c r="AK1" s="513"/>
      <c r="AL1" s="513"/>
      <c r="AM1" s="513"/>
      <c r="AN1" s="513"/>
      <c r="AO1" s="513"/>
      <c r="AP1" s="513"/>
      <c r="AQ1" s="513"/>
      <c r="AR1" s="513"/>
      <c r="AS1" s="513"/>
      <c r="AT1" s="513"/>
      <c r="AU1" s="513"/>
      <c r="AV1" s="513"/>
      <c r="AW1" s="513"/>
      <c r="AX1" s="513"/>
      <c r="AY1" s="513"/>
      <c r="AZ1" s="513"/>
      <c r="BA1" s="513"/>
      <c r="BB1" s="513"/>
    </row>
    <row r="2" spans="1:54"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T2" s="502">
        <f>DEPAN!$E$23</f>
        <v>43</v>
      </c>
    </row>
    <row r="3" spans="1:54" ht="94.5" customHeight="1">
      <c r="B3" s="716"/>
      <c r="C3" s="717"/>
      <c r="D3" s="718"/>
      <c r="E3" s="408" t="str">
        <f>'KI-KD'!$F70</f>
        <v>melaporkan hasil pengamatan tentang perpindahan kalor.</v>
      </c>
      <c r="F3" s="408" t="str">
        <f>'KI-KD'!$F71</f>
        <v xml:space="preserve">melaporkan hasil percobaan pengaruh kalor pada benda
</v>
      </c>
      <c r="G3" s="408" t="str">
        <f>'KI-KD'!$F72</f>
        <v>membuat karya tentang skema siklus air berdasarkan informasi dari berbagai sumber</v>
      </c>
      <c r="H3" s="408" t="str">
        <f>'KI-KD'!$F73</f>
        <v>melaporkan hasil pengamatan sifat-sifat campuran dan komponen penyusunnya dalam kehidupan sehari-hari.</v>
      </c>
      <c r="I3" s="408">
        <f>'KI-KD'!$F74</f>
        <v>0</v>
      </c>
      <c r="J3" s="408">
        <f>'KI-KD'!$F75</f>
        <v>0</v>
      </c>
      <c r="K3" s="408">
        <f>'KI-KD'!$F76</f>
        <v>0</v>
      </c>
      <c r="L3" s="408">
        <f>'KI-KD'!$F77</f>
        <v>0</v>
      </c>
      <c r="M3" s="408">
        <f>'KI-KD'!$F78</f>
        <v>0</v>
      </c>
      <c r="N3" s="408">
        <f>'KI-KD'!$F79</f>
        <v>0</v>
      </c>
      <c r="O3" s="408">
        <f>'KI-KD'!$F80</f>
        <v>0</v>
      </c>
      <c r="P3" s="138"/>
      <c r="Q3" s="138"/>
      <c r="R3" s="138"/>
      <c r="S3" s="138"/>
      <c r="T3" s="138"/>
      <c r="U3" s="720"/>
      <c r="V3" s="721"/>
      <c r="W3" s="712" t="s">
        <v>267</v>
      </c>
      <c r="X3" s="713"/>
      <c r="Y3" s="714" t="s">
        <v>268</v>
      </c>
      <c r="Z3" s="715"/>
      <c r="AA3" s="679"/>
      <c r="AB3" s="2"/>
      <c r="AC3" s="2"/>
      <c r="AD3" s="2"/>
      <c r="AE3" s="2"/>
      <c r="AF3" s="2"/>
      <c r="AG3" s="2"/>
      <c r="AH3" s="253"/>
      <c r="AT3" s="469">
        <f>AT4-AT5</f>
        <v>43</v>
      </c>
    </row>
    <row r="4" spans="1:54" s="141" customFormat="1" ht="25.5" customHeight="1">
      <c r="A4" s="514"/>
      <c r="B4" s="716"/>
      <c r="C4" s="717"/>
      <c r="D4" s="718"/>
      <c r="E4" s="140" t="str">
        <f>'KI-KD'!$E70</f>
        <v>4.6</v>
      </c>
      <c r="F4" s="140" t="str">
        <f>'KI-KD'!$E71</f>
        <v>4.7</v>
      </c>
      <c r="G4" s="140" t="str">
        <f>'KI-KD'!$E72</f>
        <v>4.8</v>
      </c>
      <c r="H4" s="140" t="str">
        <f>'KI-KD'!$E73</f>
        <v>4.9</v>
      </c>
      <c r="I4" s="140">
        <f>'KI-KD'!$E74</f>
        <v>0</v>
      </c>
      <c r="J4" s="140">
        <f>'KI-KD'!$E75</f>
        <v>0</v>
      </c>
      <c r="K4" s="140">
        <f>'KI-KD'!$E76</f>
        <v>0</v>
      </c>
      <c r="L4" s="140">
        <f>'KI-KD'!$E77</f>
        <v>0</v>
      </c>
      <c r="M4" s="140">
        <f>'KI-KD'!$E78</f>
        <v>0</v>
      </c>
      <c r="N4" s="140">
        <f>'KI-KD'!$E79</f>
        <v>0</v>
      </c>
      <c r="O4" s="140">
        <f>'KI-KD'!$E80</f>
        <v>0</v>
      </c>
      <c r="P4" s="140"/>
      <c r="Q4" s="140"/>
      <c r="R4" s="140"/>
      <c r="S4" s="140"/>
      <c r="T4" s="140"/>
      <c r="U4" s="720"/>
      <c r="V4" s="721"/>
      <c r="W4" s="248" t="s">
        <v>269</v>
      </c>
      <c r="X4" s="249" t="s">
        <v>3</v>
      </c>
      <c r="Y4" s="250" t="s">
        <v>269</v>
      </c>
      <c r="Z4" s="251" t="s">
        <v>3</v>
      </c>
      <c r="AA4" s="680"/>
      <c r="AB4" s="2"/>
      <c r="AC4" s="254" t="s">
        <v>270</v>
      </c>
      <c r="AD4" s="254" t="s">
        <v>271</v>
      </c>
      <c r="AE4" s="254" t="s">
        <v>272</v>
      </c>
      <c r="AF4" s="254" t="s">
        <v>273</v>
      </c>
      <c r="AG4" s="255" t="s">
        <v>266</v>
      </c>
      <c r="AH4" s="252"/>
      <c r="AT4" s="141">
        <v>50</v>
      </c>
    </row>
    <row r="5" spans="1:54" ht="63.75" customHeight="1">
      <c r="B5" s="142">
        <v>1</v>
      </c>
      <c r="C5" s="143" t="str">
        <f>SISWA!B6</f>
        <v>1718250040305</v>
      </c>
      <c r="D5" s="144" t="str">
        <f>SISWA!E6</f>
        <v>YAHYA</v>
      </c>
      <c r="E5" s="159">
        <v>92.5</v>
      </c>
      <c r="F5" s="159">
        <v>92.5</v>
      </c>
      <c r="G5" s="160">
        <v>92.5</v>
      </c>
      <c r="H5" s="159">
        <v>92.5</v>
      </c>
      <c r="I5" s="160"/>
      <c r="J5" s="159"/>
      <c r="K5" s="159"/>
      <c r="L5" s="159"/>
      <c r="M5" s="159"/>
      <c r="N5" s="159"/>
      <c r="O5" s="159"/>
      <c r="P5" s="159"/>
      <c r="Q5" s="159"/>
      <c r="R5" s="160"/>
      <c r="S5" s="160"/>
      <c r="T5" s="159"/>
      <c r="U5" s="354">
        <f>ROUND((AVERAGE(E5:T5)),0)</f>
        <v>93</v>
      </c>
      <c r="V5" s="355" t="str">
        <f>IF(U5&gt;KKM!$G$10,"A",IF(U5&gt;KKM!$H$10,"B",IF(U5&gt;=KKM!$I$10,"C","D")))</f>
        <v>A</v>
      </c>
      <c r="W5" s="356">
        <f t="shared" ref="W5:W54" si="0">MAX(E5:T5)</f>
        <v>92.5</v>
      </c>
      <c r="X5" s="361" t="str">
        <f>IF(W5&gt;KKM!$G$10," sangat baik ",IF(W5&gt;KKM!$H$10," baik ",IF(W5&gt;=KKM!$I$10," cukup baik "," perlu bimbingan ")))</f>
        <v xml:space="preserve"> sangat baik </v>
      </c>
      <c r="Y5" s="357">
        <f t="shared" ref="Y5:Y54" si="1">MIN(E5:T5)</f>
        <v>92.5</v>
      </c>
      <c r="Z5" s="361" t="str">
        <f>IF(Y5&gt;KKM!$G$10," sangat baik ",IF(Y5&gt;KKM!$H$10," baik ",IF(Y5&gt;=KKM!$I$10," cukup baik "," perlu bimbingan ")))</f>
        <v xml:space="preserve"> sangat baik </v>
      </c>
      <c r="AA5" s="353" t="str">
        <f>IFERROR(AH5," ")</f>
        <v>YAHYA sangat baik  dalam melaporkan hasil pengamatan tentang perpindahan kalor.</v>
      </c>
      <c r="AB5" s="256"/>
      <c r="AC5" s="257" t="str">
        <f t="shared" ref="AC5:AC54" si="2">X5&amp;" dalam "&amp;INDEX($E$3:$T$3,MATCH(W5,$E5:$T5,0))</f>
        <v xml:space="preserve"> sangat baik  dalam melaporkan hasil pengamatan tentang perpindahan kalor.</v>
      </c>
      <c r="AD5" s="257" t="str">
        <f t="shared" ref="AD5:AD54" si="3">Z5&amp;" dalam "&amp;INDEX($E$3:$T$3,MATCH(Y5,$E5:$T5,0))</f>
        <v xml:space="preserve"> sangat baik  dalam melaporkan hasil pengamatan tentang perpindahan kalor.</v>
      </c>
      <c r="AE5" s="257" t="str">
        <f>AC5&amp;", dan "&amp;AD5</f>
        <v xml:space="preserve"> sangat baik  dalam melaporkan hasil pengamatan tentang perpindahan kalor., dan  sangat baik  dalam melaporkan hasil pengamatan tentang perpindahan kalor.</v>
      </c>
      <c r="AF5" s="257" t="str">
        <f>IF(AC5=AD5,AC5," ")</f>
        <v xml:space="preserve"> sangat baik  dalam melaporkan hasil pengamatan tentang perpindahan kalor.</v>
      </c>
      <c r="AG5" s="258" t="str">
        <f>IF(AF5=" ",AE5,AF5)</f>
        <v xml:space="preserve"> sangat baik  dalam melaporkan hasil pengamatan tentang perpindahan kalor.</v>
      </c>
      <c r="AH5" s="252" t="str">
        <f>CONCATENATE(D5,AG5)</f>
        <v>YAHYA sangat baik  dalam melaporkan hasil pengamatan tentang perpindahan kalor.</v>
      </c>
      <c r="AI5" s="153"/>
      <c r="AS5" s="469">
        <f>IFERROR(U5,"")</f>
        <v>93</v>
      </c>
      <c r="AT5" s="469">
        <f>COUNTBLANK(AS5:AS54)</f>
        <v>7</v>
      </c>
    </row>
    <row r="6" spans="1:54" ht="63.75" customHeight="1">
      <c r="B6" s="142">
        <v>2</v>
      </c>
      <c r="C6" s="143" t="str">
        <f>SISWA!B7</f>
        <v>1718250040306</v>
      </c>
      <c r="D6" s="144" t="str">
        <f>SISWA!E7</f>
        <v>ADHWA</v>
      </c>
      <c r="E6" s="159">
        <v>95</v>
      </c>
      <c r="F6" s="160">
        <v>95</v>
      </c>
      <c r="G6" s="160">
        <v>95</v>
      </c>
      <c r="H6" s="160">
        <v>95</v>
      </c>
      <c r="I6" s="160"/>
      <c r="J6" s="159"/>
      <c r="K6" s="159"/>
      <c r="L6" s="159"/>
      <c r="M6" s="159"/>
      <c r="N6" s="159"/>
      <c r="O6" s="159"/>
      <c r="P6" s="159"/>
      <c r="Q6" s="159"/>
      <c r="R6" s="160"/>
      <c r="S6" s="160"/>
      <c r="T6" s="159"/>
      <c r="U6" s="354">
        <f t="shared" ref="U6:U54" si="4">ROUND((AVERAGE(E6:T6)),0)</f>
        <v>95</v>
      </c>
      <c r="V6" s="355" t="str">
        <f>IF(U6&gt;KKM!$G$10,"A",IF(U6&gt;KKM!$H$10,"B",IF(U6&gt;=KKM!$I$10,"C","D")))</f>
        <v>A</v>
      </c>
      <c r="W6" s="356">
        <f t="shared" si="0"/>
        <v>95</v>
      </c>
      <c r="X6" s="361" t="str">
        <f>IF(W6&gt;KKM!$G$10," sangat baik ",IF(W6&gt;KKM!$H$10," baik ",IF(W6&gt;=KKM!$I$10," cukup baik "," perlu bimbingan ")))</f>
        <v xml:space="preserve"> sangat baik </v>
      </c>
      <c r="Y6" s="357">
        <f t="shared" si="1"/>
        <v>95</v>
      </c>
      <c r="Z6" s="361" t="str">
        <f>IF(Y6&gt;KKM!$G$10," sangat baik ",IF(Y6&gt;KKM!$H$10," baik ",IF(Y6&gt;=KKM!$I$10," cukup baik "," perlu bimbingan ")))</f>
        <v xml:space="preserve"> sangat baik </v>
      </c>
      <c r="AA6" s="353" t="str">
        <f t="shared" ref="AA6:AA54" si="5">IFERROR(AH6," ")</f>
        <v>ADHWA sangat baik  dalam melaporkan hasil pengamatan tentang perpindahan kalor.</v>
      </c>
      <c r="AB6" s="256"/>
      <c r="AC6" s="257" t="str">
        <f t="shared" si="2"/>
        <v xml:space="preserve"> sangat baik  dalam melaporkan hasil pengamatan tentang perpindahan kalor.</v>
      </c>
      <c r="AD6" s="257" t="str">
        <f t="shared" si="3"/>
        <v xml:space="preserve"> sangat baik  dalam melaporkan hasil pengamatan tentang perpindahan kalor.</v>
      </c>
      <c r="AE6" s="257" t="str">
        <f t="shared" ref="AE6:AE54" si="6">AC6&amp;", dan "&amp;AD6</f>
        <v xml:space="preserve"> sangat baik  dalam melaporkan hasil pengamatan tentang perpindahan kalor., dan  sangat baik  dalam melaporkan hasil pengamatan tentang perpindahan kalor.</v>
      </c>
      <c r="AF6" s="257" t="str">
        <f t="shared" ref="AF6:AF54" si="7">IF(AC6=AD6,AC6," ")</f>
        <v xml:space="preserve"> sangat baik  dalam melaporkan hasil pengamatan tentang perpindahan kalor.</v>
      </c>
      <c r="AG6" s="258" t="str">
        <f t="shared" ref="AG6:AG54" si="8">IF(AF6=" ",AE6,AF6)</f>
        <v xml:space="preserve"> sangat baik  dalam melaporkan hasil pengamatan tentang perpindahan kalor.</v>
      </c>
      <c r="AH6" s="252" t="str">
        <f t="shared" ref="AH6:AH54" si="9">CONCATENATE(D6,AG6)</f>
        <v>ADHWA sangat baik  dalam melaporkan hasil pengamatan tentang perpindahan kalor.</v>
      </c>
      <c r="AI6" s="153"/>
      <c r="AS6" s="469">
        <f t="shared" ref="AS6:AS54" si="10">IFERROR(U6,"")</f>
        <v>95</v>
      </c>
      <c r="AT6" s="503">
        <f>IFERROR(AT3/AT2,"0%")</f>
        <v>1</v>
      </c>
    </row>
    <row r="7" spans="1:54" ht="63.75" customHeight="1">
      <c r="B7" s="142">
        <v>3</v>
      </c>
      <c r="C7" s="143" t="str">
        <f>SISWA!B8</f>
        <v xml:space="preserve"> 1718250040307</v>
      </c>
      <c r="D7" s="144" t="str">
        <f>SISWA!E8</f>
        <v>ANDHIKA</v>
      </c>
      <c r="E7" s="159">
        <v>87.5</v>
      </c>
      <c r="F7" s="160">
        <v>87.5</v>
      </c>
      <c r="G7" s="160">
        <v>87.5</v>
      </c>
      <c r="H7" s="160">
        <v>87.5</v>
      </c>
      <c r="I7" s="160"/>
      <c r="J7" s="159" t="s">
        <v>766</v>
      </c>
      <c r="K7" s="159"/>
      <c r="L7" s="159"/>
      <c r="M7" s="159"/>
      <c r="N7" s="159"/>
      <c r="O7" s="159"/>
      <c r="P7" s="159"/>
      <c r="Q7" s="159"/>
      <c r="R7" s="160"/>
      <c r="S7" s="160"/>
      <c r="T7" s="159"/>
      <c r="U7" s="354">
        <f t="shared" si="4"/>
        <v>88</v>
      </c>
      <c r="V7" s="355" t="str">
        <f>IF(U7&gt;KKM!$G$10,"A",IF(U7&gt;KKM!$H$10,"B",IF(U7&gt;=KKM!$I$10,"C","D")))</f>
        <v>A</v>
      </c>
      <c r="W7" s="356">
        <f t="shared" si="0"/>
        <v>87.5</v>
      </c>
      <c r="X7" s="361" t="str">
        <f>IF(W7&gt;KKM!$G$10," sangat baik ",IF(W7&gt;KKM!$H$10," baik ",IF(W7&gt;=KKM!$I$10," cukup baik "," perlu bimbingan ")))</f>
        <v xml:space="preserve"> sangat baik </v>
      </c>
      <c r="Y7" s="357">
        <f t="shared" si="1"/>
        <v>87.5</v>
      </c>
      <c r="Z7" s="361" t="str">
        <f>IF(Y7&gt;KKM!$G$10," sangat baik ",IF(Y7&gt;KKM!$H$10," baik ",IF(Y7&gt;=KKM!$I$10," cukup baik "," perlu bimbingan ")))</f>
        <v xml:space="preserve"> sangat baik </v>
      </c>
      <c r="AA7" s="353" t="str">
        <f t="shared" si="5"/>
        <v>ANDHIKA sangat baik  dalam melaporkan hasil pengamatan tentang perpindahan kalor.</v>
      </c>
      <c r="AB7" s="256"/>
      <c r="AC7" s="257" t="str">
        <f t="shared" si="2"/>
        <v xml:space="preserve"> sangat baik  dalam melaporkan hasil pengamatan tentang perpindahan kalor.</v>
      </c>
      <c r="AD7" s="257" t="str">
        <f t="shared" si="3"/>
        <v xml:space="preserve"> sangat baik  dalam melaporkan hasil pengamatan tentang perpindahan kalor.</v>
      </c>
      <c r="AE7" s="257" t="str">
        <f t="shared" si="6"/>
        <v xml:space="preserve"> sangat baik  dalam melaporkan hasil pengamatan tentang perpindahan kalor., dan  sangat baik  dalam melaporkan hasil pengamatan tentang perpindahan kalor.</v>
      </c>
      <c r="AF7" s="257" t="str">
        <f t="shared" si="7"/>
        <v xml:space="preserve"> sangat baik  dalam melaporkan hasil pengamatan tentang perpindahan kalor.</v>
      </c>
      <c r="AG7" s="258" t="str">
        <f t="shared" si="8"/>
        <v xml:space="preserve"> sangat baik  dalam melaporkan hasil pengamatan tentang perpindahan kalor.</v>
      </c>
      <c r="AH7" s="252" t="str">
        <f t="shared" si="9"/>
        <v>ANDHIKA sangat baik  dalam melaporkan hasil pengamatan tentang perpindahan kalor.</v>
      </c>
      <c r="AI7" s="153"/>
      <c r="AS7" s="469">
        <f t="shared" si="10"/>
        <v>88</v>
      </c>
    </row>
    <row r="8" spans="1:54" ht="63.75" customHeight="1">
      <c r="B8" s="142">
        <v>4</v>
      </c>
      <c r="C8" s="143" t="str">
        <f>SISWA!B9</f>
        <v xml:space="preserve"> 1718250040308</v>
      </c>
      <c r="D8" s="144" t="str">
        <f>SISWA!E9</f>
        <v>ANGGARA</v>
      </c>
      <c r="E8" s="159">
        <v>85</v>
      </c>
      <c r="F8" s="160">
        <v>85</v>
      </c>
      <c r="G8" s="160">
        <v>85</v>
      </c>
      <c r="H8" s="160">
        <v>85</v>
      </c>
      <c r="I8" s="160"/>
      <c r="J8" s="159"/>
      <c r="K8" s="159"/>
      <c r="L8" s="159"/>
      <c r="M8" s="159"/>
      <c r="N8" s="159"/>
      <c r="O8" s="159"/>
      <c r="P8" s="159"/>
      <c r="Q8" s="159"/>
      <c r="R8" s="160"/>
      <c r="S8" s="160"/>
      <c r="T8" s="159"/>
      <c r="U8" s="354">
        <f t="shared" si="4"/>
        <v>85</v>
      </c>
      <c r="V8" s="355" t="str">
        <f>IF(U8&gt;KKM!$G$10,"A",IF(U8&gt;KKM!$H$10,"B",IF(U8&gt;=KKM!$I$10,"C","D")))</f>
        <v>B</v>
      </c>
      <c r="W8" s="356">
        <f t="shared" si="0"/>
        <v>85</v>
      </c>
      <c r="X8" s="361" t="str">
        <f>IF(W8&gt;KKM!$G$10," sangat baik ",IF(W8&gt;KKM!$H$10," baik ",IF(W8&gt;=KKM!$I$10," cukup baik "," perlu bimbingan ")))</f>
        <v xml:space="preserve"> baik </v>
      </c>
      <c r="Y8" s="357">
        <f t="shared" si="1"/>
        <v>85</v>
      </c>
      <c r="Z8" s="361" t="str">
        <f>IF(Y8&gt;KKM!$G$10," sangat baik ",IF(Y8&gt;KKM!$H$10," baik ",IF(Y8&gt;=KKM!$I$10," cukup baik "," perlu bimbingan ")))</f>
        <v xml:space="preserve"> baik </v>
      </c>
      <c r="AA8" s="353" t="str">
        <f t="shared" si="5"/>
        <v>ANGGARA baik  dalam melaporkan hasil pengamatan tentang perpindahan kalor.</v>
      </c>
      <c r="AB8" s="256"/>
      <c r="AC8" s="257" t="str">
        <f t="shared" si="2"/>
        <v xml:space="preserve"> baik  dalam melaporkan hasil pengamatan tentang perpindahan kalor.</v>
      </c>
      <c r="AD8" s="257" t="str">
        <f t="shared" si="3"/>
        <v xml:space="preserve"> baik  dalam melaporkan hasil pengamatan tentang perpindahan kalor.</v>
      </c>
      <c r="AE8" s="257" t="str">
        <f t="shared" si="6"/>
        <v xml:space="preserve"> baik  dalam melaporkan hasil pengamatan tentang perpindahan kalor., dan  baik  dalam melaporkan hasil pengamatan tentang perpindahan kalor.</v>
      </c>
      <c r="AF8" s="257" t="str">
        <f t="shared" si="7"/>
        <v xml:space="preserve"> baik  dalam melaporkan hasil pengamatan tentang perpindahan kalor.</v>
      </c>
      <c r="AG8" s="258" t="str">
        <f t="shared" si="8"/>
        <v xml:space="preserve"> baik  dalam melaporkan hasil pengamatan tentang perpindahan kalor.</v>
      </c>
      <c r="AH8" s="252" t="str">
        <f t="shared" si="9"/>
        <v>ANGGARA baik  dalam melaporkan hasil pengamatan tentang perpindahan kalor.</v>
      </c>
      <c r="AI8" s="153"/>
      <c r="AS8" s="469">
        <f t="shared" si="10"/>
        <v>85</v>
      </c>
    </row>
    <row r="9" spans="1:54" ht="63.75" customHeight="1">
      <c r="B9" s="142">
        <v>5</v>
      </c>
      <c r="C9" s="143" t="str">
        <f>SISWA!B10</f>
        <v>1718250040309</v>
      </c>
      <c r="D9" s="144" t="str">
        <f>SISWA!E10</f>
        <v>ARIA</v>
      </c>
      <c r="E9" s="159">
        <v>82.5</v>
      </c>
      <c r="F9" s="160">
        <v>82.5</v>
      </c>
      <c r="G9" s="160">
        <v>82.5</v>
      </c>
      <c r="H9" s="160">
        <v>82.5</v>
      </c>
      <c r="I9" s="160"/>
      <c r="J9" s="159"/>
      <c r="K9" s="159"/>
      <c r="L9" s="159"/>
      <c r="M9" s="159"/>
      <c r="N9" s="159"/>
      <c r="O9" s="159"/>
      <c r="P9" s="159"/>
      <c r="Q9" s="159"/>
      <c r="R9" s="160"/>
      <c r="S9" s="160"/>
      <c r="T9" s="159"/>
      <c r="U9" s="354">
        <f t="shared" si="4"/>
        <v>83</v>
      </c>
      <c r="V9" s="355" t="str">
        <f>IF(U9&gt;KKM!$G$10,"A",IF(U9&gt;KKM!$H$10,"B",IF(U9&gt;=KKM!$I$10,"C","D")))</f>
        <v>B</v>
      </c>
      <c r="W9" s="356">
        <f t="shared" si="0"/>
        <v>82.5</v>
      </c>
      <c r="X9" s="361" t="str">
        <f>IF(W9&gt;KKM!$G$10," sangat baik ",IF(W9&gt;KKM!$H$10," baik ",IF(W9&gt;=KKM!$I$10," cukup baik "," perlu bimbingan ")))</f>
        <v xml:space="preserve"> baik </v>
      </c>
      <c r="Y9" s="357">
        <f t="shared" si="1"/>
        <v>82.5</v>
      </c>
      <c r="Z9" s="361" t="str">
        <f>IF(Y9&gt;KKM!$G$10," sangat baik ",IF(Y9&gt;KKM!$H$10," baik ",IF(Y9&gt;=KKM!$I$10," cukup baik "," perlu bimbingan ")))</f>
        <v xml:space="preserve"> baik </v>
      </c>
      <c r="AA9" s="353" t="str">
        <f t="shared" si="5"/>
        <v>ARIA baik  dalam melaporkan hasil pengamatan tentang perpindahan kalor.</v>
      </c>
      <c r="AB9" s="256"/>
      <c r="AC9" s="257" t="str">
        <f t="shared" si="2"/>
        <v xml:space="preserve"> baik  dalam melaporkan hasil pengamatan tentang perpindahan kalor.</v>
      </c>
      <c r="AD9" s="257" t="str">
        <f t="shared" si="3"/>
        <v xml:space="preserve"> baik  dalam melaporkan hasil pengamatan tentang perpindahan kalor.</v>
      </c>
      <c r="AE9" s="257" t="str">
        <f t="shared" si="6"/>
        <v xml:space="preserve"> baik  dalam melaporkan hasil pengamatan tentang perpindahan kalor., dan  baik  dalam melaporkan hasil pengamatan tentang perpindahan kalor.</v>
      </c>
      <c r="AF9" s="257" t="str">
        <f t="shared" si="7"/>
        <v xml:space="preserve"> baik  dalam melaporkan hasil pengamatan tentang perpindahan kalor.</v>
      </c>
      <c r="AG9" s="258" t="str">
        <f t="shared" si="8"/>
        <v xml:space="preserve"> baik  dalam melaporkan hasil pengamatan tentang perpindahan kalor.</v>
      </c>
      <c r="AH9" s="252" t="str">
        <f t="shared" si="9"/>
        <v>ARIA baik  dalam melaporkan hasil pengamatan tentang perpindahan kalor.</v>
      </c>
      <c r="AI9" s="153"/>
      <c r="AS9" s="469">
        <f t="shared" si="10"/>
        <v>83</v>
      </c>
    </row>
    <row r="10" spans="1:54" ht="63.75" customHeight="1">
      <c r="B10" s="142">
        <v>6</v>
      </c>
      <c r="C10" s="143" t="str">
        <f>SISWA!B11</f>
        <v>1718250040310</v>
      </c>
      <c r="D10" s="144" t="str">
        <f>SISWA!E11</f>
        <v>CAHAYA</v>
      </c>
      <c r="E10" s="159">
        <v>87.5</v>
      </c>
      <c r="F10" s="160">
        <v>87.5</v>
      </c>
      <c r="G10" s="160">
        <v>87.5</v>
      </c>
      <c r="H10" s="160">
        <v>87.5</v>
      </c>
      <c r="I10" s="160"/>
      <c r="J10" s="159"/>
      <c r="K10" s="159"/>
      <c r="L10" s="159"/>
      <c r="M10" s="159"/>
      <c r="N10" s="159"/>
      <c r="O10" s="159"/>
      <c r="P10" s="159"/>
      <c r="Q10" s="159"/>
      <c r="R10" s="160"/>
      <c r="S10" s="160"/>
      <c r="T10" s="159"/>
      <c r="U10" s="354">
        <f t="shared" si="4"/>
        <v>88</v>
      </c>
      <c r="V10" s="355" t="str">
        <f>IF(U10&gt;KKM!$G$10,"A",IF(U10&gt;KKM!$H$10,"B",IF(U10&gt;=KKM!$I$10,"C","D")))</f>
        <v>A</v>
      </c>
      <c r="W10" s="356">
        <f t="shared" si="0"/>
        <v>87.5</v>
      </c>
      <c r="X10" s="361" t="str">
        <f>IF(W10&gt;KKM!$G$10," sangat baik ",IF(W10&gt;KKM!$H$10," baik ",IF(W10&gt;=KKM!$I$10," cukup baik "," perlu bimbingan ")))</f>
        <v xml:space="preserve"> sangat baik </v>
      </c>
      <c r="Y10" s="357">
        <f t="shared" si="1"/>
        <v>87.5</v>
      </c>
      <c r="Z10" s="361" t="str">
        <f>IF(Y10&gt;KKM!$G$10," sangat baik ",IF(Y10&gt;KKM!$H$10," baik ",IF(Y10&gt;=KKM!$I$10," cukup baik "," perlu bimbingan ")))</f>
        <v xml:space="preserve"> sangat baik </v>
      </c>
      <c r="AA10" s="353" t="str">
        <f t="shared" si="5"/>
        <v>CAHAYA sangat baik  dalam melaporkan hasil pengamatan tentang perpindahan kalor.</v>
      </c>
      <c r="AB10" s="256"/>
      <c r="AC10" s="257" t="str">
        <f t="shared" si="2"/>
        <v xml:space="preserve"> sangat baik  dalam melaporkan hasil pengamatan tentang perpindahan kalor.</v>
      </c>
      <c r="AD10" s="257" t="str">
        <f t="shared" si="3"/>
        <v xml:space="preserve"> sangat baik  dalam melaporkan hasil pengamatan tentang perpindahan kalor.</v>
      </c>
      <c r="AE10" s="257" t="str">
        <f t="shared" si="6"/>
        <v xml:space="preserve"> sangat baik  dalam melaporkan hasil pengamatan tentang perpindahan kalor., dan  sangat baik  dalam melaporkan hasil pengamatan tentang perpindahan kalor.</v>
      </c>
      <c r="AF10" s="257" t="str">
        <f t="shared" si="7"/>
        <v xml:space="preserve"> sangat baik  dalam melaporkan hasil pengamatan tentang perpindahan kalor.</v>
      </c>
      <c r="AG10" s="258" t="str">
        <f t="shared" si="8"/>
        <v xml:space="preserve"> sangat baik  dalam melaporkan hasil pengamatan tentang perpindahan kalor.</v>
      </c>
      <c r="AH10" s="252" t="str">
        <f t="shared" si="9"/>
        <v>CAHAYA sangat baik  dalam melaporkan hasil pengamatan tentang perpindahan kalor.</v>
      </c>
      <c r="AI10" s="153"/>
      <c r="AS10" s="469">
        <f t="shared" si="10"/>
        <v>88</v>
      </c>
    </row>
    <row r="11" spans="1:54" ht="63.75" customHeight="1">
      <c r="B11" s="142">
        <v>7</v>
      </c>
      <c r="C11" s="143" t="str">
        <f>SISWA!B12</f>
        <v>1718250040311</v>
      </c>
      <c r="D11" s="144" t="str">
        <f>SISWA!E12</f>
        <v>CALISTA</v>
      </c>
      <c r="E11" s="159">
        <v>70</v>
      </c>
      <c r="F11" s="160">
        <v>70</v>
      </c>
      <c r="G11" s="160">
        <v>70</v>
      </c>
      <c r="H11" s="160">
        <v>70</v>
      </c>
      <c r="I11" s="160"/>
      <c r="J11" s="159"/>
      <c r="K11" s="159"/>
      <c r="L11" s="159"/>
      <c r="M11" s="159"/>
      <c r="N11" s="159"/>
      <c r="O11" s="159"/>
      <c r="P11" s="159"/>
      <c r="Q11" s="159"/>
      <c r="R11" s="160"/>
      <c r="S11" s="160"/>
      <c r="T11" s="159"/>
      <c r="U11" s="354">
        <f t="shared" si="4"/>
        <v>70</v>
      </c>
      <c r="V11" s="355" t="str">
        <f>IF(U11&gt;KKM!$G$10,"A",IF(U11&gt;KKM!$H$10,"B",IF(U11&gt;=KKM!$I$10,"C","D")))</f>
        <v>C</v>
      </c>
      <c r="W11" s="356">
        <f t="shared" si="0"/>
        <v>70</v>
      </c>
      <c r="X11" s="361" t="str">
        <f>IF(W11&gt;KKM!$G$10," sangat baik ",IF(W11&gt;KKM!$H$10," baik ",IF(W11&gt;=KKM!$I$10," cukup baik "," perlu bimbingan ")))</f>
        <v xml:space="preserve"> cukup baik </v>
      </c>
      <c r="Y11" s="357">
        <f t="shared" si="1"/>
        <v>70</v>
      </c>
      <c r="Z11" s="361" t="str">
        <f>IF(Y11&gt;KKM!$G$10," sangat baik ",IF(Y11&gt;KKM!$H$10," baik ",IF(Y11&gt;=KKM!$I$10," cukup baik "," perlu bimbingan ")))</f>
        <v xml:space="preserve"> cukup baik </v>
      </c>
      <c r="AA11" s="353" t="str">
        <f t="shared" si="5"/>
        <v>CALISTA cukup baik  dalam melaporkan hasil pengamatan tentang perpindahan kalor.</v>
      </c>
      <c r="AB11" s="256"/>
      <c r="AC11" s="257" t="str">
        <f t="shared" si="2"/>
        <v xml:space="preserve"> cukup baik  dalam melaporkan hasil pengamatan tentang perpindahan kalor.</v>
      </c>
      <c r="AD11" s="257" t="str">
        <f t="shared" si="3"/>
        <v xml:space="preserve"> cukup baik  dalam melaporkan hasil pengamatan tentang perpindahan kalor.</v>
      </c>
      <c r="AE11" s="257" t="str">
        <f t="shared" si="6"/>
        <v xml:space="preserve"> cukup baik  dalam melaporkan hasil pengamatan tentang perpindahan kalor., dan  cukup baik  dalam melaporkan hasil pengamatan tentang perpindahan kalor.</v>
      </c>
      <c r="AF11" s="257" t="str">
        <f t="shared" si="7"/>
        <v xml:space="preserve"> cukup baik  dalam melaporkan hasil pengamatan tentang perpindahan kalor.</v>
      </c>
      <c r="AG11" s="258" t="str">
        <f t="shared" si="8"/>
        <v xml:space="preserve"> cukup baik  dalam melaporkan hasil pengamatan tentang perpindahan kalor.</v>
      </c>
      <c r="AH11" s="252" t="str">
        <f t="shared" si="9"/>
        <v>CALISTA cukup baik  dalam melaporkan hasil pengamatan tentang perpindahan kalor.</v>
      </c>
      <c r="AI11" s="153"/>
      <c r="AS11" s="469">
        <f t="shared" si="10"/>
        <v>70</v>
      </c>
    </row>
    <row r="12" spans="1:54" ht="63.75" customHeight="1">
      <c r="B12" s="142">
        <v>8</v>
      </c>
      <c r="C12" s="143" t="str">
        <f>SISWA!B13</f>
        <v>1718250040312</v>
      </c>
      <c r="D12" s="144" t="str">
        <f>SISWA!E13</f>
        <v>CARISSA</v>
      </c>
      <c r="E12" s="159">
        <v>80</v>
      </c>
      <c r="F12" s="160">
        <v>80</v>
      </c>
      <c r="G12" s="160">
        <v>80</v>
      </c>
      <c r="H12" s="160">
        <v>80</v>
      </c>
      <c r="I12" s="160"/>
      <c r="J12" s="159"/>
      <c r="K12" s="159"/>
      <c r="L12" s="159"/>
      <c r="M12" s="159"/>
      <c r="N12" s="159"/>
      <c r="O12" s="159"/>
      <c r="P12" s="159"/>
      <c r="Q12" s="159"/>
      <c r="R12" s="160"/>
      <c r="S12" s="160"/>
      <c r="T12" s="159"/>
      <c r="U12" s="354">
        <f t="shared" si="4"/>
        <v>80</v>
      </c>
      <c r="V12" s="355" t="str">
        <f>IF(U12&gt;KKM!$G$10,"A",IF(U12&gt;KKM!$H$10,"B",IF(U12&gt;=KKM!$I$10,"C","D")))</f>
        <v>B</v>
      </c>
      <c r="W12" s="356">
        <f t="shared" si="0"/>
        <v>80</v>
      </c>
      <c r="X12" s="361" t="str">
        <f>IF(W12&gt;KKM!$G$10," sangat baik ",IF(W12&gt;KKM!$H$10," baik ",IF(W12&gt;=KKM!$I$10," cukup baik "," perlu bimbingan ")))</f>
        <v xml:space="preserve"> baik </v>
      </c>
      <c r="Y12" s="357">
        <f t="shared" si="1"/>
        <v>80</v>
      </c>
      <c r="Z12" s="361" t="str">
        <f>IF(Y12&gt;KKM!$G$10," sangat baik ",IF(Y12&gt;KKM!$H$10," baik ",IF(Y12&gt;=KKM!$I$10," cukup baik "," perlu bimbingan ")))</f>
        <v xml:space="preserve"> baik </v>
      </c>
      <c r="AA12" s="353" t="str">
        <f t="shared" si="5"/>
        <v>CARISSA baik  dalam melaporkan hasil pengamatan tentang perpindahan kalor.</v>
      </c>
      <c r="AB12" s="256"/>
      <c r="AC12" s="257" t="str">
        <f t="shared" si="2"/>
        <v xml:space="preserve"> baik  dalam melaporkan hasil pengamatan tentang perpindahan kalor.</v>
      </c>
      <c r="AD12" s="257" t="str">
        <f t="shared" si="3"/>
        <v xml:space="preserve"> baik  dalam melaporkan hasil pengamatan tentang perpindahan kalor.</v>
      </c>
      <c r="AE12" s="257" t="str">
        <f t="shared" si="6"/>
        <v xml:space="preserve"> baik  dalam melaporkan hasil pengamatan tentang perpindahan kalor., dan  baik  dalam melaporkan hasil pengamatan tentang perpindahan kalor.</v>
      </c>
      <c r="AF12" s="257" t="str">
        <f t="shared" si="7"/>
        <v xml:space="preserve"> baik  dalam melaporkan hasil pengamatan tentang perpindahan kalor.</v>
      </c>
      <c r="AG12" s="258" t="str">
        <f t="shared" si="8"/>
        <v xml:space="preserve"> baik  dalam melaporkan hasil pengamatan tentang perpindahan kalor.</v>
      </c>
      <c r="AH12" s="252" t="str">
        <f t="shared" si="9"/>
        <v>CARISSA baik  dalam melaporkan hasil pengamatan tentang perpindahan kalor.</v>
      </c>
      <c r="AI12" s="153"/>
      <c r="AS12" s="469">
        <f t="shared" si="10"/>
        <v>80</v>
      </c>
    </row>
    <row r="13" spans="1:54" ht="63.75" customHeight="1">
      <c r="B13" s="142">
        <v>9</v>
      </c>
      <c r="C13" s="143" t="str">
        <f>SISWA!B14</f>
        <v>1718250040313</v>
      </c>
      <c r="D13" s="144" t="str">
        <f>SISWA!E14</f>
        <v>CHAIDAR</v>
      </c>
      <c r="E13" s="159">
        <v>82.5</v>
      </c>
      <c r="F13" s="160">
        <v>82.5</v>
      </c>
      <c r="G13" s="160">
        <v>82.5</v>
      </c>
      <c r="H13" s="160">
        <v>82.5</v>
      </c>
      <c r="I13" s="160"/>
      <c r="J13" s="159"/>
      <c r="K13" s="159"/>
      <c r="L13" s="159"/>
      <c r="M13" s="159"/>
      <c r="N13" s="159"/>
      <c r="O13" s="159"/>
      <c r="P13" s="159"/>
      <c r="Q13" s="159"/>
      <c r="R13" s="160"/>
      <c r="S13" s="160"/>
      <c r="T13" s="159"/>
      <c r="U13" s="354">
        <f t="shared" si="4"/>
        <v>83</v>
      </c>
      <c r="V13" s="355" t="str">
        <f>IF(U13&gt;KKM!$G$10,"A",IF(U13&gt;KKM!$H$10,"B",IF(U13&gt;=KKM!$I$10,"C","D")))</f>
        <v>B</v>
      </c>
      <c r="W13" s="356">
        <f t="shared" si="0"/>
        <v>82.5</v>
      </c>
      <c r="X13" s="361" t="str">
        <f>IF(W13&gt;KKM!$G$10," sangat baik ",IF(W13&gt;KKM!$H$10," baik ",IF(W13&gt;=KKM!$I$10," cukup baik "," perlu bimbingan ")))</f>
        <v xml:space="preserve"> baik </v>
      </c>
      <c r="Y13" s="357">
        <f t="shared" si="1"/>
        <v>82.5</v>
      </c>
      <c r="Z13" s="361" t="str">
        <f>IF(Y13&gt;KKM!$G$10," sangat baik ",IF(Y13&gt;KKM!$H$10," baik ",IF(Y13&gt;=KKM!$I$10," cukup baik "," perlu bimbingan ")))</f>
        <v xml:space="preserve"> baik </v>
      </c>
      <c r="AA13" s="353" t="str">
        <f t="shared" si="5"/>
        <v>CHAIDAR baik  dalam melaporkan hasil pengamatan tentang perpindahan kalor.</v>
      </c>
      <c r="AB13" s="256"/>
      <c r="AC13" s="257" t="str">
        <f t="shared" si="2"/>
        <v xml:space="preserve"> baik  dalam melaporkan hasil pengamatan tentang perpindahan kalor.</v>
      </c>
      <c r="AD13" s="257" t="str">
        <f t="shared" si="3"/>
        <v xml:space="preserve"> baik  dalam melaporkan hasil pengamatan tentang perpindahan kalor.</v>
      </c>
      <c r="AE13" s="257" t="str">
        <f t="shared" si="6"/>
        <v xml:space="preserve"> baik  dalam melaporkan hasil pengamatan tentang perpindahan kalor., dan  baik  dalam melaporkan hasil pengamatan tentang perpindahan kalor.</v>
      </c>
      <c r="AF13" s="257" t="str">
        <f t="shared" si="7"/>
        <v xml:space="preserve"> baik  dalam melaporkan hasil pengamatan tentang perpindahan kalor.</v>
      </c>
      <c r="AG13" s="258" t="str">
        <f t="shared" si="8"/>
        <v xml:space="preserve"> baik  dalam melaporkan hasil pengamatan tentang perpindahan kalor.</v>
      </c>
      <c r="AH13" s="252" t="str">
        <f t="shared" si="9"/>
        <v>CHAIDAR baik  dalam melaporkan hasil pengamatan tentang perpindahan kalor.</v>
      </c>
      <c r="AI13" s="153"/>
      <c r="AS13" s="469">
        <f t="shared" si="10"/>
        <v>83</v>
      </c>
    </row>
    <row r="14" spans="1:54" ht="63.75" customHeight="1">
      <c r="B14" s="142">
        <v>10</v>
      </c>
      <c r="C14" s="143" t="str">
        <f>SISWA!B15</f>
        <v>1718250040314</v>
      </c>
      <c r="D14" s="144" t="str">
        <f>SISWA!E15</f>
        <v>DAVKA</v>
      </c>
      <c r="E14" s="159">
        <v>82.5</v>
      </c>
      <c r="F14" s="160">
        <v>82.5</v>
      </c>
      <c r="G14" s="160">
        <v>82.5</v>
      </c>
      <c r="H14" s="160">
        <v>82.5</v>
      </c>
      <c r="I14" s="160"/>
      <c r="J14" s="159"/>
      <c r="K14" s="159"/>
      <c r="L14" s="159"/>
      <c r="M14" s="159"/>
      <c r="N14" s="159"/>
      <c r="O14" s="159"/>
      <c r="P14" s="159"/>
      <c r="Q14" s="159"/>
      <c r="R14" s="160"/>
      <c r="S14" s="160"/>
      <c r="T14" s="159"/>
      <c r="U14" s="354">
        <f t="shared" si="4"/>
        <v>83</v>
      </c>
      <c r="V14" s="355" t="str">
        <f>IF(U14&gt;KKM!$G$10,"A",IF(U14&gt;KKM!$H$10,"B",IF(U14&gt;=KKM!$I$10,"C","D")))</f>
        <v>B</v>
      </c>
      <c r="W14" s="356">
        <f t="shared" si="0"/>
        <v>82.5</v>
      </c>
      <c r="X14" s="361" t="str">
        <f>IF(W14&gt;KKM!$G$10," sangat baik ",IF(W14&gt;KKM!$H$10," baik ",IF(W14&gt;=KKM!$I$10," cukup baik "," perlu bimbingan ")))</f>
        <v xml:space="preserve"> baik </v>
      </c>
      <c r="Y14" s="357">
        <f t="shared" si="1"/>
        <v>82.5</v>
      </c>
      <c r="Z14" s="361" t="str">
        <f>IF(Y14&gt;KKM!$G$10," sangat baik ",IF(Y14&gt;KKM!$H$10," baik ",IF(Y14&gt;=KKM!$I$10," cukup baik "," perlu bimbingan ")))</f>
        <v xml:space="preserve"> baik </v>
      </c>
      <c r="AA14" s="353" t="str">
        <f t="shared" si="5"/>
        <v>DAVKA baik  dalam melaporkan hasil pengamatan tentang perpindahan kalor.</v>
      </c>
      <c r="AB14" s="256"/>
      <c r="AC14" s="257" t="str">
        <f t="shared" si="2"/>
        <v xml:space="preserve"> baik  dalam melaporkan hasil pengamatan tentang perpindahan kalor.</v>
      </c>
      <c r="AD14" s="257" t="str">
        <f t="shared" si="3"/>
        <v xml:space="preserve"> baik  dalam melaporkan hasil pengamatan tentang perpindahan kalor.</v>
      </c>
      <c r="AE14" s="257" t="str">
        <f t="shared" si="6"/>
        <v xml:space="preserve"> baik  dalam melaporkan hasil pengamatan tentang perpindahan kalor., dan  baik  dalam melaporkan hasil pengamatan tentang perpindahan kalor.</v>
      </c>
      <c r="AF14" s="257" t="str">
        <f t="shared" si="7"/>
        <v xml:space="preserve"> baik  dalam melaporkan hasil pengamatan tentang perpindahan kalor.</v>
      </c>
      <c r="AG14" s="258" t="str">
        <f t="shared" si="8"/>
        <v xml:space="preserve"> baik  dalam melaporkan hasil pengamatan tentang perpindahan kalor.</v>
      </c>
      <c r="AH14" s="252" t="str">
        <f t="shared" si="9"/>
        <v>DAVKA baik  dalam melaporkan hasil pengamatan tentang perpindahan kalor.</v>
      </c>
      <c r="AI14" s="153"/>
      <c r="AS14" s="469">
        <f t="shared" si="10"/>
        <v>83</v>
      </c>
    </row>
    <row r="15" spans="1:54" ht="63.75" customHeight="1">
      <c r="B15" s="142">
        <v>11</v>
      </c>
      <c r="C15" s="143" t="str">
        <f>SISWA!B16</f>
        <v>1718250040315</v>
      </c>
      <c r="D15" s="144" t="str">
        <f>SISWA!E16</f>
        <v>DZIBRIL</v>
      </c>
      <c r="E15" s="159">
        <v>72.5</v>
      </c>
      <c r="F15" s="160">
        <v>72.5</v>
      </c>
      <c r="G15" s="160">
        <v>72.5</v>
      </c>
      <c r="H15" s="160">
        <v>72.5</v>
      </c>
      <c r="I15" s="160"/>
      <c r="J15" s="159"/>
      <c r="K15" s="159"/>
      <c r="L15" s="159"/>
      <c r="M15" s="159"/>
      <c r="N15" s="159"/>
      <c r="O15" s="159"/>
      <c r="P15" s="159"/>
      <c r="Q15" s="159"/>
      <c r="R15" s="160"/>
      <c r="S15" s="160"/>
      <c r="T15" s="159"/>
      <c r="U15" s="354">
        <f t="shared" si="4"/>
        <v>73</v>
      </c>
      <c r="V15" s="355" t="str">
        <f>IF(U15&gt;KKM!$G$10,"A",IF(U15&gt;KKM!$H$10,"B",IF(U15&gt;=KKM!$I$10,"C","D")))</f>
        <v>C</v>
      </c>
      <c r="W15" s="356">
        <f t="shared" si="0"/>
        <v>72.5</v>
      </c>
      <c r="X15" s="361" t="str">
        <f>IF(W15&gt;KKM!$G$10," sangat baik ",IF(W15&gt;KKM!$H$10," baik ",IF(W15&gt;=KKM!$I$10," cukup baik "," perlu bimbingan ")))</f>
        <v xml:space="preserve"> cukup baik </v>
      </c>
      <c r="Y15" s="357">
        <f t="shared" si="1"/>
        <v>72.5</v>
      </c>
      <c r="Z15" s="361" t="str">
        <f>IF(Y15&gt;KKM!$G$10," sangat baik ",IF(Y15&gt;KKM!$H$10," baik ",IF(Y15&gt;=KKM!$I$10," cukup baik "," perlu bimbingan ")))</f>
        <v xml:space="preserve"> cukup baik </v>
      </c>
      <c r="AA15" s="353" t="str">
        <f t="shared" si="5"/>
        <v>DZIBRIL cukup baik  dalam melaporkan hasil pengamatan tentang perpindahan kalor.</v>
      </c>
      <c r="AB15" s="256"/>
      <c r="AC15" s="257" t="str">
        <f t="shared" si="2"/>
        <v xml:space="preserve"> cukup baik  dalam melaporkan hasil pengamatan tentang perpindahan kalor.</v>
      </c>
      <c r="AD15" s="257" t="str">
        <f t="shared" si="3"/>
        <v xml:space="preserve"> cukup baik  dalam melaporkan hasil pengamatan tentang perpindahan kalor.</v>
      </c>
      <c r="AE15" s="257" t="str">
        <f t="shared" si="6"/>
        <v xml:space="preserve"> cukup baik  dalam melaporkan hasil pengamatan tentang perpindahan kalor., dan  cukup baik  dalam melaporkan hasil pengamatan tentang perpindahan kalor.</v>
      </c>
      <c r="AF15" s="257" t="str">
        <f t="shared" si="7"/>
        <v xml:space="preserve"> cukup baik  dalam melaporkan hasil pengamatan tentang perpindahan kalor.</v>
      </c>
      <c r="AG15" s="258" t="str">
        <f t="shared" si="8"/>
        <v xml:space="preserve"> cukup baik  dalam melaporkan hasil pengamatan tentang perpindahan kalor.</v>
      </c>
      <c r="AH15" s="252" t="str">
        <f t="shared" si="9"/>
        <v>DZIBRIL cukup baik  dalam melaporkan hasil pengamatan tentang perpindahan kalor.</v>
      </c>
      <c r="AI15" s="153"/>
      <c r="AS15" s="469">
        <f t="shared" si="10"/>
        <v>73</v>
      </c>
    </row>
    <row r="16" spans="1:54" ht="63.75" customHeight="1">
      <c r="B16" s="142">
        <v>12</v>
      </c>
      <c r="C16" s="143" t="str">
        <f>SISWA!B17</f>
        <v>1718250040316</v>
      </c>
      <c r="D16" s="144" t="str">
        <f>SISWA!E17</f>
        <v>ERICHA</v>
      </c>
      <c r="E16" s="159">
        <v>90</v>
      </c>
      <c r="F16" s="160">
        <v>90</v>
      </c>
      <c r="G16" s="160">
        <v>90</v>
      </c>
      <c r="H16" s="160">
        <v>90</v>
      </c>
      <c r="I16" s="160"/>
      <c r="J16" s="159"/>
      <c r="K16" s="159"/>
      <c r="L16" s="159"/>
      <c r="M16" s="159"/>
      <c r="N16" s="159"/>
      <c r="O16" s="159"/>
      <c r="P16" s="159"/>
      <c r="Q16" s="159"/>
      <c r="R16" s="160"/>
      <c r="S16" s="160"/>
      <c r="T16" s="159"/>
      <c r="U16" s="354">
        <f t="shared" si="4"/>
        <v>90</v>
      </c>
      <c r="V16" s="355" t="str">
        <f>IF(U16&gt;KKM!$G$10,"A",IF(U16&gt;KKM!$H$10,"B",IF(U16&gt;=KKM!$I$10,"C","D")))</f>
        <v>A</v>
      </c>
      <c r="W16" s="356">
        <f t="shared" si="0"/>
        <v>90</v>
      </c>
      <c r="X16" s="361" t="str">
        <f>IF(W16&gt;KKM!$G$10," sangat baik ",IF(W16&gt;KKM!$H$10," baik ",IF(W16&gt;=KKM!$I$10," cukup baik "," perlu bimbingan ")))</f>
        <v xml:space="preserve"> sangat baik </v>
      </c>
      <c r="Y16" s="357">
        <f t="shared" si="1"/>
        <v>90</v>
      </c>
      <c r="Z16" s="361" t="str">
        <f>IF(Y16&gt;KKM!$G$10," sangat baik ",IF(Y16&gt;KKM!$H$10," baik ",IF(Y16&gt;=KKM!$I$10," cukup baik "," perlu bimbingan ")))</f>
        <v xml:space="preserve"> sangat baik </v>
      </c>
      <c r="AA16" s="353" t="str">
        <f t="shared" si="5"/>
        <v>ERICHA sangat baik  dalam melaporkan hasil pengamatan tentang perpindahan kalor.</v>
      </c>
      <c r="AB16" s="256"/>
      <c r="AC16" s="257" t="str">
        <f t="shared" si="2"/>
        <v xml:space="preserve"> sangat baik  dalam melaporkan hasil pengamatan tentang perpindahan kalor.</v>
      </c>
      <c r="AD16" s="257" t="str">
        <f t="shared" si="3"/>
        <v xml:space="preserve"> sangat baik  dalam melaporkan hasil pengamatan tentang perpindahan kalor.</v>
      </c>
      <c r="AE16" s="257" t="str">
        <f t="shared" si="6"/>
        <v xml:space="preserve"> sangat baik  dalam melaporkan hasil pengamatan tentang perpindahan kalor., dan  sangat baik  dalam melaporkan hasil pengamatan tentang perpindahan kalor.</v>
      </c>
      <c r="AF16" s="257" t="str">
        <f t="shared" si="7"/>
        <v xml:space="preserve"> sangat baik  dalam melaporkan hasil pengamatan tentang perpindahan kalor.</v>
      </c>
      <c r="AG16" s="258" t="str">
        <f t="shared" si="8"/>
        <v xml:space="preserve"> sangat baik  dalam melaporkan hasil pengamatan tentang perpindahan kalor.</v>
      </c>
      <c r="AH16" s="252" t="str">
        <f t="shared" si="9"/>
        <v>ERICHA sangat baik  dalam melaporkan hasil pengamatan tentang perpindahan kalor.</v>
      </c>
      <c r="AI16" s="153"/>
      <c r="AS16" s="469">
        <f t="shared" si="10"/>
        <v>90</v>
      </c>
    </row>
    <row r="17" spans="2:45" ht="63.75" customHeight="1">
      <c r="B17" s="142">
        <v>13</v>
      </c>
      <c r="C17" s="143" t="str">
        <f>SISWA!B18</f>
        <v>1718250040317</v>
      </c>
      <c r="D17" s="144" t="str">
        <f>SISWA!E18</f>
        <v>HISYAM</v>
      </c>
      <c r="E17" s="159">
        <v>87.5</v>
      </c>
      <c r="F17" s="160">
        <v>87.5</v>
      </c>
      <c r="G17" s="160">
        <v>87.5</v>
      </c>
      <c r="H17" s="160">
        <v>87.5</v>
      </c>
      <c r="I17" s="160"/>
      <c r="J17" s="159"/>
      <c r="K17" s="159"/>
      <c r="L17" s="159"/>
      <c r="M17" s="159"/>
      <c r="N17" s="159"/>
      <c r="O17" s="159"/>
      <c r="P17" s="159"/>
      <c r="Q17" s="159"/>
      <c r="R17" s="160"/>
      <c r="S17" s="160"/>
      <c r="T17" s="159"/>
      <c r="U17" s="354">
        <f t="shared" si="4"/>
        <v>88</v>
      </c>
      <c r="V17" s="355" t="str">
        <f>IF(U17&gt;KKM!$G$10,"A",IF(U17&gt;KKM!$H$10,"B",IF(U17&gt;=KKM!$I$10,"C","D")))</f>
        <v>A</v>
      </c>
      <c r="W17" s="356">
        <f t="shared" si="0"/>
        <v>87.5</v>
      </c>
      <c r="X17" s="361" t="str">
        <f>IF(W17&gt;KKM!$G$10," sangat baik ",IF(W17&gt;KKM!$H$10," baik ",IF(W17&gt;=KKM!$I$10," cukup baik "," perlu bimbingan ")))</f>
        <v xml:space="preserve"> sangat baik </v>
      </c>
      <c r="Y17" s="357">
        <f t="shared" si="1"/>
        <v>87.5</v>
      </c>
      <c r="Z17" s="361" t="str">
        <f>IF(Y17&gt;KKM!$G$10," sangat baik ",IF(Y17&gt;KKM!$H$10," baik ",IF(Y17&gt;=KKM!$I$10," cukup baik "," perlu bimbingan ")))</f>
        <v xml:space="preserve"> sangat baik </v>
      </c>
      <c r="AA17" s="353" t="str">
        <f t="shared" si="5"/>
        <v>HISYAM sangat baik  dalam melaporkan hasil pengamatan tentang perpindahan kalor.</v>
      </c>
      <c r="AB17" s="256"/>
      <c r="AC17" s="257" t="str">
        <f t="shared" si="2"/>
        <v xml:space="preserve"> sangat baik  dalam melaporkan hasil pengamatan tentang perpindahan kalor.</v>
      </c>
      <c r="AD17" s="257" t="str">
        <f t="shared" si="3"/>
        <v xml:space="preserve"> sangat baik  dalam melaporkan hasil pengamatan tentang perpindahan kalor.</v>
      </c>
      <c r="AE17" s="257" t="str">
        <f t="shared" si="6"/>
        <v xml:space="preserve"> sangat baik  dalam melaporkan hasil pengamatan tentang perpindahan kalor., dan  sangat baik  dalam melaporkan hasil pengamatan tentang perpindahan kalor.</v>
      </c>
      <c r="AF17" s="257" t="str">
        <f t="shared" si="7"/>
        <v xml:space="preserve"> sangat baik  dalam melaporkan hasil pengamatan tentang perpindahan kalor.</v>
      </c>
      <c r="AG17" s="258" t="str">
        <f t="shared" si="8"/>
        <v xml:space="preserve"> sangat baik  dalam melaporkan hasil pengamatan tentang perpindahan kalor.</v>
      </c>
      <c r="AH17" s="252" t="str">
        <f t="shared" si="9"/>
        <v>HISYAM sangat baik  dalam melaporkan hasil pengamatan tentang perpindahan kalor.</v>
      </c>
      <c r="AI17" s="153"/>
      <c r="AS17" s="469">
        <f t="shared" si="10"/>
        <v>88</v>
      </c>
    </row>
    <row r="18" spans="2:45" ht="63.75" customHeight="1">
      <c r="B18" s="142">
        <v>14</v>
      </c>
      <c r="C18" s="143" t="str">
        <f>SISWA!B19</f>
        <v>1718250040318</v>
      </c>
      <c r="D18" s="144" t="str">
        <f>SISWA!E19</f>
        <v>FAUZI</v>
      </c>
      <c r="E18" s="159">
        <v>80</v>
      </c>
      <c r="F18" s="160">
        <v>80</v>
      </c>
      <c r="G18" s="160">
        <v>80</v>
      </c>
      <c r="H18" s="160">
        <v>80</v>
      </c>
      <c r="I18" s="160"/>
      <c r="J18" s="159"/>
      <c r="K18" s="159"/>
      <c r="L18" s="159"/>
      <c r="M18" s="159"/>
      <c r="N18" s="159"/>
      <c r="O18" s="159"/>
      <c r="P18" s="159"/>
      <c r="Q18" s="159"/>
      <c r="R18" s="160"/>
      <c r="S18" s="160"/>
      <c r="T18" s="159"/>
      <c r="U18" s="354">
        <f t="shared" si="4"/>
        <v>80</v>
      </c>
      <c r="V18" s="355" t="str">
        <f>IF(U18&gt;KKM!$G$10,"A",IF(U18&gt;KKM!$H$10,"B",IF(U18&gt;=KKM!$I$10,"C","D")))</f>
        <v>B</v>
      </c>
      <c r="W18" s="356">
        <f t="shared" si="0"/>
        <v>80</v>
      </c>
      <c r="X18" s="361" t="str">
        <f>IF(W18&gt;KKM!$G$10," sangat baik ",IF(W18&gt;KKM!$H$10," baik ",IF(W18&gt;=KKM!$I$10," cukup baik "," perlu bimbingan ")))</f>
        <v xml:space="preserve"> baik </v>
      </c>
      <c r="Y18" s="357">
        <f t="shared" si="1"/>
        <v>80</v>
      </c>
      <c r="Z18" s="361" t="str">
        <f>IF(Y18&gt;KKM!$G$10," sangat baik ",IF(Y18&gt;KKM!$H$10," baik ",IF(Y18&gt;=KKM!$I$10," cukup baik "," perlu bimbingan ")))</f>
        <v xml:space="preserve"> baik </v>
      </c>
      <c r="AA18" s="353" t="str">
        <f t="shared" si="5"/>
        <v>FAUZI baik  dalam melaporkan hasil pengamatan tentang perpindahan kalor.</v>
      </c>
      <c r="AB18" s="256"/>
      <c r="AC18" s="257" t="str">
        <f t="shared" si="2"/>
        <v xml:space="preserve"> baik  dalam melaporkan hasil pengamatan tentang perpindahan kalor.</v>
      </c>
      <c r="AD18" s="257" t="str">
        <f t="shared" si="3"/>
        <v xml:space="preserve"> baik  dalam melaporkan hasil pengamatan tentang perpindahan kalor.</v>
      </c>
      <c r="AE18" s="257" t="str">
        <f t="shared" si="6"/>
        <v xml:space="preserve"> baik  dalam melaporkan hasil pengamatan tentang perpindahan kalor., dan  baik  dalam melaporkan hasil pengamatan tentang perpindahan kalor.</v>
      </c>
      <c r="AF18" s="257" t="str">
        <f t="shared" si="7"/>
        <v xml:space="preserve"> baik  dalam melaporkan hasil pengamatan tentang perpindahan kalor.</v>
      </c>
      <c r="AG18" s="258" t="str">
        <f t="shared" si="8"/>
        <v xml:space="preserve"> baik  dalam melaporkan hasil pengamatan tentang perpindahan kalor.</v>
      </c>
      <c r="AH18" s="252" t="str">
        <f t="shared" si="9"/>
        <v>FAUZI baik  dalam melaporkan hasil pengamatan tentang perpindahan kalor.</v>
      </c>
      <c r="AI18" s="153"/>
      <c r="AS18" s="469">
        <f t="shared" si="10"/>
        <v>80</v>
      </c>
    </row>
    <row r="19" spans="2:45" ht="63.75" customHeight="1">
      <c r="B19" s="142">
        <v>15</v>
      </c>
      <c r="C19" s="143" t="str">
        <f>SISWA!B20</f>
        <v>1718250040319</v>
      </c>
      <c r="D19" s="144" t="str">
        <f>SISWA!E20</f>
        <v>FIRLY</v>
      </c>
      <c r="E19" s="159">
        <v>90</v>
      </c>
      <c r="F19" s="160">
        <v>90</v>
      </c>
      <c r="G19" s="160">
        <v>90</v>
      </c>
      <c r="H19" s="160">
        <v>90</v>
      </c>
      <c r="I19" s="160"/>
      <c r="J19" s="159"/>
      <c r="K19" s="159"/>
      <c r="L19" s="159"/>
      <c r="M19" s="159"/>
      <c r="N19" s="159"/>
      <c r="O19" s="159"/>
      <c r="P19" s="159"/>
      <c r="Q19" s="159"/>
      <c r="R19" s="160"/>
      <c r="S19" s="160"/>
      <c r="T19" s="159"/>
      <c r="U19" s="354">
        <f t="shared" si="4"/>
        <v>90</v>
      </c>
      <c r="V19" s="355" t="str">
        <f>IF(U19&gt;KKM!$G$10,"A",IF(U19&gt;KKM!$H$10,"B",IF(U19&gt;=KKM!$I$10,"C","D")))</f>
        <v>A</v>
      </c>
      <c r="W19" s="356">
        <f t="shared" si="0"/>
        <v>90</v>
      </c>
      <c r="X19" s="361" t="str">
        <f>IF(W19&gt;KKM!$G$10," sangat baik ",IF(W19&gt;KKM!$H$10," baik ",IF(W19&gt;=KKM!$I$10," cukup baik "," perlu bimbingan ")))</f>
        <v xml:space="preserve"> sangat baik </v>
      </c>
      <c r="Y19" s="357">
        <f t="shared" si="1"/>
        <v>90</v>
      </c>
      <c r="Z19" s="361" t="str">
        <f>IF(Y19&gt;KKM!$G$10," sangat baik ",IF(Y19&gt;KKM!$H$10," baik ",IF(Y19&gt;=KKM!$I$10," cukup baik "," perlu bimbingan ")))</f>
        <v xml:space="preserve"> sangat baik </v>
      </c>
      <c r="AA19" s="353" t="str">
        <f t="shared" si="5"/>
        <v>FIRLY sangat baik  dalam melaporkan hasil pengamatan tentang perpindahan kalor.</v>
      </c>
      <c r="AB19" s="256"/>
      <c r="AC19" s="257" t="str">
        <f t="shared" si="2"/>
        <v xml:space="preserve"> sangat baik  dalam melaporkan hasil pengamatan tentang perpindahan kalor.</v>
      </c>
      <c r="AD19" s="257" t="str">
        <f t="shared" si="3"/>
        <v xml:space="preserve"> sangat baik  dalam melaporkan hasil pengamatan tentang perpindahan kalor.</v>
      </c>
      <c r="AE19" s="257" t="str">
        <f t="shared" si="6"/>
        <v xml:space="preserve"> sangat baik  dalam melaporkan hasil pengamatan tentang perpindahan kalor., dan  sangat baik  dalam melaporkan hasil pengamatan tentang perpindahan kalor.</v>
      </c>
      <c r="AF19" s="257" t="str">
        <f t="shared" si="7"/>
        <v xml:space="preserve"> sangat baik  dalam melaporkan hasil pengamatan tentang perpindahan kalor.</v>
      </c>
      <c r="AG19" s="258" t="str">
        <f t="shared" si="8"/>
        <v xml:space="preserve"> sangat baik  dalam melaporkan hasil pengamatan tentang perpindahan kalor.</v>
      </c>
      <c r="AH19" s="252" t="str">
        <f t="shared" si="9"/>
        <v>FIRLY sangat baik  dalam melaporkan hasil pengamatan tentang perpindahan kalor.</v>
      </c>
      <c r="AI19" s="153"/>
      <c r="AS19" s="469">
        <f t="shared" si="10"/>
        <v>90</v>
      </c>
    </row>
    <row r="20" spans="2:45" ht="63.75" customHeight="1">
      <c r="B20" s="142">
        <v>16</v>
      </c>
      <c r="C20" s="143" t="str">
        <f>SISWA!B21</f>
        <v>1718250040320</v>
      </c>
      <c r="D20" s="144" t="str">
        <f>SISWA!E21</f>
        <v>HANA</v>
      </c>
      <c r="E20" s="159">
        <v>72.5</v>
      </c>
      <c r="F20" s="160">
        <v>72.5</v>
      </c>
      <c r="G20" s="160">
        <v>72.5</v>
      </c>
      <c r="H20" s="160">
        <v>72.5</v>
      </c>
      <c r="I20" s="160"/>
      <c r="J20" s="159"/>
      <c r="K20" s="159"/>
      <c r="L20" s="159"/>
      <c r="M20" s="159"/>
      <c r="N20" s="159"/>
      <c r="O20" s="159"/>
      <c r="P20" s="159"/>
      <c r="Q20" s="159"/>
      <c r="R20" s="160"/>
      <c r="S20" s="160"/>
      <c r="T20" s="159"/>
      <c r="U20" s="354">
        <f t="shared" si="4"/>
        <v>73</v>
      </c>
      <c r="V20" s="355" t="str">
        <f>IF(U20&gt;KKM!$G$10,"A",IF(U20&gt;KKM!$H$10,"B",IF(U20&gt;=KKM!$I$10,"C","D")))</f>
        <v>C</v>
      </c>
      <c r="W20" s="356">
        <f t="shared" si="0"/>
        <v>72.5</v>
      </c>
      <c r="X20" s="361" t="str">
        <f>IF(W20&gt;KKM!$G$10," sangat baik ",IF(W20&gt;KKM!$H$10," baik ",IF(W20&gt;=KKM!$I$10," cukup baik "," perlu bimbingan ")))</f>
        <v xml:space="preserve"> cukup baik </v>
      </c>
      <c r="Y20" s="357">
        <f t="shared" si="1"/>
        <v>72.5</v>
      </c>
      <c r="Z20" s="361" t="str">
        <f>IF(Y20&gt;KKM!$G$10," sangat baik ",IF(Y20&gt;KKM!$H$10," baik ",IF(Y20&gt;=KKM!$I$10," cukup baik "," perlu bimbingan ")))</f>
        <v xml:space="preserve"> cukup baik </v>
      </c>
      <c r="AA20" s="353" t="str">
        <f t="shared" si="5"/>
        <v>HANA cukup baik  dalam melaporkan hasil pengamatan tentang perpindahan kalor.</v>
      </c>
      <c r="AB20" s="256"/>
      <c r="AC20" s="257" t="str">
        <f t="shared" si="2"/>
        <v xml:space="preserve"> cukup baik  dalam melaporkan hasil pengamatan tentang perpindahan kalor.</v>
      </c>
      <c r="AD20" s="257" t="str">
        <f t="shared" si="3"/>
        <v xml:space="preserve"> cukup baik  dalam melaporkan hasil pengamatan tentang perpindahan kalor.</v>
      </c>
      <c r="AE20" s="257" t="str">
        <f t="shared" si="6"/>
        <v xml:space="preserve"> cukup baik  dalam melaporkan hasil pengamatan tentang perpindahan kalor., dan  cukup baik  dalam melaporkan hasil pengamatan tentang perpindahan kalor.</v>
      </c>
      <c r="AF20" s="257" t="str">
        <f t="shared" si="7"/>
        <v xml:space="preserve"> cukup baik  dalam melaporkan hasil pengamatan tentang perpindahan kalor.</v>
      </c>
      <c r="AG20" s="258" t="str">
        <f t="shared" si="8"/>
        <v xml:space="preserve"> cukup baik  dalam melaporkan hasil pengamatan tentang perpindahan kalor.</v>
      </c>
      <c r="AH20" s="252" t="str">
        <f t="shared" si="9"/>
        <v>HANA cukup baik  dalam melaporkan hasil pengamatan tentang perpindahan kalor.</v>
      </c>
      <c r="AI20" s="153"/>
      <c r="AS20" s="469">
        <f t="shared" si="10"/>
        <v>73</v>
      </c>
    </row>
    <row r="21" spans="2:45" ht="63.75" customHeight="1">
      <c r="B21" s="142">
        <v>17</v>
      </c>
      <c r="C21" s="143" t="str">
        <f>SISWA!B22</f>
        <v>1718250040321</v>
      </c>
      <c r="D21" s="144" t="str">
        <f>SISWA!E22</f>
        <v>MALLA</v>
      </c>
      <c r="E21" s="159">
        <v>85</v>
      </c>
      <c r="F21" s="160">
        <v>85</v>
      </c>
      <c r="G21" s="160">
        <v>85</v>
      </c>
      <c r="H21" s="160">
        <v>85</v>
      </c>
      <c r="I21" s="160"/>
      <c r="J21" s="159"/>
      <c r="K21" s="159"/>
      <c r="L21" s="159"/>
      <c r="M21" s="159"/>
      <c r="N21" s="159"/>
      <c r="O21" s="159"/>
      <c r="P21" s="159"/>
      <c r="Q21" s="159"/>
      <c r="R21" s="160"/>
      <c r="S21" s="160"/>
      <c r="T21" s="159"/>
      <c r="U21" s="354">
        <f t="shared" si="4"/>
        <v>85</v>
      </c>
      <c r="V21" s="355" t="str">
        <f>IF(U21&gt;KKM!$G$10,"A",IF(U21&gt;KKM!$H$10,"B",IF(U21&gt;=KKM!$I$10,"C","D")))</f>
        <v>B</v>
      </c>
      <c r="W21" s="356">
        <f t="shared" si="0"/>
        <v>85</v>
      </c>
      <c r="X21" s="361" t="str">
        <f>IF(W21&gt;KKM!$G$10," sangat baik ",IF(W21&gt;KKM!$H$10," baik ",IF(W21&gt;=KKM!$I$10," cukup baik "," perlu bimbingan ")))</f>
        <v xml:space="preserve"> baik </v>
      </c>
      <c r="Y21" s="357">
        <f t="shared" si="1"/>
        <v>85</v>
      </c>
      <c r="Z21" s="361" t="str">
        <f>IF(Y21&gt;KKM!$G$10," sangat baik ",IF(Y21&gt;KKM!$H$10," baik ",IF(Y21&gt;=KKM!$I$10," cukup baik "," perlu bimbingan ")))</f>
        <v xml:space="preserve"> baik </v>
      </c>
      <c r="AA21" s="353" t="str">
        <f t="shared" si="5"/>
        <v>MALLA baik  dalam melaporkan hasil pengamatan tentang perpindahan kalor.</v>
      </c>
      <c r="AB21" s="256"/>
      <c r="AC21" s="257" t="str">
        <f t="shared" si="2"/>
        <v xml:space="preserve"> baik  dalam melaporkan hasil pengamatan tentang perpindahan kalor.</v>
      </c>
      <c r="AD21" s="257" t="str">
        <f t="shared" si="3"/>
        <v xml:space="preserve"> baik  dalam melaporkan hasil pengamatan tentang perpindahan kalor.</v>
      </c>
      <c r="AE21" s="257" t="str">
        <f t="shared" si="6"/>
        <v xml:space="preserve"> baik  dalam melaporkan hasil pengamatan tentang perpindahan kalor., dan  baik  dalam melaporkan hasil pengamatan tentang perpindahan kalor.</v>
      </c>
      <c r="AF21" s="257" t="str">
        <f t="shared" si="7"/>
        <v xml:space="preserve"> baik  dalam melaporkan hasil pengamatan tentang perpindahan kalor.</v>
      </c>
      <c r="AG21" s="258" t="str">
        <f t="shared" si="8"/>
        <v xml:space="preserve"> baik  dalam melaporkan hasil pengamatan tentang perpindahan kalor.</v>
      </c>
      <c r="AH21" s="252" t="str">
        <f t="shared" si="9"/>
        <v>MALLA baik  dalam melaporkan hasil pengamatan tentang perpindahan kalor.</v>
      </c>
      <c r="AI21" s="153"/>
      <c r="AS21" s="469">
        <f t="shared" si="10"/>
        <v>85</v>
      </c>
    </row>
    <row r="22" spans="2:45" ht="63.75" customHeight="1">
      <c r="B22" s="142">
        <v>18</v>
      </c>
      <c r="C22" s="143" t="str">
        <f>SISWA!B23</f>
        <v>1718250040322</v>
      </c>
      <c r="D22" s="144" t="str">
        <f>SISWA!E23</f>
        <v>INTAN</v>
      </c>
      <c r="E22" s="159">
        <v>82.5</v>
      </c>
      <c r="F22" s="160">
        <v>82.5</v>
      </c>
      <c r="G22" s="160">
        <v>82.5</v>
      </c>
      <c r="H22" s="160">
        <v>82.5</v>
      </c>
      <c r="I22" s="160"/>
      <c r="J22" s="159"/>
      <c r="K22" s="159"/>
      <c r="L22" s="159"/>
      <c r="M22" s="159"/>
      <c r="N22" s="159"/>
      <c r="O22" s="159"/>
      <c r="P22" s="159"/>
      <c r="Q22" s="159"/>
      <c r="R22" s="160"/>
      <c r="S22" s="160"/>
      <c r="T22" s="159"/>
      <c r="U22" s="354">
        <f t="shared" si="4"/>
        <v>83</v>
      </c>
      <c r="V22" s="355" t="str">
        <f>IF(U22&gt;KKM!$G$10,"A",IF(U22&gt;KKM!$H$10,"B",IF(U22&gt;=KKM!$I$10,"C","D")))</f>
        <v>B</v>
      </c>
      <c r="W22" s="356">
        <f t="shared" si="0"/>
        <v>82.5</v>
      </c>
      <c r="X22" s="361" t="str">
        <f>IF(W22&gt;KKM!$G$10," sangat baik ",IF(W22&gt;KKM!$H$10," baik ",IF(W22&gt;=KKM!$I$10," cukup baik "," perlu bimbingan ")))</f>
        <v xml:space="preserve"> baik </v>
      </c>
      <c r="Y22" s="357">
        <f t="shared" si="1"/>
        <v>82.5</v>
      </c>
      <c r="Z22" s="361" t="str">
        <f>IF(Y22&gt;KKM!$G$10," sangat baik ",IF(Y22&gt;KKM!$H$10," baik ",IF(Y22&gt;=KKM!$I$10," cukup baik "," perlu bimbingan ")))</f>
        <v xml:space="preserve"> baik </v>
      </c>
      <c r="AA22" s="353" t="str">
        <f t="shared" si="5"/>
        <v>INTAN baik  dalam melaporkan hasil pengamatan tentang perpindahan kalor.</v>
      </c>
      <c r="AB22" s="256"/>
      <c r="AC22" s="257" t="str">
        <f t="shared" si="2"/>
        <v xml:space="preserve"> baik  dalam melaporkan hasil pengamatan tentang perpindahan kalor.</v>
      </c>
      <c r="AD22" s="257" t="str">
        <f t="shared" si="3"/>
        <v xml:space="preserve"> baik  dalam melaporkan hasil pengamatan tentang perpindahan kalor.</v>
      </c>
      <c r="AE22" s="257" t="str">
        <f t="shared" si="6"/>
        <v xml:space="preserve"> baik  dalam melaporkan hasil pengamatan tentang perpindahan kalor., dan  baik  dalam melaporkan hasil pengamatan tentang perpindahan kalor.</v>
      </c>
      <c r="AF22" s="257" t="str">
        <f t="shared" si="7"/>
        <v xml:space="preserve"> baik  dalam melaporkan hasil pengamatan tentang perpindahan kalor.</v>
      </c>
      <c r="AG22" s="258" t="str">
        <f t="shared" si="8"/>
        <v xml:space="preserve"> baik  dalam melaporkan hasil pengamatan tentang perpindahan kalor.</v>
      </c>
      <c r="AH22" s="252" t="str">
        <f t="shared" si="9"/>
        <v>INTAN baik  dalam melaporkan hasil pengamatan tentang perpindahan kalor.</v>
      </c>
      <c r="AI22" s="153"/>
      <c r="AS22" s="469">
        <f t="shared" si="10"/>
        <v>83</v>
      </c>
    </row>
    <row r="23" spans="2:45" ht="63.75" customHeight="1">
      <c r="B23" s="142">
        <v>19</v>
      </c>
      <c r="C23" s="143" t="str">
        <f>SISWA!B24</f>
        <v>1718250040323</v>
      </c>
      <c r="D23" s="144" t="str">
        <f>SISWA!E24</f>
        <v>JORDY</v>
      </c>
      <c r="E23" s="159">
        <v>77.5</v>
      </c>
      <c r="F23" s="160">
        <v>77.5</v>
      </c>
      <c r="G23" s="160">
        <v>77.5</v>
      </c>
      <c r="H23" s="160">
        <v>77.5</v>
      </c>
      <c r="I23" s="160"/>
      <c r="J23" s="159"/>
      <c r="K23" s="159"/>
      <c r="L23" s="159"/>
      <c r="M23" s="159"/>
      <c r="N23" s="159"/>
      <c r="O23" s="159"/>
      <c r="P23" s="159"/>
      <c r="Q23" s="159"/>
      <c r="R23" s="160"/>
      <c r="S23" s="160"/>
      <c r="T23" s="159"/>
      <c r="U23" s="354">
        <f t="shared" si="4"/>
        <v>78</v>
      </c>
      <c r="V23" s="355" t="str">
        <f>IF(U23&gt;KKM!$G$10,"A",IF(U23&gt;KKM!$H$10,"B",IF(U23&gt;=KKM!$I$10,"C","D")))</f>
        <v>B</v>
      </c>
      <c r="W23" s="356">
        <f t="shared" si="0"/>
        <v>77.5</v>
      </c>
      <c r="X23" s="361" t="str">
        <f>IF(W23&gt;KKM!$G$10," sangat baik ",IF(W23&gt;KKM!$H$10," baik ",IF(W23&gt;=KKM!$I$10," cukup baik "," perlu bimbingan ")))</f>
        <v xml:space="preserve"> baik </v>
      </c>
      <c r="Y23" s="357">
        <f t="shared" si="1"/>
        <v>77.5</v>
      </c>
      <c r="Z23" s="361" t="str">
        <f>IF(Y23&gt;KKM!$G$10," sangat baik ",IF(Y23&gt;KKM!$H$10," baik ",IF(Y23&gt;=KKM!$I$10," cukup baik "," perlu bimbingan ")))</f>
        <v xml:space="preserve"> baik </v>
      </c>
      <c r="AA23" s="353" t="str">
        <f t="shared" si="5"/>
        <v>JORDY baik  dalam melaporkan hasil pengamatan tentang perpindahan kalor.</v>
      </c>
      <c r="AB23" s="256"/>
      <c r="AC23" s="257" t="str">
        <f t="shared" si="2"/>
        <v xml:space="preserve"> baik  dalam melaporkan hasil pengamatan tentang perpindahan kalor.</v>
      </c>
      <c r="AD23" s="257" t="str">
        <f t="shared" si="3"/>
        <v xml:space="preserve"> baik  dalam melaporkan hasil pengamatan tentang perpindahan kalor.</v>
      </c>
      <c r="AE23" s="257" t="str">
        <f t="shared" si="6"/>
        <v xml:space="preserve"> baik  dalam melaporkan hasil pengamatan tentang perpindahan kalor., dan  baik  dalam melaporkan hasil pengamatan tentang perpindahan kalor.</v>
      </c>
      <c r="AF23" s="257" t="str">
        <f t="shared" si="7"/>
        <v xml:space="preserve"> baik  dalam melaporkan hasil pengamatan tentang perpindahan kalor.</v>
      </c>
      <c r="AG23" s="258" t="str">
        <f t="shared" si="8"/>
        <v xml:space="preserve"> baik  dalam melaporkan hasil pengamatan tentang perpindahan kalor.</v>
      </c>
      <c r="AH23" s="252" t="str">
        <f t="shared" si="9"/>
        <v>JORDY baik  dalam melaporkan hasil pengamatan tentang perpindahan kalor.</v>
      </c>
      <c r="AI23" s="153"/>
      <c r="AS23" s="469">
        <f t="shared" si="10"/>
        <v>78</v>
      </c>
    </row>
    <row r="24" spans="2:45" ht="63.75" customHeight="1">
      <c r="B24" s="142">
        <v>20</v>
      </c>
      <c r="C24" s="143" t="str">
        <f>SISWA!B25</f>
        <v>1718250040324</v>
      </c>
      <c r="D24" s="144" t="str">
        <f>SISWA!E25</f>
        <v>KURNIA</v>
      </c>
      <c r="E24" s="159">
        <v>92.5</v>
      </c>
      <c r="F24" s="160">
        <v>92.5</v>
      </c>
      <c r="G24" s="160">
        <v>92.5</v>
      </c>
      <c r="H24" s="160">
        <v>92.5</v>
      </c>
      <c r="I24" s="160"/>
      <c r="J24" s="159"/>
      <c r="K24" s="159"/>
      <c r="L24" s="159"/>
      <c r="M24" s="159"/>
      <c r="N24" s="159"/>
      <c r="O24" s="159"/>
      <c r="P24" s="159"/>
      <c r="Q24" s="159"/>
      <c r="R24" s="160"/>
      <c r="S24" s="160"/>
      <c r="T24" s="159"/>
      <c r="U24" s="354">
        <f t="shared" si="4"/>
        <v>93</v>
      </c>
      <c r="V24" s="355" t="str">
        <f>IF(U24&gt;KKM!$G$10,"A",IF(U24&gt;KKM!$H$10,"B",IF(U24&gt;=KKM!$I$10,"C","D")))</f>
        <v>A</v>
      </c>
      <c r="W24" s="356">
        <f t="shared" si="0"/>
        <v>92.5</v>
      </c>
      <c r="X24" s="361" t="str">
        <f>IF(W24&gt;KKM!$G$10," sangat baik ",IF(W24&gt;KKM!$H$10," baik ",IF(W24&gt;=KKM!$I$10," cukup baik "," perlu bimbingan ")))</f>
        <v xml:space="preserve"> sangat baik </v>
      </c>
      <c r="Y24" s="357">
        <f t="shared" si="1"/>
        <v>92.5</v>
      </c>
      <c r="Z24" s="361" t="str">
        <f>IF(Y24&gt;KKM!$G$10," sangat baik ",IF(Y24&gt;KKM!$H$10," baik ",IF(Y24&gt;=KKM!$I$10," cukup baik "," perlu bimbingan ")))</f>
        <v xml:space="preserve"> sangat baik </v>
      </c>
      <c r="AA24" s="353" t="str">
        <f t="shared" si="5"/>
        <v>KURNIA sangat baik  dalam melaporkan hasil pengamatan tentang perpindahan kalor.</v>
      </c>
      <c r="AB24" s="256"/>
      <c r="AC24" s="257" t="str">
        <f t="shared" si="2"/>
        <v xml:space="preserve"> sangat baik  dalam melaporkan hasil pengamatan tentang perpindahan kalor.</v>
      </c>
      <c r="AD24" s="257" t="str">
        <f t="shared" si="3"/>
        <v xml:space="preserve"> sangat baik  dalam melaporkan hasil pengamatan tentang perpindahan kalor.</v>
      </c>
      <c r="AE24" s="257" t="str">
        <f t="shared" si="6"/>
        <v xml:space="preserve"> sangat baik  dalam melaporkan hasil pengamatan tentang perpindahan kalor., dan  sangat baik  dalam melaporkan hasil pengamatan tentang perpindahan kalor.</v>
      </c>
      <c r="AF24" s="257" t="str">
        <f t="shared" si="7"/>
        <v xml:space="preserve"> sangat baik  dalam melaporkan hasil pengamatan tentang perpindahan kalor.</v>
      </c>
      <c r="AG24" s="258" t="str">
        <f t="shared" si="8"/>
        <v xml:space="preserve"> sangat baik  dalam melaporkan hasil pengamatan tentang perpindahan kalor.</v>
      </c>
      <c r="AH24" s="252" t="str">
        <f t="shared" si="9"/>
        <v>KURNIA sangat baik  dalam melaporkan hasil pengamatan tentang perpindahan kalor.</v>
      </c>
      <c r="AI24" s="153"/>
      <c r="AS24" s="469">
        <f t="shared" si="10"/>
        <v>93</v>
      </c>
    </row>
    <row r="25" spans="2:45" ht="63.75" customHeight="1">
      <c r="B25" s="142">
        <v>21</v>
      </c>
      <c r="C25" s="143" t="str">
        <f>SISWA!B26</f>
        <v>1718250040325</v>
      </c>
      <c r="D25" s="144" t="str">
        <f>SISWA!E26</f>
        <v>LATIZA</v>
      </c>
      <c r="E25" s="159">
        <v>95</v>
      </c>
      <c r="F25" s="160">
        <v>95</v>
      </c>
      <c r="G25" s="160">
        <v>95</v>
      </c>
      <c r="H25" s="160">
        <v>95</v>
      </c>
      <c r="I25" s="160"/>
      <c r="J25" s="159"/>
      <c r="K25" s="159"/>
      <c r="L25" s="159"/>
      <c r="M25" s="159"/>
      <c r="N25" s="159"/>
      <c r="O25" s="159"/>
      <c r="P25" s="159"/>
      <c r="Q25" s="159"/>
      <c r="R25" s="160"/>
      <c r="S25" s="160"/>
      <c r="T25" s="159"/>
      <c r="U25" s="354">
        <f t="shared" si="4"/>
        <v>95</v>
      </c>
      <c r="V25" s="355" t="str">
        <f>IF(U25&gt;KKM!$G$10,"A",IF(U25&gt;KKM!$H$10,"B",IF(U25&gt;=KKM!$I$10,"C","D")))</f>
        <v>A</v>
      </c>
      <c r="W25" s="356">
        <f t="shared" si="0"/>
        <v>95</v>
      </c>
      <c r="X25" s="361" t="str">
        <f>IF(W25&gt;KKM!$G$10," sangat baik ",IF(W25&gt;KKM!$H$10," baik ",IF(W25&gt;=KKM!$I$10," cukup baik "," perlu bimbingan ")))</f>
        <v xml:space="preserve"> sangat baik </v>
      </c>
      <c r="Y25" s="357">
        <f t="shared" si="1"/>
        <v>95</v>
      </c>
      <c r="Z25" s="361" t="str">
        <f>IF(Y25&gt;KKM!$G$10," sangat baik ",IF(Y25&gt;KKM!$H$10," baik ",IF(Y25&gt;=KKM!$I$10," cukup baik "," perlu bimbingan ")))</f>
        <v xml:space="preserve"> sangat baik </v>
      </c>
      <c r="AA25" s="353" t="str">
        <f t="shared" si="5"/>
        <v>LATIZA sangat baik  dalam melaporkan hasil pengamatan tentang perpindahan kalor.</v>
      </c>
      <c r="AB25" s="256"/>
      <c r="AC25" s="257" t="str">
        <f t="shared" si="2"/>
        <v xml:space="preserve"> sangat baik  dalam melaporkan hasil pengamatan tentang perpindahan kalor.</v>
      </c>
      <c r="AD25" s="257" t="str">
        <f t="shared" si="3"/>
        <v xml:space="preserve"> sangat baik  dalam melaporkan hasil pengamatan tentang perpindahan kalor.</v>
      </c>
      <c r="AE25" s="257" t="str">
        <f t="shared" si="6"/>
        <v xml:space="preserve"> sangat baik  dalam melaporkan hasil pengamatan tentang perpindahan kalor., dan  sangat baik  dalam melaporkan hasil pengamatan tentang perpindahan kalor.</v>
      </c>
      <c r="AF25" s="257" t="str">
        <f t="shared" si="7"/>
        <v xml:space="preserve"> sangat baik  dalam melaporkan hasil pengamatan tentang perpindahan kalor.</v>
      </c>
      <c r="AG25" s="258" t="str">
        <f t="shared" si="8"/>
        <v xml:space="preserve"> sangat baik  dalam melaporkan hasil pengamatan tentang perpindahan kalor.</v>
      </c>
      <c r="AH25" s="252" t="str">
        <f t="shared" si="9"/>
        <v>LATIZA sangat baik  dalam melaporkan hasil pengamatan tentang perpindahan kalor.</v>
      </c>
      <c r="AI25" s="153"/>
      <c r="AS25" s="469">
        <f t="shared" si="10"/>
        <v>95</v>
      </c>
    </row>
    <row r="26" spans="2:45" ht="63.75" customHeight="1">
      <c r="B26" s="142">
        <v>22</v>
      </c>
      <c r="C26" s="143" t="str">
        <f>SISWA!B27</f>
        <v>1718250040326</v>
      </c>
      <c r="D26" s="144" t="str">
        <f>SISWA!E27</f>
        <v>RIZKY</v>
      </c>
      <c r="E26" s="159">
        <v>90</v>
      </c>
      <c r="F26" s="160">
        <v>90</v>
      </c>
      <c r="G26" s="160">
        <v>90</v>
      </c>
      <c r="H26" s="160">
        <v>90</v>
      </c>
      <c r="I26" s="160"/>
      <c r="J26" s="159"/>
      <c r="K26" s="159"/>
      <c r="L26" s="159"/>
      <c r="M26" s="159"/>
      <c r="N26" s="159"/>
      <c r="O26" s="159"/>
      <c r="P26" s="159"/>
      <c r="Q26" s="159"/>
      <c r="R26" s="160"/>
      <c r="S26" s="160"/>
      <c r="T26" s="159"/>
      <c r="U26" s="354">
        <f t="shared" si="4"/>
        <v>90</v>
      </c>
      <c r="V26" s="355" t="str">
        <f>IF(U26&gt;KKM!$G$10,"A",IF(U26&gt;KKM!$H$10,"B",IF(U26&gt;=KKM!$I$10,"C","D")))</f>
        <v>A</v>
      </c>
      <c r="W26" s="356">
        <f t="shared" si="0"/>
        <v>90</v>
      </c>
      <c r="X26" s="361" t="str">
        <f>IF(W26&gt;KKM!$G$10," sangat baik ",IF(W26&gt;KKM!$H$10," baik ",IF(W26&gt;=KKM!$I$10," cukup baik "," perlu bimbingan ")))</f>
        <v xml:space="preserve"> sangat baik </v>
      </c>
      <c r="Y26" s="357">
        <f t="shared" si="1"/>
        <v>90</v>
      </c>
      <c r="Z26" s="361" t="str">
        <f>IF(Y26&gt;KKM!$G$10," sangat baik ",IF(Y26&gt;KKM!$H$10," baik ",IF(Y26&gt;=KKM!$I$10," cukup baik "," perlu bimbingan ")))</f>
        <v xml:space="preserve"> sangat baik </v>
      </c>
      <c r="AA26" s="353" t="str">
        <f t="shared" si="5"/>
        <v>RIZKY sangat baik  dalam melaporkan hasil pengamatan tentang perpindahan kalor.</v>
      </c>
      <c r="AB26" s="256"/>
      <c r="AC26" s="257" t="str">
        <f t="shared" si="2"/>
        <v xml:space="preserve"> sangat baik  dalam melaporkan hasil pengamatan tentang perpindahan kalor.</v>
      </c>
      <c r="AD26" s="257" t="str">
        <f t="shared" si="3"/>
        <v xml:space="preserve"> sangat baik  dalam melaporkan hasil pengamatan tentang perpindahan kalor.</v>
      </c>
      <c r="AE26" s="257" t="str">
        <f t="shared" si="6"/>
        <v xml:space="preserve"> sangat baik  dalam melaporkan hasil pengamatan tentang perpindahan kalor., dan  sangat baik  dalam melaporkan hasil pengamatan tentang perpindahan kalor.</v>
      </c>
      <c r="AF26" s="257" t="str">
        <f t="shared" si="7"/>
        <v xml:space="preserve"> sangat baik  dalam melaporkan hasil pengamatan tentang perpindahan kalor.</v>
      </c>
      <c r="AG26" s="258" t="str">
        <f t="shared" si="8"/>
        <v xml:space="preserve"> sangat baik  dalam melaporkan hasil pengamatan tentang perpindahan kalor.</v>
      </c>
      <c r="AH26" s="252" t="str">
        <f t="shared" si="9"/>
        <v>RIZKY sangat baik  dalam melaporkan hasil pengamatan tentang perpindahan kalor.</v>
      </c>
      <c r="AI26" s="153"/>
      <c r="AS26" s="469">
        <f t="shared" si="10"/>
        <v>90</v>
      </c>
    </row>
    <row r="27" spans="2:45" ht="63.75" customHeight="1">
      <c r="B27" s="142">
        <v>23</v>
      </c>
      <c r="C27" s="143" t="str">
        <f>SISWA!B28</f>
        <v>1718250040327</v>
      </c>
      <c r="D27" s="144" t="str">
        <f>SISWA!E28</f>
        <v>RAMADHANDANI</v>
      </c>
      <c r="E27" s="159">
        <v>80</v>
      </c>
      <c r="F27" s="160">
        <v>80</v>
      </c>
      <c r="G27" s="160">
        <v>80</v>
      </c>
      <c r="H27" s="160">
        <v>80</v>
      </c>
      <c r="I27" s="160"/>
      <c r="J27" s="159"/>
      <c r="K27" s="159"/>
      <c r="L27" s="159"/>
      <c r="M27" s="159"/>
      <c r="N27" s="159"/>
      <c r="O27" s="159"/>
      <c r="P27" s="159"/>
      <c r="Q27" s="159"/>
      <c r="R27" s="160"/>
      <c r="S27" s="160"/>
      <c r="T27" s="159"/>
      <c r="U27" s="354">
        <f t="shared" si="4"/>
        <v>80</v>
      </c>
      <c r="V27" s="355" t="str">
        <f>IF(U27&gt;KKM!$G$10,"A",IF(U27&gt;KKM!$H$10,"B",IF(U27&gt;=KKM!$I$10,"C","D")))</f>
        <v>B</v>
      </c>
      <c r="W27" s="356">
        <f t="shared" si="0"/>
        <v>80</v>
      </c>
      <c r="X27" s="361" t="str">
        <f>IF(W27&gt;KKM!$G$10," sangat baik ",IF(W27&gt;KKM!$H$10," baik ",IF(W27&gt;=KKM!$I$10," cukup baik "," perlu bimbingan ")))</f>
        <v xml:space="preserve"> baik </v>
      </c>
      <c r="Y27" s="357">
        <f t="shared" si="1"/>
        <v>80</v>
      </c>
      <c r="Z27" s="361" t="str">
        <f>IF(Y27&gt;KKM!$G$10," sangat baik ",IF(Y27&gt;KKM!$H$10," baik ",IF(Y27&gt;=KKM!$I$10," cukup baik "," perlu bimbingan ")))</f>
        <v xml:space="preserve"> baik </v>
      </c>
      <c r="AA27" s="353" t="str">
        <f t="shared" si="5"/>
        <v>RAMADHANDANI baik  dalam melaporkan hasil pengamatan tentang perpindahan kalor.</v>
      </c>
      <c r="AB27" s="256"/>
      <c r="AC27" s="257" t="str">
        <f t="shared" si="2"/>
        <v xml:space="preserve"> baik  dalam melaporkan hasil pengamatan tentang perpindahan kalor.</v>
      </c>
      <c r="AD27" s="257" t="str">
        <f t="shared" si="3"/>
        <v xml:space="preserve"> baik  dalam melaporkan hasil pengamatan tentang perpindahan kalor.</v>
      </c>
      <c r="AE27" s="257" t="str">
        <f t="shared" si="6"/>
        <v xml:space="preserve"> baik  dalam melaporkan hasil pengamatan tentang perpindahan kalor., dan  baik  dalam melaporkan hasil pengamatan tentang perpindahan kalor.</v>
      </c>
      <c r="AF27" s="257" t="str">
        <f t="shared" si="7"/>
        <v xml:space="preserve"> baik  dalam melaporkan hasil pengamatan tentang perpindahan kalor.</v>
      </c>
      <c r="AG27" s="258" t="str">
        <f t="shared" si="8"/>
        <v xml:space="preserve"> baik  dalam melaporkan hasil pengamatan tentang perpindahan kalor.</v>
      </c>
      <c r="AH27" s="252" t="str">
        <f t="shared" si="9"/>
        <v>RAMADHANDANI baik  dalam melaporkan hasil pengamatan tentang perpindahan kalor.</v>
      </c>
      <c r="AI27" s="153"/>
      <c r="AS27" s="469">
        <f t="shared" si="10"/>
        <v>80</v>
      </c>
    </row>
    <row r="28" spans="2:45" ht="63.75" customHeight="1">
      <c r="B28" s="142">
        <v>24</v>
      </c>
      <c r="C28" s="143" t="str">
        <f>SISWA!B29</f>
        <v>1718250040328</v>
      </c>
      <c r="D28" s="144" t="str">
        <f>SISWA!E29</f>
        <v>SYAEPUL</v>
      </c>
      <c r="E28" s="159">
        <v>80</v>
      </c>
      <c r="F28" s="160">
        <v>80</v>
      </c>
      <c r="G28" s="160">
        <v>80</v>
      </c>
      <c r="H28" s="160">
        <v>80</v>
      </c>
      <c r="I28" s="160"/>
      <c r="J28" s="159"/>
      <c r="K28" s="159"/>
      <c r="L28" s="159"/>
      <c r="M28" s="159"/>
      <c r="N28" s="159"/>
      <c r="O28" s="159"/>
      <c r="P28" s="159"/>
      <c r="Q28" s="159"/>
      <c r="R28" s="160"/>
      <c r="S28" s="160"/>
      <c r="T28" s="159"/>
      <c r="U28" s="354">
        <f t="shared" si="4"/>
        <v>80</v>
      </c>
      <c r="V28" s="355" t="str">
        <f>IF(U28&gt;KKM!$G$10,"A",IF(U28&gt;KKM!$H$10,"B",IF(U28&gt;=KKM!$I$10,"C","D")))</f>
        <v>B</v>
      </c>
      <c r="W28" s="356">
        <f t="shared" si="0"/>
        <v>80</v>
      </c>
      <c r="X28" s="361" t="str">
        <f>IF(W28&gt;KKM!$G$10," sangat baik ",IF(W28&gt;KKM!$H$10," baik ",IF(W28&gt;=KKM!$I$10," cukup baik "," perlu bimbingan ")))</f>
        <v xml:space="preserve"> baik </v>
      </c>
      <c r="Y28" s="357">
        <f t="shared" si="1"/>
        <v>80</v>
      </c>
      <c r="Z28" s="361" t="str">
        <f>IF(Y28&gt;KKM!$G$10," sangat baik ",IF(Y28&gt;KKM!$H$10," baik ",IF(Y28&gt;=KKM!$I$10," cukup baik "," perlu bimbingan ")))</f>
        <v xml:space="preserve"> baik </v>
      </c>
      <c r="AA28" s="353" t="str">
        <f t="shared" si="5"/>
        <v>SYAEPUL baik  dalam melaporkan hasil pengamatan tentang perpindahan kalor.</v>
      </c>
      <c r="AB28" s="256"/>
      <c r="AC28" s="257" t="str">
        <f t="shared" si="2"/>
        <v xml:space="preserve"> baik  dalam melaporkan hasil pengamatan tentang perpindahan kalor.</v>
      </c>
      <c r="AD28" s="257" t="str">
        <f t="shared" si="3"/>
        <v xml:space="preserve"> baik  dalam melaporkan hasil pengamatan tentang perpindahan kalor.</v>
      </c>
      <c r="AE28" s="257" t="str">
        <f t="shared" si="6"/>
        <v xml:space="preserve"> baik  dalam melaporkan hasil pengamatan tentang perpindahan kalor., dan  baik  dalam melaporkan hasil pengamatan tentang perpindahan kalor.</v>
      </c>
      <c r="AF28" s="257" t="str">
        <f t="shared" si="7"/>
        <v xml:space="preserve"> baik  dalam melaporkan hasil pengamatan tentang perpindahan kalor.</v>
      </c>
      <c r="AG28" s="258" t="str">
        <f t="shared" si="8"/>
        <v xml:space="preserve"> baik  dalam melaporkan hasil pengamatan tentang perpindahan kalor.</v>
      </c>
      <c r="AH28" s="252" t="str">
        <f t="shared" si="9"/>
        <v>SYAEPUL baik  dalam melaporkan hasil pengamatan tentang perpindahan kalor.</v>
      </c>
      <c r="AI28" s="153"/>
      <c r="AS28" s="469">
        <f t="shared" si="10"/>
        <v>80</v>
      </c>
    </row>
    <row r="29" spans="2:45" ht="63.75" customHeight="1">
      <c r="B29" s="142">
        <v>25</v>
      </c>
      <c r="C29" s="143" t="str">
        <f>SISWA!B30</f>
        <v>1718250040329</v>
      </c>
      <c r="D29" s="144" t="str">
        <f>SISWA!E30</f>
        <v>ALIF</v>
      </c>
      <c r="E29" s="159">
        <v>100</v>
      </c>
      <c r="F29" s="160">
        <v>100</v>
      </c>
      <c r="G29" s="160">
        <v>100</v>
      </c>
      <c r="H29" s="160">
        <v>100</v>
      </c>
      <c r="I29" s="160"/>
      <c r="J29" s="159"/>
      <c r="K29" s="159"/>
      <c r="L29" s="159"/>
      <c r="M29" s="159"/>
      <c r="N29" s="159"/>
      <c r="O29" s="159"/>
      <c r="P29" s="159"/>
      <c r="Q29" s="159"/>
      <c r="R29" s="160"/>
      <c r="S29" s="160"/>
      <c r="T29" s="159"/>
      <c r="U29" s="354">
        <f t="shared" si="4"/>
        <v>100</v>
      </c>
      <c r="V29" s="355" t="str">
        <f>IF(U29&gt;KKM!$G$10,"A",IF(U29&gt;KKM!$H$10,"B",IF(U29&gt;=KKM!$I$10,"C","D")))</f>
        <v>A</v>
      </c>
      <c r="W29" s="356">
        <f t="shared" si="0"/>
        <v>100</v>
      </c>
      <c r="X29" s="361" t="str">
        <f>IF(W29&gt;KKM!$G$10," sangat baik ",IF(W29&gt;KKM!$H$10," baik ",IF(W29&gt;=KKM!$I$10," cukup baik "," perlu bimbingan ")))</f>
        <v xml:space="preserve"> sangat baik </v>
      </c>
      <c r="Y29" s="357">
        <f t="shared" si="1"/>
        <v>100</v>
      </c>
      <c r="Z29" s="361" t="str">
        <f>IF(Y29&gt;KKM!$G$10," sangat baik ",IF(Y29&gt;KKM!$H$10," baik ",IF(Y29&gt;=KKM!$I$10," cukup baik "," perlu bimbingan ")))</f>
        <v xml:space="preserve"> sangat baik </v>
      </c>
      <c r="AA29" s="353" t="str">
        <f t="shared" si="5"/>
        <v>ALIF sangat baik  dalam melaporkan hasil pengamatan tentang perpindahan kalor.</v>
      </c>
      <c r="AB29" s="256"/>
      <c r="AC29" s="257" t="str">
        <f t="shared" si="2"/>
        <v xml:space="preserve"> sangat baik  dalam melaporkan hasil pengamatan tentang perpindahan kalor.</v>
      </c>
      <c r="AD29" s="257" t="str">
        <f t="shared" si="3"/>
        <v xml:space="preserve"> sangat baik  dalam melaporkan hasil pengamatan tentang perpindahan kalor.</v>
      </c>
      <c r="AE29" s="257" t="str">
        <f t="shared" si="6"/>
        <v xml:space="preserve"> sangat baik  dalam melaporkan hasil pengamatan tentang perpindahan kalor., dan  sangat baik  dalam melaporkan hasil pengamatan tentang perpindahan kalor.</v>
      </c>
      <c r="AF29" s="257" t="str">
        <f t="shared" si="7"/>
        <v xml:space="preserve"> sangat baik  dalam melaporkan hasil pengamatan tentang perpindahan kalor.</v>
      </c>
      <c r="AG29" s="258" t="str">
        <f t="shared" si="8"/>
        <v xml:space="preserve"> sangat baik  dalam melaporkan hasil pengamatan tentang perpindahan kalor.</v>
      </c>
      <c r="AH29" s="252" t="str">
        <f t="shared" si="9"/>
        <v>ALIF sangat baik  dalam melaporkan hasil pengamatan tentang perpindahan kalor.</v>
      </c>
      <c r="AI29" s="153"/>
      <c r="AS29" s="469">
        <f t="shared" si="10"/>
        <v>100</v>
      </c>
    </row>
    <row r="30" spans="2:45" ht="63.75" customHeight="1">
      <c r="B30" s="142">
        <v>26</v>
      </c>
      <c r="C30" s="143" t="str">
        <f>SISWA!B31</f>
        <v>1718250040330</v>
      </c>
      <c r="D30" s="144" t="str">
        <f>SISWA!E31</f>
        <v>HIZKIEL</v>
      </c>
      <c r="E30" s="159">
        <v>92.5</v>
      </c>
      <c r="F30" s="160">
        <v>92.5</v>
      </c>
      <c r="G30" s="160">
        <v>92.5</v>
      </c>
      <c r="H30" s="160">
        <v>92.5</v>
      </c>
      <c r="I30" s="160"/>
      <c r="J30" s="159"/>
      <c r="K30" s="159"/>
      <c r="L30" s="159"/>
      <c r="M30" s="159"/>
      <c r="N30" s="159"/>
      <c r="O30" s="159"/>
      <c r="P30" s="159"/>
      <c r="Q30" s="159"/>
      <c r="R30" s="160"/>
      <c r="S30" s="160"/>
      <c r="T30" s="159"/>
      <c r="U30" s="354">
        <f t="shared" si="4"/>
        <v>93</v>
      </c>
      <c r="V30" s="355" t="str">
        <f>IF(U30&gt;KKM!$G$10,"A",IF(U30&gt;KKM!$H$10,"B",IF(U30&gt;=KKM!$I$10,"C","D")))</f>
        <v>A</v>
      </c>
      <c r="W30" s="356">
        <f t="shared" si="0"/>
        <v>92.5</v>
      </c>
      <c r="X30" s="361" t="str">
        <f>IF(W30&gt;KKM!$G$10," sangat baik ",IF(W30&gt;KKM!$H$10," baik ",IF(W30&gt;=KKM!$I$10," cukup baik "," perlu bimbingan ")))</f>
        <v xml:space="preserve"> sangat baik </v>
      </c>
      <c r="Y30" s="357">
        <f t="shared" si="1"/>
        <v>92.5</v>
      </c>
      <c r="Z30" s="361" t="str">
        <f>IF(Y30&gt;KKM!$G$10," sangat baik ",IF(Y30&gt;KKM!$H$10," baik ",IF(Y30&gt;=KKM!$I$10," cukup baik "," perlu bimbingan ")))</f>
        <v xml:space="preserve"> sangat baik </v>
      </c>
      <c r="AA30" s="353" t="str">
        <f t="shared" si="5"/>
        <v>HIZKIEL sangat baik  dalam melaporkan hasil pengamatan tentang perpindahan kalor.</v>
      </c>
      <c r="AB30" s="256"/>
      <c r="AC30" s="257" t="str">
        <f t="shared" si="2"/>
        <v xml:space="preserve"> sangat baik  dalam melaporkan hasil pengamatan tentang perpindahan kalor.</v>
      </c>
      <c r="AD30" s="257" t="str">
        <f t="shared" si="3"/>
        <v xml:space="preserve"> sangat baik  dalam melaporkan hasil pengamatan tentang perpindahan kalor.</v>
      </c>
      <c r="AE30" s="257" t="str">
        <f t="shared" si="6"/>
        <v xml:space="preserve"> sangat baik  dalam melaporkan hasil pengamatan tentang perpindahan kalor., dan  sangat baik  dalam melaporkan hasil pengamatan tentang perpindahan kalor.</v>
      </c>
      <c r="AF30" s="257" t="str">
        <f t="shared" si="7"/>
        <v xml:space="preserve"> sangat baik  dalam melaporkan hasil pengamatan tentang perpindahan kalor.</v>
      </c>
      <c r="AG30" s="258" t="str">
        <f t="shared" si="8"/>
        <v xml:space="preserve"> sangat baik  dalam melaporkan hasil pengamatan tentang perpindahan kalor.</v>
      </c>
      <c r="AH30" s="252" t="str">
        <f t="shared" si="9"/>
        <v>HIZKIEL sangat baik  dalam melaporkan hasil pengamatan tentang perpindahan kalor.</v>
      </c>
      <c r="AI30" s="153"/>
      <c r="AS30" s="469">
        <f t="shared" si="10"/>
        <v>93</v>
      </c>
    </row>
    <row r="31" spans="2:45" ht="63.75" customHeight="1">
      <c r="B31" s="142">
        <v>27</v>
      </c>
      <c r="C31" s="143" t="str">
        <f>SISWA!B32</f>
        <v>1718250040331</v>
      </c>
      <c r="D31" s="144" t="str">
        <f>SISWA!E32</f>
        <v>LAEL</v>
      </c>
      <c r="E31" s="159">
        <v>92.5</v>
      </c>
      <c r="F31" s="160">
        <v>92.5</v>
      </c>
      <c r="G31" s="160">
        <v>92.5</v>
      </c>
      <c r="H31" s="160">
        <v>92.5</v>
      </c>
      <c r="I31" s="160"/>
      <c r="J31" s="159"/>
      <c r="K31" s="159"/>
      <c r="L31" s="159"/>
      <c r="M31" s="159"/>
      <c r="N31" s="159"/>
      <c r="O31" s="159"/>
      <c r="P31" s="159"/>
      <c r="Q31" s="159"/>
      <c r="R31" s="160"/>
      <c r="S31" s="160"/>
      <c r="T31" s="159"/>
      <c r="U31" s="354">
        <f t="shared" si="4"/>
        <v>93</v>
      </c>
      <c r="V31" s="355" t="str">
        <f>IF(U31&gt;KKM!$G$10,"A",IF(U31&gt;KKM!$H$10,"B",IF(U31&gt;=KKM!$I$10,"C","D")))</f>
        <v>A</v>
      </c>
      <c r="W31" s="356">
        <f t="shared" si="0"/>
        <v>92.5</v>
      </c>
      <c r="X31" s="361" t="str">
        <f>IF(W31&gt;KKM!$G$10," sangat baik ",IF(W31&gt;KKM!$H$10," baik ",IF(W31&gt;=KKM!$I$10," cukup baik "," perlu bimbingan ")))</f>
        <v xml:space="preserve"> sangat baik </v>
      </c>
      <c r="Y31" s="357">
        <f t="shared" si="1"/>
        <v>92.5</v>
      </c>
      <c r="Z31" s="361" t="str">
        <f>IF(Y31&gt;KKM!$G$10," sangat baik ",IF(Y31&gt;KKM!$H$10," baik ",IF(Y31&gt;=KKM!$I$10," cukup baik "," perlu bimbingan ")))</f>
        <v xml:space="preserve"> sangat baik </v>
      </c>
      <c r="AA31" s="353" t="str">
        <f t="shared" si="5"/>
        <v>LAEL sangat baik  dalam melaporkan hasil pengamatan tentang perpindahan kalor.</v>
      </c>
      <c r="AB31" s="256"/>
      <c r="AC31" s="257" t="str">
        <f t="shared" si="2"/>
        <v xml:space="preserve"> sangat baik  dalam melaporkan hasil pengamatan tentang perpindahan kalor.</v>
      </c>
      <c r="AD31" s="257" t="str">
        <f t="shared" si="3"/>
        <v xml:space="preserve"> sangat baik  dalam melaporkan hasil pengamatan tentang perpindahan kalor.</v>
      </c>
      <c r="AE31" s="257" t="str">
        <f t="shared" si="6"/>
        <v xml:space="preserve"> sangat baik  dalam melaporkan hasil pengamatan tentang perpindahan kalor., dan  sangat baik  dalam melaporkan hasil pengamatan tentang perpindahan kalor.</v>
      </c>
      <c r="AF31" s="257" t="str">
        <f t="shared" si="7"/>
        <v xml:space="preserve"> sangat baik  dalam melaporkan hasil pengamatan tentang perpindahan kalor.</v>
      </c>
      <c r="AG31" s="258" t="str">
        <f t="shared" si="8"/>
        <v xml:space="preserve"> sangat baik  dalam melaporkan hasil pengamatan tentang perpindahan kalor.</v>
      </c>
      <c r="AH31" s="252" t="str">
        <f t="shared" si="9"/>
        <v>LAEL sangat baik  dalam melaporkan hasil pengamatan tentang perpindahan kalor.</v>
      </c>
      <c r="AI31" s="153"/>
      <c r="AS31" s="469">
        <f t="shared" si="10"/>
        <v>93</v>
      </c>
    </row>
    <row r="32" spans="2:45" ht="63.75" customHeight="1">
      <c r="B32" s="142">
        <v>28</v>
      </c>
      <c r="C32" s="143" t="str">
        <f>SISWA!B33</f>
        <v>1718250040332</v>
      </c>
      <c r="D32" s="144" t="str">
        <f>SISWA!E33</f>
        <v>NABIL</v>
      </c>
      <c r="E32" s="159">
        <v>85</v>
      </c>
      <c r="F32" s="160">
        <v>85</v>
      </c>
      <c r="G32" s="160">
        <v>85</v>
      </c>
      <c r="H32" s="160">
        <v>85</v>
      </c>
      <c r="I32" s="160"/>
      <c r="J32" s="159"/>
      <c r="K32" s="159"/>
      <c r="L32" s="159"/>
      <c r="M32" s="159"/>
      <c r="N32" s="159"/>
      <c r="O32" s="159"/>
      <c r="P32" s="159"/>
      <c r="Q32" s="159"/>
      <c r="R32" s="160"/>
      <c r="S32" s="160"/>
      <c r="T32" s="159"/>
      <c r="U32" s="354">
        <f t="shared" si="4"/>
        <v>85</v>
      </c>
      <c r="V32" s="355" t="str">
        <f>IF(U32&gt;KKM!$G$10,"A",IF(U32&gt;KKM!$H$10,"B",IF(U32&gt;=KKM!$I$10,"C","D")))</f>
        <v>B</v>
      </c>
      <c r="W32" s="356">
        <f t="shared" si="0"/>
        <v>85</v>
      </c>
      <c r="X32" s="361" t="str">
        <f>IF(W32&gt;KKM!$G$10," sangat baik ",IF(W32&gt;KKM!$H$10," baik ",IF(W32&gt;=KKM!$I$10," cukup baik "," perlu bimbingan ")))</f>
        <v xml:space="preserve"> baik </v>
      </c>
      <c r="Y32" s="357">
        <f t="shared" si="1"/>
        <v>85</v>
      </c>
      <c r="Z32" s="361" t="str">
        <f>IF(Y32&gt;KKM!$G$10," sangat baik ",IF(Y32&gt;KKM!$H$10," baik ",IF(Y32&gt;=KKM!$I$10," cukup baik "," perlu bimbingan ")))</f>
        <v xml:space="preserve"> baik </v>
      </c>
      <c r="AA32" s="353" t="str">
        <f t="shared" si="5"/>
        <v>NABIL baik  dalam melaporkan hasil pengamatan tentang perpindahan kalor.</v>
      </c>
      <c r="AB32" s="256"/>
      <c r="AC32" s="257" t="str">
        <f t="shared" si="2"/>
        <v xml:space="preserve"> baik  dalam melaporkan hasil pengamatan tentang perpindahan kalor.</v>
      </c>
      <c r="AD32" s="257" t="str">
        <f t="shared" si="3"/>
        <v xml:space="preserve"> baik  dalam melaporkan hasil pengamatan tentang perpindahan kalor.</v>
      </c>
      <c r="AE32" s="257" t="str">
        <f t="shared" si="6"/>
        <v xml:space="preserve"> baik  dalam melaporkan hasil pengamatan tentang perpindahan kalor., dan  baik  dalam melaporkan hasil pengamatan tentang perpindahan kalor.</v>
      </c>
      <c r="AF32" s="257" t="str">
        <f t="shared" si="7"/>
        <v xml:space="preserve"> baik  dalam melaporkan hasil pengamatan tentang perpindahan kalor.</v>
      </c>
      <c r="AG32" s="258" t="str">
        <f t="shared" si="8"/>
        <v xml:space="preserve"> baik  dalam melaporkan hasil pengamatan tentang perpindahan kalor.</v>
      </c>
      <c r="AH32" s="252" t="str">
        <f t="shared" si="9"/>
        <v>NABIL baik  dalam melaporkan hasil pengamatan tentang perpindahan kalor.</v>
      </c>
      <c r="AI32" s="153"/>
      <c r="AS32" s="469">
        <f t="shared" si="10"/>
        <v>85</v>
      </c>
    </row>
    <row r="33" spans="2:45" ht="63.75" customHeight="1">
      <c r="B33" s="142">
        <v>29</v>
      </c>
      <c r="C33" s="143" t="str">
        <f>SISWA!B34</f>
        <v>1718250040333</v>
      </c>
      <c r="D33" s="144" t="str">
        <f>SISWA!E34</f>
        <v>RASYA</v>
      </c>
      <c r="E33" s="159">
        <v>75</v>
      </c>
      <c r="F33" s="160">
        <v>75</v>
      </c>
      <c r="G33" s="160">
        <v>75</v>
      </c>
      <c r="H33" s="160">
        <v>75</v>
      </c>
      <c r="I33" s="160"/>
      <c r="J33" s="159"/>
      <c r="K33" s="159"/>
      <c r="L33" s="159"/>
      <c r="M33" s="159"/>
      <c r="N33" s="159"/>
      <c r="O33" s="159"/>
      <c r="P33" s="159"/>
      <c r="Q33" s="159"/>
      <c r="R33" s="160"/>
      <c r="S33" s="160"/>
      <c r="T33" s="159"/>
      <c r="U33" s="354">
        <f t="shared" si="4"/>
        <v>75</v>
      </c>
      <c r="V33" s="355" t="str">
        <f>IF(U33&gt;KKM!$G$10,"A",IF(U33&gt;KKM!$H$10,"B",IF(U33&gt;=KKM!$I$10,"C","D")))</f>
        <v>C</v>
      </c>
      <c r="W33" s="356">
        <f t="shared" si="0"/>
        <v>75</v>
      </c>
      <c r="X33" s="361" t="str">
        <f>IF(W33&gt;KKM!$G$10," sangat baik ",IF(W33&gt;KKM!$H$10," baik ",IF(W33&gt;=KKM!$I$10," cukup baik "," perlu bimbingan ")))</f>
        <v xml:space="preserve"> cukup baik </v>
      </c>
      <c r="Y33" s="357">
        <f t="shared" si="1"/>
        <v>75</v>
      </c>
      <c r="Z33" s="361" t="str">
        <f>IF(Y33&gt;KKM!$G$10," sangat baik ",IF(Y33&gt;KKM!$H$10," baik ",IF(Y33&gt;=KKM!$I$10," cukup baik "," perlu bimbingan ")))</f>
        <v xml:space="preserve"> cukup baik </v>
      </c>
      <c r="AA33" s="353" t="str">
        <f t="shared" si="5"/>
        <v>RASYA cukup baik  dalam melaporkan hasil pengamatan tentang perpindahan kalor.</v>
      </c>
      <c r="AB33" s="256"/>
      <c r="AC33" s="257" t="str">
        <f t="shared" si="2"/>
        <v xml:space="preserve"> cukup baik  dalam melaporkan hasil pengamatan tentang perpindahan kalor.</v>
      </c>
      <c r="AD33" s="257" t="str">
        <f t="shared" si="3"/>
        <v xml:space="preserve"> cukup baik  dalam melaporkan hasil pengamatan tentang perpindahan kalor.</v>
      </c>
      <c r="AE33" s="257" t="str">
        <f t="shared" si="6"/>
        <v xml:space="preserve"> cukup baik  dalam melaporkan hasil pengamatan tentang perpindahan kalor., dan  cukup baik  dalam melaporkan hasil pengamatan tentang perpindahan kalor.</v>
      </c>
      <c r="AF33" s="257" t="str">
        <f t="shared" si="7"/>
        <v xml:space="preserve"> cukup baik  dalam melaporkan hasil pengamatan tentang perpindahan kalor.</v>
      </c>
      <c r="AG33" s="258" t="str">
        <f t="shared" si="8"/>
        <v xml:space="preserve"> cukup baik  dalam melaporkan hasil pengamatan tentang perpindahan kalor.</v>
      </c>
      <c r="AH33" s="252" t="str">
        <f t="shared" si="9"/>
        <v>RASYA cukup baik  dalam melaporkan hasil pengamatan tentang perpindahan kalor.</v>
      </c>
      <c r="AI33" s="153"/>
      <c r="AS33" s="469">
        <f t="shared" si="10"/>
        <v>75</v>
      </c>
    </row>
    <row r="34" spans="2:45" ht="63.75" customHeight="1">
      <c r="B34" s="142">
        <v>30</v>
      </c>
      <c r="C34" s="143" t="str">
        <f>SISWA!B35</f>
        <v>1718250040334</v>
      </c>
      <c r="D34" s="144" t="str">
        <f>SISWA!E35</f>
        <v>RIZKI</v>
      </c>
      <c r="E34" s="159">
        <v>92.5</v>
      </c>
      <c r="F34" s="160">
        <v>92.5</v>
      </c>
      <c r="G34" s="160">
        <v>92.5</v>
      </c>
      <c r="H34" s="160">
        <v>92.5</v>
      </c>
      <c r="I34" s="160"/>
      <c r="J34" s="159"/>
      <c r="K34" s="159"/>
      <c r="L34" s="159"/>
      <c r="M34" s="159"/>
      <c r="N34" s="159"/>
      <c r="O34" s="159"/>
      <c r="P34" s="159"/>
      <c r="Q34" s="159"/>
      <c r="R34" s="160"/>
      <c r="S34" s="160"/>
      <c r="T34" s="159"/>
      <c r="U34" s="354">
        <f t="shared" si="4"/>
        <v>93</v>
      </c>
      <c r="V34" s="355" t="str">
        <f>IF(U34&gt;KKM!$G$10,"A",IF(U34&gt;KKM!$H$10,"B",IF(U34&gt;=KKM!$I$10,"C","D")))</f>
        <v>A</v>
      </c>
      <c r="W34" s="356">
        <f t="shared" si="0"/>
        <v>92.5</v>
      </c>
      <c r="X34" s="361" t="str">
        <f>IF(W34&gt;KKM!$G$10," sangat baik ",IF(W34&gt;KKM!$H$10," baik ",IF(W34&gt;=KKM!$I$10," cukup baik "," perlu bimbingan ")))</f>
        <v xml:space="preserve"> sangat baik </v>
      </c>
      <c r="Y34" s="357">
        <f t="shared" si="1"/>
        <v>92.5</v>
      </c>
      <c r="Z34" s="361" t="str">
        <f>IF(Y34&gt;KKM!$G$10," sangat baik ",IF(Y34&gt;KKM!$H$10," baik ",IF(Y34&gt;=KKM!$I$10," cukup baik "," perlu bimbingan ")))</f>
        <v xml:space="preserve"> sangat baik </v>
      </c>
      <c r="AA34" s="353" t="str">
        <f t="shared" si="5"/>
        <v>RIZKI sangat baik  dalam melaporkan hasil pengamatan tentang perpindahan kalor.</v>
      </c>
      <c r="AB34" s="256"/>
      <c r="AC34" s="257" t="str">
        <f t="shared" si="2"/>
        <v xml:space="preserve"> sangat baik  dalam melaporkan hasil pengamatan tentang perpindahan kalor.</v>
      </c>
      <c r="AD34" s="257" t="str">
        <f t="shared" si="3"/>
        <v xml:space="preserve"> sangat baik  dalam melaporkan hasil pengamatan tentang perpindahan kalor.</v>
      </c>
      <c r="AE34" s="257" t="str">
        <f t="shared" si="6"/>
        <v xml:space="preserve"> sangat baik  dalam melaporkan hasil pengamatan tentang perpindahan kalor., dan  sangat baik  dalam melaporkan hasil pengamatan tentang perpindahan kalor.</v>
      </c>
      <c r="AF34" s="257" t="str">
        <f t="shared" si="7"/>
        <v xml:space="preserve"> sangat baik  dalam melaporkan hasil pengamatan tentang perpindahan kalor.</v>
      </c>
      <c r="AG34" s="258" t="str">
        <f t="shared" si="8"/>
        <v xml:space="preserve"> sangat baik  dalam melaporkan hasil pengamatan tentang perpindahan kalor.</v>
      </c>
      <c r="AH34" s="252" t="str">
        <f t="shared" si="9"/>
        <v>RIZKI sangat baik  dalam melaporkan hasil pengamatan tentang perpindahan kalor.</v>
      </c>
      <c r="AI34" s="153"/>
      <c r="AS34" s="469">
        <f t="shared" si="10"/>
        <v>93</v>
      </c>
    </row>
    <row r="35" spans="2:45" ht="63.75" customHeight="1">
      <c r="B35" s="142">
        <v>31</v>
      </c>
      <c r="C35" s="143" t="str">
        <f>SISWA!B36</f>
        <v>1718250040335</v>
      </c>
      <c r="D35" s="144" t="str">
        <f>SISWA!E36</f>
        <v>SATRIA</v>
      </c>
      <c r="E35" s="159">
        <v>80</v>
      </c>
      <c r="F35" s="160">
        <v>80</v>
      </c>
      <c r="G35" s="160">
        <v>80</v>
      </c>
      <c r="H35" s="160">
        <v>80</v>
      </c>
      <c r="I35" s="160"/>
      <c r="J35" s="159"/>
      <c r="K35" s="159"/>
      <c r="L35" s="159"/>
      <c r="M35" s="159"/>
      <c r="N35" s="159"/>
      <c r="O35" s="159"/>
      <c r="P35" s="159"/>
      <c r="Q35" s="159"/>
      <c r="R35" s="160"/>
      <c r="S35" s="160"/>
      <c r="T35" s="159"/>
      <c r="U35" s="354">
        <f t="shared" si="4"/>
        <v>80</v>
      </c>
      <c r="V35" s="355" t="str">
        <f>IF(U35&gt;KKM!$G$10,"A",IF(U35&gt;KKM!$H$10,"B",IF(U35&gt;=KKM!$I$10,"C","D")))</f>
        <v>B</v>
      </c>
      <c r="W35" s="356">
        <f t="shared" si="0"/>
        <v>80</v>
      </c>
      <c r="X35" s="361" t="str">
        <f>IF(W35&gt;KKM!$G$10," sangat baik ",IF(W35&gt;KKM!$H$10," baik ",IF(W35&gt;=KKM!$I$10," cukup baik "," perlu bimbingan ")))</f>
        <v xml:space="preserve"> baik </v>
      </c>
      <c r="Y35" s="357">
        <f t="shared" si="1"/>
        <v>80</v>
      </c>
      <c r="Z35" s="361" t="str">
        <f>IF(Y35&gt;KKM!$G$10," sangat baik ",IF(Y35&gt;KKM!$H$10," baik ",IF(Y35&gt;=KKM!$I$10," cukup baik "," perlu bimbingan ")))</f>
        <v xml:space="preserve"> baik </v>
      </c>
      <c r="AA35" s="353" t="str">
        <f t="shared" si="5"/>
        <v>SATRIA baik  dalam melaporkan hasil pengamatan tentang perpindahan kalor.</v>
      </c>
      <c r="AB35" s="256"/>
      <c r="AC35" s="257" t="str">
        <f t="shared" si="2"/>
        <v xml:space="preserve"> baik  dalam melaporkan hasil pengamatan tentang perpindahan kalor.</v>
      </c>
      <c r="AD35" s="257" t="str">
        <f t="shared" si="3"/>
        <v xml:space="preserve"> baik  dalam melaporkan hasil pengamatan tentang perpindahan kalor.</v>
      </c>
      <c r="AE35" s="257" t="str">
        <f t="shared" si="6"/>
        <v xml:space="preserve"> baik  dalam melaporkan hasil pengamatan tentang perpindahan kalor., dan  baik  dalam melaporkan hasil pengamatan tentang perpindahan kalor.</v>
      </c>
      <c r="AF35" s="257" t="str">
        <f t="shared" si="7"/>
        <v xml:space="preserve"> baik  dalam melaporkan hasil pengamatan tentang perpindahan kalor.</v>
      </c>
      <c r="AG35" s="258" t="str">
        <f t="shared" si="8"/>
        <v xml:space="preserve"> baik  dalam melaporkan hasil pengamatan tentang perpindahan kalor.</v>
      </c>
      <c r="AH35" s="252" t="str">
        <f t="shared" si="9"/>
        <v>SATRIA baik  dalam melaporkan hasil pengamatan tentang perpindahan kalor.</v>
      </c>
      <c r="AI35" s="153"/>
      <c r="AS35" s="469">
        <f t="shared" si="10"/>
        <v>80</v>
      </c>
    </row>
    <row r="36" spans="2:45" ht="63.75" customHeight="1">
      <c r="B36" s="142">
        <v>32</v>
      </c>
      <c r="C36" s="143" t="str">
        <f>SISWA!B37</f>
        <v>1718250040336</v>
      </c>
      <c r="D36" s="144" t="str">
        <f>SISWA!E37</f>
        <v>NADIA</v>
      </c>
      <c r="E36" s="159">
        <v>87.5</v>
      </c>
      <c r="F36" s="160">
        <v>87.5</v>
      </c>
      <c r="G36" s="160">
        <v>87.5</v>
      </c>
      <c r="H36" s="160">
        <v>87.5</v>
      </c>
      <c r="I36" s="160"/>
      <c r="J36" s="159"/>
      <c r="K36" s="159"/>
      <c r="L36" s="159"/>
      <c r="M36" s="159"/>
      <c r="N36" s="159"/>
      <c r="O36" s="159"/>
      <c r="P36" s="159"/>
      <c r="Q36" s="159"/>
      <c r="R36" s="160"/>
      <c r="S36" s="160"/>
      <c r="T36" s="159"/>
      <c r="U36" s="354">
        <f t="shared" si="4"/>
        <v>88</v>
      </c>
      <c r="V36" s="355" t="str">
        <f>IF(U36&gt;KKM!$G$10,"A",IF(U36&gt;KKM!$H$10,"B",IF(U36&gt;=KKM!$I$10,"C","D")))</f>
        <v>A</v>
      </c>
      <c r="W36" s="356">
        <f t="shared" si="0"/>
        <v>87.5</v>
      </c>
      <c r="X36" s="361" t="str">
        <f>IF(W36&gt;KKM!$G$10," sangat baik ",IF(W36&gt;KKM!$H$10," baik ",IF(W36&gt;=KKM!$I$10," cukup baik "," perlu bimbingan ")))</f>
        <v xml:space="preserve"> sangat baik </v>
      </c>
      <c r="Y36" s="357">
        <f t="shared" si="1"/>
        <v>87.5</v>
      </c>
      <c r="Z36" s="361" t="str">
        <f>IF(Y36&gt;KKM!$G$10," sangat baik ",IF(Y36&gt;KKM!$H$10," baik ",IF(Y36&gt;=KKM!$I$10," cukup baik "," perlu bimbingan ")))</f>
        <v xml:space="preserve"> sangat baik </v>
      </c>
      <c r="AA36" s="353" t="str">
        <f t="shared" si="5"/>
        <v>NADIA sangat baik  dalam melaporkan hasil pengamatan tentang perpindahan kalor.</v>
      </c>
      <c r="AB36" s="256"/>
      <c r="AC36" s="257" t="str">
        <f t="shared" si="2"/>
        <v xml:space="preserve"> sangat baik  dalam melaporkan hasil pengamatan tentang perpindahan kalor.</v>
      </c>
      <c r="AD36" s="257" t="str">
        <f t="shared" si="3"/>
        <v xml:space="preserve"> sangat baik  dalam melaporkan hasil pengamatan tentang perpindahan kalor.</v>
      </c>
      <c r="AE36" s="257" t="str">
        <f t="shared" si="6"/>
        <v xml:space="preserve"> sangat baik  dalam melaporkan hasil pengamatan tentang perpindahan kalor., dan  sangat baik  dalam melaporkan hasil pengamatan tentang perpindahan kalor.</v>
      </c>
      <c r="AF36" s="257" t="str">
        <f t="shared" si="7"/>
        <v xml:space="preserve"> sangat baik  dalam melaporkan hasil pengamatan tentang perpindahan kalor.</v>
      </c>
      <c r="AG36" s="258" t="str">
        <f t="shared" si="8"/>
        <v xml:space="preserve"> sangat baik  dalam melaporkan hasil pengamatan tentang perpindahan kalor.</v>
      </c>
      <c r="AH36" s="252" t="str">
        <f t="shared" si="9"/>
        <v>NADIA sangat baik  dalam melaporkan hasil pengamatan tentang perpindahan kalor.</v>
      </c>
      <c r="AI36" s="153"/>
      <c r="AS36" s="469">
        <f t="shared" si="10"/>
        <v>88</v>
      </c>
    </row>
    <row r="37" spans="2:45" ht="63.75" customHeight="1">
      <c r="B37" s="142">
        <v>33</v>
      </c>
      <c r="C37" s="143" t="str">
        <f>SISWA!B38</f>
        <v>1718250040337</v>
      </c>
      <c r="D37" s="144" t="str">
        <f>SISWA!E38</f>
        <v>NAFILA</v>
      </c>
      <c r="E37" s="159">
        <v>80</v>
      </c>
      <c r="F37" s="160">
        <v>80</v>
      </c>
      <c r="G37" s="160">
        <v>80</v>
      </c>
      <c r="H37" s="160">
        <v>80</v>
      </c>
      <c r="I37" s="160"/>
      <c r="J37" s="159"/>
      <c r="K37" s="159"/>
      <c r="L37" s="159"/>
      <c r="M37" s="159"/>
      <c r="N37" s="159"/>
      <c r="O37" s="159"/>
      <c r="P37" s="159"/>
      <c r="Q37" s="159"/>
      <c r="R37" s="160"/>
      <c r="S37" s="160"/>
      <c r="T37" s="159"/>
      <c r="U37" s="354">
        <f t="shared" si="4"/>
        <v>80</v>
      </c>
      <c r="V37" s="355" t="str">
        <f>IF(U37&gt;KKM!$G$10,"A",IF(U37&gt;KKM!$H$10,"B",IF(U37&gt;=KKM!$I$10,"C","D")))</f>
        <v>B</v>
      </c>
      <c r="W37" s="356">
        <f t="shared" si="0"/>
        <v>80</v>
      </c>
      <c r="X37" s="361" t="str">
        <f>IF(W37&gt;KKM!$G$10," sangat baik ",IF(W37&gt;KKM!$H$10," baik ",IF(W37&gt;=KKM!$I$10," cukup baik "," perlu bimbingan ")))</f>
        <v xml:space="preserve"> baik </v>
      </c>
      <c r="Y37" s="357">
        <f t="shared" si="1"/>
        <v>80</v>
      </c>
      <c r="Z37" s="361" t="str">
        <f>IF(Y37&gt;KKM!$G$10," sangat baik ",IF(Y37&gt;KKM!$H$10," baik ",IF(Y37&gt;=KKM!$I$10," cukup baik "," perlu bimbingan ")))</f>
        <v xml:space="preserve"> baik </v>
      </c>
      <c r="AA37" s="353" t="str">
        <f t="shared" si="5"/>
        <v>NAFILA baik  dalam melaporkan hasil pengamatan tentang perpindahan kalor.</v>
      </c>
      <c r="AB37" s="256"/>
      <c r="AC37" s="257" t="str">
        <f t="shared" si="2"/>
        <v xml:space="preserve"> baik  dalam melaporkan hasil pengamatan tentang perpindahan kalor.</v>
      </c>
      <c r="AD37" s="257" t="str">
        <f t="shared" si="3"/>
        <v xml:space="preserve"> baik  dalam melaporkan hasil pengamatan tentang perpindahan kalor.</v>
      </c>
      <c r="AE37" s="257" t="str">
        <f t="shared" si="6"/>
        <v xml:space="preserve"> baik  dalam melaporkan hasil pengamatan tentang perpindahan kalor., dan  baik  dalam melaporkan hasil pengamatan tentang perpindahan kalor.</v>
      </c>
      <c r="AF37" s="257" t="str">
        <f t="shared" si="7"/>
        <v xml:space="preserve"> baik  dalam melaporkan hasil pengamatan tentang perpindahan kalor.</v>
      </c>
      <c r="AG37" s="258" t="str">
        <f t="shared" si="8"/>
        <v xml:space="preserve"> baik  dalam melaporkan hasil pengamatan tentang perpindahan kalor.</v>
      </c>
      <c r="AH37" s="252" t="str">
        <f t="shared" si="9"/>
        <v>NAFILA baik  dalam melaporkan hasil pengamatan tentang perpindahan kalor.</v>
      </c>
      <c r="AI37" s="153"/>
      <c r="AS37" s="469">
        <f t="shared" si="10"/>
        <v>80</v>
      </c>
    </row>
    <row r="38" spans="2:45" ht="63.75" customHeight="1">
      <c r="B38" s="142">
        <v>34</v>
      </c>
      <c r="C38" s="143" t="str">
        <f>SISWA!B39</f>
        <v>1718250040338</v>
      </c>
      <c r="D38" s="144" t="str">
        <f>SISWA!E39</f>
        <v>NAZZALA</v>
      </c>
      <c r="E38" s="159">
        <v>85</v>
      </c>
      <c r="F38" s="160">
        <v>85</v>
      </c>
      <c r="G38" s="160">
        <v>85</v>
      </c>
      <c r="H38" s="160">
        <v>85</v>
      </c>
      <c r="I38" s="160"/>
      <c r="J38" s="159"/>
      <c r="K38" s="159"/>
      <c r="L38" s="159"/>
      <c r="M38" s="159"/>
      <c r="N38" s="159"/>
      <c r="O38" s="159"/>
      <c r="P38" s="159"/>
      <c r="Q38" s="159"/>
      <c r="R38" s="160"/>
      <c r="S38" s="160"/>
      <c r="T38" s="159"/>
      <c r="U38" s="354">
        <f t="shared" si="4"/>
        <v>85</v>
      </c>
      <c r="V38" s="355" t="str">
        <f>IF(U38&gt;KKM!$G$10,"A",IF(U38&gt;KKM!$H$10,"B",IF(U38&gt;=KKM!$I$10,"C","D")))</f>
        <v>B</v>
      </c>
      <c r="W38" s="356">
        <f t="shared" si="0"/>
        <v>85</v>
      </c>
      <c r="X38" s="361" t="str">
        <f>IF(W38&gt;KKM!$G$10," sangat baik ",IF(W38&gt;KKM!$H$10," baik ",IF(W38&gt;=KKM!$I$10," cukup baik "," perlu bimbingan ")))</f>
        <v xml:space="preserve"> baik </v>
      </c>
      <c r="Y38" s="357">
        <f t="shared" si="1"/>
        <v>85</v>
      </c>
      <c r="Z38" s="361" t="str">
        <f>IF(Y38&gt;KKM!$G$10," sangat baik ",IF(Y38&gt;KKM!$H$10," baik ",IF(Y38&gt;=KKM!$I$10," cukup baik "," perlu bimbingan ")))</f>
        <v xml:space="preserve"> baik </v>
      </c>
      <c r="AA38" s="353" t="str">
        <f t="shared" si="5"/>
        <v>NAZZALA baik  dalam melaporkan hasil pengamatan tentang perpindahan kalor.</v>
      </c>
      <c r="AB38" s="256"/>
      <c r="AC38" s="257" t="str">
        <f t="shared" si="2"/>
        <v xml:space="preserve"> baik  dalam melaporkan hasil pengamatan tentang perpindahan kalor.</v>
      </c>
      <c r="AD38" s="257" t="str">
        <f t="shared" si="3"/>
        <v xml:space="preserve"> baik  dalam melaporkan hasil pengamatan tentang perpindahan kalor.</v>
      </c>
      <c r="AE38" s="257" t="str">
        <f t="shared" si="6"/>
        <v xml:space="preserve"> baik  dalam melaporkan hasil pengamatan tentang perpindahan kalor., dan  baik  dalam melaporkan hasil pengamatan tentang perpindahan kalor.</v>
      </c>
      <c r="AF38" s="257" t="str">
        <f t="shared" si="7"/>
        <v xml:space="preserve"> baik  dalam melaporkan hasil pengamatan tentang perpindahan kalor.</v>
      </c>
      <c r="AG38" s="258" t="str">
        <f t="shared" si="8"/>
        <v xml:space="preserve"> baik  dalam melaporkan hasil pengamatan tentang perpindahan kalor.</v>
      </c>
      <c r="AH38" s="252" t="str">
        <f t="shared" si="9"/>
        <v>NAZZALA baik  dalam melaporkan hasil pengamatan tentang perpindahan kalor.</v>
      </c>
      <c r="AI38" s="153"/>
      <c r="AS38" s="469">
        <f t="shared" si="10"/>
        <v>85</v>
      </c>
    </row>
    <row r="39" spans="2:45" ht="63.75" customHeight="1">
      <c r="B39" s="142">
        <v>35</v>
      </c>
      <c r="C39" s="143" t="str">
        <f>SISWA!B40</f>
        <v>1718250040339</v>
      </c>
      <c r="D39" s="144" t="str">
        <f>SISWA!E40</f>
        <v>RAFAREL</v>
      </c>
      <c r="E39" s="159">
        <v>72.5</v>
      </c>
      <c r="F39" s="160">
        <v>72.5</v>
      </c>
      <c r="G39" s="160">
        <v>72.5</v>
      </c>
      <c r="H39" s="160">
        <v>72.5</v>
      </c>
      <c r="I39" s="160"/>
      <c r="J39" s="159"/>
      <c r="K39" s="159"/>
      <c r="L39" s="159"/>
      <c r="M39" s="159"/>
      <c r="N39" s="159"/>
      <c r="O39" s="159"/>
      <c r="P39" s="159"/>
      <c r="Q39" s="159"/>
      <c r="R39" s="160"/>
      <c r="S39" s="160"/>
      <c r="T39" s="159"/>
      <c r="U39" s="354">
        <f t="shared" si="4"/>
        <v>73</v>
      </c>
      <c r="V39" s="355" t="str">
        <f>IF(U39&gt;KKM!$G$10,"A",IF(U39&gt;KKM!$H$10,"B",IF(U39&gt;=KKM!$I$10,"C","D")))</f>
        <v>C</v>
      </c>
      <c r="W39" s="356">
        <f t="shared" si="0"/>
        <v>72.5</v>
      </c>
      <c r="X39" s="361" t="str">
        <f>IF(W39&gt;KKM!$G$10," sangat baik ",IF(W39&gt;KKM!$H$10," baik ",IF(W39&gt;=KKM!$I$10," cukup baik "," perlu bimbingan ")))</f>
        <v xml:space="preserve"> cukup baik </v>
      </c>
      <c r="Y39" s="357">
        <f t="shared" si="1"/>
        <v>72.5</v>
      </c>
      <c r="Z39" s="361" t="str">
        <f>IF(Y39&gt;KKM!$G$10," sangat baik ",IF(Y39&gt;KKM!$H$10," baik ",IF(Y39&gt;=KKM!$I$10," cukup baik "," perlu bimbingan ")))</f>
        <v xml:space="preserve"> cukup baik </v>
      </c>
      <c r="AA39" s="353" t="str">
        <f t="shared" si="5"/>
        <v>RAFAREL cukup baik  dalam melaporkan hasil pengamatan tentang perpindahan kalor.</v>
      </c>
      <c r="AB39" s="256"/>
      <c r="AC39" s="257" t="str">
        <f t="shared" si="2"/>
        <v xml:space="preserve"> cukup baik  dalam melaporkan hasil pengamatan tentang perpindahan kalor.</v>
      </c>
      <c r="AD39" s="257" t="str">
        <f t="shared" si="3"/>
        <v xml:space="preserve"> cukup baik  dalam melaporkan hasil pengamatan tentang perpindahan kalor.</v>
      </c>
      <c r="AE39" s="257" t="str">
        <f t="shared" si="6"/>
        <v xml:space="preserve"> cukup baik  dalam melaporkan hasil pengamatan tentang perpindahan kalor., dan  cukup baik  dalam melaporkan hasil pengamatan tentang perpindahan kalor.</v>
      </c>
      <c r="AF39" s="257" t="str">
        <f t="shared" si="7"/>
        <v xml:space="preserve"> cukup baik  dalam melaporkan hasil pengamatan tentang perpindahan kalor.</v>
      </c>
      <c r="AG39" s="258" t="str">
        <f t="shared" si="8"/>
        <v xml:space="preserve"> cukup baik  dalam melaporkan hasil pengamatan tentang perpindahan kalor.</v>
      </c>
      <c r="AH39" s="252" t="str">
        <f t="shared" si="9"/>
        <v>RAFAREL cukup baik  dalam melaporkan hasil pengamatan tentang perpindahan kalor.</v>
      </c>
      <c r="AI39" s="153"/>
      <c r="AS39" s="469">
        <f t="shared" si="10"/>
        <v>73</v>
      </c>
    </row>
    <row r="40" spans="2:45" ht="63.75" customHeight="1">
      <c r="B40" s="142">
        <v>36</v>
      </c>
      <c r="C40" s="143" t="str">
        <f>SISWA!B41</f>
        <v>1718250040340</v>
      </c>
      <c r="D40" s="144" t="str">
        <f>SISWA!E41</f>
        <v>RAKHA</v>
      </c>
      <c r="E40" s="159">
        <v>75</v>
      </c>
      <c r="F40" s="160">
        <v>75</v>
      </c>
      <c r="G40" s="160">
        <v>75</v>
      </c>
      <c r="H40" s="160">
        <v>75</v>
      </c>
      <c r="I40" s="160"/>
      <c r="J40" s="159"/>
      <c r="K40" s="159"/>
      <c r="L40" s="159"/>
      <c r="M40" s="159"/>
      <c r="N40" s="159"/>
      <c r="O40" s="159"/>
      <c r="P40" s="159"/>
      <c r="Q40" s="159"/>
      <c r="R40" s="160"/>
      <c r="S40" s="160"/>
      <c r="T40" s="159"/>
      <c r="U40" s="354">
        <f t="shared" si="4"/>
        <v>75</v>
      </c>
      <c r="V40" s="355" t="str">
        <f>IF(U40&gt;KKM!$G$10,"A",IF(U40&gt;KKM!$H$10,"B",IF(U40&gt;=KKM!$I$10,"C","D")))</f>
        <v>C</v>
      </c>
      <c r="W40" s="356">
        <f t="shared" si="0"/>
        <v>75</v>
      </c>
      <c r="X40" s="361" t="str">
        <f>IF(W40&gt;KKM!$G$10," sangat baik ",IF(W40&gt;KKM!$H$10," baik ",IF(W40&gt;=KKM!$I$10," cukup baik "," perlu bimbingan ")))</f>
        <v xml:space="preserve"> cukup baik </v>
      </c>
      <c r="Y40" s="357">
        <f t="shared" si="1"/>
        <v>75</v>
      </c>
      <c r="Z40" s="361" t="str">
        <f>IF(Y40&gt;KKM!$G$10," sangat baik ",IF(Y40&gt;KKM!$H$10," baik ",IF(Y40&gt;=KKM!$I$10," cukup baik "," perlu bimbingan ")))</f>
        <v xml:space="preserve"> cukup baik </v>
      </c>
      <c r="AA40" s="353" t="str">
        <f t="shared" si="5"/>
        <v>RAKHA cukup baik  dalam melaporkan hasil pengamatan tentang perpindahan kalor.</v>
      </c>
      <c r="AB40" s="256"/>
      <c r="AC40" s="257" t="str">
        <f t="shared" si="2"/>
        <v xml:space="preserve"> cukup baik  dalam melaporkan hasil pengamatan tentang perpindahan kalor.</v>
      </c>
      <c r="AD40" s="257" t="str">
        <f t="shared" si="3"/>
        <v xml:space="preserve"> cukup baik  dalam melaporkan hasil pengamatan tentang perpindahan kalor.</v>
      </c>
      <c r="AE40" s="257" t="str">
        <f t="shared" si="6"/>
        <v xml:space="preserve"> cukup baik  dalam melaporkan hasil pengamatan tentang perpindahan kalor., dan  cukup baik  dalam melaporkan hasil pengamatan tentang perpindahan kalor.</v>
      </c>
      <c r="AF40" s="257" t="str">
        <f t="shared" si="7"/>
        <v xml:space="preserve"> cukup baik  dalam melaporkan hasil pengamatan tentang perpindahan kalor.</v>
      </c>
      <c r="AG40" s="258" t="str">
        <f t="shared" si="8"/>
        <v xml:space="preserve"> cukup baik  dalam melaporkan hasil pengamatan tentang perpindahan kalor.</v>
      </c>
      <c r="AH40" s="252" t="str">
        <f t="shared" si="9"/>
        <v>RAKHA cukup baik  dalam melaporkan hasil pengamatan tentang perpindahan kalor.</v>
      </c>
      <c r="AI40" s="153"/>
      <c r="AS40" s="469">
        <f t="shared" si="10"/>
        <v>75</v>
      </c>
    </row>
    <row r="41" spans="2:45" ht="63.75" customHeight="1">
      <c r="B41" s="142">
        <v>37</v>
      </c>
      <c r="C41" s="143" t="str">
        <f>SISWA!B42</f>
        <v>1718250040341</v>
      </c>
      <c r="D41" s="144" t="str">
        <f>SISWA!E42</f>
        <v>RYU</v>
      </c>
      <c r="E41" s="159">
        <v>77.5</v>
      </c>
      <c r="F41" s="160">
        <v>77.5</v>
      </c>
      <c r="G41" s="160">
        <v>77.5</v>
      </c>
      <c r="H41" s="160">
        <v>77.5</v>
      </c>
      <c r="I41" s="160"/>
      <c r="J41" s="159"/>
      <c r="K41" s="159"/>
      <c r="L41" s="159"/>
      <c r="M41" s="159"/>
      <c r="N41" s="159"/>
      <c r="O41" s="159"/>
      <c r="P41" s="159"/>
      <c r="Q41" s="159"/>
      <c r="R41" s="160"/>
      <c r="S41" s="160"/>
      <c r="T41" s="159"/>
      <c r="U41" s="354">
        <f t="shared" si="4"/>
        <v>78</v>
      </c>
      <c r="V41" s="355" t="str">
        <f>IF(U41&gt;KKM!$G$10,"A",IF(U41&gt;KKM!$H$10,"B",IF(U41&gt;=KKM!$I$10,"C","D")))</f>
        <v>B</v>
      </c>
      <c r="W41" s="356">
        <f t="shared" si="0"/>
        <v>77.5</v>
      </c>
      <c r="X41" s="361" t="str">
        <f>IF(W41&gt;KKM!$G$10," sangat baik ",IF(W41&gt;KKM!$H$10," baik ",IF(W41&gt;=KKM!$I$10," cukup baik "," perlu bimbingan ")))</f>
        <v xml:space="preserve"> baik </v>
      </c>
      <c r="Y41" s="357">
        <f t="shared" si="1"/>
        <v>77.5</v>
      </c>
      <c r="Z41" s="361" t="str">
        <f>IF(Y41&gt;KKM!$G$10," sangat baik ",IF(Y41&gt;KKM!$H$10," baik ",IF(Y41&gt;=KKM!$I$10," cukup baik "," perlu bimbingan ")))</f>
        <v xml:space="preserve"> baik </v>
      </c>
      <c r="AA41" s="353" t="str">
        <f t="shared" si="5"/>
        <v>RYU baik  dalam melaporkan hasil pengamatan tentang perpindahan kalor.</v>
      </c>
      <c r="AB41" s="256"/>
      <c r="AC41" s="257" t="str">
        <f t="shared" si="2"/>
        <v xml:space="preserve"> baik  dalam melaporkan hasil pengamatan tentang perpindahan kalor.</v>
      </c>
      <c r="AD41" s="257" t="str">
        <f t="shared" si="3"/>
        <v xml:space="preserve"> baik  dalam melaporkan hasil pengamatan tentang perpindahan kalor.</v>
      </c>
      <c r="AE41" s="257" t="str">
        <f t="shared" si="6"/>
        <v xml:space="preserve"> baik  dalam melaporkan hasil pengamatan tentang perpindahan kalor., dan  baik  dalam melaporkan hasil pengamatan tentang perpindahan kalor.</v>
      </c>
      <c r="AF41" s="257" t="str">
        <f t="shared" si="7"/>
        <v xml:space="preserve"> baik  dalam melaporkan hasil pengamatan tentang perpindahan kalor.</v>
      </c>
      <c r="AG41" s="258" t="str">
        <f t="shared" si="8"/>
        <v xml:space="preserve"> baik  dalam melaporkan hasil pengamatan tentang perpindahan kalor.</v>
      </c>
      <c r="AH41" s="252" t="str">
        <f t="shared" si="9"/>
        <v>RYU baik  dalam melaporkan hasil pengamatan tentang perpindahan kalor.</v>
      </c>
      <c r="AI41" s="153"/>
      <c r="AS41" s="469">
        <f t="shared" si="10"/>
        <v>78</v>
      </c>
    </row>
    <row r="42" spans="2:45" ht="63.75" customHeight="1">
      <c r="B42" s="142">
        <v>38</v>
      </c>
      <c r="C42" s="143" t="str">
        <f>SISWA!B43</f>
        <v>1718250040342</v>
      </c>
      <c r="D42" s="144" t="str">
        <f>SISWA!E43</f>
        <v>SAEPUL</v>
      </c>
      <c r="E42" s="159">
        <v>87.5</v>
      </c>
      <c r="F42" s="160">
        <v>87.5</v>
      </c>
      <c r="G42" s="160">
        <v>87.5</v>
      </c>
      <c r="H42" s="160">
        <v>87.5</v>
      </c>
      <c r="I42" s="160"/>
      <c r="J42" s="159"/>
      <c r="K42" s="159"/>
      <c r="L42" s="159"/>
      <c r="M42" s="159"/>
      <c r="N42" s="159"/>
      <c r="O42" s="159"/>
      <c r="P42" s="159"/>
      <c r="Q42" s="159"/>
      <c r="R42" s="160"/>
      <c r="S42" s="160"/>
      <c r="T42" s="159"/>
      <c r="U42" s="354">
        <f t="shared" si="4"/>
        <v>88</v>
      </c>
      <c r="V42" s="355" t="str">
        <f>IF(U42&gt;KKM!$G$10,"A",IF(U42&gt;KKM!$H$10,"B",IF(U42&gt;=KKM!$I$10,"C","D")))</f>
        <v>A</v>
      </c>
      <c r="W42" s="356">
        <f t="shared" si="0"/>
        <v>87.5</v>
      </c>
      <c r="X42" s="361" t="str">
        <f>IF(W42&gt;KKM!$G$10," sangat baik ",IF(W42&gt;KKM!$H$10," baik ",IF(W42&gt;=KKM!$I$10," cukup baik "," perlu bimbingan ")))</f>
        <v xml:space="preserve"> sangat baik </v>
      </c>
      <c r="Y42" s="357">
        <f t="shared" si="1"/>
        <v>87.5</v>
      </c>
      <c r="Z42" s="361" t="str">
        <f>IF(Y42&gt;KKM!$G$10," sangat baik ",IF(Y42&gt;KKM!$H$10," baik ",IF(Y42&gt;=KKM!$I$10," cukup baik "," perlu bimbingan ")))</f>
        <v xml:space="preserve"> sangat baik </v>
      </c>
      <c r="AA42" s="353" t="str">
        <f t="shared" si="5"/>
        <v>SAEPUL sangat baik  dalam melaporkan hasil pengamatan tentang perpindahan kalor.</v>
      </c>
      <c r="AB42" s="256"/>
      <c r="AC42" s="257" t="str">
        <f t="shared" si="2"/>
        <v xml:space="preserve"> sangat baik  dalam melaporkan hasil pengamatan tentang perpindahan kalor.</v>
      </c>
      <c r="AD42" s="257" t="str">
        <f t="shared" si="3"/>
        <v xml:space="preserve"> sangat baik  dalam melaporkan hasil pengamatan tentang perpindahan kalor.</v>
      </c>
      <c r="AE42" s="257" t="str">
        <f t="shared" si="6"/>
        <v xml:space="preserve"> sangat baik  dalam melaporkan hasil pengamatan tentang perpindahan kalor., dan  sangat baik  dalam melaporkan hasil pengamatan tentang perpindahan kalor.</v>
      </c>
      <c r="AF42" s="257" t="str">
        <f t="shared" si="7"/>
        <v xml:space="preserve"> sangat baik  dalam melaporkan hasil pengamatan tentang perpindahan kalor.</v>
      </c>
      <c r="AG42" s="258" t="str">
        <f t="shared" si="8"/>
        <v xml:space="preserve"> sangat baik  dalam melaporkan hasil pengamatan tentang perpindahan kalor.</v>
      </c>
      <c r="AH42" s="252" t="str">
        <f t="shared" si="9"/>
        <v>SAEPUL sangat baik  dalam melaporkan hasil pengamatan tentang perpindahan kalor.</v>
      </c>
      <c r="AI42" s="153"/>
      <c r="AS42" s="469">
        <f t="shared" si="10"/>
        <v>88</v>
      </c>
    </row>
    <row r="43" spans="2:45" ht="63.75" customHeight="1">
      <c r="B43" s="142">
        <v>39</v>
      </c>
      <c r="C43" s="143" t="str">
        <f>SISWA!B44</f>
        <v>1718250040343</v>
      </c>
      <c r="D43" s="144" t="str">
        <f>SISWA!E44</f>
        <v>SALMA</v>
      </c>
      <c r="E43" s="159">
        <v>77.5</v>
      </c>
      <c r="F43" s="160">
        <v>77.5</v>
      </c>
      <c r="G43" s="160">
        <v>77.5</v>
      </c>
      <c r="H43" s="160">
        <v>77.5</v>
      </c>
      <c r="I43" s="160"/>
      <c r="J43" s="159"/>
      <c r="K43" s="159"/>
      <c r="L43" s="159"/>
      <c r="M43" s="159"/>
      <c r="N43" s="159"/>
      <c r="O43" s="159"/>
      <c r="P43" s="159"/>
      <c r="Q43" s="159"/>
      <c r="R43" s="160"/>
      <c r="S43" s="160"/>
      <c r="T43" s="159"/>
      <c r="U43" s="354">
        <f t="shared" si="4"/>
        <v>78</v>
      </c>
      <c r="V43" s="355" t="str">
        <f>IF(U43&gt;KKM!$G$10,"A",IF(U43&gt;KKM!$H$10,"B",IF(U43&gt;=KKM!$I$10,"C","D")))</f>
        <v>B</v>
      </c>
      <c r="W43" s="356">
        <f t="shared" si="0"/>
        <v>77.5</v>
      </c>
      <c r="X43" s="361" t="str">
        <f>IF(W43&gt;KKM!$G$10," sangat baik ",IF(W43&gt;KKM!$H$10," baik ",IF(W43&gt;=KKM!$I$10," cukup baik "," perlu bimbingan ")))</f>
        <v xml:space="preserve"> baik </v>
      </c>
      <c r="Y43" s="357">
        <f t="shared" si="1"/>
        <v>77.5</v>
      </c>
      <c r="Z43" s="361" t="str">
        <f>IF(Y43&gt;KKM!$G$10," sangat baik ",IF(Y43&gt;KKM!$H$10," baik ",IF(Y43&gt;=KKM!$I$10," cukup baik "," perlu bimbingan ")))</f>
        <v xml:space="preserve"> baik </v>
      </c>
      <c r="AA43" s="353" t="str">
        <f t="shared" si="5"/>
        <v>SALMA baik  dalam melaporkan hasil pengamatan tentang perpindahan kalor.</v>
      </c>
      <c r="AB43" s="256"/>
      <c r="AC43" s="257" t="str">
        <f t="shared" si="2"/>
        <v xml:space="preserve"> baik  dalam melaporkan hasil pengamatan tentang perpindahan kalor.</v>
      </c>
      <c r="AD43" s="257" t="str">
        <f t="shared" si="3"/>
        <v xml:space="preserve"> baik  dalam melaporkan hasil pengamatan tentang perpindahan kalor.</v>
      </c>
      <c r="AE43" s="257" t="str">
        <f t="shared" si="6"/>
        <v xml:space="preserve"> baik  dalam melaporkan hasil pengamatan tentang perpindahan kalor., dan  baik  dalam melaporkan hasil pengamatan tentang perpindahan kalor.</v>
      </c>
      <c r="AF43" s="257" t="str">
        <f t="shared" si="7"/>
        <v xml:space="preserve"> baik  dalam melaporkan hasil pengamatan tentang perpindahan kalor.</v>
      </c>
      <c r="AG43" s="258" t="str">
        <f t="shared" si="8"/>
        <v xml:space="preserve"> baik  dalam melaporkan hasil pengamatan tentang perpindahan kalor.</v>
      </c>
      <c r="AH43" s="252" t="str">
        <f t="shared" si="9"/>
        <v>SALMA baik  dalam melaporkan hasil pengamatan tentang perpindahan kalor.</v>
      </c>
      <c r="AI43" s="153"/>
      <c r="AS43" s="469">
        <f t="shared" si="10"/>
        <v>78</v>
      </c>
    </row>
    <row r="44" spans="2:45" ht="63.75" customHeight="1">
      <c r="B44" s="142">
        <v>40</v>
      </c>
      <c r="C44" s="143" t="str">
        <f>SISWA!B45</f>
        <v>1718250040344</v>
      </c>
      <c r="D44" s="144" t="str">
        <f>SISWA!E45</f>
        <v>SYAKILA</v>
      </c>
      <c r="E44" s="159">
        <v>90</v>
      </c>
      <c r="F44" s="160">
        <v>90</v>
      </c>
      <c r="G44" s="160">
        <v>90</v>
      </c>
      <c r="H44" s="160">
        <v>90</v>
      </c>
      <c r="I44" s="160"/>
      <c r="J44" s="159"/>
      <c r="K44" s="159"/>
      <c r="L44" s="159"/>
      <c r="M44" s="159"/>
      <c r="N44" s="159"/>
      <c r="O44" s="159"/>
      <c r="P44" s="159"/>
      <c r="Q44" s="159"/>
      <c r="R44" s="160"/>
      <c r="S44" s="160"/>
      <c r="T44" s="159"/>
      <c r="U44" s="354">
        <f t="shared" si="4"/>
        <v>90</v>
      </c>
      <c r="V44" s="355" t="str">
        <f>IF(U44&gt;KKM!$G$10,"A",IF(U44&gt;KKM!$H$10,"B",IF(U44&gt;=KKM!$I$10,"C","D")))</f>
        <v>A</v>
      </c>
      <c r="W44" s="356">
        <f t="shared" si="0"/>
        <v>90</v>
      </c>
      <c r="X44" s="361" t="str">
        <f>IF(W44&gt;KKM!$G$10," sangat baik ",IF(W44&gt;KKM!$H$10," baik ",IF(W44&gt;=KKM!$I$10," cukup baik "," perlu bimbingan ")))</f>
        <v xml:space="preserve"> sangat baik </v>
      </c>
      <c r="Y44" s="357">
        <f t="shared" si="1"/>
        <v>90</v>
      </c>
      <c r="Z44" s="361" t="str">
        <f>IF(Y44&gt;KKM!$G$10," sangat baik ",IF(Y44&gt;KKM!$H$10," baik ",IF(Y44&gt;=KKM!$I$10," cukup baik "," perlu bimbingan ")))</f>
        <v xml:space="preserve"> sangat baik </v>
      </c>
      <c r="AA44" s="353" t="str">
        <f t="shared" si="5"/>
        <v>SYAKILA sangat baik  dalam melaporkan hasil pengamatan tentang perpindahan kalor.</v>
      </c>
      <c r="AB44" s="256"/>
      <c r="AC44" s="257" t="str">
        <f t="shared" si="2"/>
        <v xml:space="preserve"> sangat baik  dalam melaporkan hasil pengamatan tentang perpindahan kalor.</v>
      </c>
      <c r="AD44" s="257" t="str">
        <f t="shared" si="3"/>
        <v xml:space="preserve"> sangat baik  dalam melaporkan hasil pengamatan tentang perpindahan kalor.</v>
      </c>
      <c r="AE44" s="257" t="str">
        <f t="shared" si="6"/>
        <v xml:space="preserve"> sangat baik  dalam melaporkan hasil pengamatan tentang perpindahan kalor., dan  sangat baik  dalam melaporkan hasil pengamatan tentang perpindahan kalor.</v>
      </c>
      <c r="AF44" s="257" t="str">
        <f t="shared" si="7"/>
        <v xml:space="preserve"> sangat baik  dalam melaporkan hasil pengamatan tentang perpindahan kalor.</v>
      </c>
      <c r="AG44" s="258" t="str">
        <f t="shared" si="8"/>
        <v xml:space="preserve"> sangat baik  dalam melaporkan hasil pengamatan tentang perpindahan kalor.</v>
      </c>
      <c r="AH44" s="252" t="str">
        <f t="shared" si="9"/>
        <v>SYAKILA sangat baik  dalam melaporkan hasil pengamatan tentang perpindahan kalor.</v>
      </c>
      <c r="AI44" s="153"/>
      <c r="AS44" s="469">
        <f t="shared" si="10"/>
        <v>90</v>
      </c>
    </row>
    <row r="45" spans="2:45" ht="63.75" customHeight="1">
      <c r="B45" s="142">
        <v>41</v>
      </c>
      <c r="C45" s="143" t="str">
        <f>SISWA!B46</f>
        <v>1718250040345</v>
      </c>
      <c r="D45" s="144" t="str">
        <f>SISWA!E46</f>
        <v>SYIFA</v>
      </c>
      <c r="E45" s="159">
        <v>80</v>
      </c>
      <c r="F45" s="160">
        <v>80</v>
      </c>
      <c r="G45" s="160">
        <v>80</v>
      </c>
      <c r="H45" s="160">
        <v>80</v>
      </c>
      <c r="I45" s="160"/>
      <c r="J45" s="159"/>
      <c r="K45" s="159"/>
      <c r="L45" s="159"/>
      <c r="M45" s="159"/>
      <c r="N45" s="159"/>
      <c r="O45" s="159"/>
      <c r="P45" s="159"/>
      <c r="Q45" s="159"/>
      <c r="R45" s="160"/>
      <c r="S45" s="160"/>
      <c r="T45" s="159"/>
      <c r="U45" s="354">
        <f t="shared" si="4"/>
        <v>80</v>
      </c>
      <c r="V45" s="355" t="str">
        <f>IF(U45&gt;KKM!$G$10,"A",IF(U45&gt;KKM!$H$10,"B",IF(U45&gt;=KKM!$I$10,"C","D")))</f>
        <v>B</v>
      </c>
      <c r="W45" s="356">
        <f t="shared" si="0"/>
        <v>80</v>
      </c>
      <c r="X45" s="361" t="str">
        <f>IF(W45&gt;KKM!$G$10," sangat baik ",IF(W45&gt;KKM!$H$10," baik ",IF(W45&gt;=KKM!$I$10," cukup baik "," perlu bimbingan ")))</f>
        <v xml:space="preserve"> baik </v>
      </c>
      <c r="Y45" s="357">
        <f t="shared" si="1"/>
        <v>80</v>
      </c>
      <c r="Z45" s="361" t="str">
        <f>IF(Y45&gt;KKM!$G$10," sangat baik ",IF(Y45&gt;KKM!$H$10," baik ",IF(Y45&gt;=KKM!$I$10," cukup baik "," perlu bimbingan ")))</f>
        <v xml:space="preserve"> baik </v>
      </c>
      <c r="AA45" s="353" t="str">
        <f t="shared" si="5"/>
        <v>SYIFA baik  dalam melaporkan hasil pengamatan tentang perpindahan kalor.</v>
      </c>
      <c r="AB45" s="256"/>
      <c r="AC45" s="257" t="str">
        <f t="shared" si="2"/>
        <v xml:space="preserve"> baik  dalam melaporkan hasil pengamatan tentang perpindahan kalor.</v>
      </c>
      <c r="AD45" s="257" t="str">
        <f t="shared" si="3"/>
        <v xml:space="preserve"> baik  dalam melaporkan hasil pengamatan tentang perpindahan kalor.</v>
      </c>
      <c r="AE45" s="257" t="str">
        <f t="shared" si="6"/>
        <v xml:space="preserve"> baik  dalam melaporkan hasil pengamatan tentang perpindahan kalor., dan  baik  dalam melaporkan hasil pengamatan tentang perpindahan kalor.</v>
      </c>
      <c r="AF45" s="257" t="str">
        <f t="shared" si="7"/>
        <v xml:space="preserve"> baik  dalam melaporkan hasil pengamatan tentang perpindahan kalor.</v>
      </c>
      <c r="AG45" s="258" t="str">
        <f t="shared" si="8"/>
        <v xml:space="preserve"> baik  dalam melaporkan hasil pengamatan tentang perpindahan kalor.</v>
      </c>
      <c r="AH45" s="252" t="str">
        <f t="shared" si="9"/>
        <v>SYIFA baik  dalam melaporkan hasil pengamatan tentang perpindahan kalor.</v>
      </c>
      <c r="AI45" s="153"/>
      <c r="AS45" s="469">
        <f t="shared" si="10"/>
        <v>80</v>
      </c>
    </row>
    <row r="46" spans="2:45" ht="63.75" customHeight="1">
      <c r="B46" s="142">
        <v>42</v>
      </c>
      <c r="C46" s="143" t="str">
        <f>SISWA!B47</f>
        <v>1718250040346</v>
      </c>
      <c r="D46" s="144" t="str">
        <f>SISWA!E47</f>
        <v>WAFDAN</v>
      </c>
      <c r="E46" s="159">
        <v>90</v>
      </c>
      <c r="F46" s="160">
        <v>90</v>
      </c>
      <c r="G46" s="160">
        <v>90</v>
      </c>
      <c r="H46" s="160">
        <v>90</v>
      </c>
      <c r="I46" s="160"/>
      <c r="J46" s="159"/>
      <c r="K46" s="159"/>
      <c r="L46" s="159"/>
      <c r="M46" s="159"/>
      <c r="N46" s="159"/>
      <c r="O46" s="159"/>
      <c r="P46" s="159"/>
      <c r="Q46" s="159"/>
      <c r="R46" s="160"/>
      <c r="S46" s="160"/>
      <c r="T46" s="159"/>
      <c r="U46" s="354">
        <f t="shared" si="4"/>
        <v>90</v>
      </c>
      <c r="V46" s="355" t="str">
        <f>IF(U46&gt;KKM!$G$10,"A",IF(U46&gt;KKM!$H$10,"B",IF(U46&gt;=KKM!$I$10,"C","D")))</f>
        <v>A</v>
      </c>
      <c r="W46" s="356">
        <f t="shared" si="0"/>
        <v>90</v>
      </c>
      <c r="X46" s="361" t="str">
        <f>IF(W46&gt;KKM!$G$10," sangat baik ",IF(W46&gt;KKM!$H$10," baik ",IF(W46&gt;=KKM!$I$10," cukup baik "," perlu bimbingan ")))</f>
        <v xml:space="preserve"> sangat baik </v>
      </c>
      <c r="Y46" s="357">
        <f t="shared" si="1"/>
        <v>90</v>
      </c>
      <c r="Z46" s="361" t="str">
        <f>IF(Y46&gt;KKM!$G$10," sangat baik ",IF(Y46&gt;KKM!$H$10," baik ",IF(Y46&gt;=KKM!$I$10," cukup baik "," perlu bimbingan ")))</f>
        <v xml:space="preserve"> sangat baik </v>
      </c>
      <c r="AA46" s="353" t="str">
        <f t="shared" si="5"/>
        <v>WAFDAN sangat baik  dalam melaporkan hasil pengamatan tentang perpindahan kalor.</v>
      </c>
      <c r="AB46" s="256"/>
      <c r="AC46" s="257" t="str">
        <f t="shared" si="2"/>
        <v xml:space="preserve"> sangat baik  dalam melaporkan hasil pengamatan tentang perpindahan kalor.</v>
      </c>
      <c r="AD46" s="257" t="str">
        <f t="shared" si="3"/>
        <v xml:space="preserve"> sangat baik  dalam melaporkan hasil pengamatan tentang perpindahan kalor.</v>
      </c>
      <c r="AE46" s="257" t="str">
        <f t="shared" si="6"/>
        <v xml:space="preserve"> sangat baik  dalam melaporkan hasil pengamatan tentang perpindahan kalor., dan  sangat baik  dalam melaporkan hasil pengamatan tentang perpindahan kalor.</v>
      </c>
      <c r="AF46" s="257" t="str">
        <f t="shared" si="7"/>
        <v xml:space="preserve"> sangat baik  dalam melaporkan hasil pengamatan tentang perpindahan kalor.</v>
      </c>
      <c r="AG46" s="258" t="str">
        <f t="shared" si="8"/>
        <v xml:space="preserve"> sangat baik  dalam melaporkan hasil pengamatan tentang perpindahan kalor.</v>
      </c>
      <c r="AH46" s="252" t="str">
        <f t="shared" si="9"/>
        <v>WAFDAN sangat baik  dalam melaporkan hasil pengamatan tentang perpindahan kalor.</v>
      </c>
      <c r="AI46" s="153"/>
      <c r="AS46" s="469">
        <f t="shared" si="10"/>
        <v>90</v>
      </c>
    </row>
    <row r="47" spans="2:45" ht="63.75" customHeight="1">
      <c r="B47" s="142">
        <v>43</v>
      </c>
      <c r="C47" s="143" t="str">
        <f>SISWA!B48</f>
        <v>1718250040347</v>
      </c>
      <c r="D47" s="144" t="str">
        <f>SISWA!E48</f>
        <v>ZEVA</v>
      </c>
      <c r="E47" s="159">
        <v>95</v>
      </c>
      <c r="F47" s="160">
        <v>95</v>
      </c>
      <c r="G47" s="160">
        <v>95</v>
      </c>
      <c r="H47" s="160">
        <v>95</v>
      </c>
      <c r="I47" s="160"/>
      <c r="J47" s="159"/>
      <c r="K47" s="159"/>
      <c r="L47" s="159"/>
      <c r="M47" s="159"/>
      <c r="N47" s="159"/>
      <c r="O47" s="159"/>
      <c r="P47" s="159"/>
      <c r="Q47" s="159"/>
      <c r="R47" s="160"/>
      <c r="S47" s="160"/>
      <c r="T47" s="159"/>
      <c r="U47" s="354">
        <f t="shared" si="4"/>
        <v>95</v>
      </c>
      <c r="V47" s="355" t="str">
        <f>IF(U47&gt;KKM!$G$10,"A",IF(U47&gt;KKM!$H$10,"B",IF(U47&gt;=KKM!$I$10,"C","D")))</f>
        <v>A</v>
      </c>
      <c r="W47" s="356">
        <f t="shared" si="0"/>
        <v>95</v>
      </c>
      <c r="X47" s="361" t="str">
        <f>IF(W47&gt;KKM!$G$10," sangat baik ",IF(W47&gt;KKM!$H$10," baik ",IF(W47&gt;=KKM!$I$10," cukup baik "," perlu bimbingan ")))</f>
        <v xml:space="preserve"> sangat baik </v>
      </c>
      <c r="Y47" s="357">
        <f t="shared" si="1"/>
        <v>95</v>
      </c>
      <c r="Z47" s="361" t="str">
        <f>IF(Y47&gt;KKM!$G$10," sangat baik ",IF(Y47&gt;KKM!$H$10," baik ",IF(Y47&gt;=KKM!$I$10," cukup baik "," perlu bimbingan ")))</f>
        <v xml:space="preserve"> sangat baik </v>
      </c>
      <c r="AA47" s="353" t="str">
        <f t="shared" si="5"/>
        <v>ZEVA sangat baik  dalam melaporkan hasil pengamatan tentang perpindahan kalor.</v>
      </c>
      <c r="AB47" s="256"/>
      <c r="AC47" s="257" t="str">
        <f t="shared" si="2"/>
        <v xml:space="preserve"> sangat baik  dalam melaporkan hasil pengamatan tentang perpindahan kalor.</v>
      </c>
      <c r="AD47" s="257" t="str">
        <f t="shared" si="3"/>
        <v xml:space="preserve"> sangat baik  dalam melaporkan hasil pengamatan tentang perpindahan kalor.</v>
      </c>
      <c r="AE47" s="257" t="str">
        <f t="shared" si="6"/>
        <v xml:space="preserve"> sangat baik  dalam melaporkan hasil pengamatan tentang perpindahan kalor., dan  sangat baik  dalam melaporkan hasil pengamatan tentang perpindahan kalor.</v>
      </c>
      <c r="AF47" s="257" t="str">
        <f t="shared" si="7"/>
        <v xml:space="preserve"> sangat baik  dalam melaporkan hasil pengamatan tentang perpindahan kalor.</v>
      </c>
      <c r="AG47" s="258" t="str">
        <f t="shared" si="8"/>
        <v xml:space="preserve"> sangat baik  dalam melaporkan hasil pengamatan tentang perpindahan kalor.</v>
      </c>
      <c r="AH47" s="252" t="str">
        <f t="shared" si="9"/>
        <v>ZEVA sangat baik  dalam melaporkan hasil pengamatan tentang perpindahan kalor.</v>
      </c>
      <c r="AI47" s="153"/>
      <c r="AS47" s="469">
        <f t="shared" si="10"/>
        <v>95</v>
      </c>
    </row>
    <row r="48" spans="2:45" ht="63.75" customHeight="1">
      <c r="B48" s="142">
        <v>44</v>
      </c>
      <c r="C48" s="143">
        <f>SISWA!B49</f>
        <v>0</v>
      </c>
      <c r="D48" s="144">
        <f>SISWA!E49</f>
        <v>0</v>
      </c>
      <c r="E48" s="159"/>
      <c r="F48" s="160"/>
      <c r="G48" s="160"/>
      <c r="H48" s="160"/>
      <c r="I48" s="160"/>
      <c r="J48" s="159"/>
      <c r="K48" s="159"/>
      <c r="L48" s="159"/>
      <c r="M48" s="159"/>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53"/>
      <c r="AS48" s="469" t="str">
        <f t="shared" si="10"/>
        <v/>
      </c>
    </row>
    <row r="49" spans="2:45" ht="63.75" customHeight="1">
      <c r="B49" s="142">
        <v>45</v>
      </c>
      <c r="C49" s="143">
        <f>SISWA!B50</f>
        <v>0</v>
      </c>
      <c r="D49" s="144">
        <f>SISWA!E50</f>
        <v>0</v>
      </c>
      <c r="E49" s="159"/>
      <c r="F49" s="160"/>
      <c r="G49" s="160"/>
      <c r="H49" s="160"/>
      <c r="I49" s="160"/>
      <c r="J49" s="159"/>
      <c r="K49" s="159"/>
      <c r="L49" s="159"/>
      <c r="M49" s="159"/>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53"/>
      <c r="AS49" s="469" t="str">
        <f t="shared" si="10"/>
        <v/>
      </c>
    </row>
    <row r="50" spans="2:45" ht="63.75" customHeight="1">
      <c r="B50" s="142">
        <v>46</v>
      </c>
      <c r="C50" s="143">
        <f>SISWA!B51</f>
        <v>0</v>
      </c>
      <c r="D50" s="144">
        <f>SISWA!E51</f>
        <v>0</v>
      </c>
      <c r="E50" s="159"/>
      <c r="F50" s="160"/>
      <c r="G50" s="160"/>
      <c r="H50" s="160"/>
      <c r="I50" s="160"/>
      <c r="J50" s="159"/>
      <c r="K50" s="159"/>
      <c r="L50" s="159"/>
      <c r="M50" s="159"/>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53"/>
      <c r="AS50" s="469" t="str">
        <f t="shared" si="10"/>
        <v/>
      </c>
    </row>
    <row r="51" spans="2:45" ht="63.75" customHeight="1">
      <c r="B51" s="142">
        <v>47</v>
      </c>
      <c r="C51" s="143">
        <f>SISWA!B52</f>
        <v>0</v>
      </c>
      <c r="D51" s="144">
        <f>SISWA!E52</f>
        <v>0</v>
      </c>
      <c r="E51" s="159"/>
      <c r="F51" s="160"/>
      <c r="G51" s="160"/>
      <c r="H51" s="160"/>
      <c r="I51" s="160"/>
      <c r="J51" s="159"/>
      <c r="K51" s="159"/>
      <c r="L51" s="159"/>
      <c r="M51" s="159"/>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53"/>
      <c r="AS51" s="469" t="str">
        <f t="shared" si="10"/>
        <v/>
      </c>
    </row>
    <row r="52" spans="2:45" ht="63.75" customHeight="1">
      <c r="B52" s="142">
        <v>48</v>
      </c>
      <c r="C52" s="143">
        <f>SISWA!B53</f>
        <v>0</v>
      </c>
      <c r="D52" s="144">
        <f>SISWA!E53</f>
        <v>0</v>
      </c>
      <c r="E52" s="159"/>
      <c r="F52" s="160"/>
      <c r="G52" s="160"/>
      <c r="H52" s="160"/>
      <c r="I52" s="160"/>
      <c r="J52" s="159"/>
      <c r="K52" s="159"/>
      <c r="L52" s="159"/>
      <c r="M52" s="159"/>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53"/>
      <c r="AS52" s="469" t="str">
        <f t="shared" si="10"/>
        <v/>
      </c>
    </row>
    <row r="53" spans="2:45" ht="63.75" customHeight="1">
      <c r="B53" s="142">
        <v>49</v>
      </c>
      <c r="C53" s="143">
        <f>SISWA!B54</f>
        <v>0</v>
      </c>
      <c r="D53" s="144">
        <f>SISWA!E54</f>
        <v>0</v>
      </c>
      <c r="E53" s="159"/>
      <c r="F53" s="160"/>
      <c r="G53" s="160"/>
      <c r="H53" s="160"/>
      <c r="I53" s="160"/>
      <c r="J53" s="159"/>
      <c r="K53" s="159"/>
      <c r="L53" s="159"/>
      <c r="M53" s="159"/>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53"/>
      <c r="AS53" s="469" t="str">
        <f t="shared" si="10"/>
        <v/>
      </c>
    </row>
    <row r="54" spans="2:45" ht="63.75" customHeight="1">
      <c r="B54" s="142">
        <v>50</v>
      </c>
      <c r="C54" s="143">
        <f>SISWA!B55</f>
        <v>0</v>
      </c>
      <c r="D54" s="144">
        <f>SISWA!E55</f>
        <v>0</v>
      </c>
      <c r="E54" s="159"/>
      <c r="F54" s="160"/>
      <c r="G54" s="160"/>
      <c r="H54" s="160"/>
      <c r="I54" s="160"/>
      <c r="J54" s="159"/>
      <c r="K54" s="159"/>
      <c r="L54" s="159"/>
      <c r="M54" s="159"/>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53"/>
      <c r="AS54" s="469" t="str">
        <f t="shared" si="10"/>
        <v/>
      </c>
    </row>
    <row r="55" spans="2:45" ht="15.75">
      <c r="B55" s="154"/>
      <c r="C55" s="154"/>
      <c r="D55" s="154"/>
      <c r="E55" s="159"/>
      <c r="F55" s="160"/>
      <c r="G55" s="160"/>
      <c r="H55" s="160"/>
      <c r="I55" s="160"/>
      <c r="J55" s="159"/>
      <c r="K55" s="159"/>
      <c r="L55" s="159"/>
      <c r="M55" s="159"/>
      <c r="N55" s="159"/>
      <c r="O55" s="159"/>
      <c r="P55" s="159"/>
      <c r="Q55" s="159"/>
      <c r="R55" s="160"/>
      <c r="S55" s="160"/>
      <c r="T55" s="159"/>
      <c r="U55" s="147"/>
      <c r="V55" s="148"/>
      <c r="W55" s="149"/>
      <c r="X55" s="149"/>
      <c r="Y55" s="149"/>
      <c r="Z55" s="149"/>
      <c r="AA55" s="150"/>
      <c r="AB55" s="151"/>
      <c r="AC55" s="152"/>
      <c r="AD55" s="155"/>
      <c r="AE55" s="155"/>
      <c r="AF55" s="155"/>
      <c r="AG55" s="155"/>
      <c r="AH55" s="155"/>
      <c r="AI55" s="153"/>
    </row>
  </sheetData>
  <sheetProtection password="C70C" sheet="1" objects="1" scenarios="1"/>
  <mergeCells count="10">
    <mergeCell ref="V2:V4"/>
    <mergeCell ref="W2:Z2"/>
    <mergeCell ref="AA2:AA4"/>
    <mergeCell ref="W3:X3"/>
    <mergeCell ref="Y3:Z3"/>
    <mergeCell ref="B2:B4"/>
    <mergeCell ref="C2:C4"/>
    <mergeCell ref="D2:D4"/>
    <mergeCell ref="E2:T2"/>
    <mergeCell ref="U2:U4"/>
  </mergeCell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Q55"/>
  <sheetViews>
    <sheetView zoomScale="85" zoomScaleNormal="85" workbookViewId="0">
      <pane xSplit="4" ySplit="4" topLeftCell="E5" activePane="bottomRight" state="frozen"/>
      <selection pane="topRight" activeCell="E1" sqref="E1"/>
      <selection pane="bottomLeft" activeCell="A5" sqref="A5"/>
      <selection pane="bottomRight" activeCell="J7" sqref="J7"/>
    </sheetView>
  </sheetViews>
  <sheetFormatPr defaultColWidth="0" defaultRowHeight="15"/>
  <cols>
    <col min="1" max="1" width="23.5703125" style="171" customWidth="1"/>
    <col min="2" max="2" width="4.42578125" style="137" customWidth="1"/>
    <col min="3" max="3" width="6.42578125" style="137" customWidth="1"/>
    <col min="4" max="4" width="28.7109375" style="137" customWidth="1"/>
    <col min="5" max="11" width="5.5703125" style="137" customWidth="1"/>
    <col min="12" max="14" width="5.5703125" style="137" hidden="1" customWidth="1"/>
    <col min="15" max="15" width="6.28515625" style="137" hidden="1" customWidth="1"/>
    <col min="16" max="19" width="5.5703125" style="137" hidden="1" customWidth="1"/>
    <col min="20" max="23" width="5.5703125" style="137" customWidth="1"/>
    <col min="24" max="24" width="11.42578125" style="137" customWidth="1"/>
    <col min="25" max="25" width="5.5703125" style="137" customWidth="1"/>
    <col min="26" max="26" width="11.7109375" style="137" customWidth="1"/>
    <col min="27" max="27" width="102.140625" style="137" customWidth="1"/>
    <col min="28" max="28" width="37.5703125" style="137" customWidth="1"/>
    <col min="29" max="29" width="5" style="137" hidden="1" customWidth="1"/>
    <col min="30" max="30" width="4.7109375" style="137" hidden="1" customWidth="1"/>
    <col min="31" max="31" width="5.140625" style="137" hidden="1" customWidth="1"/>
    <col min="32" max="37" width="5" style="137" hidden="1" customWidth="1"/>
    <col min="38" max="38" width="4.85546875" style="137" hidden="1" customWidth="1"/>
    <col min="39" max="44" width="5" style="137" hidden="1" customWidth="1"/>
    <col min="45" max="46" width="5" style="137" customWidth="1"/>
    <col min="47" max="47" width="5" style="137" hidden="1" customWidth="1"/>
    <col min="48" max="48" width="7.5703125" style="137" hidden="1" customWidth="1"/>
    <col min="49" max="49" width="5" style="137" customWidth="1"/>
    <col min="50" max="53" width="5" style="137" hidden="1" customWidth="1"/>
    <col min="54" max="54" width="84.42578125" style="137" hidden="1" customWidth="1"/>
    <col min="55" max="55" width="29.85546875" style="137" hidden="1" customWidth="1"/>
    <col min="56" max="69" width="10.7109375" style="137" hidden="1" customWidth="1"/>
    <col min="70" max="16384" width="9.140625" style="137" hidden="1"/>
  </cols>
  <sheetData>
    <row r="1" spans="1:53" s="512" customFormat="1" ht="45.75" customHeight="1">
      <c r="B1" s="513" t="s">
        <v>207</v>
      </c>
      <c r="C1" s="513"/>
      <c r="D1" s="513"/>
      <c r="E1" s="513"/>
      <c r="F1" s="513"/>
      <c r="G1" s="513"/>
      <c r="H1" s="513"/>
      <c r="I1" s="513"/>
      <c r="J1" s="513"/>
      <c r="K1" s="513"/>
      <c r="L1" s="513"/>
      <c r="M1" s="513"/>
      <c r="N1" s="513"/>
      <c r="O1" s="513"/>
      <c r="P1" s="513"/>
      <c r="Q1" s="513"/>
      <c r="R1" s="513"/>
      <c r="S1" s="513"/>
      <c r="T1" s="513"/>
      <c r="U1" s="513"/>
      <c r="V1" s="513"/>
      <c r="W1" s="513"/>
      <c r="X1" s="513"/>
      <c r="Y1" s="513"/>
      <c r="Z1" s="513"/>
      <c r="AA1" s="513"/>
      <c r="AB1" s="513"/>
      <c r="AC1" s="513"/>
      <c r="AD1" s="513"/>
      <c r="AE1" s="513"/>
      <c r="AF1" s="513"/>
      <c r="AG1" s="513"/>
      <c r="AH1" s="513"/>
      <c r="AI1" s="513"/>
      <c r="AJ1" s="513"/>
      <c r="AK1" s="513"/>
      <c r="AL1" s="513"/>
      <c r="AM1" s="513"/>
      <c r="AN1" s="513"/>
      <c r="AO1" s="513"/>
      <c r="AP1" s="513"/>
      <c r="AQ1" s="513"/>
      <c r="AR1" s="513"/>
      <c r="AS1" s="513"/>
      <c r="AT1" s="513"/>
      <c r="AU1" s="513"/>
      <c r="AV1" s="513"/>
      <c r="AW1" s="513"/>
      <c r="AX1" s="513"/>
      <c r="AY1" s="513"/>
      <c r="AZ1" s="513"/>
      <c r="BA1" s="513"/>
    </row>
    <row r="2" spans="1:53"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V2" s="502">
        <f>DEPAN!$E$23</f>
        <v>43</v>
      </c>
    </row>
    <row r="3" spans="1:53" ht="94.5" customHeight="1">
      <c r="B3" s="716"/>
      <c r="C3" s="717"/>
      <c r="D3" s="718"/>
      <c r="E3" s="408" t="str">
        <f>'KI-KD'!$F84</f>
        <v>menyajikan hasil identifikasi karakteristik geografis Indonesia sebagai negara kepulauan/maritim dan agraris serta pengaruhnya terhadap kehidupan ekonomi, sosial, budaya, komunikasi, serta transportasi.</v>
      </c>
      <c r="F3" s="408" t="str">
        <f>'KI-KD'!$F85</f>
        <v xml:space="preserve">menyajikan hasil analisis tentang interaksi manusia dengan lingkungan dan pengaruhnya terhadap pembangunan sosial, budaya dan ekonomi masyarakat Indonesia
</v>
      </c>
      <c r="G3" s="408" t="str">
        <f>'KI-KD'!$F86</f>
        <v xml:space="preserve">menyajikan hasil analisis tentang peran ekonomi dalam upaya menyejahterakan kehidupan masyarakat di bidang sosial dan budaya untuk memperkuat kesatuan dan persatuan bangsa
</v>
      </c>
      <c r="H3" s="408" t="str">
        <f>'KI-KD'!$F87</f>
        <v xml:space="preserve">menyajikan hasil identifikasi mengenai faktor-faktor penting penyebab penjajahan bangsa Indonesia dan upaya bangsa Indonesia dalam mempertahankan kedaulatannya.
</v>
      </c>
      <c r="I3" s="408">
        <f>'KI-KD'!$F88</f>
        <v>0</v>
      </c>
      <c r="J3" s="408">
        <f>'KI-KD'!$F89</f>
        <v>0</v>
      </c>
      <c r="K3" s="408">
        <f>'KI-KD'!$F90</f>
        <v>0</v>
      </c>
      <c r="L3" s="408"/>
      <c r="M3" s="170"/>
      <c r="N3" s="170"/>
      <c r="O3" s="170"/>
      <c r="P3" s="157"/>
      <c r="Q3" s="157"/>
      <c r="R3" s="157"/>
      <c r="S3" s="157"/>
      <c r="T3" s="157"/>
      <c r="U3" s="720"/>
      <c r="V3" s="721"/>
      <c r="W3" s="712" t="s">
        <v>267</v>
      </c>
      <c r="X3" s="713"/>
      <c r="Y3" s="714" t="s">
        <v>268</v>
      </c>
      <c r="Z3" s="715"/>
      <c r="AA3" s="679"/>
      <c r="AB3" s="2"/>
      <c r="AC3" s="2"/>
      <c r="AD3" s="2"/>
      <c r="AE3" s="2"/>
      <c r="AF3" s="2"/>
      <c r="AG3" s="2"/>
      <c r="AH3" s="253"/>
      <c r="AV3" s="469">
        <f>AV4-AV5</f>
        <v>43</v>
      </c>
    </row>
    <row r="4" spans="1:53" s="141" customFormat="1" ht="25.5" customHeight="1">
      <c r="A4" s="514"/>
      <c r="B4" s="716"/>
      <c r="C4" s="717"/>
      <c r="D4" s="718"/>
      <c r="E4" s="140" t="str">
        <f>'KI-KD'!$E84</f>
        <v>4.1</v>
      </c>
      <c r="F4" s="140" t="str">
        <f>'KI-KD'!$E85</f>
        <v>4.2</v>
      </c>
      <c r="G4" s="140" t="str">
        <f>'KI-KD'!$E86</f>
        <v>4.3</v>
      </c>
      <c r="H4" s="140" t="str">
        <f>'KI-KD'!$E87</f>
        <v>4.4</v>
      </c>
      <c r="I4" s="140">
        <f>'KI-KD'!$E88</f>
        <v>0</v>
      </c>
      <c r="J4" s="140">
        <f>'KI-KD'!$E89</f>
        <v>0</v>
      </c>
      <c r="K4" s="140">
        <f>'KI-KD'!$E90</f>
        <v>0</v>
      </c>
      <c r="L4" s="140"/>
      <c r="M4" s="158"/>
      <c r="N4" s="158"/>
      <c r="O4" s="158"/>
      <c r="P4" s="158"/>
      <c r="Q4" s="158"/>
      <c r="R4" s="158"/>
      <c r="S4" s="158"/>
      <c r="T4" s="158"/>
      <c r="U4" s="720"/>
      <c r="V4" s="721"/>
      <c r="W4" s="248" t="s">
        <v>269</v>
      </c>
      <c r="X4" s="249" t="s">
        <v>3</v>
      </c>
      <c r="Y4" s="250" t="s">
        <v>269</v>
      </c>
      <c r="Z4" s="251" t="s">
        <v>3</v>
      </c>
      <c r="AA4" s="680"/>
      <c r="AB4" s="2"/>
      <c r="AC4" s="254" t="s">
        <v>270</v>
      </c>
      <c r="AD4" s="254" t="s">
        <v>271</v>
      </c>
      <c r="AE4" s="254" t="s">
        <v>272</v>
      </c>
      <c r="AF4" s="254" t="s">
        <v>273</v>
      </c>
      <c r="AG4" s="255" t="s">
        <v>266</v>
      </c>
      <c r="AH4" s="252"/>
      <c r="AV4" s="141">
        <v>50</v>
      </c>
    </row>
    <row r="5" spans="1:53" ht="55.5" customHeight="1">
      <c r="B5" s="142">
        <v>1</v>
      </c>
      <c r="C5" s="143" t="str">
        <f>SISWA!B6</f>
        <v>1718250040305</v>
      </c>
      <c r="D5" s="144" t="str">
        <f>SISWA!E6</f>
        <v>YAHYA</v>
      </c>
      <c r="E5" s="159">
        <v>87.5</v>
      </c>
      <c r="F5" s="160">
        <v>87.5</v>
      </c>
      <c r="G5" s="159">
        <v>87.5</v>
      </c>
      <c r="H5" s="159">
        <v>87.5</v>
      </c>
      <c r="I5" s="160"/>
      <c r="J5" s="159"/>
      <c r="K5" s="159"/>
      <c r="L5" s="159"/>
      <c r="M5" s="159"/>
      <c r="N5" s="159"/>
      <c r="O5" s="159"/>
      <c r="P5" s="159"/>
      <c r="Q5" s="159"/>
      <c r="R5" s="160"/>
      <c r="S5" s="160"/>
      <c r="T5" s="159"/>
      <c r="U5" s="354">
        <f>ROUND((AVERAGE(E5:T5)),0)</f>
        <v>88</v>
      </c>
      <c r="V5" s="355" t="str">
        <f>IF(U5&gt;KKM!$G$10,"A",IF(U5&gt;KKM!$H$10,"B",IF(U5&gt;=KKM!$I$10,"C","D")))</f>
        <v>A</v>
      </c>
      <c r="W5" s="356">
        <f t="shared" ref="W5:W54" si="0">MAX(E5:T5)</f>
        <v>87.5</v>
      </c>
      <c r="X5" s="361" t="str">
        <f>IF(W5&gt;KKM!$G$10," sangat baik ",IF(W5&gt;KKM!$H$10," baik ",IF(W5&gt;=KKM!$I$10," cukup baik "," perlu bimbingan ")))</f>
        <v xml:space="preserve"> sangat baik </v>
      </c>
      <c r="Y5" s="357">
        <f t="shared" ref="Y5:Y54" si="1">MIN(E5:T5)</f>
        <v>87.5</v>
      </c>
      <c r="Z5" s="361" t="str">
        <f>IF(Y5&gt;KKM!$G$10," sangat baik ",IF(Y5&gt;KKM!$H$10," baik ",IF(Y5&gt;=KKM!$I$10," cukup baik "," perlu bimbingan ")))</f>
        <v xml:space="preserve"> sangat baik </v>
      </c>
      <c r="AA5" s="353" t="str">
        <f>IFERROR(AH5," ")</f>
        <v>YAHYA sangat baik  dalam menyajikan hasil identifikasi karakteristik geografis Indonesia sebagai negara kepulauan/maritim dan agraris serta pengaruhnya terhadap kehidupan ekonomi, sosial, budaya, komunikasi, serta transportasi.</v>
      </c>
      <c r="AB5" s="256"/>
      <c r="AC5" s="257" t="str">
        <f t="shared" ref="AC5:AC54" si="2">X5&amp;" dalam "&amp;INDEX($E$3:$T$3,MATCH(W5,$E5:$T5,0))</f>
        <v xml:space="preserve"> sangat baik  dalam menyajikan hasil identifikasi karakteristik geografis Indonesia sebagai negara kepulauan/maritim dan agraris serta pengaruhnya terhadap kehidupan ekonomi, sosial, budaya, komunikasi, serta transportasi.</v>
      </c>
      <c r="AD5" s="257" t="str">
        <f t="shared" ref="AD5:AD54" si="3">Z5&amp;" dalam "&amp;INDEX($E$3:$T$3,MATCH(Y5,$E5:$T5,0))</f>
        <v xml:space="preserve"> sangat baik  dalam menyajikan hasil identifikasi karakteristik geografis Indonesia sebagai negara kepulauan/maritim dan agraris serta pengaruhnya terhadap kehidupan ekonomi, sosial, budaya, komunikasi, serta transportasi.</v>
      </c>
      <c r="AE5" s="257" t="str">
        <f>AC5&amp;", dan "&amp;AD5</f>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5" s="257" t="str">
        <f>IF(AC5=AD5,AC5," ")</f>
        <v xml:space="preserve"> sangat baik  dalam menyajikan hasil identifikasi karakteristik geografis Indonesia sebagai negara kepulauan/maritim dan agraris serta pengaruhnya terhadap kehidupan ekonomi, sosial, budaya, komunikasi, serta transportasi.</v>
      </c>
      <c r="AG5" s="258" t="str">
        <f>IF(AF5=" ",AE5,AF5)</f>
        <v xml:space="preserve"> sangat baik  dalam menyajikan hasil identifikasi karakteristik geografis Indonesia sebagai negara kepulauan/maritim dan agraris serta pengaruhnya terhadap kehidupan ekonomi, sosial, budaya, komunikasi, serta transportasi.</v>
      </c>
      <c r="AH5" s="252" t="str">
        <f>CONCATENATE(D5,AG5)</f>
        <v>YAHYA sangat baik  dalam menyajikan hasil identifikasi karakteristik geografis Indonesia sebagai negara kepulauan/maritim dan agraris serta pengaruhnya terhadap kehidupan ekonomi, sosial, budaya, komunikasi, serta transportasi.</v>
      </c>
      <c r="AI5" s="153"/>
      <c r="AU5" s="469">
        <f>IFERROR(U5,"")</f>
        <v>88</v>
      </c>
      <c r="AV5" s="469">
        <f>COUNTBLANK(AU5:AU54)</f>
        <v>7</v>
      </c>
    </row>
    <row r="6" spans="1:53" ht="55.5" customHeight="1">
      <c r="B6" s="142">
        <v>2</v>
      </c>
      <c r="C6" s="143" t="str">
        <f>SISWA!B7</f>
        <v>1718250040306</v>
      </c>
      <c r="D6" s="144" t="str">
        <f>SISWA!E7</f>
        <v>ADHWA</v>
      </c>
      <c r="E6" s="159">
        <v>85</v>
      </c>
      <c r="F6" s="160">
        <v>85</v>
      </c>
      <c r="G6" s="159">
        <v>85</v>
      </c>
      <c r="H6" s="160">
        <v>85</v>
      </c>
      <c r="I6" s="160"/>
      <c r="J6" s="159"/>
      <c r="K6" s="159"/>
      <c r="L6" s="159"/>
      <c r="M6" s="159"/>
      <c r="N6" s="159"/>
      <c r="O6" s="159"/>
      <c r="P6" s="159"/>
      <c r="Q6" s="159"/>
      <c r="R6" s="160"/>
      <c r="S6" s="160"/>
      <c r="T6" s="159"/>
      <c r="U6" s="354">
        <f t="shared" ref="U6:U54" si="4">ROUND((AVERAGE(E6:T6)),0)</f>
        <v>85</v>
      </c>
      <c r="V6" s="355" t="str">
        <f>IF(U6&gt;KKM!$G$10,"A",IF(U6&gt;KKM!$H$10,"B",IF(U6&gt;=KKM!$I$10,"C","D")))</f>
        <v>B</v>
      </c>
      <c r="W6" s="356">
        <f t="shared" si="0"/>
        <v>85</v>
      </c>
      <c r="X6" s="361" t="str">
        <f>IF(W6&gt;KKM!$G$10," sangat baik ",IF(W6&gt;KKM!$H$10," baik ",IF(W6&gt;=KKM!$I$10," cukup baik "," perlu bimbingan ")))</f>
        <v xml:space="preserve"> baik </v>
      </c>
      <c r="Y6" s="357">
        <f t="shared" si="1"/>
        <v>85</v>
      </c>
      <c r="Z6" s="361" t="str">
        <f>IF(Y6&gt;KKM!$G$10," sangat baik ",IF(Y6&gt;KKM!$H$10," baik ",IF(Y6&gt;=KKM!$I$10," cukup baik "," perlu bimbingan ")))</f>
        <v xml:space="preserve"> baik </v>
      </c>
      <c r="AA6" s="353" t="str">
        <f t="shared" ref="AA6:AA54" si="5">IFERROR(AH6," ")</f>
        <v>ADHWA baik  dalam menyajikan hasil identifikasi karakteristik geografis Indonesia sebagai negara kepulauan/maritim dan agraris serta pengaruhnya terhadap kehidupan ekonomi, sosial, budaya, komunikasi, serta transportasi.</v>
      </c>
      <c r="AB6" s="256"/>
      <c r="AC6" s="257" t="str">
        <f t="shared" si="2"/>
        <v xml:space="preserve"> baik  dalam menyajikan hasil identifikasi karakteristik geografis Indonesia sebagai negara kepulauan/maritim dan agraris serta pengaruhnya terhadap kehidupan ekonomi, sosial, budaya, komunikasi, serta transportasi.</v>
      </c>
      <c r="AD6" s="257" t="str">
        <f t="shared" si="3"/>
        <v xml:space="preserve"> baik  dalam menyajikan hasil identifikasi karakteristik geografis Indonesia sebagai negara kepulauan/maritim dan agraris serta pengaruhnya terhadap kehidupan ekonomi, sosial, budaya, komunikasi, serta transportasi.</v>
      </c>
      <c r="AE6" s="257" t="str">
        <f t="shared" ref="AE6:AE54" si="6">AC6&amp;", dan "&amp;AD6</f>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6" s="257" t="str">
        <f t="shared" ref="AF6:AF54" si="7">IF(AC6=AD6,AC6," ")</f>
        <v xml:space="preserve"> baik  dalam menyajikan hasil identifikasi karakteristik geografis Indonesia sebagai negara kepulauan/maritim dan agraris serta pengaruhnya terhadap kehidupan ekonomi, sosial, budaya, komunikasi, serta transportasi.</v>
      </c>
      <c r="AG6" s="258" t="str">
        <f t="shared" ref="AG6:AG54" si="8">IF(AF6=" ",AE6,AF6)</f>
        <v xml:space="preserve"> baik  dalam menyajikan hasil identifikasi karakteristik geografis Indonesia sebagai negara kepulauan/maritim dan agraris serta pengaruhnya terhadap kehidupan ekonomi, sosial, budaya, komunikasi, serta transportasi.</v>
      </c>
      <c r="AH6" s="252" t="str">
        <f t="shared" ref="AH6:AH54" si="9">CONCATENATE(D6,AG6)</f>
        <v>ADHWA baik  dalam menyajikan hasil identifikasi karakteristik geografis Indonesia sebagai negara kepulauan/maritim dan agraris serta pengaruhnya terhadap kehidupan ekonomi, sosial, budaya, komunikasi, serta transportasi.</v>
      </c>
      <c r="AI6" s="153"/>
      <c r="AU6" s="469">
        <f t="shared" ref="AU6:AU54" si="10">IFERROR(U6,"")</f>
        <v>85</v>
      </c>
      <c r="AV6" s="503">
        <f>IFERROR(AV3/AV2,"0%")</f>
        <v>1</v>
      </c>
    </row>
    <row r="7" spans="1:53" ht="55.5" customHeight="1">
      <c r="B7" s="142">
        <v>3</v>
      </c>
      <c r="C7" s="143" t="str">
        <f>SISWA!B8</f>
        <v xml:space="preserve"> 1718250040307</v>
      </c>
      <c r="D7" s="144" t="str">
        <f>SISWA!E8</f>
        <v>ANDHIKA</v>
      </c>
      <c r="E7" s="159">
        <v>82.5</v>
      </c>
      <c r="F7" s="160">
        <v>82.5</v>
      </c>
      <c r="G7" s="160">
        <v>82.5</v>
      </c>
      <c r="H7" s="160">
        <v>82.5</v>
      </c>
      <c r="I7" s="160"/>
      <c r="J7" s="159" t="s">
        <v>766</v>
      </c>
      <c r="K7" s="159"/>
      <c r="L7" s="159"/>
      <c r="M7" s="159"/>
      <c r="N7" s="159"/>
      <c r="O7" s="159"/>
      <c r="P7" s="159"/>
      <c r="Q7" s="159"/>
      <c r="R7" s="160"/>
      <c r="S7" s="160"/>
      <c r="T7" s="159"/>
      <c r="U7" s="354">
        <f t="shared" si="4"/>
        <v>83</v>
      </c>
      <c r="V7" s="355" t="str">
        <f>IF(U7&gt;KKM!$G$10,"A",IF(U7&gt;KKM!$H$10,"B",IF(U7&gt;=KKM!$I$10,"C","D")))</f>
        <v>B</v>
      </c>
      <c r="W7" s="356">
        <f t="shared" si="0"/>
        <v>82.5</v>
      </c>
      <c r="X7" s="361" t="str">
        <f>IF(W7&gt;KKM!$G$10," sangat baik ",IF(W7&gt;KKM!$H$10," baik ",IF(W7&gt;=KKM!$I$10," cukup baik "," perlu bimbingan ")))</f>
        <v xml:space="preserve"> baik </v>
      </c>
      <c r="Y7" s="357">
        <f t="shared" si="1"/>
        <v>82.5</v>
      </c>
      <c r="Z7" s="361" t="str">
        <f>IF(Y7&gt;KKM!$G$10," sangat baik ",IF(Y7&gt;KKM!$H$10," baik ",IF(Y7&gt;=KKM!$I$10," cukup baik "," perlu bimbingan ")))</f>
        <v xml:space="preserve"> baik </v>
      </c>
      <c r="AA7" s="353" t="str">
        <f t="shared" si="5"/>
        <v>ANDHIKA baik  dalam menyajikan hasil identifikasi karakteristik geografis Indonesia sebagai negara kepulauan/maritim dan agraris serta pengaruhnya terhadap kehidupan ekonomi, sosial, budaya, komunikasi, serta transportasi.</v>
      </c>
      <c r="AB7" s="256"/>
      <c r="AC7" s="257" t="str">
        <f t="shared" si="2"/>
        <v xml:space="preserve"> baik  dalam menyajikan hasil identifikasi karakteristik geografis Indonesia sebagai negara kepulauan/maritim dan agraris serta pengaruhnya terhadap kehidupan ekonomi, sosial, budaya, komunikasi, serta transportasi.</v>
      </c>
      <c r="AD7" s="257" t="str">
        <f t="shared" si="3"/>
        <v xml:space="preserve"> baik  dalam menyajikan hasil identifikasi karakteristik geografis Indonesia sebagai negara kepulauan/maritim dan agraris serta pengaruhnya terhadap kehidupan ekonomi, sosial, budaya, komunikasi, serta transportasi.</v>
      </c>
      <c r="AE7"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7" s="257" t="str">
        <f t="shared" si="7"/>
        <v xml:space="preserve"> baik  dalam menyajikan hasil identifikasi karakteristik geografis Indonesia sebagai negara kepulauan/maritim dan agraris serta pengaruhnya terhadap kehidupan ekonomi, sosial, budaya, komunikasi, serta transportasi.</v>
      </c>
      <c r="AG7" s="258" t="str">
        <f t="shared" si="8"/>
        <v xml:space="preserve"> baik  dalam menyajikan hasil identifikasi karakteristik geografis Indonesia sebagai negara kepulauan/maritim dan agraris serta pengaruhnya terhadap kehidupan ekonomi, sosial, budaya, komunikasi, serta transportasi.</v>
      </c>
      <c r="AH7" s="252" t="str">
        <f t="shared" si="9"/>
        <v>ANDHIKA baik  dalam menyajikan hasil identifikasi karakteristik geografis Indonesia sebagai negara kepulauan/maritim dan agraris serta pengaruhnya terhadap kehidupan ekonomi, sosial, budaya, komunikasi, serta transportasi.</v>
      </c>
      <c r="AI7" s="153"/>
      <c r="AU7" s="469">
        <f t="shared" si="10"/>
        <v>83</v>
      </c>
    </row>
    <row r="8" spans="1:53" ht="55.5" customHeight="1">
      <c r="B8" s="142">
        <v>4</v>
      </c>
      <c r="C8" s="143" t="str">
        <f>SISWA!B9</f>
        <v xml:space="preserve"> 1718250040308</v>
      </c>
      <c r="D8" s="144" t="str">
        <f>SISWA!E9</f>
        <v>ANGGARA</v>
      </c>
      <c r="E8" s="159">
        <v>82.5</v>
      </c>
      <c r="F8" s="160">
        <v>82.5</v>
      </c>
      <c r="G8" s="160">
        <v>82.5</v>
      </c>
      <c r="H8" s="160">
        <v>82.5</v>
      </c>
      <c r="I8" s="160"/>
      <c r="J8" s="159"/>
      <c r="K8" s="159"/>
      <c r="L8" s="159"/>
      <c r="M8" s="159"/>
      <c r="N8" s="159"/>
      <c r="O8" s="159"/>
      <c r="P8" s="159"/>
      <c r="Q8" s="159"/>
      <c r="R8" s="160"/>
      <c r="S8" s="160"/>
      <c r="T8" s="159"/>
      <c r="U8" s="354">
        <f t="shared" si="4"/>
        <v>83</v>
      </c>
      <c r="V8" s="355" t="str">
        <f>IF(U8&gt;KKM!$G$10,"A",IF(U8&gt;KKM!$H$10,"B",IF(U8&gt;=KKM!$I$10,"C","D")))</f>
        <v>B</v>
      </c>
      <c r="W8" s="356">
        <f t="shared" si="0"/>
        <v>82.5</v>
      </c>
      <c r="X8" s="361" t="str">
        <f>IF(W8&gt;KKM!$G$10," sangat baik ",IF(W8&gt;KKM!$H$10," baik ",IF(W8&gt;=KKM!$I$10," cukup baik "," perlu bimbingan ")))</f>
        <v xml:space="preserve"> baik </v>
      </c>
      <c r="Y8" s="357">
        <f t="shared" si="1"/>
        <v>82.5</v>
      </c>
      <c r="Z8" s="361" t="str">
        <f>IF(Y8&gt;KKM!$G$10," sangat baik ",IF(Y8&gt;KKM!$H$10," baik ",IF(Y8&gt;=KKM!$I$10," cukup baik "," perlu bimbingan ")))</f>
        <v xml:space="preserve"> baik </v>
      </c>
      <c r="AA8" s="353" t="str">
        <f t="shared" si="5"/>
        <v>ANGGARA baik  dalam menyajikan hasil identifikasi karakteristik geografis Indonesia sebagai negara kepulauan/maritim dan agraris serta pengaruhnya terhadap kehidupan ekonomi, sosial, budaya, komunikasi, serta transportasi.</v>
      </c>
      <c r="AB8" s="256"/>
      <c r="AC8" s="257" t="str">
        <f t="shared" si="2"/>
        <v xml:space="preserve"> baik  dalam menyajikan hasil identifikasi karakteristik geografis Indonesia sebagai negara kepulauan/maritim dan agraris serta pengaruhnya terhadap kehidupan ekonomi, sosial, budaya, komunikasi, serta transportasi.</v>
      </c>
      <c r="AD8" s="257" t="str">
        <f t="shared" si="3"/>
        <v xml:space="preserve"> baik  dalam menyajikan hasil identifikasi karakteristik geografis Indonesia sebagai negara kepulauan/maritim dan agraris serta pengaruhnya terhadap kehidupan ekonomi, sosial, budaya, komunikasi, serta transportasi.</v>
      </c>
      <c r="AE8"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8" s="257" t="str">
        <f t="shared" si="7"/>
        <v xml:space="preserve"> baik  dalam menyajikan hasil identifikasi karakteristik geografis Indonesia sebagai negara kepulauan/maritim dan agraris serta pengaruhnya terhadap kehidupan ekonomi, sosial, budaya, komunikasi, serta transportasi.</v>
      </c>
      <c r="AG8" s="258" t="str">
        <f t="shared" si="8"/>
        <v xml:space="preserve"> baik  dalam menyajikan hasil identifikasi karakteristik geografis Indonesia sebagai negara kepulauan/maritim dan agraris serta pengaruhnya terhadap kehidupan ekonomi, sosial, budaya, komunikasi, serta transportasi.</v>
      </c>
      <c r="AH8" s="252" t="str">
        <f t="shared" si="9"/>
        <v>ANGGARA baik  dalam menyajikan hasil identifikasi karakteristik geografis Indonesia sebagai negara kepulauan/maritim dan agraris serta pengaruhnya terhadap kehidupan ekonomi, sosial, budaya, komunikasi, serta transportasi.</v>
      </c>
      <c r="AI8" s="153"/>
      <c r="AU8" s="469">
        <f t="shared" si="10"/>
        <v>83</v>
      </c>
    </row>
    <row r="9" spans="1:53" ht="55.5" customHeight="1">
      <c r="B9" s="142">
        <v>5</v>
      </c>
      <c r="C9" s="143" t="str">
        <f>SISWA!B10</f>
        <v>1718250040309</v>
      </c>
      <c r="D9" s="144" t="str">
        <f>SISWA!E10</f>
        <v>ARIA</v>
      </c>
      <c r="E9" s="159">
        <v>80</v>
      </c>
      <c r="F9" s="160">
        <v>80</v>
      </c>
      <c r="G9" s="160">
        <v>80</v>
      </c>
      <c r="H9" s="160">
        <v>80</v>
      </c>
      <c r="I9" s="160"/>
      <c r="J9" s="159"/>
      <c r="K9" s="159"/>
      <c r="L9" s="159"/>
      <c r="M9" s="159"/>
      <c r="N9" s="159"/>
      <c r="O9" s="159"/>
      <c r="P9" s="159"/>
      <c r="Q9" s="159"/>
      <c r="R9" s="160"/>
      <c r="S9" s="160"/>
      <c r="T9" s="159"/>
      <c r="U9" s="354">
        <f t="shared" si="4"/>
        <v>80</v>
      </c>
      <c r="V9" s="355" t="str">
        <f>IF(U9&gt;KKM!$G$10,"A",IF(U9&gt;KKM!$H$10,"B",IF(U9&gt;=KKM!$I$10,"C","D")))</f>
        <v>B</v>
      </c>
      <c r="W9" s="356">
        <f t="shared" si="0"/>
        <v>80</v>
      </c>
      <c r="X9" s="361" t="str">
        <f>IF(W9&gt;KKM!$G$10," sangat baik ",IF(W9&gt;KKM!$H$10," baik ",IF(W9&gt;=KKM!$I$10," cukup baik "," perlu bimbingan ")))</f>
        <v xml:space="preserve"> baik </v>
      </c>
      <c r="Y9" s="357">
        <f t="shared" si="1"/>
        <v>80</v>
      </c>
      <c r="Z9" s="361" t="str">
        <f>IF(Y9&gt;KKM!$G$10," sangat baik ",IF(Y9&gt;KKM!$H$10," baik ",IF(Y9&gt;=KKM!$I$10," cukup baik "," perlu bimbingan ")))</f>
        <v xml:space="preserve"> baik </v>
      </c>
      <c r="AA9" s="353" t="str">
        <f t="shared" si="5"/>
        <v>ARIA baik  dalam menyajikan hasil identifikasi karakteristik geografis Indonesia sebagai negara kepulauan/maritim dan agraris serta pengaruhnya terhadap kehidupan ekonomi, sosial, budaya, komunikasi, serta transportasi.</v>
      </c>
      <c r="AB9" s="256"/>
      <c r="AC9" s="257" t="str">
        <f t="shared" si="2"/>
        <v xml:space="preserve"> baik  dalam menyajikan hasil identifikasi karakteristik geografis Indonesia sebagai negara kepulauan/maritim dan agraris serta pengaruhnya terhadap kehidupan ekonomi, sosial, budaya, komunikasi, serta transportasi.</v>
      </c>
      <c r="AD9" s="257" t="str">
        <f t="shared" si="3"/>
        <v xml:space="preserve"> baik  dalam menyajikan hasil identifikasi karakteristik geografis Indonesia sebagai negara kepulauan/maritim dan agraris serta pengaruhnya terhadap kehidupan ekonomi, sosial, budaya, komunikasi, serta transportasi.</v>
      </c>
      <c r="AE9"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9" s="257" t="str">
        <f t="shared" si="7"/>
        <v xml:space="preserve"> baik  dalam menyajikan hasil identifikasi karakteristik geografis Indonesia sebagai negara kepulauan/maritim dan agraris serta pengaruhnya terhadap kehidupan ekonomi, sosial, budaya, komunikasi, serta transportasi.</v>
      </c>
      <c r="AG9" s="258" t="str">
        <f t="shared" si="8"/>
        <v xml:space="preserve"> baik  dalam menyajikan hasil identifikasi karakteristik geografis Indonesia sebagai negara kepulauan/maritim dan agraris serta pengaruhnya terhadap kehidupan ekonomi, sosial, budaya, komunikasi, serta transportasi.</v>
      </c>
      <c r="AH9" s="252" t="str">
        <f t="shared" si="9"/>
        <v>ARIA baik  dalam menyajikan hasil identifikasi karakteristik geografis Indonesia sebagai negara kepulauan/maritim dan agraris serta pengaruhnya terhadap kehidupan ekonomi, sosial, budaya, komunikasi, serta transportasi.</v>
      </c>
      <c r="AI9" s="153"/>
      <c r="AU9" s="469">
        <f t="shared" si="10"/>
        <v>80</v>
      </c>
    </row>
    <row r="10" spans="1:53" ht="55.5" customHeight="1">
      <c r="B10" s="142">
        <v>6</v>
      </c>
      <c r="C10" s="143" t="str">
        <f>SISWA!B11</f>
        <v>1718250040310</v>
      </c>
      <c r="D10" s="144" t="str">
        <f>SISWA!E11</f>
        <v>CAHAYA</v>
      </c>
      <c r="E10" s="159">
        <v>85</v>
      </c>
      <c r="F10" s="160">
        <v>85</v>
      </c>
      <c r="G10" s="160">
        <v>85</v>
      </c>
      <c r="H10" s="160">
        <v>85</v>
      </c>
      <c r="I10" s="160"/>
      <c r="J10" s="159"/>
      <c r="K10" s="159"/>
      <c r="L10" s="159"/>
      <c r="M10" s="159"/>
      <c r="N10" s="159"/>
      <c r="O10" s="159"/>
      <c r="P10" s="159"/>
      <c r="Q10" s="159"/>
      <c r="R10" s="160"/>
      <c r="S10" s="160"/>
      <c r="T10" s="159"/>
      <c r="U10" s="354">
        <f t="shared" si="4"/>
        <v>85</v>
      </c>
      <c r="V10" s="355" t="str">
        <f>IF(U10&gt;KKM!$G$10,"A",IF(U10&gt;KKM!$H$10,"B",IF(U10&gt;=KKM!$I$10,"C","D")))</f>
        <v>B</v>
      </c>
      <c r="W10" s="356">
        <f t="shared" si="0"/>
        <v>85</v>
      </c>
      <c r="X10" s="361" t="str">
        <f>IF(W10&gt;KKM!$G$10," sangat baik ",IF(W10&gt;KKM!$H$10," baik ",IF(W10&gt;=KKM!$I$10," cukup baik "," perlu bimbingan ")))</f>
        <v xml:space="preserve"> baik </v>
      </c>
      <c r="Y10" s="357">
        <f t="shared" si="1"/>
        <v>85</v>
      </c>
      <c r="Z10" s="361" t="str">
        <f>IF(Y10&gt;KKM!$G$10," sangat baik ",IF(Y10&gt;KKM!$H$10," baik ",IF(Y10&gt;=KKM!$I$10," cukup baik "," perlu bimbingan ")))</f>
        <v xml:space="preserve"> baik </v>
      </c>
      <c r="AA10" s="353" t="str">
        <f t="shared" si="5"/>
        <v>CAHAYA baik  dalam menyajikan hasil identifikasi karakteristik geografis Indonesia sebagai negara kepulauan/maritim dan agraris serta pengaruhnya terhadap kehidupan ekonomi, sosial, budaya, komunikasi, serta transportasi.</v>
      </c>
      <c r="AB10" s="256"/>
      <c r="AC10" s="257" t="str">
        <f t="shared" si="2"/>
        <v xml:space="preserve"> baik  dalam menyajikan hasil identifikasi karakteristik geografis Indonesia sebagai negara kepulauan/maritim dan agraris serta pengaruhnya terhadap kehidupan ekonomi, sosial, budaya, komunikasi, serta transportasi.</v>
      </c>
      <c r="AD10" s="257" t="str">
        <f t="shared" si="3"/>
        <v xml:space="preserve"> baik  dalam menyajikan hasil identifikasi karakteristik geografis Indonesia sebagai negara kepulauan/maritim dan agraris serta pengaruhnya terhadap kehidupan ekonomi, sosial, budaya, komunikasi, serta transportasi.</v>
      </c>
      <c r="AE10"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10" s="257" t="str">
        <f t="shared" si="7"/>
        <v xml:space="preserve"> baik  dalam menyajikan hasil identifikasi karakteristik geografis Indonesia sebagai negara kepulauan/maritim dan agraris serta pengaruhnya terhadap kehidupan ekonomi, sosial, budaya, komunikasi, serta transportasi.</v>
      </c>
      <c r="AG10" s="258" t="str">
        <f t="shared" si="8"/>
        <v xml:space="preserve"> baik  dalam menyajikan hasil identifikasi karakteristik geografis Indonesia sebagai negara kepulauan/maritim dan agraris serta pengaruhnya terhadap kehidupan ekonomi, sosial, budaya, komunikasi, serta transportasi.</v>
      </c>
      <c r="AH10" s="252" t="str">
        <f t="shared" si="9"/>
        <v>CAHAYA baik  dalam menyajikan hasil identifikasi karakteristik geografis Indonesia sebagai negara kepulauan/maritim dan agraris serta pengaruhnya terhadap kehidupan ekonomi, sosial, budaya, komunikasi, serta transportasi.</v>
      </c>
      <c r="AI10" s="153"/>
      <c r="AU10" s="469">
        <f t="shared" si="10"/>
        <v>85</v>
      </c>
    </row>
    <row r="11" spans="1:53" ht="55.5" customHeight="1">
      <c r="B11" s="142">
        <v>7</v>
      </c>
      <c r="C11" s="143" t="str">
        <f>SISWA!B12</f>
        <v>1718250040311</v>
      </c>
      <c r="D11" s="144" t="str">
        <f>SISWA!E12</f>
        <v>CALISTA</v>
      </c>
      <c r="E11" s="159">
        <v>80</v>
      </c>
      <c r="F11" s="160">
        <v>80</v>
      </c>
      <c r="G11" s="160">
        <v>80</v>
      </c>
      <c r="H11" s="160">
        <v>80</v>
      </c>
      <c r="I11" s="160"/>
      <c r="J11" s="159"/>
      <c r="K11" s="159"/>
      <c r="L11" s="159"/>
      <c r="M11" s="159"/>
      <c r="N11" s="159"/>
      <c r="O11" s="159"/>
      <c r="P11" s="159"/>
      <c r="Q11" s="159"/>
      <c r="R11" s="160"/>
      <c r="S11" s="160"/>
      <c r="T11" s="159"/>
      <c r="U11" s="354">
        <f t="shared" si="4"/>
        <v>80</v>
      </c>
      <c r="V11" s="355" t="str">
        <f>IF(U11&gt;KKM!$G$10,"A",IF(U11&gt;KKM!$H$10,"B",IF(U11&gt;=KKM!$I$10,"C","D")))</f>
        <v>B</v>
      </c>
      <c r="W11" s="356">
        <f t="shared" si="0"/>
        <v>80</v>
      </c>
      <c r="X11" s="361" t="str">
        <f>IF(W11&gt;KKM!$G$10," sangat baik ",IF(W11&gt;KKM!$H$10," baik ",IF(W11&gt;=KKM!$I$10," cukup baik "," perlu bimbingan ")))</f>
        <v xml:space="preserve"> baik </v>
      </c>
      <c r="Y11" s="357">
        <f t="shared" si="1"/>
        <v>80</v>
      </c>
      <c r="Z11" s="361" t="str">
        <f>IF(Y11&gt;KKM!$G$10," sangat baik ",IF(Y11&gt;KKM!$H$10," baik ",IF(Y11&gt;=KKM!$I$10," cukup baik "," perlu bimbingan ")))</f>
        <v xml:space="preserve"> baik </v>
      </c>
      <c r="AA11" s="353" t="str">
        <f t="shared" si="5"/>
        <v>CALISTA baik  dalam menyajikan hasil identifikasi karakteristik geografis Indonesia sebagai negara kepulauan/maritim dan agraris serta pengaruhnya terhadap kehidupan ekonomi, sosial, budaya, komunikasi, serta transportasi.</v>
      </c>
      <c r="AB11" s="256"/>
      <c r="AC11" s="257" t="str">
        <f t="shared" si="2"/>
        <v xml:space="preserve"> baik  dalam menyajikan hasil identifikasi karakteristik geografis Indonesia sebagai negara kepulauan/maritim dan agraris serta pengaruhnya terhadap kehidupan ekonomi, sosial, budaya, komunikasi, serta transportasi.</v>
      </c>
      <c r="AD11" s="257" t="str">
        <f t="shared" si="3"/>
        <v xml:space="preserve"> baik  dalam menyajikan hasil identifikasi karakteristik geografis Indonesia sebagai negara kepulauan/maritim dan agraris serta pengaruhnya terhadap kehidupan ekonomi, sosial, budaya, komunikasi, serta transportasi.</v>
      </c>
      <c r="AE11"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11" s="257" t="str">
        <f t="shared" si="7"/>
        <v xml:space="preserve"> baik  dalam menyajikan hasil identifikasi karakteristik geografis Indonesia sebagai negara kepulauan/maritim dan agraris serta pengaruhnya terhadap kehidupan ekonomi, sosial, budaya, komunikasi, serta transportasi.</v>
      </c>
      <c r="AG11" s="258" t="str">
        <f t="shared" si="8"/>
        <v xml:space="preserve"> baik  dalam menyajikan hasil identifikasi karakteristik geografis Indonesia sebagai negara kepulauan/maritim dan agraris serta pengaruhnya terhadap kehidupan ekonomi, sosial, budaya, komunikasi, serta transportasi.</v>
      </c>
      <c r="AH11" s="252" t="str">
        <f t="shared" si="9"/>
        <v>CALISTA baik  dalam menyajikan hasil identifikasi karakteristik geografis Indonesia sebagai negara kepulauan/maritim dan agraris serta pengaruhnya terhadap kehidupan ekonomi, sosial, budaya, komunikasi, serta transportasi.</v>
      </c>
      <c r="AI11" s="153"/>
      <c r="AU11" s="469">
        <f t="shared" si="10"/>
        <v>80</v>
      </c>
    </row>
    <row r="12" spans="1:53" ht="55.5" customHeight="1">
      <c r="B12" s="142">
        <v>8</v>
      </c>
      <c r="C12" s="143" t="str">
        <f>SISWA!B13</f>
        <v>1718250040312</v>
      </c>
      <c r="D12" s="144" t="str">
        <f>SISWA!E13</f>
        <v>CARISSA</v>
      </c>
      <c r="E12" s="159">
        <v>85</v>
      </c>
      <c r="F12" s="160">
        <v>85</v>
      </c>
      <c r="G12" s="160">
        <v>85</v>
      </c>
      <c r="H12" s="160">
        <v>85</v>
      </c>
      <c r="I12" s="160"/>
      <c r="J12" s="159"/>
      <c r="K12" s="159"/>
      <c r="L12" s="159"/>
      <c r="M12" s="159"/>
      <c r="N12" s="159"/>
      <c r="O12" s="159"/>
      <c r="P12" s="159"/>
      <c r="Q12" s="159"/>
      <c r="R12" s="160"/>
      <c r="S12" s="160"/>
      <c r="T12" s="159"/>
      <c r="U12" s="354">
        <f t="shared" si="4"/>
        <v>85</v>
      </c>
      <c r="V12" s="355" t="str">
        <f>IF(U12&gt;KKM!$G$10,"A",IF(U12&gt;KKM!$H$10,"B",IF(U12&gt;=KKM!$I$10,"C","D")))</f>
        <v>B</v>
      </c>
      <c r="W12" s="356">
        <f t="shared" si="0"/>
        <v>85</v>
      </c>
      <c r="X12" s="361" t="str">
        <f>IF(W12&gt;KKM!$G$10," sangat baik ",IF(W12&gt;KKM!$H$10," baik ",IF(W12&gt;=KKM!$I$10," cukup baik "," perlu bimbingan ")))</f>
        <v xml:space="preserve"> baik </v>
      </c>
      <c r="Y12" s="357">
        <f t="shared" si="1"/>
        <v>85</v>
      </c>
      <c r="Z12" s="361" t="str">
        <f>IF(Y12&gt;KKM!$G$10," sangat baik ",IF(Y12&gt;KKM!$H$10," baik ",IF(Y12&gt;=KKM!$I$10," cukup baik "," perlu bimbingan ")))</f>
        <v xml:space="preserve"> baik </v>
      </c>
      <c r="AA12" s="353" t="str">
        <f t="shared" si="5"/>
        <v>CARISSA baik  dalam menyajikan hasil identifikasi karakteristik geografis Indonesia sebagai negara kepulauan/maritim dan agraris serta pengaruhnya terhadap kehidupan ekonomi, sosial, budaya, komunikasi, serta transportasi.</v>
      </c>
      <c r="AB12" s="256"/>
      <c r="AC12" s="257" t="str">
        <f t="shared" si="2"/>
        <v xml:space="preserve"> baik  dalam menyajikan hasil identifikasi karakteristik geografis Indonesia sebagai negara kepulauan/maritim dan agraris serta pengaruhnya terhadap kehidupan ekonomi, sosial, budaya, komunikasi, serta transportasi.</v>
      </c>
      <c r="AD12" s="257" t="str">
        <f t="shared" si="3"/>
        <v xml:space="preserve"> baik  dalam menyajikan hasil identifikasi karakteristik geografis Indonesia sebagai negara kepulauan/maritim dan agraris serta pengaruhnya terhadap kehidupan ekonomi, sosial, budaya, komunikasi, serta transportasi.</v>
      </c>
      <c r="AE12"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12" s="257" t="str">
        <f t="shared" si="7"/>
        <v xml:space="preserve"> baik  dalam menyajikan hasil identifikasi karakteristik geografis Indonesia sebagai negara kepulauan/maritim dan agraris serta pengaruhnya terhadap kehidupan ekonomi, sosial, budaya, komunikasi, serta transportasi.</v>
      </c>
      <c r="AG12" s="258" t="str">
        <f t="shared" si="8"/>
        <v xml:space="preserve"> baik  dalam menyajikan hasil identifikasi karakteristik geografis Indonesia sebagai negara kepulauan/maritim dan agraris serta pengaruhnya terhadap kehidupan ekonomi, sosial, budaya, komunikasi, serta transportasi.</v>
      </c>
      <c r="AH12" s="252" t="str">
        <f t="shared" si="9"/>
        <v>CARISSA baik  dalam menyajikan hasil identifikasi karakteristik geografis Indonesia sebagai negara kepulauan/maritim dan agraris serta pengaruhnya terhadap kehidupan ekonomi, sosial, budaya, komunikasi, serta transportasi.</v>
      </c>
      <c r="AI12" s="153"/>
      <c r="AU12" s="469">
        <f t="shared" si="10"/>
        <v>85</v>
      </c>
    </row>
    <row r="13" spans="1:53" ht="55.5" customHeight="1">
      <c r="B13" s="142">
        <v>9</v>
      </c>
      <c r="C13" s="143" t="str">
        <f>SISWA!B14</f>
        <v>1718250040313</v>
      </c>
      <c r="D13" s="144" t="str">
        <f>SISWA!E14</f>
        <v>CHAIDAR</v>
      </c>
      <c r="E13" s="159">
        <v>87.5</v>
      </c>
      <c r="F13" s="160">
        <v>87.5</v>
      </c>
      <c r="G13" s="160">
        <v>87.5</v>
      </c>
      <c r="H13" s="160">
        <v>87.5</v>
      </c>
      <c r="I13" s="160"/>
      <c r="J13" s="159"/>
      <c r="K13" s="159"/>
      <c r="L13" s="159"/>
      <c r="M13" s="159"/>
      <c r="N13" s="159"/>
      <c r="O13" s="159"/>
      <c r="P13" s="159"/>
      <c r="Q13" s="159"/>
      <c r="R13" s="160"/>
      <c r="S13" s="160"/>
      <c r="T13" s="159"/>
      <c r="U13" s="354">
        <f t="shared" si="4"/>
        <v>88</v>
      </c>
      <c r="V13" s="355" t="str">
        <f>IF(U13&gt;KKM!$G$10,"A",IF(U13&gt;KKM!$H$10,"B",IF(U13&gt;=KKM!$I$10,"C","D")))</f>
        <v>A</v>
      </c>
      <c r="W13" s="356">
        <f t="shared" si="0"/>
        <v>87.5</v>
      </c>
      <c r="X13" s="361" t="str">
        <f>IF(W13&gt;KKM!$G$10," sangat baik ",IF(W13&gt;KKM!$H$10," baik ",IF(W13&gt;=KKM!$I$10," cukup baik "," perlu bimbingan ")))</f>
        <v xml:space="preserve"> sangat baik </v>
      </c>
      <c r="Y13" s="357">
        <f t="shared" si="1"/>
        <v>87.5</v>
      </c>
      <c r="Z13" s="361" t="str">
        <f>IF(Y13&gt;KKM!$G$10," sangat baik ",IF(Y13&gt;KKM!$H$10," baik ",IF(Y13&gt;=KKM!$I$10," cukup baik "," perlu bimbingan ")))</f>
        <v xml:space="preserve"> sangat baik </v>
      </c>
      <c r="AA13" s="353" t="str">
        <f t="shared" si="5"/>
        <v>CHAIDAR sangat baik  dalam menyajikan hasil identifikasi karakteristik geografis Indonesia sebagai negara kepulauan/maritim dan agraris serta pengaruhnya terhadap kehidupan ekonomi, sosial, budaya, komunikasi, serta transportasi.</v>
      </c>
      <c r="AB13" s="256"/>
      <c r="AC13" s="257" t="str">
        <f t="shared" si="2"/>
        <v xml:space="preserve"> sangat baik  dalam menyajikan hasil identifikasi karakteristik geografis Indonesia sebagai negara kepulauan/maritim dan agraris serta pengaruhnya terhadap kehidupan ekonomi, sosial, budaya, komunikasi, serta transportasi.</v>
      </c>
      <c r="AD13" s="257" t="str">
        <f t="shared" si="3"/>
        <v xml:space="preserve"> sangat baik  dalam menyajikan hasil identifikasi karakteristik geografis Indonesia sebagai negara kepulauan/maritim dan agraris serta pengaruhnya terhadap kehidupan ekonomi, sosial, budaya, komunikasi, serta transportasi.</v>
      </c>
      <c r="AE13"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13" s="257" t="str">
        <f t="shared" si="7"/>
        <v xml:space="preserve"> sangat baik  dalam menyajikan hasil identifikasi karakteristik geografis Indonesia sebagai negara kepulauan/maritim dan agraris serta pengaruhnya terhadap kehidupan ekonomi, sosial, budaya, komunikasi, serta transportasi.</v>
      </c>
      <c r="AG13" s="258" t="str">
        <f t="shared" si="8"/>
        <v xml:space="preserve"> sangat baik  dalam menyajikan hasil identifikasi karakteristik geografis Indonesia sebagai negara kepulauan/maritim dan agraris serta pengaruhnya terhadap kehidupan ekonomi, sosial, budaya, komunikasi, serta transportasi.</v>
      </c>
      <c r="AH13" s="252" t="str">
        <f t="shared" si="9"/>
        <v>CHAIDAR sangat baik  dalam menyajikan hasil identifikasi karakteristik geografis Indonesia sebagai negara kepulauan/maritim dan agraris serta pengaruhnya terhadap kehidupan ekonomi, sosial, budaya, komunikasi, serta transportasi.</v>
      </c>
      <c r="AI13" s="153"/>
      <c r="AU13" s="469">
        <f t="shared" si="10"/>
        <v>88</v>
      </c>
    </row>
    <row r="14" spans="1:53" ht="55.5" customHeight="1">
      <c r="B14" s="142">
        <v>10</v>
      </c>
      <c r="C14" s="143" t="str">
        <f>SISWA!B15</f>
        <v>1718250040314</v>
      </c>
      <c r="D14" s="144" t="str">
        <f>SISWA!E15</f>
        <v>DAVKA</v>
      </c>
      <c r="E14" s="159">
        <v>90</v>
      </c>
      <c r="F14" s="160">
        <v>90</v>
      </c>
      <c r="G14" s="160">
        <v>90</v>
      </c>
      <c r="H14" s="160">
        <v>90</v>
      </c>
      <c r="I14" s="160"/>
      <c r="J14" s="159"/>
      <c r="K14" s="159"/>
      <c r="L14" s="159"/>
      <c r="M14" s="159"/>
      <c r="N14" s="159"/>
      <c r="O14" s="159"/>
      <c r="P14" s="159"/>
      <c r="Q14" s="159"/>
      <c r="R14" s="160"/>
      <c r="S14" s="160"/>
      <c r="T14" s="159"/>
      <c r="U14" s="354">
        <f t="shared" si="4"/>
        <v>90</v>
      </c>
      <c r="V14" s="355" t="str">
        <f>IF(U14&gt;KKM!$G$10,"A",IF(U14&gt;KKM!$H$10,"B",IF(U14&gt;=KKM!$I$10,"C","D")))</f>
        <v>A</v>
      </c>
      <c r="W14" s="356">
        <f t="shared" si="0"/>
        <v>90</v>
      </c>
      <c r="X14" s="361" t="str">
        <f>IF(W14&gt;KKM!$G$10," sangat baik ",IF(W14&gt;KKM!$H$10," baik ",IF(W14&gt;=KKM!$I$10," cukup baik "," perlu bimbingan ")))</f>
        <v xml:space="preserve"> sangat baik </v>
      </c>
      <c r="Y14" s="357">
        <f t="shared" si="1"/>
        <v>90</v>
      </c>
      <c r="Z14" s="361" t="str">
        <f>IF(Y14&gt;KKM!$G$10," sangat baik ",IF(Y14&gt;KKM!$H$10," baik ",IF(Y14&gt;=KKM!$I$10," cukup baik "," perlu bimbingan ")))</f>
        <v xml:space="preserve"> sangat baik </v>
      </c>
      <c r="AA14" s="353" t="str">
        <f t="shared" si="5"/>
        <v>DAVKA sangat baik  dalam menyajikan hasil identifikasi karakteristik geografis Indonesia sebagai negara kepulauan/maritim dan agraris serta pengaruhnya terhadap kehidupan ekonomi, sosial, budaya, komunikasi, serta transportasi.</v>
      </c>
      <c r="AB14" s="256"/>
      <c r="AC14" s="257" t="str">
        <f t="shared" si="2"/>
        <v xml:space="preserve"> sangat baik  dalam menyajikan hasil identifikasi karakteristik geografis Indonesia sebagai negara kepulauan/maritim dan agraris serta pengaruhnya terhadap kehidupan ekonomi, sosial, budaya, komunikasi, serta transportasi.</v>
      </c>
      <c r="AD14" s="257" t="str">
        <f t="shared" si="3"/>
        <v xml:space="preserve"> sangat baik  dalam menyajikan hasil identifikasi karakteristik geografis Indonesia sebagai negara kepulauan/maritim dan agraris serta pengaruhnya terhadap kehidupan ekonomi, sosial, budaya, komunikasi, serta transportasi.</v>
      </c>
      <c r="AE14"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14" s="257" t="str">
        <f t="shared" si="7"/>
        <v xml:space="preserve"> sangat baik  dalam menyajikan hasil identifikasi karakteristik geografis Indonesia sebagai negara kepulauan/maritim dan agraris serta pengaruhnya terhadap kehidupan ekonomi, sosial, budaya, komunikasi, serta transportasi.</v>
      </c>
      <c r="AG14" s="258" t="str">
        <f t="shared" si="8"/>
        <v xml:space="preserve"> sangat baik  dalam menyajikan hasil identifikasi karakteristik geografis Indonesia sebagai negara kepulauan/maritim dan agraris serta pengaruhnya terhadap kehidupan ekonomi, sosial, budaya, komunikasi, serta transportasi.</v>
      </c>
      <c r="AH14" s="252" t="str">
        <f t="shared" si="9"/>
        <v>DAVKA sangat baik  dalam menyajikan hasil identifikasi karakteristik geografis Indonesia sebagai negara kepulauan/maritim dan agraris serta pengaruhnya terhadap kehidupan ekonomi, sosial, budaya, komunikasi, serta transportasi.</v>
      </c>
      <c r="AI14" s="153"/>
      <c r="AU14" s="469">
        <f t="shared" si="10"/>
        <v>90</v>
      </c>
    </row>
    <row r="15" spans="1:53" ht="55.5" customHeight="1">
      <c r="B15" s="142">
        <v>11</v>
      </c>
      <c r="C15" s="143" t="str">
        <f>SISWA!B16</f>
        <v>1718250040315</v>
      </c>
      <c r="D15" s="144" t="str">
        <f>SISWA!E16</f>
        <v>DZIBRIL</v>
      </c>
      <c r="E15" s="159">
        <v>77.5</v>
      </c>
      <c r="F15" s="160">
        <v>77.5</v>
      </c>
      <c r="G15" s="160">
        <v>77.5</v>
      </c>
      <c r="H15" s="160">
        <v>77.5</v>
      </c>
      <c r="I15" s="160"/>
      <c r="J15" s="159"/>
      <c r="K15" s="159"/>
      <c r="L15" s="159"/>
      <c r="M15" s="159"/>
      <c r="N15" s="159"/>
      <c r="O15" s="159"/>
      <c r="P15" s="159"/>
      <c r="Q15" s="159"/>
      <c r="R15" s="160"/>
      <c r="S15" s="160"/>
      <c r="T15" s="159"/>
      <c r="U15" s="354">
        <f t="shared" si="4"/>
        <v>78</v>
      </c>
      <c r="V15" s="355" t="str">
        <f>IF(U15&gt;KKM!$G$10,"A",IF(U15&gt;KKM!$H$10,"B",IF(U15&gt;=KKM!$I$10,"C","D")))</f>
        <v>B</v>
      </c>
      <c r="W15" s="356">
        <f t="shared" si="0"/>
        <v>77.5</v>
      </c>
      <c r="X15" s="361" t="str">
        <f>IF(W15&gt;KKM!$G$10," sangat baik ",IF(W15&gt;KKM!$H$10," baik ",IF(W15&gt;=KKM!$I$10," cukup baik "," perlu bimbingan ")))</f>
        <v xml:space="preserve"> baik </v>
      </c>
      <c r="Y15" s="357">
        <f t="shared" si="1"/>
        <v>77.5</v>
      </c>
      <c r="Z15" s="361" t="str">
        <f>IF(Y15&gt;KKM!$G$10," sangat baik ",IF(Y15&gt;KKM!$H$10," baik ",IF(Y15&gt;=KKM!$I$10," cukup baik "," perlu bimbingan ")))</f>
        <v xml:space="preserve"> baik </v>
      </c>
      <c r="AA15" s="353" t="str">
        <f t="shared" si="5"/>
        <v>DZIBRIL baik  dalam menyajikan hasil identifikasi karakteristik geografis Indonesia sebagai negara kepulauan/maritim dan agraris serta pengaruhnya terhadap kehidupan ekonomi, sosial, budaya, komunikasi, serta transportasi.</v>
      </c>
      <c r="AB15" s="256"/>
      <c r="AC15" s="257" t="str">
        <f t="shared" si="2"/>
        <v xml:space="preserve"> baik  dalam menyajikan hasil identifikasi karakteristik geografis Indonesia sebagai negara kepulauan/maritim dan agraris serta pengaruhnya terhadap kehidupan ekonomi, sosial, budaya, komunikasi, serta transportasi.</v>
      </c>
      <c r="AD15" s="257" t="str">
        <f t="shared" si="3"/>
        <v xml:space="preserve"> baik  dalam menyajikan hasil identifikasi karakteristik geografis Indonesia sebagai negara kepulauan/maritim dan agraris serta pengaruhnya terhadap kehidupan ekonomi, sosial, budaya, komunikasi, serta transportasi.</v>
      </c>
      <c r="AE15"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15" s="257" t="str">
        <f t="shared" si="7"/>
        <v xml:space="preserve"> baik  dalam menyajikan hasil identifikasi karakteristik geografis Indonesia sebagai negara kepulauan/maritim dan agraris serta pengaruhnya terhadap kehidupan ekonomi, sosial, budaya, komunikasi, serta transportasi.</v>
      </c>
      <c r="AG15" s="258" t="str">
        <f t="shared" si="8"/>
        <v xml:space="preserve"> baik  dalam menyajikan hasil identifikasi karakteristik geografis Indonesia sebagai negara kepulauan/maritim dan agraris serta pengaruhnya terhadap kehidupan ekonomi, sosial, budaya, komunikasi, serta transportasi.</v>
      </c>
      <c r="AH15" s="252" t="str">
        <f t="shared" si="9"/>
        <v>DZIBRIL baik  dalam menyajikan hasil identifikasi karakteristik geografis Indonesia sebagai negara kepulauan/maritim dan agraris serta pengaruhnya terhadap kehidupan ekonomi, sosial, budaya, komunikasi, serta transportasi.</v>
      </c>
      <c r="AI15" s="153"/>
      <c r="AU15" s="469">
        <f t="shared" si="10"/>
        <v>78</v>
      </c>
    </row>
    <row r="16" spans="1:53" ht="55.5" customHeight="1">
      <c r="B16" s="142">
        <v>12</v>
      </c>
      <c r="C16" s="143" t="str">
        <f>SISWA!B17</f>
        <v>1718250040316</v>
      </c>
      <c r="D16" s="144" t="str">
        <f>SISWA!E17</f>
        <v>ERICHA</v>
      </c>
      <c r="E16" s="159">
        <v>90</v>
      </c>
      <c r="F16" s="160">
        <v>90</v>
      </c>
      <c r="G16" s="160">
        <v>90</v>
      </c>
      <c r="H16" s="160">
        <v>90</v>
      </c>
      <c r="I16" s="160"/>
      <c r="J16" s="159"/>
      <c r="K16" s="159"/>
      <c r="L16" s="159"/>
      <c r="M16" s="159"/>
      <c r="N16" s="159"/>
      <c r="O16" s="159"/>
      <c r="P16" s="159"/>
      <c r="Q16" s="159"/>
      <c r="R16" s="160"/>
      <c r="S16" s="160"/>
      <c r="T16" s="159"/>
      <c r="U16" s="354">
        <f t="shared" si="4"/>
        <v>90</v>
      </c>
      <c r="V16" s="355" t="str">
        <f>IF(U16&gt;KKM!$G$10,"A",IF(U16&gt;KKM!$H$10,"B",IF(U16&gt;=KKM!$I$10,"C","D")))</f>
        <v>A</v>
      </c>
      <c r="W16" s="356">
        <f t="shared" si="0"/>
        <v>90</v>
      </c>
      <c r="X16" s="361" t="str">
        <f>IF(W16&gt;KKM!$G$10," sangat baik ",IF(W16&gt;KKM!$H$10," baik ",IF(W16&gt;=KKM!$I$10," cukup baik "," perlu bimbingan ")))</f>
        <v xml:space="preserve"> sangat baik </v>
      </c>
      <c r="Y16" s="357">
        <f t="shared" si="1"/>
        <v>90</v>
      </c>
      <c r="Z16" s="361" t="str">
        <f>IF(Y16&gt;KKM!$G$10," sangat baik ",IF(Y16&gt;KKM!$H$10," baik ",IF(Y16&gt;=KKM!$I$10," cukup baik "," perlu bimbingan ")))</f>
        <v xml:space="preserve"> sangat baik </v>
      </c>
      <c r="AA16" s="353" t="str">
        <f t="shared" si="5"/>
        <v>ERICHA sangat baik  dalam menyajikan hasil identifikasi karakteristik geografis Indonesia sebagai negara kepulauan/maritim dan agraris serta pengaruhnya terhadap kehidupan ekonomi, sosial, budaya, komunikasi, serta transportasi.</v>
      </c>
      <c r="AB16" s="256"/>
      <c r="AC16" s="257" t="str">
        <f t="shared" si="2"/>
        <v xml:space="preserve"> sangat baik  dalam menyajikan hasil identifikasi karakteristik geografis Indonesia sebagai negara kepulauan/maritim dan agraris serta pengaruhnya terhadap kehidupan ekonomi, sosial, budaya, komunikasi, serta transportasi.</v>
      </c>
      <c r="AD16" s="257" t="str">
        <f t="shared" si="3"/>
        <v xml:space="preserve"> sangat baik  dalam menyajikan hasil identifikasi karakteristik geografis Indonesia sebagai negara kepulauan/maritim dan agraris serta pengaruhnya terhadap kehidupan ekonomi, sosial, budaya, komunikasi, serta transportasi.</v>
      </c>
      <c r="AE16"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16" s="257" t="str">
        <f t="shared" si="7"/>
        <v xml:space="preserve"> sangat baik  dalam menyajikan hasil identifikasi karakteristik geografis Indonesia sebagai negara kepulauan/maritim dan agraris serta pengaruhnya terhadap kehidupan ekonomi, sosial, budaya, komunikasi, serta transportasi.</v>
      </c>
      <c r="AG16" s="258" t="str">
        <f t="shared" si="8"/>
        <v xml:space="preserve"> sangat baik  dalam menyajikan hasil identifikasi karakteristik geografis Indonesia sebagai negara kepulauan/maritim dan agraris serta pengaruhnya terhadap kehidupan ekonomi, sosial, budaya, komunikasi, serta transportasi.</v>
      </c>
      <c r="AH16" s="252" t="str">
        <f t="shared" si="9"/>
        <v>ERICHA sangat baik  dalam menyajikan hasil identifikasi karakteristik geografis Indonesia sebagai negara kepulauan/maritim dan agraris serta pengaruhnya terhadap kehidupan ekonomi, sosial, budaya, komunikasi, serta transportasi.</v>
      </c>
      <c r="AI16" s="153"/>
      <c r="AU16" s="469">
        <f t="shared" si="10"/>
        <v>90</v>
      </c>
    </row>
    <row r="17" spans="2:47" ht="55.5" customHeight="1">
      <c r="B17" s="142">
        <v>13</v>
      </c>
      <c r="C17" s="143" t="str">
        <f>SISWA!B18</f>
        <v>1718250040317</v>
      </c>
      <c r="D17" s="144" t="str">
        <f>SISWA!E18</f>
        <v>HISYAM</v>
      </c>
      <c r="E17" s="159">
        <v>87.5</v>
      </c>
      <c r="F17" s="160">
        <v>87.5</v>
      </c>
      <c r="G17" s="160">
        <v>87.5</v>
      </c>
      <c r="H17" s="160">
        <v>87.5</v>
      </c>
      <c r="I17" s="160"/>
      <c r="J17" s="159"/>
      <c r="K17" s="159"/>
      <c r="L17" s="159"/>
      <c r="M17" s="159"/>
      <c r="N17" s="159"/>
      <c r="O17" s="159"/>
      <c r="P17" s="159"/>
      <c r="Q17" s="159"/>
      <c r="R17" s="160"/>
      <c r="S17" s="160"/>
      <c r="T17" s="159"/>
      <c r="U17" s="354">
        <f t="shared" si="4"/>
        <v>88</v>
      </c>
      <c r="V17" s="355" t="str">
        <f>IF(U17&gt;KKM!$G$10,"A",IF(U17&gt;KKM!$H$10,"B",IF(U17&gt;=KKM!$I$10,"C","D")))</f>
        <v>A</v>
      </c>
      <c r="W17" s="356">
        <f t="shared" si="0"/>
        <v>87.5</v>
      </c>
      <c r="X17" s="361" t="str">
        <f>IF(W17&gt;KKM!$G$10," sangat baik ",IF(W17&gt;KKM!$H$10," baik ",IF(W17&gt;=KKM!$I$10," cukup baik "," perlu bimbingan ")))</f>
        <v xml:space="preserve"> sangat baik </v>
      </c>
      <c r="Y17" s="357">
        <f t="shared" si="1"/>
        <v>87.5</v>
      </c>
      <c r="Z17" s="361" t="str">
        <f>IF(Y17&gt;KKM!$G$10," sangat baik ",IF(Y17&gt;KKM!$H$10," baik ",IF(Y17&gt;=KKM!$I$10," cukup baik "," perlu bimbingan ")))</f>
        <v xml:space="preserve"> sangat baik </v>
      </c>
      <c r="AA17" s="353" t="str">
        <f t="shared" si="5"/>
        <v>HISYAM sangat baik  dalam menyajikan hasil identifikasi karakteristik geografis Indonesia sebagai negara kepulauan/maritim dan agraris serta pengaruhnya terhadap kehidupan ekonomi, sosial, budaya, komunikasi, serta transportasi.</v>
      </c>
      <c r="AB17" s="256"/>
      <c r="AC17" s="257" t="str">
        <f t="shared" si="2"/>
        <v xml:space="preserve"> sangat baik  dalam menyajikan hasil identifikasi karakteristik geografis Indonesia sebagai negara kepulauan/maritim dan agraris serta pengaruhnya terhadap kehidupan ekonomi, sosial, budaya, komunikasi, serta transportasi.</v>
      </c>
      <c r="AD17" s="257" t="str">
        <f t="shared" si="3"/>
        <v xml:space="preserve"> sangat baik  dalam menyajikan hasil identifikasi karakteristik geografis Indonesia sebagai negara kepulauan/maritim dan agraris serta pengaruhnya terhadap kehidupan ekonomi, sosial, budaya, komunikasi, serta transportasi.</v>
      </c>
      <c r="AE17"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17" s="257" t="str">
        <f t="shared" si="7"/>
        <v xml:space="preserve"> sangat baik  dalam menyajikan hasil identifikasi karakteristik geografis Indonesia sebagai negara kepulauan/maritim dan agraris serta pengaruhnya terhadap kehidupan ekonomi, sosial, budaya, komunikasi, serta transportasi.</v>
      </c>
      <c r="AG17" s="258" t="str">
        <f t="shared" si="8"/>
        <v xml:space="preserve"> sangat baik  dalam menyajikan hasil identifikasi karakteristik geografis Indonesia sebagai negara kepulauan/maritim dan agraris serta pengaruhnya terhadap kehidupan ekonomi, sosial, budaya, komunikasi, serta transportasi.</v>
      </c>
      <c r="AH17" s="252" t="str">
        <f t="shared" si="9"/>
        <v>HISYAM sangat baik  dalam menyajikan hasil identifikasi karakteristik geografis Indonesia sebagai negara kepulauan/maritim dan agraris serta pengaruhnya terhadap kehidupan ekonomi, sosial, budaya, komunikasi, serta transportasi.</v>
      </c>
      <c r="AI17" s="153"/>
      <c r="AU17" s="469">
        <f t="shared" si="10"/>
        <v>88</v>
      </c>
    </row>
    <row r="18" spans="2:47" ht="55.5" customHeight="1">
      <c r="B18" s="142">
        <v>14</v>
      </c>
      <c r="C18" s="143" t="str">
        <f>SISWA!B19</f>
        <v>1718250040318</v>
      </c>
      <c r="D18" s="144" t="str">
        <f>SISWA!E19</f>
        <v>FAUZI</v>
      </c>
      <c r="E18" s="159">
        <v>87.5</v>
      </c>
      <c r="F18" s="160">
        <v>87.5</v>
      </c>
      <c r="G18" s="160">
        <v>87.5</v>
      </c>
      <c r="H18" s="160">
        <v>87.5</v>
      </c>
      <c r="I18" s="160"/>
      <c r="J18" s="159"/>
      <c r="K18" s="159"/>
      <c r="L18" s="159"/>
      <c r="M18" s="159"/>
      <c r="N18" s="159"/>
      <c r="O18" s="159"/>
      <c r="P18" s="159"/>
      <c r="Q18" s="159"/>
      <c r="R18" s="160"/>
      <c r="S18" s="160"/>
      <c r="T18" s="159"/>
      <c r="U18" s="354">
        <f t="shared" si="4"/>
        <v>88</v>
      </c>
      <c r="V18" s="355" t="str">
        <f>IF(U18&gt;KKM!$G$10,"A",IF(U18&gt;KKM!$H$10,"B",IF(U18&gt;=KKM!$I$10,"C","D")))</f>
        <v>A</v>
      </c>
      <c r="W18" s="356">
        <f t="shared" si="0"/>
        <v>87.5</v>
      </c>
      <c r="X18" s="361" t="str">
        <f>IF(W18&gt;KKM!$G$10," sangat baik ",IF(W18&gt;KKM!$H$10," baik ",IF(W18&gt;=KKM!$I$10," cukup baik "," perlu bimbingan ")))</f>
        <v xml:space="preserve"> sangat baik </v>
      </c>
      <c r="Y18" s="357">
        <f t="shared" si="1"/>
        <v>87.5</v>
      </c>
      <c r="Z18" s="361" t="str">
        <f>IF(Y18&gt;KKM!$G$10," sangat baik ",IF(Y18&gt;KKM!$H$10," baik ",IF(Y18&gt;=KKM!$I$10," cukup baik "," perlu bimbingan ")))</f>
        <v xml:space="preserve"> sangat baik </v>
      </c>
      <c r="AA18" s="353" t="str">
        <f t="shared" si="5"/>
        <v>FAUZI sangat baik  dalam menyajikan hasil identifikasi karakteristik geografis Indonesia sebagai negara kepulauan/maritim dan agraris serta pengaruhnya terhadap kehidupan ekonomi, sosial, budaya, komunikasi, serta transportasi.</v>
      </c>
      <c r="AB18" s="256"/>
      <c r="AC18" s="257" t="str">
        <f t="shared" si="2"/>
        <v xml:space="preserve"> sangat baik  dalam menyajikan hasil identifikasi karakteristik geografis Indonesia sebagai negara kepulauan/maritim dan agraris serta pengaruhnya terhadap kehidupan ekonomi, sosial, budaya, komunikasi, serta transportasi.</v>
      </c>
      <c r="AD18" s="257" t="str">
        <f t="shared" si="3"/>
        <v xml:space="preserve"> sangat baik  dalam menyajikan hasil identifikasi karakteristik geografis Indonesia sebagai negara kepulauan/maritim dan agraris serta pengaruhnya terhadap kehidupan ekonomi, sosial, budaya, komunikasi, serta transportasi.</v>
      </c>
      <c r="AE18"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18" s="257" t="str">
        <f t="shared" si="7"/>
        <v xml:space="preserve"> sangat baik  dalam menyajikan hasil identifikasi karakteristik geografis Indonesia sebagai negara kepulauan/maritim dan agraris serta pengaruhnya terhadap kehidupan ekonomi, sosial, budaya, komunikasi, serta transportasi.</v>
      </c>
      <c r="AG18" s="258" t="str">
        <f t="shared" si="8"/>
        <v xml:space="preserve"> sangat baik  dalam menyajikan hasil identifikasi karakteristik geografis Indonesia sebagai negara kepulauan/maritim dan agraris serta pengaruhnya terhadap kehidupan ekonomi, sosial, budaya, komunikasi, serta transportasi.</v>
      </c>
      <c r="AH18" s="252" t="str">
        <f t="shared" si="9"/>
        <v>FAUZI sangat baik  dalam menyajikan hasil identifikasi karakteristik geografis Indonesia sebagai negara kepulauan/maritim dan agraris serta pengaruhnya terhadap kehidupan ekonomi, sosial, budaya, komunikasi, serta transportasi.</v>
      </c>
      <c r="AI18" s="153"/>
      <c r="AU18" s="469">
        <f t="shared" si="10"/>
        <v>88</v>
      </c>
    </row>
    <row r="19" spans="2:47" ht="55.5" customHeight="1">
      <c r="B19" s="142">
        <v>15</v>
      </c>
      <c r="C19" s="143" t="str">
        <f>SISWA!B20</f>
        <v>1718250040319</v>
      </c>
      <c r="D19" s="144" t="str">
        <f>SISWA!E20</f>
        <v>FIRLY</v>
      </c>
      <c r="E19" s="159">
        <v>87.5</v>
      </c>
      <c r="F19" s="160">
        <v>87.5</v>
      </c>
      <c r="G19" s="160">
        <v>87.5</v>
      </c>
      <c r="H19" s="160">
        <v>87.5</v>
      </c>
      <c r="I19" s="160"/>
      <c r="J19" s="159"/>
      <c r="K19" s="159"/>
      <c r="L19" s="159"/>
      <c r="M19" s="159"/>
      <c r="N19" s="159"/>
      <c r="O19" s="159"/>
      <c r="P19" s="159"/>
      <c r="Q19" s="159"/>
      <c r="R19" s="160"/>
      <c r="S19" s="160"/>
      <c r="T19" s="159"/>
      <c r="U19" s="354">
        <f t="shared" si="4"/>
        <v>88</v>
      </c>
      <c r="V19" s="355" t="str">
        <f>IF(U19&gt;KKM!$G$10,"A",IF(U19&gt;KKM!$H$10,"B",IF(U19&gt;=KKM!$I$10,"C","D")))</f>
        <v>A</v>
      </c>
      <c r="W19" s="356">
        <f t="shared" si="0"/>
        <v>87.5</v>
      </c>
      <c r="X19" s="361" t="str">
        <f>IF(W19&gt;KKM!$G$10," sangat baik ",IF(W19&gt;KKM!$H$10," baik ",IF(W19&gt;=KKM!$I$10," cukup baik "," perlu bimbingan ")))</f>
        <v xml:space="preserve"> sangat baik </v>
      </c>
      <c r="Y19" s="357">
        <f t="shared" si="1"/>
        <v>87.5</v>
      </c>
      <c r="Z19" s="361" t="str">
        <f>IF(Y19&gt;KKM!$G$10," sangat baik ",IF(Y19&gt;KKM!$H$10," baik ",IF(Y19&gt;=KKM!$I$10," cukup baik "," perlu bimbingan ")))</f>
        <v xml:space="preserve"> sangat baik </v>
      </c>
      <c r="AA19" s="353" t="str">
        <f t="shared" si="5"/>
        <v>FIRLY sangat baik  dalam menyajikan hasil identifikasi karakteristik geografis Indonesia sebagai negara kepulauan/maritim dan agraris serta pengaruhnya terhadap kehidupan ekonomi, sosial, budaya, komunikasi, serta transportasi.</v>
      </c>
      <c r="AB19" s="256"/>
      <c r="AC19" s="257" t="str">
        <f t="shared" si="2"/>
        <v xml:space="preserve"> sangat baik  dalam menyajikan hasil identifikasi karakteristik geografis Indonesia sebagai negara kepulauan/maritim dan agraris serta pengaruhnya terhadap kehidupan ekonomi, sosial, budaya, komunikasi, serta transportasi.</v>
      </c>
      <c r="AD19" s="257" t="str">
        <f t="shared" si="3"/>
        <v xml:space="preserve"> sangat baik  dalam menyajikan hasil identifikasi karakteristik geografis Indonesia sebagai negara kepulauan/maritim dan agraris serta pengaruhnya terhadap kehidupan ekonomi, sosial, budaya, komunikasi, serta transportasi.</v>
      </c>
      <c r="AE19"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19" s="257" t="str">
        <f t="shared" si="7"/>
        <v xml:space="preserve"> sangat baik  dalam menyajikan hasil identifikasi karakteristik geografis Indonesia sebagai negara kepulauan/maritim dan agraris serta pengaruhnya terhadap kehidupan ekonomi, sosial, budaya, komunikasi, serta transportasi.</v>
      </c>
      <c r="AG19" s="258" t="str">
        <f t="shared" si="8"/>
        <v xml:space="preserve"> sangat baik  dalam menyajikan hasil identifikasi karakteristik geografis Indonesia sebagai negara kepulauan/maritim dan agraris serta pengaruhnya terhadap kehidupan ekonomi, sosial, budaya, komunikasi, serta transportasi.</v>
      </c>
      <c r="AH19" s="252" t="str">
        <f t="shared" si="9"/>
        <v>FIRLY sangat baik  dalam menyajikan hasil identifikasi karakteristik geografis Indonesia sebagai negara kepulauan/maritim dan agraris serta pengaruhnya terhadap kehidupan ekonomi, sosial, budaya, komunikasi, serta transportasi.</v>
      </c>
      <c r="AI19" s="153"/>
      <c r="AU19" s="469">
        <f t="shared" si="10"/>
        <v>88</v>
      </c>
    </row>
    <row r="20" spans="2:47" ht="55.5" customHeight="1">
      <c r="B20" s="142">
        <v>16</v>
      </c>
      <c r="C20" s="143" t="str">
        <f>SISWA!B21</f>
        <v>1718250040320</v>
      </c>
      <c r="D20" s="144" t="str">
        <f>SISWA!E21</f>
        <v>HANA</v>
      </c>
      <c r="E20" s="159">
        <v>77.5</v>
      </c>
      <c r="F20" s="160">
        <v>77.5</v>
      </c>
      <c r="G20" s="160">
        <v>77.5</v>
      </c>
      <c r="H20" s="160">
        <v>77.5</v>
      </c>
      <c r="I20" s="160"/>
      <c r="J20" s="159"/>
      <c r="K20" s="159"/>
      <c r="L20" s="159"/>
      <c r="M20" s="159"/>
      <c r="N20" s="159"/>
      <c r="O20" s="159"/>
      <c r="P20" s="159"/>
      <c r="Q20" s="159"/>
      <c r="R20" s="160"/>
      <c r="S20" s="160"/>
      <c r="T20" s="159"/>
      <c r="U20" s="354">
        <f t="shared" si="4"/>
        <v>78</v>
      </c>
      <c r="V20" s="355" t="str">
        <f>IF(U20&gt;KKM!$G$10,"A",IF(U20&gt;KKM!$H$10,"B",IF(U20&gt;=KKM!$I$10,"C","D")))</f>
        <v>B</v>
      </c>
      <c r="W20" s="356">
        <f t="shared" si="0"/>
        <v>77.5</v>
      </c>
      <c r="X20" s="361" t="str">
        <f>IF(W20&gt;KKM!$G$10," sangat baik ",IF(W20&gt;KKM!$H$10," baik ",IF(W20&gt;=KKM!$I$10," cukup baik "," perlu bimbingan ")))</f>
        <v xml:space="preserve"> baik </v>
      </c>
      <c r="Y20" s="357">
        <f t="shared" si="1"/>
        <v>77.5</v>
      </c>
      <c r="Z20" s="361" t="str">
        <f>IF(Y20&gt;KKM!$G$10," sangat baik ",IF(Y20&gt;KKM!$H$10," baik ",IF(Y20&gt;=KKM!$I$10," cukup baik "," perlu bimbingan ")))</f>
        <v xml:space="preserve"> baik </v>
      </c>
      <c r="AA20" s="353" t="str">
        <f t="shared" si="5"/>
        <v>HANA baik  dalam menyajikan hasil identifikasi karakteristik geografis Indonesia sebagai negara kepulauan/maritim dan agraris serta pengaruhnya terhadap kehidupan ekonomi, sosial, budaya, komunikasi, serta transportasi.</v>
      </c>
      <c r="AB20" s="256"/>
      <c r="AC20" s="257" t="str">
        <f t="shared" si="2"/>
        <v xml:space="preserve"> baik  dalam menyajikan hasil identifikasi karakteristik geografis Indonesia sebagai negara kepulauan/maritim dan agraris serta pengaruhnya terhadap kehidupan ekonomi, sosial, budaya, komunikasi, serta transportasi.</v>
      </c>
      <c r="AD20" s="257" t="str">
        <f t="shared" si="3"/>
        <v xml:space="preserve"> baik  dalam menyajikan hasil identifikasi karakteristik geografis Indonesia sebagai negara kepulauan/maritim dan agraris serta pengaruhnya terhadap kehidupan ekonomi, sosial, budaya, komunikasi, serta transportasi.</v>
      </c>
      <c r="AE20"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20" s="257" t="str">
        <f t="shared" si="7"/>
        <v xml:space="preserve"> baik  dalam menyajikan hasil identifikasi karakteristik geografis Indonesia sebagai negara kepulauan/maritim dan agraris serta pengaruhnya terhadap kehidupan ekonomi, sosial, budaya, komunikasi, serta transportasi.</v>
      </c>
      <c r="AG20" s="258" t="str">
        <f t="shared" si="8"/>
        <v xml:space="preserve"> baik  dalam menyajikan hasil identifikasi karakteristik geografis Indonesia sebagai negara kepulauan/maritim dan agraris serta pengaruhnya terhadap kehidupan ekonomi, sosial, budaya, komunikasi, serta transportasi.</v>
      </c>
      <c r="AH20" s="252" t="str">
        <f t="shared" si="9"/>
        <v>HANA baik  dalam menyajikan hasil identifikasi karakteristik geografis Indonesia sebagai negara kepulauan/maritim dan agraris serta pengaruhnya terhadap kehidupan ekonomi, sosial, budaya, komunikasi, serta transportasi.</v>
      </c>
      <c r="AI20" s="153"/>
      <c r="AU20" s="469">
        <f t="shared" si="10"/>
        <v>78</v>
      </c>
    </row>
    <row r="21" spans="2:47" ht="55.5" customHeight="1">
      <c r="B21" s="142">
        <v>17</v>
      </c>
      <c r="C21" s="143" t="str">
        <f>SISWA!B22</f>
        <v>1718250040321</v>
      </c>
      <c r="D21" s="144" t="str">
        <f>SISWA!E22</f>
        <v>MALLA</v>
      </c>
      <c r="E21" s="159">
        <v>85</v>
      </c>
      <c r="F21" s="160">
        <v>85</v>
      </c>
      <c r="G21" s="160">
        <v>85</v>
      </c>
      <c r="H21" s="160">
        <v>85</v>
      </c>
      <c r="I21" s="160"/>
      <c r="J21" s="159"/>
      <c r="K21" s="159"/>
      <c r="L21" s="159"/>
      <c r="M21" s="159"/>
      <c r="N21" s="159"/>
      <c r="O21" s="159"/>
      <c r="P21" s="159"/>
      <c r="Q21" s="159"/>
      <c r="R21" s="160"/>
      <c r="S21" s="160"/>
      <c r="T21" s="159"/>
      <c r="U21" s="354">
        <f t="shared" si="4"/>
        <v>85</v>
      </c>
      <c r="V21" s="355" t="str">
        <f>IF(U21&gt;KKM!$G$10,"A",IF(U21&gt;KKM!$H$10,"B",IF(U21&gt;=KKM!$I$10,"C","D")))</f>
        <v>B</v>
      </c>
      <c r="W21" s="356">
        <f t="shared" si="0"/>
        <v>85</v>
      </c>
      <c r="X21" s="361" t="str">
        <f>IF(W21&gt;KKM!$G$10," sangat baik ",IF(W21&gt;KKM!$H$10," baik ",IF(W21&gt;=KKM!$I$10," cukup baik "," perlu bimbingan ")))</f>
        <v xml:space="preserve"> baik </v>
      </c>
      <c r="Y21" s="357">
        <f t="shared" si="1"/>
        <v>85</v>
      </c>
      <c r="Z21" s="361" t="str">
        <f>IF(Y21&gt;KKM!$G$10," sangat baik ",IF(Y21&gt;KKM!$H$10," baik ",IF(Y21&gt;=KKM!$I$10," cukup baik "," perlu bimbingan ")))</f>
        <v xml:space="preserve"> baik </v>
      </c>
      <c r="AA21" s="353" t="str">
        <f t="shared" si="5"/>
        <v>MALLA baik  dalam menyajikan hasil identifikasi karakteristik geografis Indonesia sebagai negara kepulauan/maritim dan agraris serta pengaruhnya terhadap kehidupan ekonomi, sosial, budaya, komunikasi, serta transportasi.</v>
      </c>
      <c r="AB21" s="256"/>
      <c r="AC21" s="257" t="str">
        <f t="shared" si="2"/>
        <v xml:space="preserve"> baik  dalam menyajikan hasil identifikasi karakteristik geografis Indonesia sebagai negara kepulauan/maritim dan agraris serta pengaruhnya terhadap kehidupan ekonomi, sosial, budaya, komunikasi, serta transportasi.</v>
      </c>
      <c r="AD21" s="257" t="str">
        <f t="shared" si="3"/>
        <v xml:space="preserve"> baik  dalam menyajikan hasil identifikasi karakteristik geografis Indonesia sebagai negara kepulauan/maritim dan agraris serta pengaruhnya terhadap kehidupan ekonomi, sosial, budaya, komunikasi, serta transportasi.</v>
      </c>
      <c r="AE21"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21" s="257" t="str">
        <f t="shared" si="7"/>
        <v xml:space="preserve"> baik  dalam menyajikan hasil identifikasi karakteristik geografis Indonesia sebagai negara kepulauan/maritim dan agraris serta pengaruhnya terhadap kehidupan ekonomi, sosial, budaya, komunikasi, serta transportasi.</v>
      </c>
      <c r="AG21" s="258" t="str">
        <f t="shared" si="8"/>
        <v xml:space="preserve"> baik  dalam menyajikan hasil identifikasi karakteristik geografis Indonesia sebagai negara kepulauan/maritim dan agraris serta pengaruhnya terhadap kehidupan ekonomi, sosial, budaya, komunikasi, serta transportasi.</v>
      </c>
      <c r="AH21" s="252" t="str">
        <f t="shared" si="9"/>
        <v>MALLA baik  dalam menyajikan hasil identifikasi karakteristik geografis Indonesia sebagai negara kepulauan/maritim dan agraris serta pengaruhnya terhadap kehidupan ekonomi, sosial, budaya, komunikasi, serta transportasi.</v>
      </c>
      <c r="AI21" s="153"/>
      <c r="AU21" s="469">
        <f t="shared" si="10"/>
        <v>85</v>
      </c>
    </row>
    <row r="22" spans="2:47" ht="55.5" customHeight="1">
      <c r="B22" s="142">
        <v>18</v>
      </c>
      <c r="C22" s="143" t="str">
        <f>SISWA!B23</f>
        <v>1718250040322</v>
      </c>
      <c r="D22" s="144" t="str">
        <f>SISWA!E23</f>
        <v>INTAN</v>
      </c>
      <c r="E22" s="159">
        <v>85</v>
      </c>
      <c r="F22" s="160">
        <v>85</v>
      </c>
      <c r="G22" s="160">
        <v>85</v>
      </c>
      <c r="H22" s="160">
        <v>85</v>
      </c>
      <c r="I22" s="160"/>
      <c r="J22" s="159"/>
      <c r="K22" s="159"/>
      <c r="L22" s="159"/>
      <c r="M22" s="159"/>
      <c r="N22" s="159"/>
      <c r="O22" s="159"/>
      <c r="P22" s="159"/>
      <c r="Q22" s="159"/>
      <c r="R22" s="160"/>
      <c r="S22" s="160"/>
      <c r="T22" s="159"/>
      <c r="U22" s="354">
        <f t="shared" si="4"/>
        <v>85</v>
      </c>
      <c r="V22" s="355" t="str">
        <f>IF(U22&gt;KKM!$G$10,"A",IF(U22&gt;KKM!$H$10,"B",IF(U22&gt;=KKM!$I$10,"C","D")))</f>
        <v>B</v>
      </c>
      <c r="W22" s="356">
        <f t="shared" si="0"/>
        <v>85</v>
      </c>
      <c r="X22" s="361" t="str">
        <f>IF(W22&gt;KKM!$G$10," sangat baik ",IF(W22&gt;KKM!$H$10," baik ",IF(W22&gt;=KKM!$I$10," cukup baik "," perlu bimbingan ")))</f>
        <v xml:space="preserve"> baik </v>
      </c>
      <c r="Y22" s="357">
        <f t="shared" si="1"/>
        <v>85</v>
      </c>
      <c r="Z22" s="361" t="str">
        <f>IF(Y22&gt;KKM!$G$10," sangat baik ",IF(Y22&gt;KKM!$H$10," baik ",IF(Y22&gt;=KKM!$I$10," cukup baik "," perlu bimbingan ")))</f>
        <v xml:space="preserve"> baik </v>
      </c>
      <c r="AA22" s="353" t="str">
        <f t="shared" si="5"/>
        <v>INTAN baik  dalam menyajikan hasil identifikasi karakteristik geografis Indonesia sebagai negara kepulauan/maritim dan agraris serta pengaruhnya terhadap kehidupan ekonomi, sosial, budaya, komunikasi, serta transportasi.</v>
      </c>
      <c r="AB22" s="256"/>
      <c r="AC22" s="257" t="str">
        <f t="shared" si="2"/>
        <v xml:space="preserve"> baik  dalam menyajikan hasil identifikasi karakteristik geografis Indonesia sebagai negara kepulauan/maritim dan agraris serta pengaruhnya terhadap kehidupan ekonomi, sosial, budaya, komunikasi, serta transportasi.</v>
      </c>
      <c r="AD22" s="257" t="str">
        <f t="shared" si="3"/>
        <v xml:space="preserve"> baik  dalam menyajikan hasil identifikasi karakteristik geografis Indonesia sebagai negara kepulauan/maritim dan agraris serta pengaruhnya terhadap kehidupan ekonomi, sosial, budaya, komunikasi, serta transportasi.</v>
      </c>
      <c r="AE22"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22" s="257" t="str">
        <f t="shared" si="7"/>
        <v xml:space="preserve"> baik  dalam menyajikan hasil identifikasi karakteristik geografis Indonesia sebagai negara kepulauan/maritim dan agraris serta pengaruhnya terhadap kehidupan ekonomi, sosial, budaya, komunikasi, serta transportasi.</v>
      </c>
      <c r="AG22" s="258" t="str">
        <f t="shared" si="8"/>
        <v xml:space="preserve"> baik  dalam menyajikan hasil identifikasi karakteristik geografis Indonesia sebagai negara kepulauan/maritim dan agraris serta pengaruhnya terhadap kehidupan ekonomi, sosial, budaya, komunikasi, serta transportasi.</v>
      </c>
      <c r="AH22" s="252" t="str">
        <f t="shared" si="9"/>
        <v>INTAN baik  dalam menyajikan hasil identifikasi karakteristik geografis Indonesia sebagai negara kepulauan/maritim dan agraris serta pengaruhnya terhadap kehidupan ekonomi, sosial, budaya, komunikasi, serta transportasi.</v>
      </c>
      <c r="AI22" s="153"/>
      <c r="AU22" s="469">
        <f t="shared" si="10"/>
        <v>85</v>
      </c>
    </row>
    <row r="23" spans="2:47" ht="55.5" customHeight="1">
      <c r="B23" s="142">
        <v>19</v>
      </c>
      <c r="C23" s="143" t="str">
        <f>SISWA!B24</f>
        <v>1718250040323</v>
      </c>
      <c r="D23" s="144" t="str">
        <f>SISWA!E24</f>
        <v>JORDY</v>
      </c>
      <c r="E23" s="159">
        <v>92.5</v>
      </c>
      <c r="F23" s="160">
        <v>92.5</v>
      </c>
      <c r="G23" s="160">
        <v>92.5</v>
      </c>
      <c r="H23" s="160">
        <v>92.5</v>
      </c>
      <c r="I23" s="160"/>
      <c r="J23" s="159"/>
      <c r="K23" s="159"/>
      <c r="L23" s="159"/>
      <c r="M23" s="159"/>
      <c r="N23" s="159"/>
      <c r="O23" s="159"/>
      <c r="P23" s="159"/>
      <c r="Q23" s="159"/>
      <c r="R23" s="160"/>
      <c r="S23" s="160"/>
      <c r="T23" s="159"/>
      <c r="U23" s="354">
        <f t="shared" si="4"/>
        <v>93</v>
      </c>
      <c r="V23" s="355" t="str">
        <f>IF(U23&gt;KKM!$G$10,"A",IF(U23&gt;KKM!$H$10,"B",IF(U23&gt;=KKM!$I$10,"C","D")))</f>
        <v>A</v>
      </c>
      <c r="W23" s="356">
        <f t="shared" si="0"/>
        <v>92.5</v>
      </c>
      <c r="X23" s="361" t="str">
        <f>IF(W23&gt;KKM!$G$10," sangat baik ",IF(W23&gt;KKM!$H$10," baik ",IF(W23&gt;=KKM!$I$10," cukup baik "," perlu bimbingan ")))</f>
        <v xml:space="preserve"> sangat baik </v>
      </c>
      <c r="Y23" s="357">
        <f t="shared" si="1"/>
        <v>92.5</v>
      </c>
      <c r="Z23" s="361" t="str">
        <f>IF(Y23&gt;KKM!$G$10," sangat baik ",IF(Y23&gt;KKM!$H$10," baik ",IF(Y23&gt;=KKM!$I$10," cukup baik "," perlu bimbingan ")))</f>
        <v xml:space="preserve"> sangat baik </v>
      </c>
      <c r="AA23" s="353" t="str">
        <f t="shared" si="5"/>
        <v>JORDY sangat baik  dalam menyajikan hasil identifikasi karakteristik geografis Indonesia sebagai negara kepulauan/maritim dan agraris serta pengaruhnya terhadap kehidupan ekonomi, sosial, budaya, komunikasi, serta transportasi.</v>
      </c>
      <c r="AB23" s="256"/>
      <c r="AC23" s="257" t="str">
        <f t="shared" si="2"/>
        <v xml:space="preserve"> sangat baik  dalam menyajikan hasil identifikasi karakteristik geografis Indonesia sebagai negara kepulauan/maritim dan agraris serta pengaruhnya terhadap kehidupan ekonomi, sosial, budaya, komunikasi, serta transportasi.</v>
      </c>
      <c r="AD23" s="257" t="str">
        <f t="shared" si="3"/>
        <v xml:space="preserve"> sangat baik  dalam menyajikan hasil identifikasi karakteristik geografis Indonesia sebagai negara kepulauan/maritim dan agraris serta pengaruhnya terhadap kehidupan ekonomi, sosial, budaya, komunikasi, serta transportasi.</v>
      </c>
      <c r="AE23"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23" s="257" t="str">
        <f t="shared" si="7"/>
        <v xml:space="preserve"> sangat baik  dalam menyajikan hasil identifikasi karakteristik geografis Indonesia sebagai negara kepulauan/maritim dan agraris serta pengaruhnya terhadap kehidupan ekonomi, sosial, budaya, komunikasi, serta transportasi.</v>
      </c>
      <c r="AG23" s="258" t="str">
        <f t="shared" si="8"/>
        <v xml:space="preserve"> sangat baik  dalam menyajikan hasil identifikasi karakteristik geografis Indonesia sebagai negara kepulauan/maritim dan agraris serta pengaruhnya terhadap kehidupan ekonomi, sosial, budaya, komunikasi, serta transportasi.</v>
      </c>
      <c r="AH23" s="252" t="str">
        <f t="shared" si="9"/>
        <v>JORDY sangat baik  dalam menyajikan hasil identifikasi karakteristik geografis Indonesia sebagai negara kepulauan/maritim dan agraris serta pengaruhnya terhadap kehidupan ekonomi, sosial, budaya, komunikasi, serta transportasi.</v>
      </c>
      <c r="AI23" s="153"/>
      <c r="AU23" s="469">
        <f t="shared" si="10"/>
        <v>93</v>
      </c>
    </row>
    <row r="24" spans="2:47" ht="55.5" customHeight="1">
      <c r="B24" s="142">
        <v>20</v>
      </c>
      <c r="C24" s="143" t="str">
        <f>SISWA!B25</f>
        <v>1718250040324</v>
      </c>
      <c r="D24" s="144" t="str">
        <f>SISWA!E25</f>
        <v>KURNIA</v>
      </c>
      <c r="E24" s="159">
        <v>90</v>
      </c>
      <c r="F24" s="160">
        <v>90</v>
      </c>
      <c r="G24" s="160">
        <v>90</v>
      </c>
      <c r="H24" s="160">
        <v>90</v>
      </c>
      <c r="I24" s="160"/>
      <c r="J24" s="159"/>
      <c r="K24" s="159"/>
      <c r="L24" s="159"/>
      <c r="M24" s="159"/>
      <c r="N24" s="159"/>
      <c r="O24" s="159"/>
      <c r="P24" s="159"/>
      <c r="Q24" s="159"/>
      <c r="R24" s="160"/>
      <c r="S24" s="160"/>
      <c r="T24" s="159"/>
      <c r="U24" s="354">
        <f t="shared" si="4"/>
        <v>90</v>
      </c>
      <c r="V24" s="355" t="str">
        <f>IF(U24&gt;KKM!$G$10,"A",IF(U24&gt;KKM!$H$10,"B",IF(U24&gt;=KKM!$I$10,"C","D")))</f>
        <v>A</v>
      </c>
      <c r="W24" s="356">
        <f t="shared" si="0"/>
        <v>90</v>
      </c>
      <c r="X24" s="361" t="str">
        <f>IF(W24&gt;KKM!$G$10," sangat baik ",IF(W24&gt;KKM!$H$10," baik ",IF(W24&gt;=KKM!$I$10," cukup baik "," perlu bimbingan ")))</f>
        <v xml:space="preserve"> sangat baik </v>
      </c>
      <c r="Y24" s="357">
        <f t="shared" si="1"/>
        <v>90</v>
      </c>
      <c r="Z24" s="361" t="str">
        <f>IF(Y24&gt;KKM!$G$10," sangat baik ",IF(Y24&gt;KKM!$H$10," baik ",IF(Y24&gt;=KKM!$I$10," cukup baik "," perlu bimbingan ")))</f>
        <v xml:space="preserve"> sangat baik </v>
      </c>
      <c r="AA24" s="353" t="str">
        <f t="shared" si="5"/>
        <v>KURNIA sangat baik  dalam menyajikan hasil identifikasi karakteristik geografis Indonesia sebagai negara kepulauan/maritim dan agraris serta pengaruhnya terhadap kehidupan ekonomi, sosial, budaya, komunikasi, serta transportasi.</v>
      </c>
      <c r="AB24" s="256"/>
      <c r="AC24" s="257" t="str">
        <f t="shared" si="2"/>
        <v xml:space="preserve"> sangat baik  dalam menyajikan hasil identifikasi karakteristik geografis Indonesia sebagai negara kepulauan/maritim dan agraris serta pengaruhnya terhadap kehidupan ekonomi, sosial, budaya, komunikasi, serta transportasi.</v>
      </c>
      <c r="AD24" s="257" t="str">
        <f t="shared" si="3"/>
        <v xml:space="preserve"> sangat baik  dalam menyajikan hasil identifikasi karakteristik geografis Indonesia sebagai negara kepulauan/maritim dan agraris serta pengaruhnya terhadap kehidupan ekonomi, sosial, budaya, komunikasi, serta transportasi.</v>
      </c>
      <c r="AE24"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24" s="257" t="str">
        <f t="shared" si="7"/>
        <v xml:space="preserve"> sangat baik  dalam menyajikan hasil identifikasi karakteristik geografis Indonesia sebagai negara kepulauan/maritim dan agraris serta pengaruhnya terhadap kehidupan ekonomi, sosial, budaya, komunikasi, serta transportasi.</v>
      </c>
      <c r="AG24" s="258" t="str">
        <f t="shared" si="8"/>
        <v xml:space="preserve"> sangat baik  dalam menyajikan hasil identifikasi karakteristik geografis Indonesia sebagai negara kepulauan/maritim dan agraris serta pengaruhnya terhadap kehidupan ekonomi, sosial, budaya, komunikasi, serta transportasi.</v>
      </c>
      <c r="AH24" s="252" t="str">
        <f t="shared" si="9"/>
        <v>KURNIA sangat baik  dalam menyajikan hasil identifikasi karakteristik geografis Indonesia sebagai negara kepulauan/maritim dan agraris serta pengaruhnya terhadap kehidupan ekonomi, sosial, budaya, komunikasi, serta transportasi.</v>
      </c>
      <c r="AI24" s="153"/>
      <c r="AU24" s="469">
        <f t="shared" si="10"/>
        <v>90</v>
      </c>
    </row>
    <row r="25" spans="2:47" ht="55.5" customHeight="1">
      <c r="B25" s="142">
        <v>21</v>
      </c>
      <c r="C25" s="143" t="str">
        <f>SISWA!B26</f>
        <v>1718250040325</v>
      </c>
      <c r="D25" s="144" t="str">
        <f>SISWA!E26</f>
        <v>LATIZA</v>
      </c>
      <c r="E25" s="159">
        <v>100</v>
      </c>
      <c r="F25" s="160">
        <v>100</v>
      </c>
      <c r="G25" s="160">
        <v>100</v>
      </c>
      <c r="H25" s="160">
        <v>100</v>
      </c>
      <c r="I25" s="160"/>
      <c r="J25" s="159"/>
      <c r="K25" s="159"/>
      <c r="L25" s="159"/>
      <c r="M25" s="159"/>
      <c r="N25" s="159"/>
      <c r="O25" s="159"/>
      <c r="P25" s="159"/>
      <c r="Q25" s="159"/>
      <c r="R25" s="160"/>
      <c r="S25" s="160"/>
      <c r="T25" s="159"/>
      <c r="U25" s="354">
        <f t="shared" si="4"/>
        <v>100</v>
      </c>
      <c r="V25" s="355" t="str">
        <f>IF(U25&gt;KKM!$G$10,"A",IF(U25&gt;KKM!$H$10,"B",IF(U25&gt;=KKM!$I$10,"C","D")))</f>
        <v>A</v>
      </c>
      <c r="W25" s="356">
        <f t="shared" si="0"/>
        <v>100</v>
      </c>
      <c r="X25" s="361" t="str">
        <f>IF(W25&gt;KKM!$G$10," sangat baik ",IF(W25&gt;KKM!$H$10," baik ",IF(W25&gt;=KKM!$I$10," cukup baik "," perlu bimbingan ")))</f>
        <v xml:space="preserve"> sangat baik </v>
      </c>
      <c r="Y25" s="357">
        <f t="shared" si="1"/>
        <v>100</v>
      </c>
      <c r="Z25" s="361" t="str">
        <f>IF(Y25&gt;KKM!$G$10," sangat baik ",IF(Y25&gt;KKM!$H$10," baik ",IF(Y25&gt;=KKM!$I$10," cukup baik "," perlu bimbingan ")))</f>
        <v xml:space="preserve"> sangat baik </v>
      </c>
      <c r="AA25" s="353" t="str">
        <f t="shared" si="5"/>
        <v>LATIZA sangat baik  dalam menyajikan hasil identifikasi karakteristik geografis Indonesia sebagai negara kepulauan/maritim dan agraris serta pengaruhnya terhadap kehidupan ekonomi, sosial, budaya, komunikasi, serta transportasi.</v>
      </c>
      <c r="AB25" s="256"/>
      <c r="AC25" s="257" t="str">
        <f t="shared" si="2"/>
        <v xml:space="preserve"> sangat baik  dalam menyajikan hasil identifikasi karakteristik geografis Indonesia sebagai negara kepulauan/maritim dan agraris serta pengaruhnya terhadap kehidupan ekonomi, sosial, budaya, komunikasi, serta transportasi.</v>
      </c>
      <c r="AD25" s="257" t="str">
        <f t="shared" si="3"/>
        <v xml:space="preserve"> sangat baik  dalam menyajikan hasil identifikasi karakteristik geografis Indonesia sebagai negara kepulauan/maritim dan agraris serta pengaruhnya terhadap kehidupan ekonomi, sosial, budaya, komunikasi, serta transportasi.</v>
      </c>
      <c r="AE25"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25" s="257" t="str">
        <f t="shared" si="7"/>
        <v xml:space="preserve"> sangat baik  dalam menyajikan hasil identifikasi karakteristik geografis Indonesia sebagai negara kepulauan/maritim dan agraris serta pengaruhnya terhadap kehidupan ekonomi, sosial, budaya, komunikasi, serta transportasi.</v>
      </c>
      <c r="AG25" s="258" t="str">
        <f t="shared" si="8"/>
        <v xml:space="preserve"> sangat baik  dalam menyajikan hasil identifikasi karakteristik geografis Indonesia sebagai negara kepulauan/maritim dan agraris serta pengaruhnya terhadap kehidupan ekonomi, sosial, budaya, komunikasi, serta transportasi.</v>
      </c>
      <c r="AH25" s="252" t="str">
        <f t="shared" si="9"/>
        <v>LATIZA sangat baik  dalam menyajikan hasil identifikasi karakteristik geografis Indonesia sebagai negara kepulauan/maritim dan agraris serta pengaruhnya terhadap kehidupan ekonomi, sosial, budaya, komunikasi, serta transportasi.</v>
      </c>
      <c r="AI25" s="153"/>
      <c r="AU25" s="469">
        <f t="shared" si="10"/>
        <v>100</v>
      </c>
    </row>
    <row r="26" spans="2:47" ht="55.5" customHeight="1">
      <c r="B26" s="142">
        <v>22</v>
      </c>
      <c r="C26" s="143" t="str">
        <f>SISWA!B27</f>
        <v>1718250040326</v>
      </c>
      <c r="D26" s="144" t="str">
        <f>SISWA!E27</f>
        <v>RIZKY</v>
      </c>
      <c r="E26" s="159">
        <v>75</v>
      </c>
      <c r="F26" s="160">
        <v>75</v>
      </c>
      <c r="G26" s="160">
        <v>75</v>
      </c>
      <c r="H26" s="160">
        <v>75</v>
      </c>
      <c r="I26" s="160"/>
      <c r="J26" s="159"/>
      <c r="K26" s="159"/>
      <c r="L26" s="159"/>
      <c r="M26" s="159"/>
      <c r="N26" s="159"/>
      <c r="O26" s="159"/>
      <c r="P26" s="159"/>
      <c r="Q26" s="159"/>
      <c r="R26" s="160"/>
      <c r="S26" s="160"/>
      <c r="T26" s="159"/>
      <c r="U26" s="354">
        <f t="shared" si="4"/>
        <v>75</v>
      </c>
      <c r="V26" s="355" t="str">
        <f>IF(U26&gt;KKM!$G$10,"A",IF(U26&gt;KKM!$H$10,"B",IF(U26&gt;=KKM!$I$10,"C","D")))</f>
        <v>C</v>
      </c>
      <c r="W26" s="356">
        <f t="shared" si="0"/>
        <v>75</v>
      </c>
      <c r="X26" s="361" t="str">
        <f>IF(W26&gt;KKM!$G$10," sangat baik ",IF(W26&gt;KKM!$H$10," baik ",IF(W26&gt;=KKM!$I$10," cukup baik "," perlu bimbingan ")))</f>
        <v xml:space="preserve"> cukup baik </v>
      </c>
      <c r="Y26" s="357">
        <f t="shared" si="1"/>
        <v>75</v>
      </c>
      <c r="Z26" s="361" t="str">
        <f>IF(Y26&gt;KKM!$G$10," sangat baik ",IF(Y26&gt;KKM!$H$10," baik ",IF(Y26&gt;=KKM!$I$10," cukup baik "," perlu bimbingan ")))</f>
        <v xml:space="preserve"> cukup baik </v>
      </c>
      <c r="AA26" s="353" t="str">
        <f t="shared" si="5"/>
        <v>RIZKY cukup baik  dalam menyajikan hasil identifikasi karakteristik geografis Indonesia sebagai negara kepulauan/maritim dan agraris serta pengaruhnya terhadap kehidupan ekonomi, sosial, budaya, komunikasi, serta transportasi.</v>
      </c>
      <c r="AB26" s="256"/>
      <c r="AC26" s="257" t="str">
        <f t="shared" si="2"/>
        <v xml:space="preserve"> cukup baik  dalam menyajikan hasil identifikasi karakteristik geografis Indonesia sebagai negara kepulauan/maritim dan agraris serta pengaruhnya terhadap kehidupan ekonomi, sosial, budaya, komunikasi, serta transportasi.</v>
      </c>
      <c r="AD26" s="257" t="str">
        <f t="shared" si="3"/>
        <v xml:space="preserve"> cukup baik  dalam menyajikan hasil identifikasi karakteristik geografis Indonesia sebagai negara kepulauan/maritim dan agraris serta pengaruhnya terhadap kehidupan ekonomi, sosial, budaya, komunikasi, serta transportasi.</v>
      </c>
      <c r="AE26" s="257" t="str">
        <f t="shared" si="6"/>
        <v xml:space="preserve"> cukup baik  dalam menyajikan hasil identifikasi karakteristik geografis Indonesia sebagai negara kepulauan/maritim dan agraris serta pengaruhnya terhadap kehidupan ekonomi, sosial, budaya, komunikasi, serta transportasi., dan  cukup baik  dalam menyajikan hasil identifikasi karakteristik geografis Indonesia sebagai negara kepulauan/maritim dan agraris serta pengaruhnya terhadap kehidupan ekonomi, sosial, budaya, komunikasi, serta transportasi.</v>
      </c>
      <c r="AF26" s="257" t="str">
        <f t="shared" si="7"/>
        <v xml:space="preserve"> cukup baik  dalam menyajikan hasil identifikasi karakteristik geografis Indonesia sebagai negara kepulauan/maritim dan agraris serta pengaruhnya terhadap kehidupan ekonomi, sosial, budaya, komunikasi, serta transportasi.</v>
      </c>
      <c r="AG26" s="258" t="str">
        <f t="shared" si="8"/>
        <v xml:space="preserve"> cukup baik  dalam menyajikan hasil identifikasi karakteristik geografis Indonesia sebagai negara kepulauan/maritim dan agraris serta pengaruhnya terhadap kehidupan ekonomi, sosial, budaya, komunikasi, serta transportasi.</v>
      </c>
      <c r="AH26" s="252" t="str">
        <f t="shared" si="9"/>
        <v>RIZKY cukup baik  dalam menyajikan hasil identifikasi karakteristik geografis Indonesia sebagai negara kepulauan/maritim dan agraris serta pengaruhnya terhadap kehidupan ekonomi, sosial, budaya, komunikasi, serta transportasi.</v>
      </c>
      <c r="AI26" s="153"/>
      <c r="AU26" s="469">
        <f t="shared" si="10"/>
        <v>75</v>
      </c>
    </row>
    <row r="27" spans="2:47" ht="55.5" customHeight="1">
      <c r="B27" s="142">
        <v>23</v>
      </c>
      <c r="C27" s="143" t="str">
        <f>SISWA!B28</f>
        <v>1718250040327</v>
      </c>
      <c r="D27" s="144" t="str">
        <f>SISWA!E28</f>
        <v>RAMADHANDANI</v>
      </c>
      <c r="E27" s="159">
        <v>92.5</v>
      </c>
      <c r="F27" s="160">
        <v>92.5</v>
      </c>
      <c r="G27" s="160">
        <v>92.5</v>
      </c>
      <c r="H27" s="160">
        <v>92.5</v>
      </c>
      <c r="I27" s="160"/>
      <c r="J27" s="159"/>
      <c r="K27" s="159"/>
      <c r="L27" s="159"/>
      <c r="M27" s="159"/>
      <c r="N27" s="159"/>
      <c r="O27" s="159"/>
      <c r="P27" s="159"/>
      <c r="Q27" s="159"/>
      <c r="R27" s="160"/>
      <c r="S27" s="160"/>
      <c r="T27" s="159"/>
      <c r="U27" s="354">
        <f t="shared" si="4"/>
        <v>93</v>
      </c>
      <c r="V27" s="355" t="str">
        <f>IF(U27&gt;KKM!$G$10,"A",IF(U27&gt;KKM!$H$10,"B",IF(U27&gt;=KKM!$I$10,"C","D")))</f>
        <v>A</v>
      </c>
      <c r="W27" s="356">
        <f t="shared" si="0"/>
        <v>92.5</v>
      </c>
      <c r="X27" s="361" t="str">
        <f>IF(W27&gt;KKM!$G$10," sangat baik ",IF(W27&gt;KKM!$H$10," baik ",IF(W27&gt;=KKM!$I$10," cukup baik "," perlu bimbingan ")))</f>
        <v xml:space="preserve"> sangat baik </v>
      </c>
      <c r="Y27" s="357">
        <f t="shared" si="1"/>
        <v>92.5</v>
      </c>
      <c r="Z27" s="361" t="str">
        <f>IF(Y27&gt;KKM!$G$10," sangat baik ",IF(Y27&gt;KKM!$H$10," baik ",IF(Y27&gt;=KKM!$I$10," cukup baik "," perlu bimbingan ")))</f>
        <v xml:space="preserve"> sangat baik </v>
      </c>
      <c r="AA27" s="353" t="str">
        <f t="shared" si="5"/>
        <v>RAMADHANDANI sangat baik  dalam menyajikan hasil identifikasi karakteristik geografis Indonesia sebagai negara kepulauan/maritim dan agraris serta pengaruhnya terhadap kehidupan ekonomi, sosial, budaya, komunikasi, serta transportasi.</v>
      </c>
      <c r="AB27" s="256"/>
      <c r="AC27" s="257" t="str">
        <f t="shared" si="2"/>
        <v xml:space="preserve"> sangat baik  dalam menyajikan hasil identifikasi karakteristik geografis Indonesia sebagai negara kepulauan/maritim dan agraris serta pengaruhnya terhadap kehidupan ekonomi, sosial, budaya, komunikasi, serta transportasi.</v>
      </c>
      <c r="AD27" s="257" t="str">
        <f t="shared" si="3"/>
        <v xml:space="preserve"> sangat baik  dalam menyajikan hasil identifikasi karakteristik geografis Indonesia sebagai negara kepulauan/maritim dan agraris serta pengaruhnya terhadap kehidupan ekonomi, sosial, budaya, komunikasi, serta transportasi.</v>
      </c>
      <c r="AE27"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27" s="257" t="str">
        <f t="shared" si="7"/>
        <v xml:space="preserve"> sangat baik  dalam menyajikan hasil identifikasi karakteristik geografis Indonesia sebagai negara kepulauan/maritim dan agraris serta pengaruhnya terhadap kehidupan ekonomi, sosial, budaya, komunikasi, serta transportasi.</v>
      </c>
      <c r="AG27" s="258" t="str">
        <f t="shared" si="8"/>
        <v xml:space="preserve"> sangat baik  dalam menyajikan hasil identifikasi karakteristik geografis Indonesia sebagai negara kepulauan/maritim dan agraris serta pengaruhnya terhadap kehidupan ekonomi, sosial, budaya, komunikasi, serta transportasi.</v>
      </c>
      <c r="AH27" s="252" t="str">
        <f t="shared" si="9"/>
        <v>RAMADHANDANI sangat baik  dalam menyajikan hasil identifikasi karakteristik geografis Indonesia sebagai negara kepulauan/maritim dan agraris serta pengaruhnya terhadap kehidupan ekonomi, sosial, budaya, komunikasi, serta transportasi.</v>
      </c>
      <c r="AI27" s="153"/>
      <c r="AU27" s="469">
        <f t="shared" si="10"/>
        <v>93</v>
      </c>
    </row>
    <row r="28" spans="2:47" ht="55.5" customHeight="1">
      <c r="B28" s="142">
        <v>24</v>
      </c>
      <c r="C28" s="143" t="str">
        <f>SISWA!B29</f>
        <v>1718250040328</v>
      </c>
      <c r="D28" s="144" t="str">
        <f>SISWA!E29</f>
        <v>SYAEPUL</v>
      </c>
      <c r="E28" s="159">
        <v>77.5</v>
      </c>
      <c r="F28" s="160">
        <v>77.5</v>
      </c>
      <c r="G28" s="160">
        <v>77.5</v>
      </c>
      <c r="H28" s="160">
        <v>77.5</v>
      </c>
      <c r="I28" s="160"/>
      <c r="J28" s="159"/>
      <c r="K28" s="159"/>
      <c r="L28" s="159"/>
      <c r="M28" s="159"/>
      <c r="N28" s="159"/>
      <c r="O28" s="159"/>
      <c r="P28" s="159"/>
      <c r="Q28" s="159"/>
      <c r="R28" s="160"/>
      <c r="S28" s="160"/>
      <c r="T28" s="159"/>
      <c r="U28" s="354">
        <f t="shared" si="4"/>
        <v>78</v>
      </c>
      <c r="V28" s="355" t="str">
        <f>IF(U28&gt;KKM!$G$10,"A",IF(U28&gt;KKM!$H$10,"B",IF(U28&gt;=KKM!$I$10,"C","D")))</f>
        <v>B</v>
      </c>
      <c r="W28" s="356">
        <f t="shared" si="0"/>
        <v>77.5</v>
      </c>
      <c r="X28" s="361" t="str">
        <f>IF(W28&gt;KKM!$G$10," sangat baik ",IF(W28&gt;KKM!$H$10," baik ",IF(W28&gt;=KKM!$I$10," cukup baik "," perlu bimbingan ")))</f>
        <v xml:space="preserve"> baik </v>
      </c>
      <c r="Y28" s="357">
        <f t="shared" si="1"/>
        <v>77.5</v>
      </c>
      <c r="Z28" s="361" t="str">
        <f>IF(Y28&gt;KKM!$G$10," sangat baik ",IF(Y28&gt;KKM!$H$10," baik ",IF(Y28&gt;=KKM!$I$10," cukup baik "," perlu bimbingan ")))</f>
        <v xml:space="preserve"> baik </v>
      </c>
      <c r="AA28" s="353" t="str">
        <f t="shared" si="5"/>
        <v>SYAEPUL baik  dalam menyajikan hasil identifikasi karakteristik geografis Indonesia sebagai negara kepulauan/maritim dan agraris serta pengaruhnya terhadap kehidupan ekonomi, sosial, budaya, komunikasi, serta transportasi.</v>
      </c>
      <c r="AB28" s="256"/>
      <c r="AC28" s="257" t="str">
        <f t="shared" si="2"/>
        <v xml:space="preserve"> baik  dalam menyajikan hasil identifikasi karakteristik geografis Indonesia sebagai negara kepulauan/maritim dan agraris serta pengaruhnya terhadap kehidupan ekonomi, sosial, budaya, komunikasi, serta transportasi.</v>
      </c>
      <c r="AD28" s="257" t="str">
        <f t="shared" si="3"/>
        <v xml:space="preserve"> baik  dalam menyajikan hasil identifikasi karakteristik geografis Indonesia sebagai negara kepulauan/maritim dan agraris serta pengaruhnya terhadap kehidupan ekonomi, sosial, budaya, komunikasi, serta transportasi.</v>
      </c>
      <c r="AE28"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28" s="257" t="str">
        <f t="shared" si="7"/>
        <v xml:space="preserve"> baik  dalam menyajikan hasil identifikasi karakteristik geografis Indonesia sebagai negara kepulauan/maritim dan agraris serta pengaruhnya terhadap kehidupan ekonomi, sosial, budaya, komunikasi, serta transportasi.</v>
      </c>
      <c r="AG28" s="258" t="str">
        <f t="shared" si="8"/>
        <v xml:space="preserve"> baik  dalam menyajikan hasil identifikasi karakteristik geografis Indonesia sebagai negara kepulauan/maritim dan agraris serta pengaruhnya terhadap kehidupan ekonomi, sosial, budaya, komunikasi, serta transportasi.</v>
      </c>
      <c r="AH28" s="252" t="str">
        <f t="shared" si="9"/>
        <v>SYAEPUL baik  dalam menyajikan hasil identifikasi karakteristik geografis Indonesia sebagai negara kepulauan/maritim dan agraris serta pengaruhnya terhadap kehidupan ekonomi, sosial, budaya, komunikasi, serta transportasi.</v>
      </c>
      <c r="AI28" s="153"/>
      <c r="AU28" s="469">
        <f t="shared" si="10"/>
        <v>78</v>
      </c>
    </row>
    <row r="29" spans="2:47" ht="55.5" customHeight="1">
      <c r="B29" s="142">
        <v>25</v>
      </c>
      <c r="C29" s="143" t="str">
        <f>SISWA!B30</f>
        <v>1718250040329</v>
      </c>
      <c r="D29" s="144" t="str">
        <f>SISWA!E30</f>
        <v>ALIF</v>
      </c>
      <c r="E29" s="159">
        <v>90</v>
      </c>
      <c r="F29" s="160">
        <v>90</v>
      </c>
      <c r="G29" s="160">
        <v>90</v>
      </c>
      <c r="H29" s="160">
        <v>90</v>
      </c>
      <c r="I29" s="160"/>
      <c r="J29" s="159"/>
      <c r="K29" s="159"/>
      <c r="L29" s="159"/>
      <c r="M29" s="159"/>
      <c r="N29" s="159"/>
      <c r="O29" s="159"/>
      <c r="P29" s="159"/>
      <c r="Q29" s="159"/>
      <c r="R29" s="160"/>
      <c r="S29" s="160"/>
      <c r="T29" s="159"/>
      <c r="U29" s="354">
        <f t="shared" si="4"/>
        <v>90</v>
      </c>
      <c r="V29" s="355" t="str">
        <f>IF(U29&gt;KKM!$G$10,"A",IF(U29&gt;KKM!$H$10,"B",IF(U29&gt;=KKM!$I$10,"C","D")))</f>
        <v>A</v>
      </c>
      <c r="W29" s="356">
        <f t="shared" si="0"/>
        <v>90</v>
      </c>
      <c r="X29" s="361" t="str">
        <f>IF(W29&gt;KKM!$G$10," sangat baik ",IF(W29&gt;KKM!$H$10," baik ",IF(W29&gt;=KKM!$I$10," cukup baik "," perlu bimbingan ")))</f>
        <v xml:space="preserve"> sangat baik </v>
      </c>
      <c r="Y29" s="357">
        <f t="shared" si="1"/>
        <v>90</v>
      </c>
      <c r="Z29" s="361" t="str">
        <f>IF(Y29&gt;KKM!$G$10," sangat baik ",IF(Y29&gt;KKM!$H$10," baik ",IF(Y29&gt;=KKM!$I$10," cukup baik "," perlu bimbingan ")))</f>
        <v xml:space="preserve"> sangat baik </v>
      </c>
      <c r="AA29" s="353" t="str">
        <f t="shared" si="5"/>
        <v>ALIF sangat baik  dalam menyajikan hasil identifikasi karakteristik geografis Indonesia sebagai negara kepulauan/maritim dan agraris serta pengaruhnya terhadap kehidupan ekonomi, sosial, budaya, komunikasi, serta transportasi.</v>
      </c>
      <c r="AB29" s="256"/>
      <c r="AC29" s="257" t="str">
        <f t="shared" si="2"/>
        <v xml:space="preserve"> sangat baik  dalam menyajikan hasil identifikasi karakteristik geografis Indonesia sebagai negara kepulauan/maritim dan agraris serta pengaruhnya terhadap kehidupan ekonomi, sosial, budaya, komunikasi, serta transportasi.</v>
      </c>
      <c r="AD29" s="257" t="str">
        <f t="shared" si="3"/>
        <v xml:space="preserve"> sangat baik  dalam menyajikan hasil identifikasi karakteristik geografis Indonesia sebagai negara kepulauan/maritim dan agraris serta pengaruhnya terhadap kehidupan ekonomi, sosial, budaya, komunikasi, serta transportasi.</v>
      </c>
      <c r="AE29"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29" s="257" t="str">
        <f t="shared" si="7"/>
        <v xml:space="preserve"> sangat baik  dalam menyajikan hasil identifikasi karakteristik geografis Indonesia sebagai negara kepulauan/maritim dan agraris serta pengaruhnya terhadap kehidupan ekonomi, sosial, budaya, komunikasi, serta transportasi.</v>
      </c>
      <c r="AG29" s="258" t="str">
        <f t="shared" si="8"/>
        <v xml:space="preserve"> sangat baik  dalam menyajikan hasil identifikasi karakteristik geografis Indonesia sebagai negara kepulauan/maritim dan agraris serta pengaruhnya terhadap kehidupan ekonomi, sosial, budaya, komunikasi, serta transportasi.</v>
      </c>
      <c r="AH29" s="252" t="str">
        <f t="shared" si="9"/>
        <v>ALIF sangat baik  dalam menyajikan hasil identifikasi karakteristik geografis Indonesia sebagai negara kepulauan/maritim dan agraris serta pengaruhnya terhadap kehidupan ekonomi, sosial, budaya, komunikasi, serta transportasi.</v>
      </c>
      <c r="AI29" s="153"/>
      <c r="AU29" s="469">
        <f t="shared" si="10"/>
        <v>90</v>
      </c>
    </row>
    <row r="30" spans="2:47" ht="55.5" customHeight="1">
      <c r="B30" s="142">
        <v>26</v>
      </c>
      <c r="C30" s="143" t="str">
        <f>SISWA!B31</f>
        <v>1718250040330</v>
      </c>
      <c r="D30" s="144" t="str">
        <f>SISWA!E31</f>
        <v>HIZKIEL</v>
      </c>
      <c r="E30" s="159">
        <v>87.5</v>
      </c>
      <c r="F30" s="160">
        <v>87.5</v>
      </c>
      <c r="G30" s="160">
        <v>87.5</v>
      </c>
      <c r="H30" s="160">
        <v>87.5</v>
      </c>
      <c r="I30" s="160"/>
      <c r="J30" s="159"/>
      <c r="K30" s="159"/>
      <c r="L30" s="159"/>
      <c r="M30" s="159"/>
      <c r="N30" s="159"/>
      <c r="O30" s="159"/>
      <c r="P30" s="159"/>
      <c r="Q30" s="159"/>
      <c r="R30" s="160"/>
      <c r="S30" s="160"/>
      <c r="T30" s="159"/>
      <c r="U30" s="354">
        <f t="shared" si="4"/>
        <v>88</v>
      </c>
      <c r="V30" s="355" t="str">
        <f>IF(U30&gt;KKM!$G$10,"A",IF(U30&gt;KKM!$H$10,"B",IF(U30&gt;=KKM!$I$10,"C","D")))</f>
        <v>A</v>
      </c>
      <c r="W30" s="356">
        <f t="shared" si="0"/>
        <v>87.5</v>
      </c>
      <c r="X30" s="361" t="str">
        <f>IF(W30&gt;KKM!$G$10," sangat baik ",IF(W30&gt;KKM!$H$10," baik ",IF(W30&gt;=KKM!$I$10," cukup baik "," perlu bimbingan ")))</f>
        <v xml:space="preserve"> sangat baik </v>
      </c>
      <c r="Y30" s="357">
        <f t="shared" si="1"/>
        <v>87.5</v>
      </c>
      <c r="Z30" s="361" t="str">
        <f>IF(Y30&gt;KKM!$G$10," sangat baik ",IF(Y30&gt;KKM!$H$10," baik ",IF(Y30&gt;=KKM!$I$10," cukup baik "," perlu bimbingan ")))</f>
        <v xml:space="preserve"> sangat baik </v>
      </c>
      <c r="AA30" s="353" t="str">
        <f t="shared" si="5"/>
        <v>HIZKIEL sangat baik  dalam menyajikan hasil identifikasi karakteristik geografis Indonesia sebagai negara kepulauan/maritim dan agraris serta pengaruhnya terhadap kehidupan ekonomi, sosial, budaya, komunikasi, serta transportasi.</v>
      </c>
      <c r="AB30" s="256"/>
      <c r="AC30" s="257" t="str">
        <f t="shared" si="2"/>
        <v xml:space="preserve"> sangat baik  dalam menyajikan hasil identifikasi karakteristik geografis Indonesia sebagai negara kepulauan/maritim dan agraris serta pengaruhnya terhadap kehidupan ekonomi, sosial, budaya, komunikasi, serta transportasi.</v>
      </c>
      <c r="AD30" s="257" t="str">
        <f t="shared" si="3"/>
        <v xml:space="preserve"> sangat baik  dalam menyajikan hasil identifikasi karakteristik geografis Indonesia sebagai negara kepulauan/maritim dan agraris serta pengaruhnya terhadap kehidupan ekonomi, sosial, budaya, komunikasi, serta transportasi.</v>
      </c>
      <c r="AE30"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30" s="257" t="str">
        <f t="shared" si="7"/>
        <v xml:space="preserve"> sangat baik  dalam menyajikan hasil identifikasi karakteristik geografis Indonesia sebagai negara kepulauan/maritim dan agraris serta pengaruhnya terhadap kehidupan ekonomi, sosial, budaya, komunikasi, serta transportasi.</v>
      </c>
      <c r="AG30" s="258" t="str">
        <f t="shared" si="8"/>
        <v xml:space="preserve"> sangat baik  dalam menyajikan hasil identifikasi karakteristik geografis Indonesia sebagai negara kepulauan/maritim dan agraris serta pengaruhnya terhadap kehidupan ekonomi, sosial, budaya, komunikasi, serta transportasi.</v>
      </c>
      <c r="AH30" s="252" t="str">
        <f t="shared" si="9"/>
        <v>HIZKIEL sangat baik  dalam menyajikan hasil identifikasi karakteristik geografis Indonesia sebagai negara kepulauan/maritim dan agraris serta pengaruhnya terhadap kehidupan ekonomi, sosial, budaya, komunikasi, serta transportasi.</v>
      </c>
      <c r="AI30" s="153"/>
      <c r="AU30" s="469">
        <f t="shared" si="10"/>
        <v>88</v>
      </c>
    </row>
    <row r="31" spans="2:47" ht="55.5" customHeight="1">
      <c r="B31" s="142">
        <v>27</v>
      </c>
      <c r="C31" s="143" t="str">
        <f>SISWA!B32</f>
        <v>1718250040331</v>
      </c>
      <c r="D31" s="144" t="str">
        <f>SISWA!E32</f>
        <v>LAEL</v>
      </c>
      <c r="E31" s="159">
        <v>80</v>
      </c>
      <c r="F31" s="160">
        <v>80</v>
      </c>
      <c r="G31" s="160">
        <v>80</v>
      </c>
      <c r="H31" s="160">
        <v>80</v>
      </c>
      <c r="I31" s="160"/>
      <c r="J31" s="159"/>
      <c r="K31" s="159"/>
      <c r="L31" s="159"/>
      <c r="M31" s="159"/>
      <c r="N31" s="159"/>
      <c r="O31" s="159"/>
      <c r="P31" s="159"/>
      <c r="Q31" s="159"/>
      <c r="R31" s="160"/>
      <c r="S31" s="160"/>
      <c r="T31" s="159"/>
      <c r="U31" s="354">
        <f t="shared" si="4"/>
        <v>80</v>
      </c>
      <c r="V31" s="355" t="str">
        <f>IF(U31&gt;KKM!$G$10,"A",IF(U31&gt;KKM!$H$10,"B",IF(U31&gt;=KKM!$I$10,"C","D")))</f>
        <v>B</v>
      </c>
      <c r="W31" s="356">
        <f t="shared" si="0"/>
        <v>80</v>
      </c>
      <c r="X31" s="361" t="str">
        <f>IF(W31&gt;KKM!$G$10," sangat baik ",IF(W31&gt;KKM!$H$10," baik ",IF(W31&gt;=KKM!$I$10," cukup baik "," perlu bimbingan ")))</f>
        <v xml:space="preserve"> baik </v>
      </c>
      <c r="Y31" s="357">
        <f t="shared" si="1"/>
        <v>80</v>
      </c>
      <c r="Z31" s="361" t="str">
        <f>IF(Y31&gt;KKM!$G$10," sangat baik ",IF(Y31&gt;KKM!$H$10," baik ",IF(Y31&gt;=KKM!$I$10," cukup baik "," perlu bimbingan ")))</f>
        <v xml:space="preserve"> baik </v>
      </c>
      <c r="AA31" s="353" t="str">
        <f t="shared" si="5"/>
        <v>LAEL baik  dalam menyajikan hasil identifikasi karakteristik geografis Indonesia sebagai negara kepulauan/maritim dan agraris serta pengaruhnya terhadap kehidupan ekonomi, sosial, budaya, komunikasi, serta transportasi.</v>
      </c>
      <c r="AB31" s="256"/>
      <c r="AC31" s="257" t="str">
        <f t="shared" si="2"/>
        <v xml:space="preserve"> baik  dalam menyajikan hasil identifikasi karakteristik geografis Indonesia sebagai negara kepulauan/maritim dan agraris serta pengaruhnya terhadap kehidupan ekonomi, sosial, budaya, komunikasi, serta transportasi.</v>
      </c>
      <c r="AD31" s="257" t="str">
        <f t="shared" si="3"/>
        <v xml:space="preserve"> baik  dalam menyajikan hasil identifikasi karakteristik geografis Indonesia sebagai negara kepulauan/maritim dan agraris serta pengaruhnya terhadap kehidupan ekonomi, sosial, budaya, komunikasi, serta transportasi.</v>
      </c>
      <c r="AE31"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31" s="257" t="str">
        <f t="shared" si="7"/>
        <v xml:space="preserve"> baik  dalam menyajikan hasil identifikasi karakteristik geografis Indonesia sebagai negara kepulauan/maritim dan agraris serta pengaruhnya terhadap kehidupan ekonomi, sosial, budaya, komunikasi, serta transportasi.</v>
      </c>
      <c r="AG31" s="258" t="str">
        <f t="shared" si="8"/>
        <v xml:space="preserve"> baik  dalam menyajikan hasil identifikasi karakteristik geografis Indonesia sebagai negara kepulauan/maritim dan agraris serta pengaruhnya terhadap kehidupan ekonomi, sosial, budaya, komunikasi, serta transportasi.</v>
      </c>
      <c r="AH31" s="252" t="str">
        <f t="shared" si="9"/>
        <v>LAEL baik  dalam menyajikan hasil identifikasi karakteristik geografis Indonesia sebagai negara kepulauan/maritim dan agraris serta pengaruhnya terhadap kehidupan ekonomi, sosial, budaya, komunikasi, serta transportasi.</v>
      </c>
      <c r="AI31" s="153"/>
      <c r="AU31" s="469">
        <f t="shared" si="10"/>
        <v>80</v>
      </c>
    </row>
    <row r="32" spans="2:47" ht="55.5" customHeight="1">
      <c r="B32" s="142">
        <v>28</v>
      </c>
      <c r="C32" s="143" t="str">
        <f>SISWA!B33</f>
        <v>1718250040332</v>
      </c>
      <c r="D32" s="144" t="str">
        <f>SISWA!E33</f>
        <v>NABIL</v>
      </c>
      <c r="E32" s="159">
        <v>82.5</v>
      </c>
      <c r="F32" s="160">
        <v>82.5</v>
      </c>
      <c r="G32" s="160">
        <v>82.5</v>
      </c>
      <c r="H32" s="160">
        <v>82.5</v>
      </c>
      <c r="I32" s="160"/>
      <c r="J32" s="159"/>
      <c r="K32" s="159"/>
      <c r="L32" s="159"/>
      <c r="M32" s="159"/>
      <c r="N32" s="159"/>
      <c r="O32" s="159"/>
      <c r="P32" s="159"/>
      <c r="Q32" s="159"/>
      <c r="R32" s="160"/>
      <c r="S32" s="160"/>
      <c r="T32" s="159"/>
      <c r="U32" s="354">
        <f t="shared" si="4"/>
        <v>83</v>
      </c>
      <c r="V32" s="355" t="str">
        <f>IF(U32&gt;KKM!$G$10,"A",IF(U32&gt;KKM!$H$10,"B",IF(U32&gt;=KKM!$I$10,"C","D")))</f>
        <v>B</v>
      </c>
      <c r="W32" s="356">
        <f t="shared" si="0"/>
        <v>82.5</v>
      </c>
      <c r="X32" s="361" t="str">
        <f>IF(W32&gt;KKM!$G$10," sangat baik ",IF(W32&gt;KKM!$H$10," baik ",IF(W32&gt;=KKM!$I$10," cukup baik "," perlu bimbingan ")))</f>
        <v xml:space="preserve"> baik </v>
      </c>
      <c r="Y32" s="357">
        <f t="shared" si="1"/>
        <v>82.5</v>
      </c>
      <c r="Z32" s="361" t="str">
        <f>IF(Y32&gt;KKM!$G$10," sangat baik ",IF(Y32&gt;KKM!$H$10," baik ",IF(Y32&gt;=KKM!$I$10," cukup baik "," perlu bimbingan ")))</f>
        <v xml:space="preserve"> baik </v>
      </c>
      <c r="AA32" s="353" t="str">
        <f t="shared" si="5"/>
        <v>NABIL baik  dalam menyajikan hasil identifikasi karakteristik geografis Indonesia sebagai negara kepulauan/maritim dan agraris serta pengaruhnya terhadap kehidupan ekonomi, sosial, budaya, komunikasi, serta transportasi.</v>
      </c>
      <c r="AB32" s="256"/>
      <c r="AC32" s="257" t="str">
        <f t="shared" si="2"/>
        <v xml:space="preserve"> baik  dalam menyajikan hasil identifikasi karakteristik geografis Indonesia sebagai negara kepulauan/maritim dan agraris serta pengaruhnya terhadap kehidupan ekonomi, sosial, budaya, komunikasi, serta transportasi.</v>
      </c>
      <c r="AD32" s="257" t="str">
        <f t="shared" si="3"/>
        <v xml:space="preserve"> baik  dalam menyajikan hasil identifikasi karakteristik geografis Indonesia sebagai negara kepulauan/maritim dan agraris serta pengaruhnya terhadap kehidupan ekonomi, sosial, budaya, komunikasi, serta transportasi.</v>
      </c>
      <c r="AE32"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32" s="257" t="str">
        <f t="shared" si="7"/>
        <v xml:space="preserve"> baik  dalam menyajikan hasil identifikasi karakteristik geografis Indonesia sebagai negara kepulauan/maritim dan agraris serta pengaruhnya terhadap kehidupan ekonomi, sosial, budaya, komunikasi, serta transportasi.</v>
      </c>
      <c r="AG32" s="258" t="str">
        <f t="shared" si="8"/>
        <v xml:space="preserve"> baik  dalam menyajikan hasil identifikasi karakteristik geografis Indonesia sebagai negara kepulauan/maritim dan agraris serta pengaruhnya terhadap kehidupan ekonomi, sosial, budaya, komunikasi, serta transportasi.</v>
      </c>
      <c r="AH32" s="252" t="str">
        <f t="shared" si="9"/>
        <v>NABIL baik  dalam menyajikan hasil identifikasi karakteristik geografis Indonesia sebagai negara kepulauan/maritim dan agraris serta pengaruhnya terhadap kehidupan ekonomi, sosial, budaya, komunikasi, serta transportasi.</v>
      </c>
      <c r="AI32" s="153"/>
      <c r="AU32" s="469">
        <f t="shared" si="10"/>
        <v>83</v>
      </c>
    </row>
    <row r="33" spans="2:47" ht="55.5" customHeight="1">
      <c r="B33" s="142">
        <v>29</v>
      </c>
      <c r="C33" s="143" t="str">
        <f>SISWA!B34</f>
        <v>1718250040333</v>
      </c>
      <c r="D33" s="144" t="str">
        <f>SISWA!E34</f>
        <v>RASYA</v>
      </c>
      <c r="E33" s="159">
        <v>87.5</v>
      </c>
      <c r="F33" s="160">
        <v>87.5</v>
      </c>
      <c r="G33" s="160">
        <v>87.5</v>
      </c>
      <c r="H33" s="160">
        <v>87.5</v>
      </c>
      <c r="I33" s="160"/>
      <c r="J33" s="159"/>
      <c r="K33" s="159"/>
      <c r="L33" s="159"/>
      <c r="M33" s="159"/>
      <c r="N33" s="159"/>
      <c r="O33" s="159"/>
      <c r="P33" s="159"/>
      <c r="Q33" s="159"/>
      <c r="R33" s="160"/>
      <c r="S33" s="160"/>
      <c r="T33" s="159"/>
      <c r="U33" s="354">
        <f t="shared" si="4"/>
        <v>88</v>
      </c>
      <c r="V33" s="355" t="str">
        <f>IF(U33&gt;KKM!$G$10,"A",IF(U33&gt;KKM!$H$10,"B",IF(U33&gt;=KKM!$I$10,"C","D")))</f>
        <v>A</v>
      </c>
      <c r="W33" s="356">
        <f t="shared" si="0"/>
        <v>87.5</v>
      </c>
      <c r="X33" s="361" t="str">
        <f>IF(W33&gt;KKM!$G$10," sangat baik ",IF(W33&gt;KKM!$H$10," baik ",IF(W33&gt;=KKM!$I$10," cukup baik "," perlu bimbingan ")))</f>
        <v xml:space="preserve"> sangat baik </v>
      </c>
      <c r="Y33" s="357">
        <f t="shared" si="1"/>
        <v>87.5</v>
      </c>
      <c r="Z33" s="361" t="str">
        <f>IF(Y33&gt;KKM!$G$10," sangat baik ",IF(Y33&gt;KKM!$H$10," baik ",IF(Y33&gt;=KKM!$I$10," cukup baik "," perlu bimbingan ")))</f>
        <v xml:space="preserve"> sangat baik </v>
      </c>
      <c r="AA33" s="353" t="str">
        <f t="shared" si="5"/>
        <v>RASYA sangat baik  dalam menyajikan hasil identifikasi karakteristik geografis Indonesia sebagai negara kepulauan/maritim dan agraris serta pengaruhnya terhadap kehidupan ekonomi, sosial, budaya, komunikasi, serta transportasi.</v>
      </c>
      <c r="AB33" s="256"/>
      <c r="AC33" s="257" t="str">
        <f t="shared" si="2"/>
        <v xml:space="preserve"> sangat baik  dalam menyajikan hasil identifikasi karakteristik geografis Indonesia sebagai negara kepulauan/maritim dan agraris serta pengaruhnya terhadap kehidupan ekonomi, sosial, budaya, komunikasi, serta transportasi.</v>
      </c>
      <c r="AD33" s="257" t="str">
        <f t="shared" si="3"/>
        <v xml:space="preserve"> sangat baik  dalam menyajikan hasil identifikasi karakteristik geografis Indonesia sebagai negara kepulauan/maritim dan agraris serta pengaruhnya terhadap kehidupan ekonomi, sosial, budaya, komunikasi, serta transportasi.</v>
      </c>
      <c r="AE33"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33" s="257" t="str">
        <f t="shared" si="7"/>
        <v xml:space="preserve"> sangat baik  dalam menyajikan hasil identifikasi karakteristik geografis Indonesia sebagai negara kepulauan/maritim dan agraris serta pengaruhnya terhadap kehidupan ekonomi, sosial, budaya, komunikasi, serta transportasi.</v>
      </c>
      <c r="AG33" s="258" t="str">
        <f t="shared" si="8"/>
        <v xml:space="preserve"> sangat baik  dalam menyajikan hasil identifikasi karakteristik geografis Indonesia sebagai negara kepulauan/maritim dan agraris serta pengaruhnya terhadap kehidupan ekonomi, sosial, budaya, komunikasi, serta transportasi.</v>
      </c>
      <c r="AH33" s="252" t="str">
        <f t="shared" si="9"/>
        <v>RASYA sangat baik  dalam menyajikan hasil identifikasi karakteristik geografis Indonesia sebagai negara kepulauan/maritim dan agraris serta pengaruhnya terhadap kehidupan ekonomi, sosial, budaya, komunikasi, serta transportasi.</v>
      </c>
      <c r="AI33" s="153"/>
      <c r="AU33" s="469">
        <f t="shared" si="10"/>
        <v>88</v>
      </c>
    </row>
    <row r="34" spans="2:47" ht="55.5" customHeight="1">
      <c r="B34" s="142">
        <v>30</v>
      </c>
      <c r="C34" s="143" t="str">
        <f>SISWA!B35</f>
        <v>1718250040334</v>
      </c>
      <c r="D34" s="144" t="str">
        <f>SISWA!E35</f>
        <v>RIZKI</v>
      </c>
      <c r="E34" s="159">
        <v>90</v>
      </c>
      <c r="F34" s="160">
        <v>90</v>
      </c>
      <c r="G34" s="160">
        <v>90</v>
      </c>
      <c r="H34" s="160">
        <v>90</v>
      </c>
      <c r="I34" s="160"/>
      <c r="J34" s="159"/>
      <c r="K34" s="159"/>
      <c r="L34" s="159"/>
      <c r="M34" s="159"/>
      <c r="N34" s="159"/>
      <c r="O34" s="159"/>
      <c r="P34" s="159"/>
      <c r="Q34" s="159"/>
      <c r="R34" s="160"/>
      <c r="S34" s="160"/>
      <c r="T34" s="159"/>
      <c r="U34" s="354">
        <f t="shared" si="4"/>
        <v>90</v>
      </c>
      <c r="V34" s="355" t="str">
        <f>IF(U34&gt;KKM!$G$10,"A",IF(U34&gt;KKM!$H$10,"B",IF(U34&gt;=KKM!$I$10,"C","D")))</f>
        <v>A</v>
      </c>
      <c r="W34" s="356">
        <f t="shared" si="0"/>
        <v>90</v>
      </c>
      <c r="X34" s="361" t="str">
        <f>IF(W34&gt;KKM!$G$10," sangat baik ",IF(W34&gt;KKM!$H$10," baik ",IF(W34&gt;=KKM!$I$10," cukup baik "," perlu bimbingan ")))</f>
        <v xml:space="preserve"> sangat baik </v>
      </c>
      <c r="Y34" s="357">
        <f t="shared" si="1"/>
        <v>90</v>
      </c>
      <c r="Z34" s="361" t="str">
        <f>IF(Y34&gt;KKM!$G$10," sangat baik ",IF(Y34&gt;KKM!$H$10," baik ",IF(Y34&gt;=KKM!$I$10," cukup baik "," perlu bimbingan ")))</f>
        <v xml:space="preserve"> sangat baik </v>
      </c>
      <c r="AA34" s="353" t="str">
        <f t="shared" si="5"/>
        <v>RIZKI sangat baik  dalam menyajikan hasil identifikasi karakteristik geografis Indonesia sebagai negara kepulauan/maritim dan agraris serta pengaruhnya terhadap kehidupan ekonomi, sosial, budaya, komunikasi, serta transportasi.</v>
      </c>
      <c r="AB34" s="256"/>
      <c r="AC34" s="257" t="str">
        <f t="shared" si="2"/>
        <v xml:space="preserve"> sangat baik  dalam menyajikan hasil identifikasi karakteristik geografis Indonesia sebagai negara kepulauan/maritim dan agraris serta pengaruhnya terhadap kehidupan ekonomi, sosial, budaya, komunikasi, serta transportasi.</v>
      </c>
      <c r="AD34" s="257" t="str">
        <f t="shared" si="3"/>
        <v xml:space="preserve"> sangat baik  dalam menyajikan hasil identifikasi karakteristik geografis Indonesia sebagai negara kepulauan/maritim dan agraris serta pengaruhnya terhadap kehidupan ekonomi, sosial, budaya, komunikasi, serta transportasi.</v>
      </c>
      <c r="AE34"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34" s="257" t="str">
        <f t="shared" si="7"/>
        <v xml:space="preserve"> sangat baik  dalam menyajikan hasil identifikasi karakteristik geografis Indonesia sebagai negara kepulauan/maritim dan agraris serta pengaruhnya terhadap kehidupan ekonomi, sosial, budaya, komunikasi, serta transportasi.</v>
      </c>
      <c r="AG34" s="258" t="str">
        <f t="shared" si="8"/>
        <v xml:space="preserve"> sangat baik  dalam menyajikan hasil identifikasi karakteristik geografis Indonesia sebagai negara kepulauan/maritim dan agraris serta pengaruhnya terhadap kehidupan ekonomi, sosial, budaya, komunikasi, serta transportasi.</v>
      </c>
      <c r="AH34" s="252" t="str">
        <f t="shared" si="9"/>
        <v>RIZKI sangat baik  dalam menyajikan hasil identifikasi karakteristik geografis Indonesia sebagai negara kepulauan/maritim dan agraris serta pengaruhnya terhadap kehidupan ekonomi, sosial, budaya, komunikasi, serta transportasi.</v>
      </c>
      <c r="AI34" s="153"/>
      <c r="AU34" s="469">
        <f t="shared" si="10"/>
        <v>90</v>
      </c>
    </row>
    <row r="35" spans="2:47" ht="55.5" customHeight="1">
      <c r="B35" s="142">
        <v>31</v>
      </c>
      <c r="C35" s="143" t="str">
        <f>SISWA!B36</f>
        <v>1718250040335</v>
      </c>
      <c r="D35" s="144" t="str">
        <f>SISWA!E36</f>
        <v>SATRIA</v>
      </c>
      <c r="E35" s="159">
        <v>85</v>
      </c>
      <c r="F35" s="160">
        <v>85</v>
      </c>
      <c r="G35" s="160">
        <v>85</v>
      </c>
      <c r="H35" s="160">
        <v>85</v>
      </c>
      <c r="I35" s="160"/>
      <c r="J35" s="159"/>
      <c r="K35" s="159"/>
      <c r="L35" s="159"/>
      <c r="M35" s="159"/>
      <c r="N35" s="159"/>
      <c r="O35" s="159"/>
      <c r="P35" s="159"/>
      <c r="Q35" s="159"/>
      <c r="R35" s="160"/>
      <c r="S35" s="160"/>
      <c r="T35" s="159"/>
      <c r="U35" s="354">
        <f t="shared" si="4"/>
        <v>85</v>
      </c>
      <c r="V35" s="355" t="str">
        <f>IF(U35&gt;KKM!$G$10,"A",IF(U35&gt;KKM!$H$10,"B",IF(U35&gt;=KKM!$I$10,"C","D")))</f>
        <v>B</v>
      </c>
      <c r="W35" s="356">
        <f t="shared" si="0"/>
        <v>85</v>
      </c>
      <c r="X35" s="361" t="str">
        <f>IF(W35&gt;KKM!$G$10," sangat baik ",IF(W35&gt;KKM!$H$10," baik ",IF(W35&gt;=KKM!$I$10," cukup baik "," perlu bimbingan ")))</f>
        <v xml:space="preserve"> baik </v>
      </c>
      <c r="Y35" s="357">
        <f t="shared" si="1"/>
        <v>85</v>
      </c>
      <c r="Z35" s="361" t="str">
        <f>IF(Y35&gt;KKM!$G$10," sangat baik ",IF(Y35&gt;KKM!$H$10," baik ",IF(Y35&gt;=KKM!$I$10," cukup baik "," perlu bimbingan ")))</f>
        <v xml:space="preserve"> baik </v>
      </c>
      <c r="AA35" s="353" t="str">
        <f t="shared" si="5"/>
        <v>SATRIA baik  dalam menyajikan hasil identifikasi karakteristik geografis Indonesia sebagai negara kepulauan/maritim dan agraris serta pengaruhnya terhadap kehidupan ekonomi, sosial, budaya, komunikasi, serta transportasi.</v>
      </c>
      <c r="AB35" s="256"/>
      <c r="AC35" s="257" t="str">
        <f t="shared" si="2"/>
        <v xml:space="preserve"> baik  dalam menyajikan hasil identifikasi karakteristik geografis Indonesia sebagai negara kepulauan/maritim dan agraris serta pengaruhnya terhadap kehidupan ekonomi, sosial, budaya, komunikasi, serta transportasi.</v>
      </c>
      <c r="AD35" s="257" t="str">
        <f t="shared" si="3"/>
        <v xml:space="preserve"> baik  dalam menyajikan hasil identifikasi karakteristik geografis Indonesia sebagai negara kepulauan/maritim dan agraris serta pengaruhnya terhadap kehidupan ekonomi, sosial, budaya, komunikasi, serta transportasi.</v>
      </c>
      <c r="AE35"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35" s="257" t="str">
        <f t="shared" si="7"/>
        <v xml:space="preserve"> baik  dalam menyajikan hasil identifikasi karakteristik geografis Indonesia sebagai negara kepulauan/maritim dan agraris serta pengaruhnya terhadap kehidupan ekonomi, sosial, budaya, komunikasi, serta transportasi.</v>
      </c>
      <c r="AG35" s="258" t="str">
        <f t="shared" si="8"/>
        <v xml:space="preserve"> baik  dalam menyajikan hasil identifikasi karakteristik geografis Indonesia sebagai negara kepulauan/maritim dan agraris serta pengaruhnya terhadap kehidupan ekonomi, sosial, budaya, komunikasi, serta transportasi.</v>
      </c>
      <c r="AH35" s="252" t="str">
        <f t="shared" si="9"/>
        <v>SATRIA baik  dalam menyajikan hasil identifikasi karakteristik geografis Indonesia sebagai negara kepulauan/maritim dan agraris serta pengaruhnya terhadap kehidupan ekonomi, sosial, budaya, komunikasi, serta transportasi.</v>
      </c>
      <c r="AI35" s="153"/>
      <c r="AU35" s="469">
        <f t="shared" si="10"/>
        <v>85</v>
      </c>
    </row>
    <row r="36" spans="2:47" ht="55.5" customHeight="1">
      <c r="B36" s="142">
        <v>32</v>
      </c>
      <c r="C36" s="143" t="str">
        <f>SISWA!B37</f>
        <v>1718250040336</v>
      </c>
      <c r="D36" s="144" t="str">
        <f>SISWA!E37</f>
        <v>NADIA</v>
      </c>
      <c r="E36" s="159">
        <v>87.5</v>
      </c>
      <c r="F36" s="160">
        <v>87.5</v>
      </c>
      <c r="G36" s="160">
        <v>87.5</v>
      </c>
      <c r="H36" s="160">
        <v>87.5</v>
      </c>
      <c r="I36" s="160"/>
      <c r="J36" s="159"/>
      <c r="K36" s="159"/>
      <c r="L36" s="159"/>
      <c r="M36" s="159"/>
      <c r="N36" s="159"/>
      <c r="O36" s="159"/>
      <c r="P36" s="159"/>
      <c r="Q36" s="159"/>
      <c r="R36" s="160"/>
      <c r="S36" s="160"/>
      <c r="T36" s="159"/>
      <c r="U36" s="354">
        <f t="shared" si="4"/>
        <v>88</v>
      </c>
      <c r="V36" s="355" t="str">
        <f>IF(U36&gt;KKM!$G$10,"A",IF(U36&gt;KKM!$H$10,"B",IF(U36&gt;=KKM!$I$10,"C","D")))</f>
        <v>A</v>
      </c>
      <c r="W36" s="356">
        <f t="shared" si="0"/>
        <v>87.5</v>
      </c>
      <c r="X36" s="361" t="str">
        <f>IF(W36&gt;KKM!$G$10," sangat baik ",IF(W36&gt;KKM!$H$10," baik ",IF(W36&gt;=KKM!$I$10," cukup baik "," perlu bimbingan ")))</f>
        <v xml:space="preserve"> sangat baik </v>
      </c>
      <c r="Y36" s="357">
        <f t="shared" si="1"/>
        <v>87.5</v>
      </c>
      <c r="Z36" s="361" t="str">
        <f>IF(Y36&gt;KKM!$G$10," sangat baik ",IF(Y36&gt;KKM!$H$10," baik ",IF(Y36&gt;=KKM!$I$10," cukup baik "," perlu bimbingan ")))</f>
        <v xml:space="preserve"> sangat baik </v>
      </c>
      <c r="AA36" s="353" t="str">
        <f t="shared" si="5"/>
        <v>NADIA sangat baik  dalam menyajikan hasil identifikasi karakteristik geografis Indonesia sebagai negara kepulauan/maritim dan agraris serta pengaruhnya terhadap kehidupan ekonomi, sosial, budaya, komunikasi, serta transportasi.</v>
      </c>
      <c r="AB36" s="256"/>
      <c r="AC36" s="257" t="str">
        <f t="shared" si="2"/>
        <v xml:space="preserve"> sangat baik  dalam menyajikan hasil identifikasi karakteristik geografis Indonesia sebagai negara kepulauan/maritim dan agraris serta pengaruhnya terhadap kehidupan ekonomi, sosial, budaya, komunikasi, serta transportasi.</v>
      </c>
      <c r="AD36" s="257" t="str">
        <f t="shared" si="3"/>
        <v xml:space="preserve"> sangat baik  dalam menyajikan hasil identifikasi karakteristik geografis Indonesia sebagai negara kepulauan/maritim dan agraris serta pengaruhnya terhadap kehidupan ekonomi, sosial, budaya, komunikasi, serta transportasi.</v>
      </c>
      <c r="AE36"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36" s="257" t="str">
        <f t="shared" si="7"/>
        <v xml:space="preserve"> sangat baik  dalam menyajikan hasil identifikasi karakteristik geografis Indonesia sebagai negara kepulauan/maritim dan agraris serta pengaruhnya terhadap kehidupan ekonomi, sosial, budaya, komunikasi, serta transportasi.</v>
      </c>
      <c r="AG36" s="258" t="str">
        <f t="shared" si="8"/>
        <v xml:space="preserve"> sangat baik  dalam menyajikan hasil identifikasi karakteristik geografis Indonesia sebagai negara kepulauan/maritim dan agraris serta pengaruhnya terhadap kehidupan ekonomi, sosial, budaya, komunikasi, serta transportasi.</v>
      </c>
      <c r="AH36" s="252" t="str">
        <f t="shared" si="9"/>
        <v>NADIA sangat baik  dalam menyajikan hasil identifikasi karakteristik geografis Indonesia sebagai negara kepulauan/maritim dan agraris serta pengaruhnya terhadap kehidupan ekonomi, sosial, budaya, komunikasi, serta transportasi.</v>
      </c>
      <c r="AI36" s="153"/>
      <c r="AU36" s="469">
        <f t="shared" si="10"/>
        <v>88</v>
      </c>
    </row>
    <row r="37" spans="2:47" ht="55.5" customHeight="1">
      <c r="B37" s="142">
        <v>33</v>
      </c>
      <c r="C37" s="143" t="str">
        <f>SISWA!B38</f>
        <v>1718250040337</v>
      </c>
      <c r="D37" s="144" t="str">
        <f>SISWA!E38</f>
        <v>NAFILA</v>
      </c>
      <c r="E37" s="159">
        <v>82.5</v>
      </c>
      <c r="F37" s="160">
        <v>82.5</v>
      </c>
      <c r="G37" s="160">
        <v>82.5</v>
      </c>
      <c r="H37" s="160">
        <v>82.5</v>
      </c>
      <c r="I37" s="160"/>
      <c r="J37" s="159"/>
      <c r="K37" s="159"/>
      <c r="L37" s="159"/>
      <c r="M37" s="159"/>
      <c r="N37" s="159"/>
      <c r="O37" s="159"/>
      <c r="P37" s="159"/>
      <c r="Q37" s="159"/>
      <c r="R37" s="160"/>
      <c r="S37" s="160"/>
      <c r="T37" s="159"/>
      <c r="U37" s="354">
        <f t="shared" si="4"/>
        <v>83</v>
      </c>
      <c r="V37" s="355" t="str">
        <f>IF(U37&gt;KKM!$G$10,"A",IF(U37&gt;KKM!$H$10,"B",IF(U37&gt;=KKM!$I$10,"C","D")))</f>
        <v>B</v>
      </c>
      <c r="W37" s="356">
        <f t="shared" si="0"/>
        <v>82.5</v>
      </c>
      <c r="X37" s="361" t="str">
        <f>IF(W37&gt;KKM!$G$10," sangat baik ",IF(W37&gt;KKM!$H$10," baik ",IF(W37&gt;=KKM!$I$10," cukup baik "," perlu bimbingan ")))</f>
        <v xml:space="preserve"> baik </v>
      </c>
      <c r="Y37" s="357">
        <f t="shared" si="1"/>
        <v>82.5</v>
      </c>
      <c r="Z37" s="361" t="str">
        <f>IF(Y37&gt;KKM!$G$10," sangat baik ",IF(Y37&gt;KKM!$H$10," baik ",IF(Y37&gt;=KKM!$I$10," cukup baik "," perlu bimbingan ")))</f>
        <v xml:space="preserve"> baik </v>
      </c>
      <c r="AA37" s="353" t="str">
        <f t="shared" si="5"/>
        <v>NAFILA baik  dalam menyajikan hasil identifikasi karakteristik geografis Indonesia sebagai negara kepulauan/maritim dan agraris serta pengaruhnya terhadap kehidupan ekonomi, sosial, budaya, komunikasi, serta transportasi.</v>
      </c>
      <c r="AB37" s="256"/>
      <c r="AC37" s="257" t="str">
        <f t="shared" si="2"/>
        <v xml:space="preserve"> baik  dalam menyajikan hasil identifikasi karakteristik geografis Indonesia sebagai negara kepulauan/maritim dan agraris serta pengaruhnya terhadap kehidupan ekonomi, sosial, budaya, komunikasi, serta transportasi.</v>
      </c>
      <c r="AD37" s="257" t="str">
        <f t="shared" si="3"/>
        <v xml:space="preserve"> baik  dalam menyajikan hasil identifikasi karakteristik geografis Indonesia sebagai negara kepulauan/maritim dan agraris serta pengaruhnya terhadap kehidupan ekonomi, sosial, budaya, komunikasi, serta transportasi.</v>
      </c>
      <c r="AE37"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37" s="257" t="str">
        <f t="shared" si="7"/>
        <v xml:space="preserve"> baik  dalam menyajikan hasil identifikasi karakteristik geografis Indonesia sebagai negara kepulauan/maritim dan agraris serta pengaruhnya terhadap kehidupan ekonomi, sosial, budaya, komunikasi, serta transportasi.</v>
      </c>
      <c r="AG37" s="258" t="str">
        <f t="shared" si="8"/>
        <v xml:space="preserve"> baik  dalam menyajikan hasil identifikasi karakteristik geografis Indonesia sebagai negara kepulauan/maritim dan agraris serta pengaruhnya terhadap kehidupan ekonomi, sosial, budaya, komunikasi, serta transportasi.</v>
      </c>
      <c r="AH37" s="252" t="str">
        <f t="shared" si="9"/>
        <v>NAFILA baik  dalam menyajikan hasil identifikasi karakteristik geografis Indonesia sebagai negara kepulauan/maritim dan agraris serta pengaruhnya terhadap kehidupan ekonomi, sosial, budaya, komunikasi, serta transportasi.</v>
      </c>
      <c r="AI37" s="153"/>
      <c r="AU37" s="469">
        <f t="shared" si="10"/>
        <v>83</v>
      </c>
    </row>
    <row r="38" spans="2:47" ht="55.5" customHeight="1">
      <c r="B38" s="142">
        <v>34</v>
      </c>
      <c r="C38" s="143" t="str">
        <f>SISWA!B39</f>
        <v>1718250040338</v>
      </c>
      <c r="D38" s="144" t="str">
        <f>SISWA!E39</f>
        <v>NAZZALA</v>
      </c>
      <c r="E38" s="159">
        <v>82.5</v>
      </c>
      <c r="F38" s="160">
        <v>82.5</v>
      </c>
      <c r="G38" s="160">
        <v>82.5</v>
      </c>
      <c r="H38" s="160">
        <v>82.5</v>
      </c>
      <c r="I38" s="160"/>
      <c r="J38" s="159"/>
      <c r="K38" s="159"/>
      <c r="L38" s="159"/>
      <c r="M38" s="159"/>
      <c r="N38" s="159"/>
      <c r="O38" s="159"/>
      <c r="P38" s="159"/>
      <c r="Q38" s="159"/>
      <c r="R38" s="160"/>
      <c r="S38" s="160"/>
      <c r="T38" s="159"/>
      <c r="U38" s="354">
        <f t="shared" si="4"/>
        <v>83</v>
      </c>
      <c r="V38" s="355" t="str">
        <f>IF(U38&gt;KKM!$G$10,"A",IF(U38&gt;KKM!$H$10,"B",IF(U38&gt;=KKM!$I$10,"C","D")))</f>
        <v>B</v>
      </c>
      <c r="W38" s="356">
        <f t="shared" si="0"/>
        <v>82.5</v>
      </c>
      <c r="X38" s="361" t="str">
        <f>IF(W38&gt;KKM!$G$10," sangat baik ",IF(W38&gt;KKM!$H$10," baik ",IF(W38&gt;=KKM!$I$10," cukup baik "," perlu bimbingan ")))</f>
        <v xml:space="preserve"> baik </v>
      </c>
      <c r="Y38" s="357">
        <f t="shared" si="1"/>
        <v>82.5</v>
      </c>
      <c r="Z38" s="361" t="str">
        <f>IF(Y38&gt;KKM!$G$10," sangat baik ",IF(Y38&gt;KKM!$H$10," baik ",IF(Y38&gt;=KKM!$I$10," cukup baik "," perlu bimbingan ")))</f>
        <v xml:space="preserve"> baik </v>
      </c>
      <c r="AA38" s="353" t="str">
        <f t="shared" si="5"/>
        <v>NAZZALA baik  dalam menyajikan hasil identifikasi karakteristik geografis Indonesia sebagai negara kepulauan/maritim dan agraris serta pengaruhnya terhadap kehidupan ekonomi, sosial, budaya, komunikasi, serta transportasi.</v>
      </c>
      <c r="AB38" s="256"/>
      <c r="AC38" s="257" t="str">
        <f t="shared" si="2"/>
        <v xml:space="preserve"> baik  dalam menyajikan hasil identifikasi karakteristik geografis Indonesia sebagai negara kepulauan/maritim dan agraris serta pengaruhnya terhadap kehidupan ekonomi, sosial, budaya, komunikasi, serta transportasi.</v>
      </c>
      <c r="AD38" s="257" t="str">
        <f t="shared" si="3"/>
        <v xml:space="preserve"> baik  dalam menyajikan hasil identifikasi karakteristik geografis Indonesia sebagai negara kepulauan/maritim dan agraris serta pengaruhnya terhadap kehidupan ekonomi, sosial, budaya, komunikasi, serta transportasi.</v>
      </c>
      <c r="AE38"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38" s="257" t="str">
        <f t="shared" si="7"/>
        <v xml:space="preserve"> baik  dalam menyajikan hasil identifikasi karakteristik geografis Indonesia sebagai negara kepulauan/maritim dan agraris serta pengaruhnya terhadap kehidupan ekonomi, sosial, budaya, komunikasi, serta transportasi.</v>
      </c>
      <c r="AG38" s="258" t="str">
        <f t="shared" si="8"/>
        <v xml:space="preserve"> baik  dalam menyajikan hasil identifikasi karakteristik geografis Indonesia sebagai negara kepulauan/maritim dan agraris serta pengaruhnya terhadap kehidupan ekonomi, sosial, budaya, komunikasi, serta transportasi.</v>
      </c>
      <c r="AH38" s="252" t="str">
        <f t="shared" si="9"/>
        <v>NAZZALA baik  dalam menyajikan hasil identifikasi karakteristik geografis Indonesia sebagai negara kepulauan/maritim dan agraris serta pengaruhnya terhadap kehidupan ekonomi, sosial, budaya, komunikasi, serta transportasi.</v>
      </c>
      <c r="AI38" s="153"/>
      <c r="AU38" s="469">
        <f t="shared" si="10"/>
        <v>83</v>
      </c>
    </row>
    <row r="39" spans="2:47" ht="55.5" customHeight="1">
      <c r="B39" s="142">
        <v>35</v>
      </c>
      <c r="C39" s="143" t="str">
        <f>SISWA!B40</f>
        <v>1718250040339</v>
      </c>
      <c r="D39" s="144" t="str">
        <f>SISWA!E40</f>
        <v>RAFAREL</v>
      </c>
      <c r="E39" s="159">
        <v>77.5</v>
      </c>
      <c r="F39" s="160">
        <v>77.5</v>
      </c>
      <c r="G39" s="160">
        <v>77.5</v>
      </c>
      <c r="H39" s="160">
        <v>77.5</v>
      </c>
      <c r="I39" s="160"/>
      <c r="J39" s="159"/>
      <c r="K39" s="159"/>
      <c r="L39" s="159"/>
      <c r="M39" s="159"/>
      <c r="N39" s="159"/>
      <c r="O39" s="159"/>
      <c r="P39" s="159"/>
      <c r="Q39" s="159"/>
      <c r="R39" s="160"/>
      <c r="S39" s="160"/>
      <c r="T39" s="159"/>
      <c r="U39" s="354">
        <f t="shared" si="4"/>
        <v>78</v>
      </c>
      <c r="V39" s="355" t="str">
        <f>IF(U39&gt;KKM!$G$10,"A",IF(U39&gt;KKM!$H$10,"B",IF(U39&gt;=KKM!$I$10,"C","D")))</f>
        <v>B</v>
      </c>
      <c r="W39" s="356">
        <f t="shared" si="0"/>
        <v>77.5</v>
      </c>
      <c r="X39" s="361" t="str">
        <f>IF(W39&gt;KKM!$G$10," sangat baik ",IF(W39&gt;KKM!$H$10," baik ",IF(W39&gt;=KKM!$I$10," cukup baik "," perlu bimbingan ")))</f>
        <v xml:space="preserve"> baik </v>
      </c>
      <c r="Y39" s="357">
        <f t="shared" si="1"/>
        <v>77.5</v>
      </c>
      <c r="Z39" s="361" t="str">
        <f>IF(Y39&gt;KKM!$G$10," sangat baik ",IF(Y39&gt;KKM!$H$10," baik ",IF(Y39&gt;=KKM!$I$10," cukup baik "," perlu bimbingan ")))</f>
        <v xml:space="preserve"> baik </v>
      </c>
      <c r="AA39" s="353" t="str">
        <f t="shared" si="5"/>
        <v>RAFAREL baik  dalam menyajikan hasil identifikasi karakteristik geografis Indonesia sebagai negara kepulauan/maritim dan agraris serta pengaruhnya terhadap kehidupan ekonomi, sosial, budaya, komunikasi, serta transportasi.</v>
      </c>
      <c r="AB39" s="256"/>
      <c r="AC39" s="257" t="str">
        <f t="shared" si="2"/>
        <v xml:space="preserve"> baik  dalam menyajikan hasil identifikasi karakteristik geografis Indonesia sebagai negara kepulauan/maritim dan agraris serta pengaruhnya terhadap kehidupan ekonomi, sosial, budaya, komunikasi, serta transportasi.</v>
      </c>
      <c r="AD39" s="257" t="str">
        <f t="shared" si="3"/>
        <v xml:space="preserve"> baik  dalam menyajikan hasil identifikasi karakteristik geografis Indonesia sebagai negara kepulauan/maritim dan agraris serta pengaruhnya terhadap kehidupan ekonomi, sosial, budaya, komunikasi, serta transportasi.</v>
      </c>
      <c r="AE39"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39" s="257" t="str">
        <f t="shared" si="7"/>
        <v xml:space="preserve"> baik  dalam menyajikan hasil identifikasi karakteristik geografis Indonesia sebagai negara kepulauan/maritim dan agraris serta pengaruhnya terhadap kehidupan ekonomi, sosial, budaya, komunikasi, serta transportasi.</v>
      </c>
      <c r="AG39" s="258" t="str">
        <f t="shared" si="8"/>
        <v xml:space="preserve"> baik  dalam menyajikan hasil identifikasi karakteristik geografis Indonesia sebagai negara kepulauan/maritim dan agraris serta pengaruhnya terhadap kehidupan ekonomi, sosial, budaya, komunikasi, serta transportasi.</v>
      </c>
      <c r="AH39" s="252" t="str">
        <f t="shared" si="9"/>
        <v>RAFAREL baik  dalam menyajikan hasil identifikasi karakteristik geografis Indonesia sebagai negara kepulauan/maritim dan agraris serta pengaruhnya terhadap kehidupan ekonomi, sosial, budaya, komunikasi, serta transportasi.</v>
      </c>
      <c r="AI39" s="153"/>
      <c r="AU39" s="469">
        <f t="shared" si="10"/>
        <v>78</v>
      </c>
    </row>
    <row r="40" spans="2:47" ht="55.5" customHeight="1">
      <c r="B40" s="142">
        <v>36</v>
      </c>
      <c r="C40" s="143" t="str">
        <f>SISWA!B41</f>
        <v>1718250040340</v>
      </c>
      <c r="D40" s="144" t="str">
        <f>SISWA!E41</f>
        <v>RAKHA</v>
      </c>
      <c r="E40" s="159">
        <v>82.5</v>
      </c>
      <c r="F40" s="160">
        <v>82.5</v>
      </c>
      <c r="G40" s="160">
        <v>82.5</v>
      </c>
      <c r="H40" s="160">
        <v>82.5</v>
      </c>
      <c r="I40" s="160"/>
      <c r="J40" s="159"/>
      <c r="K40" s="159"/>
      <c r="L40" s="159"/>
      <c r="M40" s="159"/>
      <c r="N40" s="159"/>
      <c r="O40" s="159"/>
      <c r="P40" s="159"/>
      <c r="Q40" s="159"/>
      <c r="R40" s="160"/>
      <c r="S40" s="160"/>
      <c r="T40" s="159"/>
      <c r="U40" s="354">
        <f t="shared" si="4"/>
        <v>83</v>
      </c>
      <c r="V40" s="355" t="str">
        <f>IF(U40&gt;KKM!$G$10,"A",IF(U40&gt;KKM!$H$10,"B",IF(U40&gt;=KKM!$I$10,"C","D")))</f>
        <v>B</v>
      </c>
      <c r="W40" s="356">
        <f t="shared" si="0"/>
        <v>82.5</v>
      </c>
      <c r="X40" s="361" t="str">
        <f>IF(W40&gt;KKM!$G$10," sangat baik ",IF(W40&gt;KKM!$H$10," baik ",IF(W40&gt;=KKM!$I$10," cukup baik "," perlu bimbingan ")))</f>
        <v xml:space="preserve"> baik </v>
      </c>
      <c r="Y40" s="357">
        <f t="shared" si="1"/>
        <v>82.5</v>
      </c>
      <c r="Z40" s="361" t="str">
        <f>IF(Y40&gt;KKM!$G$10," sangat baik ",IF(Y40&gt;KKM!$H$10," baik ",IF(Y40&gt;=KKM!$I$10," cukup baik "," perlu bimbingan ")))</f>
        <v xml:space="preserve"> baik </v>
      </c>
      <c r="AA40" s="353" t="str">
        <f t="shared" si="5"/>
        <v>RAKHA baik  dalam menyajikan hasil identifikasi karakteristik geografis Indonesia sebagai negara kepulauan/maritim dan agraris serta pengaruhnya terhadap kehidupan ekonomi, sosial, budaya, komunikasi, serta transportasi.</v>
      </c>
      <c r="AB40" s="256"/>
      <c r="AC40" s="257" t="str">
        <f t="shared" si="2"/>
        <v xml:space="preserve"> baik  dalam menyajikan hasil identifikasi karakteristik geografis Indonesia sebagai negara kepulauan/maritim dan agraris serta pengaruhnya terhadap kehidupan ekonomi, sosial, budaya, komunikasi, serta transportasi.</v>
      </c>
      <c r="AD40" s="257" t="str">
        <f t="shared" si="3"/>
        <v xml:space="preserve"> baik  dalam menyajikan hasil identifikasi karakteristik geografis Indonesia sebagai negara kepulauan/maritim dan agraris serta pengaruhnya terhadap kehidupan ekonomi, sosial, budaya, komunikasi, serta transportasi.</v>
      </c>
      <c r="AE40"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40" s="257" t="str">
        <f t="shared" si="7"/>
        <v xml:space="preserve"> baik  dalam menyajikan hasil identifikasi karakteristik geografis Indonesia sebagai negara kepulauan/maritim dan agraris serta pengaruhnya terhadap kehidupan ekonomi, sosial, budaya, komunikasi, serta transportasi.</v>
      </c>
      <c r="AG40" s="258" t="str">
        <f t="shared" si="8"/>
        <v xml:space="preserve"> baik  dalam menyajikan hasil identifikasi karakteristik geografis Indonesia sebagai negara kepulauan/maritim dan agraris serta pengaruhnya terhadap kehidupan ekonomi, sosial, budaya, komunikasi, serta transportasi.</v>
      </c>
      <c r="AH40" s="252" t="str">
        <f t="shared" si="9"/>
        <v>RAKHA baik  dalam menyajikan hasil identifikasi karakteristik geografis Indonesia sebagai negara kepulauan/maritim dan agraris serta pengaruhnya terhadap kehidupan ekonomi, sosial, budaya, komunikasi, serta transportasi.</v>
      </c>
      <c r="AI40" s="153"/>
      <c r="AU40" s="469">
        <f t="shared" si="10"/>
        <v>83</v>
      </c>
    </row>
    <row r="41" spans="2:47" ht="55.5" customHeight="1">
      <c r="B41" s="142">
        <v>37</v>
      </c>
      <c r="C41" s="143" t="str">
        <f>SISWA!B42</f>
        <v>1718250040341</v>
      </c>
      <c r="D41" s="144" t="str">
        <f>SISWA!E42</f>
        <v>RYU</v>
      </c>
      <c r="E41" s="159">
        <v>72.5</v>
      </c>
      <c r="F41" s="160">
        <v>72.5</v>
      </c>
      <c r="G41" s="160">
        <v>72.5</v>
      </c>
      <c r="H41" s="160">
        <v>72.5</v>
      </c>
      <c r="I41" s="160"/>
      <c r="J41" s="159"/>
      <c r="K41" s="159"/>
      <c r="L41" s="159"/>
      <c r="M41" s="159"/>
      <c r="N41" s="159"/>
      <c r="O41" s="159"/>
      <c r="P41" s="159"/>
      <c r="Q41" s="159"/>
      <c r="R41" s="160"/>
      <c r="S41" s="160"/>
      <c r="T41" s="159"/>
      <c r="U41" s="354">
        <f t="shared" si="4"/>
        <v>73</v>
      </c>
      <c r="V41" s="355" t="str">
        <f>IF(U41&gt;KKM!$G$10,"A",IF(U41&gt;KKM!$H$10,"B",IF(U41&gt;=KKM!$I$10,"C","D")))</f>
        <v>C</v>
      </c>
      <c r="W41" s="356">
        <f t="shared" si="0"/>
        <v>72.5</v>
      </c>
      <c r="X41" s="361" t="str">
        <f>IF(W41&gt;KKM!$G$10," sangat baik ",IF(W41&gt;KKM!$H$10," baik ",IF(W41&gt;=KKM!$I$10," cukup baik "," perlu bimbingan ")))</f>
        <v xml:space="preserve"> cukup baik </v>
      </c>
      <c r="Y41" s="357">
        <f t="shared" si="1"/>
        <v>72.5</v>
      </c>
      <c r="Z41" s="361" t="str">
        <f>IF(Y41&gt;KKM!$G$10," sangat baik ",IF(Y41&gt;KKM!$H$10," baik ",IF(Y41&gt;=KKM!$I$10," cukup baik "," perlu bimbingan ")))</f>
        <v xml:space="preserve"> cukup baik </v>
      </c>
      <c r="AA41" s="353" t="str">
        <f t="shared" si="5"/>
        <v>RYU cukup baik  dalam menyajikan hasil identifikasi karakteristik geografis Indonesia sebagai negara kepulauan/maritim dan agraris serta pengaruhnya terhadap kehidupan ekonomi, sosial, budaya, komunikasi, serta transportasi.</v>
      </c>
      <c r="AB41" s="256"/>
      <c r="AC41" s="257" t="str">
        <f t="shared" si="2"/>
        <v xml:space="preserve"> cukup baik  dalam menyajikan hasil identifikasi karakteristik geografis Indonesia sebagai negara kepulauan/maritim dan agraris serta pengaruhnya terhadap kehidupan ekonomi, sosial, budaya, komunikasi, serta transportasi.</v>
      </c>
      <c r="AD41" s="257" t="str">
        <f t="shared" si="3"/>
        <v xml:space="preserve"> cukup baik  dalam menyajikan hasil identifikasi karakteristik geografis Indonesia sebagai negara kepulauan/maritim dan agraris serta pengaruhnya terhadap kehidupan ekonomi, sosial, budaya, komunikasi, serta transportasi.</v>
      </c>
      <c r="AE41" s="257" t="str">
        <f t="shared" si="6"/>
        <v xml:space="preserve"> cukup baik  dalam menyajikan hasil identifikasi karakteristik geografis Indonesia sebagai negara kepulauan/maritim dan agraris serta pengaruhnya terhadap kehidupan ekonomi, sosial, budaya, komunikasi, serta transportasi., dan  cukup baik  dalam menyajikan hasil identifikasi karakteristik geografis Indonesia sebagai negara kepulauan/maritim dan agraris serta pengaruhnya terhadap kehidupan ekonomi, sosial, budaya, komunikasi, serta transportasi.</v>
      </c>
      <c r="AF41" s="257" t="str">
        <f t="shared" si="7"/>
        <v xml:space="preserve"> cukup baik  dalam menyajikan hasil identifikasi karakteristik geografis Indonesia sebagai negara kepulauan/maritim dan agraris serta pengaruhnya terhadap kehidupan ekonomi, sosial, budaya, komunikasi, serta transportasi.</v>
      </c>
      <c r="AG41" s="258" t="str">
        <f t="shared" si="8"/>
        <v xml:space="preserve"> cukup baik  dalam menyajikan hasil identifikasi karakteristik geografis Indonesia sebagai negara kepulauan/maritim dan agraris serta pengaruhnya terhadap kehidupan ekonomi, sosial, budaya, komunikasi, serta transportasi.</v>
      </c>
      <c r="AH41" s="252" t="str">
        <f t="shared" si="9"/>
        <v>RYU cukup baik  dalam menyajikan hasil identifikasi karakteristik geografis Indonesia sebagai negara kepulauan/maritim dan agraris serta pengaruhnya terhadap kehidupan ekonomi, sosial, budaya, komunikasi, serta transportasi.</v>
      </c>
      <c r="AI41" s="153"/>
      <c r="AU41" s="469">
        <f t="shared" si="10"/>
        <v>73</v>
      </c>
    </row>
    <row r="42" spans="2:47" ht="55.5" customHeight="1">
      <c r="B42" s="142">
        <v>38</v>
      </c>
      <c r="C42" s="143" t="str">
        <f>SISWA!B43</f>
        <v>1718250040342</v>
      </c>
      <c r="D42" s="144" t="str">
        <f>SISWA!E43</f>
        <v>SAEPUL</v>
      </c>
      <c r="E42" s="159">
        <v>85</v>
      </c>
      <c r="F42" s="160">
        <v>85</v>
      </c>
      <c r="G42" s="160">
        <v>85</v>
      </c>
      <c r="H42" s="160">
        <v>85</v>
      </c>
      <c r="I42" s="160"/>
      <c r="J42" s="159"/>
      <c r="K42" s="159"/>
      <c r="L42" s="159"/>
      <c r="M42" s="159"/>
      <c r="N42" s="159"/>
      <c r="O42" s="159"/>
      <c r="P42" s="159"/>
      <c r="Q42" s="159"/>
      <c r="R42" s="160"/>
      <c r="S42" s="160"/>
      <c r="T42" s="159"/>
      <c r="U42" s="354">
        <f t="shared" si="4"/>
        <v>85</v>
      </c>
      <c r="V42" s="355" t="str">
        <f>IF(U42&gt;KKM!$G$10,"A",IF(U42&gt;KKM!$H$10,"B",IF(U42&gt;=KKM!$I$10,"C","D")))</f>
        <v>B</v>
      </c>
      <c r="W42" s="356">
        <f t="shared" si="0"/>
        <v>85</v>
      </c>
      <c r="X42" s="361" t="str">
        <f>IF(W42&gt;KKM!$G$10," sangat baik ",IF(W42&gt;KKM!$H$10," baik ",IF(W42&gt;=KKM!$I$10," cukup baik "," perlu bimbingan ")))</f>
        <v xml:space="preserve"> baik </v>
      </c>
      <c r="Y42" s="357">
        <f t="shared" si="1"/>
        <v>85</v>
      </c>
      <c r="Z42" s="361" t="str">
        <f>IF(Y42&gt;KKM!$G$10," sangat baik ",IF(Y42&gt;KKM!$H$10," baik ",IF(Y42&gt;=KKM!$I$10," cukup baik "," perlu bimbingan ")))</f>
        <v xml:space="preserve"> baik </v>
      </c>
      <c r="AA42" s="353" t="str">
        <f t="shared" si="5"/>
        <v>SAEPUL baik  dalam menyajikan hasil identifikasi karakteristik geografis Indonesia sebagai negara kepulauan/maritim dan agraris serta pengaruhnya terhadap kehidupan ekonomi, sosial, budaya, komunikasi, serta transportasi.</v>
      </c>
      <c r="AB42" s="256"/>
      <c r="AC42" s="257" t="str">
        <f t="shared" si="2"/>
        <v xml:space="preserve"> baik  dalam menyajikan hasil identifikasi karakteristik geografis Indonesia sebagai negara kepulauan/maritim dan agraris serta pengaruhnya terhadap kehidupan ekonomi, sosial, budaya, komunikasi, serta transportasi.</v>
      </c>
      <c r="AD42" s="257" t="str">
        <f t="shared" si="3"/>
        <v xml:space="preserve"> baik  dalam menyajikan hasil identifikasi karakteristik geografis Indonesia sebagai negara kepulauan/maritim dan agraris serta pengaruhnya terhadap kehidupan ekonomi, sosial, budaya, komunikasi, serta transportasi.</v>
      </c>
      <c r="AE42"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42" s="257" t="str">
        <f t="shared" si="7"/>
        <v xml:space="preserve"> baik  dalam menyajikan hasil identifikasi karakteristik geografis Indonesia sebagai negara kepulauan/maritim dan agraris serta pengaruhnya terhadap kehidupan ekonomi, sosial, budaya, komunikasi, serta transportasi.</v>
      </c>
      <c r="AG42" s="258" t="str">
        <f t="shared" si="8"/>
        <v xml:space="preserve"> baik  dalam menyajikan hasil identifikasi karakteristik geografis Indonesia sebagai negara kepulauan/maritim dan agraris serta pengaruhnya terhadap kehidupan ekonomi, sosial, budaya, komunikasi, serta transportasi.</v>
      </c>
      <c r="AH42" s="252" t="str">
        <f t="shared" si="9"/>
        <v>SAEPUL baik  dalam menyajikan hasil identifikasi karakteristik geografis Indonesia sebagai negara kepulauan/maritim dan agraris serta pengaruhnya terhadap kehidupan ekonomi, sosial, budaya, komunikasi, serta transportasi.</v>
      </c>
      <c r="AI42" s="153"/>
      <c r="AU42" s="469">
        <f t="shared" si="10"/>
        <v>85</v>
      </c>
    </row>
    <row r="43" spans="2:47" ht="55.5" customHeight="1">
      <c r="B43" s="142">
        <v>39</v>
      </c>
      <c r="C43" s="143" t="str">
        <f>SISWA!B44</f>
        <v>1718250040343</v>
      </c>
      <c r="D43" s="144" t="str">
        <f>SISWA!E44</f>
        <v>SALMA</v>
      </c>
      <c r="E43" s="159">
        <v>77.5</v>
      </c>
      <c r="F43" s="160">
        <v>77.5</v>
      </c>
      <c r="G43" s="160">
        <v>77.5</v>
      </c>
      <c r="H43" s="160">
        <v>77.5</v>
      </c>
      <c r="I43" s="160"/>
      <c r="J43" s="159"/>
      <c r="K43" s="159"/>
      <c r="L43" s="159"/>
      <c r="M43" s="159"/>
      <c r="N43" s="159"/>
      <c r="O43" s="159"/>
      <c r="P43" s="159"/>
      <c r="Q43" s="159"/>
      <c r="R43" s="160"/>
      <c r="S43" s="160"/>
      <c r="T43" s="159"/>
      <c r="U43" s="354">
        <f t="shared" si="4"/>
        <v>78</v>
      </c>
      <c r="V43" s="355" t="str">
        <f>IF(U43&gt;KKM!$G$10,"A",IF(U43&gt;KKM!$H$10,"B",IF(U43&gt;=KKM!$I$10,"C","D")))</f>
        <v>B</v>
      </c>
      <c r="W43" s="356">
        <f t="shared" si="0"/>
        <v>77.5</v>
      </c>
      <c r="X43" s="361" t="str">
        <f>IF(W43&gt;KKM!$G$10," sangat baik ",IF(W43&gt;KKM!$H$10," baik ",IF(W43&gt;=KKM!$I$10," cukup baik "," perlu bimbingan ")))</f>
        <v xml:space="preserve"> baik </v>
      </c>
      <c r="Y43" s="357">
        <f t="shared" si="1"/>
        <v>77.5</v>
      </c>
      <c r="Z43" s="361" t="str">
        <f>IF(Y43&gt;KKM!$G$10," sangat baik ",IF(Y43&gt;KKM!$H$10," baik ",IF(Y43&gt;=KKM!$I$10," cukup baik "," perlu bimbingan ")))</f>
        <v xml:space="preserve"> baik </v>
      </c>
      <c r="AA43" s="353" t="str">
        <f t="shared" si="5"/>
        <v>SALMA baik  dalam menyajikan hasil identifikasi karakteristik geografis Indonesia sebagai negara kepulauan/maritim dan agraris serta pengaruhnya terhadap kehidupan ekonomi, sosial, budaya, komunikasi, serta transportasi.</v>
      </c>
      <c r="AB43" s="256"/>
      <c r="AC43" s="257" t="str">
        <f t="shared" si="2"/>
        <v xml:space="preserve"> baik  dalam menyajikan hasil identifikasi karakteristik geografis Indonesia sebagai negara kepulauan/maritim dan agraris serta pengaruhnya terhadap kehidupan ekonomi, sosial, budaya, komunikasi, serta transportasi.</v>
      </c>
      <c r="AD43" s="257" t="str">
        <f t="shared" si="3"/>
        <v xml:space="preserve"> baik  dalam menyajikan hasil identifikasi karakteristik geografis Indonesia sebagai negara kepulauan/maritim dan agraris serta pengaruhnya terhadap kehidupan ekonomi, sosial, budaya, komunikasi, serta transportasi.</v>
      </c>
      <c r="AE43"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43" s="257" t="str">
        <f t="shared" si="7"/>
        <v xml:space="preserve"> baik  dalam menyajikan hasil identifikasi karakteristik geografis Indonesia sebagai negara kepulauan/maritim dan agraris serta pengaruhnya terhadap kehidupan ekonomi, sosial, budaya, komunikasi, serta transportasi.</v>
      </c>
      <c r="AG43" s="258" t="str">
        <f t="shared" si="8"/>
        <v xml:space="preserve"> baik  dalam menyajikan hasil identifikasi karakteristik geografis Indonesia sebagai negara kepulauan/maritim dan agraris serta pengaruhnya terhadap kehidupan ekonomi, sosial, budaya, komunikasi, serta transportasi.</v>
      </c>
      <c r="AH43" s="252" t="str">
        <f t="shared" si="9"/>
        <v>SALMA baik  dalam menyajikan hasil identifikasi karakteristik geografis Indonesia sebagai negara kepulauan/maritim dan agraris serta pengaruhnya terhadap kehidupan ekonomi, sosial, budaya, komunikasi, serta transportasi.</v>
      </c>
      <c r="AI43" s="153"/>
      <c r="AU43" s="469">
        <f t="shared" si="10"/>
        <v>78</v>
      </c>
    </row>
    <row r="44" spans="2:47" ht="55.5" customHeight="1">
      <c r="B44" s="142">
        <v>40</v>
      </c>
      <c r="C44" s="143" t="str">
        <f>SISWA!B45</f>
        <v>1718250040344</v>
      </c>
      <c r="D44" s="144" t="str">
        <f>SISWA!E45</f>
        <v>SYAKILA</v>
      </c>
      <c r="E44" s="159">
        <v>87.5</v>
      </c>
      <c r="F44" s="160">
        <v>87.5</v>
      </c>
      <c r="G44" s="160">
        <v>87.5</v>
      </c>
      <c r="H44" s="160">
        <v>87.5</v>
      </c>
      <c r="I44" s="160"/>
      <c r="J44" s="159"/>
      <c r="K44" s="159"/>
      <c r="L44" s="159"/>
      <c r="M44" s="159"/>
      <c r="N44" s="159"/>
      <c r="O44" s="159"/>
      <c r="P44" s="159"/>
      <c r="Q44" s="159"/>
      <c r="R44" s="160"/>
      <c r="S44" s="160"/>
      <c r="T44" s="159"/>
      <c r="U44" s="354">
        <f t="shared" si="4"/>
        <v>88</v>
      </c>
      <c r="V44" s="355" t="str">
        <f>IF(U44&gt;KKM!$G$10,"A",IF(U44&gt;KKM!$H$10,"B",IF(U44&gt;=KKM!$I$10,"C","D")))</f>
        <v>A</v>
      </c>
      <c r="W44" s="356">
        <f t="shared" si="0"/>
        <v>87.5</v>
      </c>
      <c r="X44" s="361" t="str">
        <f>IF(W44&gt;KKM!$G$10," sangat baik ",IF(W44&gt;KKM!$H$10," baik ",IF(W44&gt;=KKM!$I$10," cukup baik "," perlu bimbingan ")))</f>
        <v xml:space="preserve"> sangat baik </v>
      </c>
      <c r="Y44" s="357">
        <f t="shared" si="1"/>
        <v>87.5</v>
      </c>
      <c r="Z44" s="361" t="str">
        <f>IF(Y44&gt;KKM!$G$10," sangat baik ",IF(Y44&gt;KKM!$H$10," baik ",IF(Y44&gt;=KKM!$I$10," cukup baik "," perlu bimbingan ")))</f>
        <v xml:space="preserve"> sangat baik </v>
      </c>
      <c r="AA44" s="353" t="str">
        <f t="shared" si="5"/>
        <v>SYAKILA sangat baik  dalam menyajikan hasil identifikasi karakteristik geografis Indonesia sebagai negara kepulauan/maritim dan agraris serta pengaruhnya terhadap kehidupan ekonomi, sosial, budaya, komunikasi, serta transportasi.</v>
      </c>
      <c r="AB44" s="256"/>
      <c r="AC44" s="257" t="str">
        <f t="shared" si="2"/>
        <v xml:space="preserve"> sangat baik  dalam menyajikan hasil identifikasi karakteristik geografis Indonesia sebagai negara kepulauan/maritim dan agraris serta pengaruhnya terhadap kehidupan ekonomi, sosial, budaya, komunikasi, serta transportasi.</v>
      </c>
      <c r="AD44" s="257" t="str">
        <f t="shared" si="3"/>
        <v xml:space="preserve"> sangat baik  dalam menyajikan hasil identifikasi karakteristik geografis Indonesia sebagai negara kepulauan/maritim dan agraris serta pengaruhnya terhadap kehidupan ekonomi, sosial, budaya, komunikasi, serta transportasi.</v>
      </c>
      <c r="AE44"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44" s="257" t="str">
        <f t="shared" si="7"/>
        <v xml:space="preserve"> sangat baik  dalam menyajikan hasil identifikasi karakteristik geografis Indonesia sebagai negara kepulauan/maritim dan agraris serta pengaruhnya terhadap kehidupan ekonomi, sosial, budaya, komunikasi, serta transportasi.</v>
      </c>
      <c r="AG44" s="258" t="str">
        <f t="shared" si="8"/>
        <v xml:space="preserve"> sangat baik  dalam menyajikan hasil identifikasi karakteristik geografis Indonesia sebagai negara kepulauan/maritim dan agraris serta pengaruhnya terhadap kehidupan ekonomi, sosial, budaya, komunikasi, serta transportasi.</v>
      </c>
      <c r="AH44" s="252" t="str">
        <f t="shared" si="9"/>
        <v>SYAKILA sangat baik  dalam menyajikan hasil identifikasi karakteristik geografis Indonesia sebagai negara kepulauan/maritim dan agraris serta pengaruhnya terhadap kehidupan ekonomi, sosial, budaya, komunikasi, serta transportasi.</v>
      </c>
      <c r="AI44" s="153"/>
      <c r="AU44" s="469">
        <f t="shared" si="10"/>
        <v>88</v>
      </c>
    </row>
    <row r="45" spans="2:47" ht="55.5" customHeight="1">
      <c r="B45" s="142">
        <v>41</v>
      </c>
      <c r="C45" s="143" t="str">
        <f>SISWA!B46</f>
        <v>1718250040345</v>
      </c>
      <c r="D45" s="144" t="str">
        <f>SISWA!E46</f>
        <v>SYIFA</v>
      </c>
      <c r="E45" s="159">
        <v>87.5</v>
      </c>
      <c r="F45" s="160">
        <v>87.5</v>
      </c>
      <c r="G45" s="160">
        <v>87.5</v>
      </c>
      <c r="H45" s="160">
        <v>87.5</v>
      </c>
      <c r="I45" s="160"/>
      <c r="J45" s="159"/>
      <c r="K45" s="159"/>
      <c r="L45" s="159"/>
      <c r="M45" s="159"/>
      <c r="N45" s="159"/>
      <c r="O45" s="159"/>
      <c r="P45" s="159"/>
      <c r="Q45" s="159"/>
      <c r="R45" s="160"/>
      <c r="S45" s="160"/>
      <c r="T45" s="159"/>
      <c r="U45" s="354">
        <f t="shared" si="4"/>
        <v>88</v>
      </c>
      <c r="V45" s="355" t="str">
        <f>IF(U45&gt;KKM!$G$10,"A",IF(U45&gt;KKM!$H$10,"B",IF(U45&gt;=KKM!$I$10,"C","D")))</f>
        <v>A</v>
      </c>
      <c r="W45" s="356">
        <f t="shared" si="0"/>
        <v>87.5</v>
      </c>
      <c r="X45" s="361" t="str">
        <f>IF(W45&gt;KKM!$G$10," sangat baik ",IF(W45&gt;KKM!$H$10," baik ",IF(W45&gt;=KKM!$I$10," cukup baik "," perlu bimbingan ")))</f>
        <v xml:space="preserve"> sangat baik </v>
      </c>
      <c r="Y45" s="357">
        <f t="shared" si="1"/>
        <v>87.5</v>
      </c>
      <c r="Z45" s="361" t="str">
        <f>IF(Y45&gt;KKM!$G$10," sangat baik ",IF(Y45&gt;KKM!$H$10," baik ",IF(Y45&gt;=KKM!$I$10," cukup baik "," perlu bimbingan ")))</f>
        <v xml:space="preserve"> sangat baik </v>
      </c>
      <c r="AA45" s="353" t="str">
        <f t="shared" si="5"/>
        <v>SYIFA sangat baik  dalam menyajikan hasil identifikasi karakteristik geografis Indonesia sebagai negara kepulauan/maritim dan agraris serta pengaruhnya terhadap kehidupan ekonomi, sosial, budaya, komunikasi, serta transportasi.</v>
      </c>
      <c r="AB45" s="256"/>
      <c r="AC45" s="257" t="str">
        <f t="shared" si="2"/>
        <v xml:space="preserve"> sangat baik  dalam menyajikan hasil identifikasi karakteristik geografis Indonesia sebagai negara kepulauan/maritim dan agraris serta pengaruhnya terhadap kehidupan ekonomi, sosial, budaya, komunikasi, serta transportasi.</v>
      </c>
      <c r="AD45" s="257" t="str">
        <f t="shared" si="3"/>
        <v xml:space="preserve"> sangat baik  dalam menyajikan hasil identifikasi karakteristik geografis Indonesia sebagai negara kepulauan/maritim dan agraris serta pengaruhnya terhadap kehidupan ekonomi, sosial, budaya, komunikasi, serta transportasi.</v>
      </c>
      <c r="AE45"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45" s="257" t="str">
        <f t="shared" si="7"/>
        <v xml:space="preserve"> sangat baik  dalam menyajikan hasil identifikasi karakteristik geografis Indonesia sebagai negara kepulauan/maritim dan agraris serta pengaruhnya terhadap kehidupan ekonomi, sosial, budaya, komunikasi, serta transportasi.</v>
      </c>
      <c r="AG45" s="258" t="str">
        <f t="shared" si="8"/>
        <v xml:space="preserve"> sangat baik  dalam menyajikan hasil identifikasi karakteristik geografis Indonesia sebagai negara kepulauan/maritim dan agraris serta pengaruhnya terhadap kehidupan ekonomi, sosial, budaya, komunikasi, serta transportasi.</v>
      </c>
      <c r="AH45" s="252" t="str">
        <f t="shared" si="9"/>
        <v>SYIFA sangat baik  dalam menyajikan hasil identifikasi karakteristik geografis Indonesia sebagai negara kepulauan/maritim dan agraris serta pengaruhnya terhadap kehidupan ekonomi, sosial, budaya, komunikasi, serta transportasi.</v>
      </c>
      <c r="AI45" s="153"/>
      <c r="AU45" s="469">
        <f t="shared" si="10"/>
        <v>88</v>
      </c>
    </row>
    <row r="46" spans="2:47" ht="55.5" customHeight="1">
      <c r="B46" s="142">
        <v>42</v>
      </c>
      <c r="C46" s="143" t="str">
        <f>SISWA!B47</f>
        <v>1718250040346</v>
      </c>
      <c r="D46" s="144" t="str">
        <f>SISWA!E47</f>
        <v>WAFDAN</v>
      </c>
      <c r="E46" s="159">
        <v>82.5</v>
      </c>
      <c r="F46" s="160">
        <v>82.5</v>
      </c>
      <c r="G46" s="160">
        <v>82.5</v>
      </c>
      <c r="H46" s="160">
        <v>82.5</v>
      </c>
      <c r="I46" s="160"/>
      <c r="J46" s="159"/>
      <c r="K46" s="159"/>
      <c r="L46" s="159"/>
      <c r="M46" s="159"/>
      <c r="N46" s="159"/>
      <c r="O46" s="159"/>
      <c r="P46" s="159"/>
      <c r="Q46" s="159"/>
      <c r="R46" s="160"/>
      <c r="S46" s="160"/>
      <c r="T46" s="159"/>
      <c r="U46" s="354">
        <f t="shared" si="4"/>
        <v>83</v>
      </c>
      <c r="V46" s="355" t="str">
        <f>IF(U46&gt;KKM!$G$10,"A",IF(U46&gt;KKM!$H$10,"B",IF(U46&gt;=KKM!$I$10,"C","D")))</f>
        <v>B</v>
      </c>
      <c r="W46" s="356">
        <f t="shared" si="0"/>
        <v>82.5</v>
      </c>
      <c r="X46" s="361" t="str">
        <f>IF(W46&gt;KKM!$G$10," sangat baik ",IF(W46&gt;KKM!$H$10," baik ",IF(W46&gt;=KKM!$I$10," cukup baik "," perlu bimbingan ")))</f>
        <v xml:space="preserve"> baik </v>
      </c>
      <c r="Y46" s="357">
        <f t="shared" si="1"/>
        <v>82.5</v>
      </c>
      <c r="Z46" s="361" t="str">
        <f>IF(Y46&gt;KKM!$G$10," sangat baik ",IF(Y46&gt;KKM!$H$10," baik ",IF(Y46&gt;=KKM!$I$10," cukup baik "," perlu bimbingan ")))</f>
        <v xml:space="preserve"> baik </v>
      </c>
      <c r="AA46" s="353" t="str">
        <f t="shared" si="5"/>
        <v>WAFDAN baik  dalam menyajikan hasil identifikasi karakteristik geografis Indonesia sebagai negara kepulauan/maritim dan agraris serta pengaruhnya terhadap kehidupan ekonomi, sosial, budaya, komunikasi, serta transportasi.</v>
      </c>
      <c r="AB46" s="256"/>
      <c r="AC46" s="257" t="str">
        <f t="shared" si="2"/>
        <v xml:space="preserve"> baik  dalam menyajikan hasil identifikasi karakteristik geografis Indonesia sebagai negara kepulauan/maritim dan agraris serta pengaruhnya terhadap kehidupan ekonomi, sosial, budaya, komunikasi, serta transportasi.</v>
      </c>
      <c r="AD46" s="257" t="str">
        <f t="shared" si="3"/>
        <v xml:space="preserve"> baik  dalam menyajikan hasil identifikasi karakteristik geografis Indonesia sebagai negara kepulauan/maritim dan agraris serta pengaruhnya terhadap kehidupan ekonomi, sosial, budaya, komunikasi, serta transportasi.</v>
      </c>
      <c r="AE46" s="257" t="str">
        <f t="shared" si="6"/>
        <v xml:space="preserve"> baik  dalam menyajikan hasil identifikasi karakteristik geografis Indonesia sebagai negara kepulauan/maritim dan agraris serta pengaruhnya terhadap kehidupan ekonomi, sosial, budaya, komunikasi, serta transportasi., dan  baik  dalam menyajikan hasil identifikasi karakteristik geografis Indonesia sebagai negara kepulauan/maritim dan agraris serta pengaruhnya terhadap kehidupan ekonomi, sosial, budaya, komunikasi, serta transportasi.</v>
      </c>
      <c r="AF46" s="257" t="str">
        <f t="shared" si="7"/>
        <v xml:space="preserve"> baik  dalam menyajikan hasil identifikasi karakteristik geografis Indonesia sebagai negara kepulauan/maritim dan agraris serta pengaruhnya terhadap kehidupan ekonomi, sosial, budaya, komunikasi, serta transportasi.</v>
      </c>
      <c r="AG46" s="258" t="str">
        <f t="shared" si="8"/>
        <v xml:space="preserve"> baik  dalam menyajikan hasil identifikasi karakteristik geografis Indonesia sebagai negara kepulauan/maritim dan agraris serta pengaruhnya terhadap kehidupan ekonomi, sosial, budaya, komunikasi, serta transportasi.</v>
      </c>
      <c r="AH46" s="252" t="str">
        <f t="shared" si="9"/>
        <v>WAFDAN baik  dalam menyajikan hasil identifikasi karakteristik geografis Indonesia sebagai negara kepulauan/maritim dan agraris serta pengaruhnya terhadap kehidupan ekonomi, sosial, budaya, komunikasi, serta transportasi.</v>
      </c>
      <c r="AI46" s="153"/>
      <c r="AU46" s="469">
        <f t="shared" si="10"/>
        <v>83</v>
      </c>
    </row>
    <row r="47" spans="2:47" ht="55.5" customHeight="1">
      <c r="B47" s="142">
        <v>43</v>
      </c>
      <c r="C47" s="143" t="str">
        <f>SISWA!B48</f>
        <v>1718250040347</v>
      </c>
      <c r="D47" s="144" t="str">
        <f>SISWA!E48</f>
        <v>ZEVA</v>
      </c>
      <c r="E47" s="159">
        <v>90</v>
      </c>
      <c r="F47" s="160">
        <v>90</v>
      </c>
      <c r="G47" s="160">
        <v>90</v>
      </c>
      <c r="H47" s="160">
        <v>90</v>
      </c>
      <c r="I47" s="160"/>
      <c r="J47" s="159"/>
      <c r="K47" s="159"/>
      <c r="L47" s="159"/>
      <c r="M47" s="159"/>
      <c r="N47" s="159"/>
      <c r="O47" s="159"/>
      <c r="P47" s="159"/>
      <c r="Q47" s="159"/>
      <c r="R47" s="160"/>
      <c r="S47" s="160"/>
      <c r="T47" s="159"/>
      <c r="U47" s="354">
        <f t="shared" si="4"/>
        <v>90</v>
      </c>
      <c r="V47" s="355" t="str">
        <f>IF(U47&gt;KKM!$G$10,"A",IF(U47&gt;KKM!$H$10,"B",IF(U47&gt;=KKM!$I$10,"C","D")))</f>
        <v>A</v>
      </c>
      <c r="W47" s="356">
        <f t="shared" si="0"/>
        <v>90</v>
      </c>
      <c r="X47" s="361" t="str">
        <f>IF(W47&gt;KKM!$G$10," sangat baik ",IF(W47&gt;KKM!$H$10," baik ",IF(W47&gt;=KKM!$I$10," cukup baik "," perlu bimbingan ")))</f>
        <v xml:space="preserve"> sangat baik </v>
      </c>
      <c r="Y47" s="357">
        <f t="shared" si="1"/>
        <v>90</v>
      </c>
      <c r="Z47" s="361" t="str">
        <f>IF(Y47&gt;KKM!$G$10," sangat baik ",IF(Y47&gt;KKM!$H$10," baik ",IF(Y47&gt;=KKM!$I$10," cukup baik "," perlu bimbingan ")))</f>
        <v xml:space="preserve"> sangat baik </v>
      </c>
      <c r="AA47" s="353" t="str">
        <f t="shared" si="5"/>
        <v>ZEVA sangat baik  dalam menyajikan hasil identifikasi karakteristik geografis Indonesia sebagai negara kepulauan/maritim dan agraris serta pengaruhnya terhadap kehidupan ekonomi, sosial, budaya, komunikasi, serta transportasi.</v>
      </c>
      <c r="AB47" s="256"/>
      <c r="AC47" s="257" t="str">
        <f t="shared" si="2"/>
        <v xml:space="preserve"> sangat baik  dalam menyajikan hasil identifikasi karakteristik geografis Indonesia sebagai negara kepulauan/maritim dan agraris serta pengaruhnya terhadap kehidupan ekonomi, sosial, budaya, komunikasi, serta transportasi.</v>
      </c>
      <c r="AD47" s="257" t="str">
        <f t="shared" si="3"/>
        <v xml:space="preserve"> sangat baik  dalam menyajikan hasil identifikasi karakteristik geografis Indonesia sebagai negara kepulauan/maritim dan agraris serta pengaruhnya terhadap kehidupan ekonomi, sosial, budaya, komunikasi, serta transportasi.</v>
      </c>
      <c r="AE47" s="257" t="str">
        <f t="shared" si="6"/>
        <v xml:space="preserve"> sangat baik  dalam menyajikan hasil identifikasi karakteristik geografis Indonesia sebagai negara kepulauan/maritim dan agraris serta pengaruhnya terhadap kehidupan ekonomi, sosial, budaya, komunikasi, serta transportasi., dan  sangat baik  dalam menyajikan hasil identifikasi karakteristik geografis Indonesia sebagai negara kepulauan/maritim dan agraris serta pengaruhnya terhadap kehidupan ekonomi, sosial, budaya, komunikasi, serta transportasi.</v>
      </c>
      <c r="AF47" s="257" t="str">
        <f t="shared" si="7"/>
        <v xml:space="preserve"> sangat baik  dalam menyajikan hasil identifikasi karakteristik geografis Indonesia sebagai negara kepulauan/maritim dan agraris serta pengaruhnya terhadap kehidupan ekonomi, sosial, budaya, komunikasi, serta transportasi.</v>
      </c>
      <c r="AG47" s="258" t="str">
        <f t="shared" si="8"/>
        <v xml:space="preserve"> sangat baik  dalam menyajikan hasil identifikasi karakteristik geografis Indonesia sebagai negara kepulauan/maritim dan agraris serta pengaruhnya terhadap kehidupan ekonomi, sosial, budaya, komunikasi, serta transportasi.</v>
      </c>
      <c r="AH47" s="252" t="str">
        <f t="shared" si="9"/>
        <v>ZEVA sangat baik  dalam menyajikan hasil identifikasi karakteristik geografis Indonesia sebagai negara kepulauan/maritim dan agraris serta pengaruhnya terhadap kehidupan ekonomi, sosial, budaya, komunikasi, serta transportasi.</v>
      </c>
      <c r="AI47" s="153"/>
      <c r="AU47" s="469">
        <f t="shared" si="10"/>
        <v>90</v>
      </c>
    </row>
    <row r="48" spans="2:47" ht="55.5" customHeight="1">
      <c r="B48" s="142">
        <v>44</v>
      </c>
      <c r="C48" s="143">
        <f>SISWA!B49</f>
        <v>0</v>
      </c>
      <c r="D48" s="144">
        <f>SISWA!E49</f>
        <v>0</v>
      </c>
      <c r="E48" s="159"/>
      <c r="F48" s="160"/>
      <c r="G48" s="160"/>
      <c r="H48" s="160"/>
      <c r="I48" s="160"/>
      <c r="J48" s="159"/>
      <c r="K48" s="159"/>
      <c r="L48" s="159"/>
      <c r="M48" s="159"/>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53"/>
      <c r="AU48" s="469" t="str">
        <f t="shared" si="10"/>
        <v/>
      </c>
    </row>
    <row r="49" spans="2:47" ht="55.5" customHeight="1">
      <c r="B49" s="142">
        <v>45</v>
      </c>
      <c r="C49" s="143">
        <f>SISWA!B50</f>
        <v>0</v>
      </c>
      <c r="D49" s="144">
        <f>SISWA!E50</f>
        <v>0</v>
      </c>
      <c r="E49" s="159"/>
      <c r="F49" s="160"/>
      <c r="G49" s="160"/>
      <c r="H49" s="160"/>
      <c r="I49" s="160"/>
      <c r="J49" s="159"/>
      <c r="K49" s="159"/>
      <c r="L49" s="159"/>
      <c r="M49" s="159"/>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53"/>
      <c r="AU49" s="469" t="str">
        <f t="shared" si="10"/>
        <v/>
      </c>
    </row>
    <row r="50" spans="2:47" ht="55.5" customHeight="1">
      <c r="B50" s="142">
        <v>46</v>
      </c>
      <c r="C50" s="143">
        <f>SISWA!B51</f>
        <v>0</v>
      </c>
      <c r="D50" s="144">
        <f>SISWA!E51</f>
        <v>0</v>
      </c>
      <c r="E50" s="159"/>
      <c r="F50" s="160"/>
      <c r="G50" s="160"/>
      <c r="H50" s="160"/>
      <c r="I50" s="160"/>
      <c r="J50" s="159"/>
      <c r="K50" s="159"/>
      <c r="L50" s="159"/>
      <c r="M50" s="159"/>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53"/>
      <c r="AU50" s="469" t="str">
        <f t="shared" si="10"/>
        <v/>
      </c>
    </row>
    <row r="51" spans="2:47" ht="55.5" customHeight="1">
      <c r="B51" s="142">
        <v>47</v>
      </c>
      <c r="C51" s="143">
        <f>SISWA!B52</f>
        <v>0</v>
      </c>
      <c r="D51" s="144">
        <f>SISWA!E52</f>
        <v>0</v>
      </c>
      <c r="E51" s="159"/>
      <c r="F51" s="160"/>
      <c r="G51" s="160"/>
      <c r="H51" s="160"/>
      <c r="I51" s="160"/>
      <c r="J51" s="159"/>
      <c r="K51" s="159"/>
      <c r="L51" s="159"/>
      <c r="M51" s="159"/>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53"/>
      <c r="AU51" s="469" t="str">
        <f t="shared" si="10"/>
        <v/>
      </c>
    </row>
    <row r="52" spans="2:47" ht="55.5" customHeight="1">
      <c r="B52" s="142">
        <v>48</v>
      </c>
      <c r="C52" s="143">
        <f>SISWA!B53</f>
        <v>0</v>
      </c>
      <c r="D52" s="144">
        <f>SISWA!E53</f>
        <v>0</v>
      </c>
      <c r="E52" s="159"/>
      <c r="F52" s="160"/>
      <c r="G52" s="160"/>
      <c r="H52" s="160"/>
      <c r="I52" s="160"/>
      <c r="J52" s="159"/>
      <c r="K52" s="159"/>
      <c r="L52" s="159"/>
      <c r="M52" s="159"/>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53"/>
      <c r="AU52" s="469" t="str">
        <f t="shared" si="10"/>
        <v/>
      </c>
    </row>
    <row r="53" spans="2:47" ht="55.5" customHeight="1">
      <c r="B53" s="142">
        <v>49</v>
      </c>
      <c r="C53" s="143">
        <f>SISWA!B54</f>
        <v>0</v>
      </c>
      <c r="D53" s="144">
        <f>SISWA!E54</f>
        <v>0</v>
      </c>
      <c r="E53" s="159"/>
      <c r="F53" s="160"/>
      <c r="G53" s="160"/>
      <c r="H53" s="160"/>
      <c r="I53" s="160"/>
      <c r="J53" s="159"/>
      <c r="K53" s="159"/>
      <c r="L53" s="159"/>
      <c r="M53" s="159"/>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53"/>
      <c r="AU53" s="469" t="str">
        <f t="shared" si="10"/>
        <v/>
      </c>
    </row>
    <row r="54" spans="2:47" ht="55.5" customHeight="1">
      <c r="B54" s="142">
        <v>50</v>
      </c>
      <c r="C54" s="143">
        <f>SISWA!B55</f>
        <v>0</v>
      </c>
      <c r="D54" s="144">
        <f>SISWA!E55</f>
        <v>0</v>
      </c>
      <c r="E54" s="159"/>
      <c r="F54" s="160"/>
      <c r="G54" s="160"/>
      <c r="H54" s="160"/>
      <c r="I54" s="160"/>
      <c r="J54" s="159"/>
      <c r="K54" s="159"/>
      <c r="L54" s="159"/>
      <c r="M54" s="159"/>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53"/>
      <c r="AU54" s="469" t="str">
        <f t="shared" si="10"/>
        <v/>
      </c>
    </row>
    <row r="55" spans="2:47" ht="55.5" customHeight="1">
      <c r="B55" s="154"/>
      <c r="C55" s="154"/>
      <c r="D55" s="154"/>
      <c r="E55" s="159"/>
      <c r="F55" s="160"/>
      <c r="G55" s="160"/>
      <c r="H55" s="160"/>
      <c r="I55" s="160"/>
      <c r="J55" s="159"/>
      <c r="K55" s="159"/>
      <c r="L55" s="159"/>
      <c r="M55" s="159"/>
      <c r="N55" s="159"/>
      <c r="O55" s="159"/>
      <c r="P55" s="159"/>
      <c r="Q55" s="159"/>
      <c r="R55" s="160"/>
      <c r="S55" s="160"/>
      <c r="T55" s="159"/>
      <c r="U55" s="147"/>
      <c r="V55" s="148"/>
      <c r="W55" s="149"/>
      <c r="X55" s="149"/>
      <c r="Y55" s="149"/>
      <c r="Z55" s="149"/>
      <c r="AA55" s="150"/>
      <c r="AB55" s="151"/>
      <c r="AC55" s="152"/>
      <c r="AD55" s="155"/>
      <c r="AE55" s="155"/>
      <c r="AF55" s="155"/>
      <c r="AG55" s="155"/>
      <c r="AH55" s="155"/>
      <c r="AI55" s="153"/>
    </row>
  </sheetData>
  <sheetProtection password="C70C" sheet="1" objects="1" scenarios="1"/>
  <mergeCells count="10">
    <mergeCell ref="V2:V4"/>
    <mergeCell ref="W2:Z2"/>
    <mergeCell ref="AA2:AA4"/>
    <mergeCell ref="W3:X3"/>
    <mergeCell ref="Y3:Z3"/>
    <mergeCell ref="B2:B4"/>
    <mergeCell ref="C2:C4"/>
    <mergeCell ref="D2:D4"/>
    <mergeCell ref="E2:T2"/>
    <mergeCell ref="U2:U4"/>
  </mergeCell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DJ55"/>
  <sheetViews>
    <sheetView zoomScale="80" zoomScaleNormal="80" workbookViewId="0">
      <pane xSplit="4" ySplit="4" topLeftCell="E5" activePane="bottomRight" state="frozen"/>
      <selection pane="topRight" activeCell="E1" sqref="E1"/>
      <selection pane="bottomLeft" activeCell="A5" sqref="A5"/>
      <selection pane="bottomRight" activeCell="K5" sqref="K5"/>
    </sheetView>
  </sheetViews>
  <sheetFormatPr defaultColWidth="0" defaultRowHeight="15"/>
  <cols>
    <col min="1" max="1" width="23.28515625" style="171" customWidth="1"/>
    <col min="2" max="2" width="4.42578125" style="137" customWidth="1"/>
    <col min="3" max="3" width="6.42578125" style="137" customWidth="1"/>
    <col min="4" max="4" width="28.7109375" style="137" customWidth="1"/>
    <col min="5" max="7" width="5" style="137" customWidth="1"/>
    <col min="8" max="11" width="5.140625" style="137" customWidth="1"/>
    <col min="12" max="19" width="5.140625" style="137" hidden="1" customWidth="1"/>
    <col min="20" max="23" width="5.140625" style="137" customWidth="1"/>
    <col min="24" max="24" width="10.85546875" style="137" customWidth="1"/>
    <col min="25" max="25" width="5.140625" style="137" customWidth="1"/>
    <col min="26" max="26" width="12.7109375" style="137" customWidth="1"/>
    <col min="27" max="27" width="102.5703125" style="137" customWidth="1"/>
    <col min="28" max="28" width="39.7109375" style="137" customWidth="1"/>
    <col min="29" max="29" width="5" style="137" hidden="1" customWidth="1"/>
    <col min="30" max="30" width="4.7109375" style="137" hidden="1" customWidth="1"/>
    <col min="31" max="31" width="5.140625" style="137" hidden="1" customWidth="1"/>
    <col min="32" max="37" width="5" style="137" hidden="1" customWidth="1"/>
    <col min="38" max="38" width="4.85546875" style="137" hidden="1" customWidth="1"/>
    <col min="39" max="41" width="5" style="137" hidden="1" customWidth="1"/>
    <col min="42" max="43" width="5" style="137" customWidth="1"/>
    <col min="44" max="44" width="5" style="137" hidden="1" customWidth="1"/>
    <col min="45" max="45" width="8" style="137" hidden="1" customWidth="1"/>
    <col min="46" max="46" width="5" style="137" customWidth="1"/>
    <col min="47" max="52" width="5" style="137" hidden="1" customWidth="1"/>
    <col min="53" max="53" width="84.42578125" style="137" hidden="1" customWidth="1"/>
    <col min="54" max="54" width="29.85546875" style="137" hidden="1" customWidth="1"/>
    <col min="55" max="68" width="10.7109375" style="137" hidden="1" customWidth="1"/>
    <col min="69" max="73" width="5" style="137" hidden="1" customWidth="1"/>
    <col min="74" max="74" width="4.85546875" style="137" hidden="1" customWidth="1"/>
    <col min="75" max="80" width="5" style="137" hidden="1" customWidth="1"/>
    <col min="81" max="82" width="0" style="137" hidden="1" customWidth="1"/>
    <col min="83" max="88" width="5" style="137" hidden="1" customWidth="1"/>
    <col min="89" max="89" width="84.42578125" style="137" hidden="1" customWidth="1"/>
    <col min="90" max="90" width="29.85546875" style="137" hidden="1" customWidth="1"/>
    <col min="91" max="114" width="10.7109375" style="137" hidden="1" customWidth="1"/>
    <col min="115" max="16384" width="9.140625" style="137" hidden="1"/>
  </cols>
  <sheetData>
    <row r="1" spans="1:52" s="512" customFormat="1" ht="45.75" customHeight="1">
      <c r="B1" s="513" t="s">
        <v>63</v>
      </c>
      <c r="C1" s="513"/>
      <c r="D1" s="513"/>
      <c r="E1" s="513"/>
      <c r="F1" s="513"/>
      <c r="G1" s="513"/>
      <c r="H1" s="513"/>
      <c r="I1" s="513"/>
      <c r="J1" s="513"/>
      <c r="K1" s="513"/>
      <c r="L1" s="513"/>
      <c r="M1" s="513"/>
      <c r="N1" s="513"/>
      <c r="O1" s="513"/>
      <c r="P1" s="513"/>
      <c r="Q1" s="513"/>
      <c r="R1" s="513"/>
      <c r="S1" s="513"/>
      <c r="T1" s="513"/>
      <c r="U1" s="513"/>
      <c r="V1" s="513"/>
      <c r="W1" s="513"/>
      <c r="X1" s="513"/>
      <c r="Y1" s="513"/>
      <c r="Z1" s="513"/>
      <c r="AA1" s="513"/>
      <c r="AB1" s="513"/>
      <c r="AC1" s="513"/>
      <c r="AD1" s="513"/>
      <c r="AE1" s="513"/>
      <c r="AF1" s="513"/>
      <c r="AG1" s="513"/>
      <c r="AH1" s="513"/>
      <c r="AI1" s="513"/>
      <c r="AJ1" s="513"/>
      <c r="AK1" s="513"/>
      <c r="AL1" s="513"/>
      <c r="AM1" s="513"/>
      <c r="AN1" s="513"/>
      <c r="AO1" s="513"/>
      <c r="AP1" s="513"/>
      <c r="AQ1" s="513"/>
      <c r="AR1" s="513"/>
      <c r="AS1" s="513"/>
      <c r="AT1" s="513"/>
      <c r="AU1" s="513"/>
      <c r="AV1" s="513"/>
      <c r="AW1" s="513"/>
      <c r="AX1" s="513"/>
      <c r="AY1" s="513"/>
      <c r="AZ1" s="513"/>
    </row>
    <row r="2" spans="1:52"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S2" s="502">
        <f>DEPAN!$E$23</f>
        <v>43</v>
      </c>
    </row>
    <row r="3" spans="1:52" ht="94.5" customHeight="1">
      <c r="B3" s="716"/>
      <c r="C3" s="717"/>
      <c r="D3" s="718"/>
      <c r="E3" s="408" t="str">
        <f>'KI-KD'!$F94</f>
        <v>membuat gambar cerita</v>
      </c>
      <c r="F3" s="408" t="str">
        <f>'KI-KD'!$F95</f>
        <v>menyanyikan lagu-lagu dalam berbagai tangga nada dengan iringan musik</v>
      </c>
      <c r="G3" s="408" t="e">
        <f>'KI-KD'!#REF!</f>
        <v>#REF!</v>
      </c>
      <c r="H3" s="408" t="e">
        <f>'KI-KD'!#REF!</f>
        <v>#REF!</v>
      </c>
      <c r="I3" s="408" t="str">
        <f>'KI-KD'!$F96</f>
        <v>mempraktikkan pola lantai pada gerak tari kreasi daerah</v>
      </c>
      <c r="J3" s="408" t="str">
        <f>'KI-KD'!$F97</f>
        <v>membuat karya seni rupadaerah</v>
      </c>
      <c r="K3" s="408">
        <f>'KI-KD'!$F98</f>
        <v>0</v>
      </c>
      <c r="L3" s="408">
        <f>'KI-KD'!$F99</f>
        <v>0</v>
      </c>
      <c r="M3" s="408" t="e">
        <f>'KI-KD'!#REF!</f>
        <v>#REF!</v>
      </c>
      <c r="N3" s="408" t="e">
        <f>'KI-KD'!#REF!</f>
        <v>#REF!</v>
      </c>
      <c r="O3" s="408" t="e">
        <f>'KI-KD'!#REF!</f>
        <v>#REF!</v>
      </c>
      <c r="P3" s="408" t="e">
        <f>'KI-KD'!#REF!</f>
        <v>#REF!</v>
      </c>
      <c r="Q3" s="138"/>
      <c r="R3" s="138"/>
      <c r="S3" s="138"/>
      <c r="T3" s="138"/>
      <c r="U3" s="720"/>
      <c r="V3" s="721"/>
      <c r="W3" s="712" t="s">
        <v>267</v>
      </c>
      <c r="X3" s="713"/>
      <c r="Y3" s="714" t="s">
        <v>268</v>
      </c>
      <c r="Z3" s="715"/>
      <c r="AA3" s="679"/>
      <c r="AB3" s="2"/>
      <c r="AC3" s="2"/>
      <c r="AD3" s="2"/>
      <c r="AE3" s="2"/>
      <c r="AF3" s="2"/>
      <c r="AG3" s="2"/>
      <c r="AH3" s="253"/>
      <c r="AS3" s="469">
        <f>AS4-AS5</f>
        <v>43</v>
      </c>
    </row>
    <row r="4" spans="1:52" s="141" customFormat="1" ht="25.5" customHeight="1">
      <c r="A4" s="514"/>
      <c r="B4" s="716"/>
      <c r="C4" s="717"/>
      <c r="D4" s="718"/>
      <c r="E4" s="140" t="str">
        <f>'KI-KD'!$E94</f>
        <v>4.1</v>
      </c>
      <c r="F4" s="140" t="str">
        <f>'KI-KD'!$E95</f>
        <v>4.2</v>
      </c>
      <c r="G4" s="140" t="e">
        <f>'KI-KD'!#REF!</f>
        <v>#REF!</v>
      </c>
      <c r="H4" s="140" t="e">
        <f>'KI-KD'!#REF!</f>
        <v>#REF!</v>
      </c>
      <c r="I4" s="140" t="str">
        <f>'KI-KD'!$E96</f>
        <v>4.3</v>
      </c>
      <c r="J4" s="140" t="str">
        <f>'KI-KD'!$E97</f>
        <v>4.4</v>
      </c>
      <c r="K4" s="140">
        <f>'KI-KD'!$E98</f>
        <v>0</v>
      </c>
      <c r="L4" s="140">
        <f>'KI-KD'!$E99</f>
        <v>0</v>
      </c>
      <c r="M4" s="140" t="e">
        <f>'KI-KD'!#REF!</f>
        <v>#REF!</v>
      </c>
      <c r="N4" s="140" t="e">
        <f>'KI-KD'!#REF!</f>
        <v>#REF!</v>
      </c>
      <c r="O4" s="140" t="e">
        <f>'KI-KD'!#REF!</f>
        <v>#REF!</v>
      </c>
      <c r="P4" s="140" t="e">
        <f>'KI-KD'!#REF!</f>
        <v>#REF!</v>
      </c>
      <c r="Q4" s="140"/>
      <c r="R4" s="140"/>
      <c r="S4" s="140"/>
      <c r="T4" s="140"/>
      <c r="U4" s="720"/>
      <c r="V4" s="721"/>
      <c r="W4" s="248" t="s">
        <v>269</v>
      </c>
      <c r="X4" s="249" t="s">
        <v>3</v>
      </c>
      <c r="Y4" s="250" t="s">
        <v>269</v>
      </c>
      <c r="Z4" s="251" t="s">
        <v>3</v>
      </c>
      <c r="AA4" s="680"/>
      <c r="AB4" s="2"/>
      <c r="AC4" s="254" t="s">
        <v>270</v>
      </c>
      <c r="AD4" s="254" t="s">
        <v>271</v>
      </c>
      <c r="AE4" s="254" t="s">
        <v>272</v>
      </c>
      <c r="AF4" s="254" t="s">
        <v>273</v>
      </c>
      <c r="AG4" s="255" t="s">
        <v>266</v>
      </c>
      <c r="AH4" s="252"/>
      <c r="AS4" s="141">
        <v>50</v>
      </c>
    </row>
    <row r="5" spans="1:52" ht="68.25" customHeight="1">
      <c r="B5" s="142">
        <v>1</v>
      </c>
      <c r="C5" s="143" t="str">
        <f>SISWA!B6</f>
        <v>1718250040305</v>
      </c>
      <c r="D5" s="144" t="str">
        <f>SISWA!E6</f>
        <v>YAHYA</v>
      </c>
      <c r="E5" s="159">
        <v>95</v>
      </c>
      <c r="F5" s="159">
        <v>95</v>
      </c>
      <c r="G5" s="160"/>
      <c r="H5" s="159"/>
      <c r="I5" s="160">
        <v>95</v>
      </c>
      <c r="J5" s="159">
        <v>95</v>
      </c>
      <c r="K5" s="159" t="s">
        <v>766</v>
      </c>
      <c r="L5" s="159"/>
      <c r="M5" s="159"/>
      <c r="N5" s="159"/>
      <c r="O5" s="159"/>
      <c r="P5" s="159"/>
      <c r="Q5" s="159"/>
      <c r="R5" s="160"/>
      <c r="S5" s="160"/>
      <c r="T5" s="159"/>
      <c r="U5" s="354">
        <f>ROUND((AVERAGE(E5:T5)),0)</f>
        <v>95</v>
      </c>
      <c r="V5" s="355" t="str">
        <f>IF(U5&gt;KKM!$G$10,"A",IF(U5&gt;KKM!$H$10,"B",IF(U5&gt;=KKM!$I$10,"C","D")))</f>
        <v>A</v>
      </c>
      <c r="W5" s="356">
        <f t="shared" ref="W5:W54" si="0">MAX(E5:T5)</f>
        <v>95</v>
      </c>
      <c r="X5" s="361" t="str">
        <f>IF(W5&gt;KKM!$G$10," sangat baik ",IF(W5&gt;KKM!$H$10," baik ",IF(W5&gt;=KKM!$I$10," cukup baik "," perlu bimbingan ")))</f>
        <v xml:space="preserve"> sangat baik </v>
      </c>
      <c r="Y5" s="357">
        <f t="shared" ref="Y5:Y54" si="1">MIN(E5:T5)</f>
        <v>95</v>
      </c>
      <c r="Z5" s="361" t="str">
        <f>IF(Y5&gt;KKM!$G$10," sangat baik ",IF(Y5&gt;KKM!$H$10," baik ",IF(Y5&gt;=KKM!$I$10," cukup baik "," perlu bimbingan ")))</f>
        <v xml:space="preserve"> sangat baik </v>
      </c>
      <c r="AA5" s="353" t="str">
        <f>IFERROR(AH5," ")</f>
        <v>YAHYA sangat baik  dalam membuat gambar cerita</v>
      </c>
      <c r="AB5" s="256"/>
      <c r="AC5" s="257" t="str">
        <f t="shared" ref="AC5:AC54" si="2">X5&amp;" dalam "&amp;INDEX($E$3:$T$3,MATCH(W5,$E5:$T5,0))</f>
        <v xml:space="preserve"> sangat baik  dalam membuat gambar cerita</v>
      </c>
      <c r="AD5" s="257" t="str">
        <f t="shared" ref="AD5:AD54" si="3">Z5&amp;" dalam "&amp;INDEX($E$3:$T$3,MATCH(Y5,$E5:$T5,0))</f>
        <v xml:space="preserve"> sangat baik  dalam membuat gambar cerita</v>
      </c>
      <c r="AE5" s="257" t="str">
        <f>AC5&amp;", dan "&amp;AD5</f>
        <v xml:space="preserve"> sangat baik  dalam membuat gambar cerita, dan  sangat baik  dalam membuat gambar cerita</v>
      </c>
      <c r="AF5" s="257" t="str">
        <f>IF(AC5=AD5,AC5," ")</f>
        <v xml:space="preserve"> sangat baik  dalam membuat gambar cerita</v>
      </c>
      <c r="AG5" s="258" t="str">
        <f>IF(AF5=" ",AE5,AF5)</f>
        <v xml:space="preserve"> sangat baik  dalam membuat gambar cerita</v>
      </c>
      <c r="AH5" s="252" t="str">
        <f>CONCATENATE(D5,AG5)</f>
        <v>YAHYA sangat baik  dalam membuat gambar cerita</v>
      </c>
      <c r="AI5" s="153"/>
      <c r="AR5" s="469">
        <f>IFERROR(U5,"")</f>
        <v>95</v>
      </c>
      <c r="AS5" s="469">
        <f>COUNTBLANK(AR5:AR54)</f>
        <v>7</v>
      </c>
    </row>
    <row r="6" spans="1:52" ht="68.25" customHeight="1">
      <c r="B6" s="142">
        <v>2</v>
      </c>
      <c r="C6" s="143" t="str">
        <f>SISWA!B7</f>
        <v>1718250040306</v>
      </c>
      <c r="D6" s="144" t="str">
        <f>SISWA!E7</f>
        <v>ADHWA</v>
      </c>
      <c r="E6" s="159">
        <v>95</v>
      </c>
      <c r="F6" s="160">
        <v>95</v>
      </c>
      <c r="G6" s="160"/>
      <c r="H6" s="160"/>
      <c r="I6" s="160">
        <v>95</v>
      </c>
      <c r="J6" s="159">
        <v>95</v>
      </c>
      <c r="K6" s="159"/>
      <c r="L6" s="159"/>
      <c r="M6" s="159"/>
      <c r="N6" s="159"/>
      <c r="O6" s="159"/>
      <c r="P6" s="159"/>
      <c r="Q6" s="159"/>
      <c r="R6" s="160"/>
      <c r="S6" s="160"/>
      <c r="T6" s="159"/>
      <c r="U6" s="354">
        <f t="shared" ref="U6:U54" si="4">ROUND((AVERAGE(E6:T6)),0)</f>
        <v>95</v>
      </c>
      <c r="V6" s="355" t="str">
        <f>IF(U6&gt;KKM!$G$10,"A",IF(U6&gt;KKM!$H$10,"B",IF(U6&gt;=KKM!$I$10,"C","D")))</f>
        <v>A</v>
      </c>
      <c r="W6" s="356">
        <f t="shared" si="0"/>
        <v>95</v>
      </c>
      <c r="X6" s="361" t="str">
        <f>IF(W6&gt;KKM!$G$10," sangat baik ",IF(W6&gt;KKM!$H$10," baik ",IF(W6&gt;=KKM!$I$10," cukup baik "," perlu bimbingan ")))</f>
        <v xml:space="preserve"> sangat baik </v>
      </c>
      <c r="Y6" s="357">
        <f t="shared" si="1"/>
        <v>95</v>
      </c>
      <c r="Z6" s="361" t="str">
        <f>IF(Y6&gt;KKM!$G$10," sangat baik ",IF(Y6&gt;KKM!$H$10," baik ",IF(Y6&gt;=KKM!$I$10," cukup baik "," perlu bimbingan ")))</f>
        <v xml:space="preserve"> sangat baik </v>
      </c>
      <c r="AA6" s="353" t="str">
        <f t="shared" ref="AA6:AA54" si="5">IFERROR(AH6," ")</f>
        <v>ADHWA sangat baik  dalam membuat gambar cerita</v>
      </c>
      <c r="AB6" s="256"/>
      <c r="AC6" s="257" t="str">
        <f t="shared" si="2"/>
        <v xml:space="preserve"> sangat baik  dalam membuat gambar cerita</v>
      </c>
      <c r="AD6" s="257" t="str">
        <f t="shared" si="3"/>
        <v xml:space="preserve"> sangat baik  dalam membuat gambar cerita</v>
      </c>
      <c r="AE6" s="257" t="str">
        <f t="shared" ref="AE6:AE54" si="6">AC6&amp;", dan "&amp;AD6</f>
        <v xml:space="preserve"> sangat baik  dalam membuat gambar cerita, dan  sangat baik  dalam membuat gambar cerita</v>
      </c>
      <c r="AF6" s="257" t="str">
        <f t="shared" ref="AF6:AF54" si="7">IF(AC6=AD6,AC6," ")</f>
        <v xml:space="preserve"> sangat baik  dalam membuat gambar cerita</v>
      </c>
      <c r="AG6" s="258" t="str">
        <f t="shared" ref="AG6:AG54" si="8">IF(AF6=" ",AE6,AF6)</f>
        <v xml:space="preserve"> sangat baik  dalam membuat gambar cerita</v>
      </c>
      <c r="AH6" s="252" t="str">
        <f t="shared" ref="AH6:AH54" si="9">CONCATENATE(D6,AG6)</f>
        <v>ADHWA sangat baik  dalam membuat gambar cerita</v>
      </c>
      <c r="AI6" s="153"/>
      <c r="AR6" s="469">
        <f t="shared" ref="AR6:AR54" si="10">IFERROR(U6,"")</f>
        <v>95</v>
      </c>
      <c r="AS6" s="503">
        <f>IFERROR(AS3/AS2,"0%")</f>
        <v>1</v>
      </c>
    </row>
    <row r="7" spans="1:52" ht="68.25" customHeight="1">
      <c r="B7" s="142">
        <v>3</v>
      </c>
      <c r="C7" s="143" t="str">
        <f>SISWA!B8</f>
        <v xml:space="preserve"> 1718250040307</v>
      </c>
      <c r="D7" s="144" t="str">
        <f>SISWA!E8</f>
        <v>ANDHIKA</v>
      </c>
      <c r="E7" s="159">
        <v>97.5</v>
      </c>
      <c r="F7" s="160">
        <v>97.5</v>
      </c>
      <c r="G7" s="160"/>
      <c r="H7" s="160"/>
      <c r="I7" s="160">
        <v>97.5</v>
      </c>
      <c r="J7" s="159">
        <v>97.5</v>
      </c>
      <c r="K7" s="159"/>
      <c r="L7" s="159"/>
      <c r="M7" s="159"/>
      <c r="N7" s="159"/>
      <c r="O7" s="159"/>
      <c r="P7" s="159"/>
      <c r="Q7" s="159"/>
      <c r="R7" s="160"/>
      <c r="S7" s="160"/>
      <c r="T7" s="159"/>
      <c r="U7" s="354">
        <f t="shared" si="4"/>
        <v>98</v>
      </c>
      <c r="V7" s="355" t="str">
        <f>IF(U7&gt;KKM!$G$10,"A",IF(U7&gt;KKM!$H$10,"B",IF(U7&gt;=KKM!$I$10,"C","D")))</f>
        <v>A</v>
      </c>
      <c r="W7" s="356">
        <f t="shared" si="0"/>
        <v>97.5</v>
      </c>
      <c r="X7" s="361" t="str">
        <f>IF(W7&gt;KKM!$G$10," sangat baik ",IF(W7&gt;KKM!$H$10," baik ",IF(W7&gt;=KKM!$I$10," cukup baik "," perlu bimbingan ")))</f>
        <v xml:space="preserve"> sangat baik </v>
      </c>
      <c r="Y7" s="357">
        <f t="shared" si="1"/>
        <v>97.5</v>
      </c>
      <c r="Z7" s="361" t="str">
        <f>IF(Y7&gt;KKM!$G$10," sangat baik ",IF(Y7&gt;KKM!$H$10," baik ",IF(Y7&gt;=KKM!$I$10," cukup baik "," perlu bimbingan ")))</f>
        <v xml:space="preserve"> sangat baik </v>
      </c>
      <c r="AA7" s="353" t="str">
        <f t="shared" si="5"/>
        <v>ANDHIKA sangat baik  dalam membuat gambar cerita</v>
      </c>
      <c r="AB7" s="256"/>
      <c r="AC7" s="257" t="str">
        <f t="shared" si="2"/>
        <v xml:space="preserve"> sangat baik  dalam membuat gambar cerita</v>
      </c>
      <c r="AD7" s="257" t="str">
        <f t="shared" si="3"/>
        <v xml:space="preserve"> sangat baik  dalam membuat gambar cerita</v>
      </c>
      <c r="AE7" s="257" t="str">
        <f t="shared" si="6"/>
        <v xml:space="preserve"> sangat baik  dalam membuat gambar cerita, dan  sangat baik  dalam membuat gambar cerita</v>
      </c>
      <c r="AF7" s="257" t="str">
        <f t="shared" si="7"/>
        <v xml:space="preserve"> sangat baik  dalam membuat gambar cerita</v>
      </c>
      <c r="AG7" s="258" t="str">
        <f t="shared" si="8"/>
        <v xml:space="preserve"> sangat baik  dalam membuat gambar cerita</v>
      </c>
      <c r="AH7" s="252" t="str">
        <f t="shared" si="9"/>
        <v>ANDHIKA sangat baik  dalam membuat gambar cerita</v>
      </c>
      <c r="AI7" s="153"/>
      <c r="AR7" s="469">
        <f t="shared" si="10"/>
        <v>98</v>
      </c>
    </row>
    <row r="8" spans="1:52" ht="68.25" customHeight="1">
      <c r="B8" s="142">
        <v>4</v>
      </c>
      <c r="C8" s="143" t="str">
        <f>SISWA!B9</f>
        <v xml:space="preserve"> 1718250040308</v>
      </c>
      <c r="D8" s="144" t="str">
        <f>SISWA!E9</f>
        <v>ANGGARA</v>
      </c>
      <c r="E8" s="159">
        <v>90</v>
      </c>
      <c r="F8" s="160">
        <v>90</v>
      </c>
      <c r="G8" s="160"/>
      <c r="H8" s="160"/>
      <c r="I8" s="160">
        <v>90</v>
      </c>
      <c r="J8" s="159">
        <v>90</v>
      </c>
      <c r="K8" s="159"/>
      <c r="L8" s="159"/>
      <c r="M8" s="159"/>
      <c r="N8" s="159"/>
      <c r="O8" s="159"/>
      <c r="P8" s="159"/>
      <c r="Q8" s="159"/>
      <c r="R8" s="160"/>
      <c r="S8" s="160"/>
      <c r="T8" s="159"/>
      <c r="U8" s="354">
        <f t="shared" si="4"/>
        <v>90</v>
      </c>
      <c r="V8" s="355" t="str">
        <f>IF(U8&gt;KKM!$G$10,"A",IF(U8&gt;KKM!$H$10,"B",IF(U8&gt;=KKM!$I$10,"C","D")))</f>
        <v>A</v>
      </c>
      <c r="W8" s="356">
        <f t="shared" si="0"/>
        <v>90</v>
      </c>
      <c r="X8" s="361" t="str">
        <f>IF(W8&gt;KKM!$G$10," sangat baik ",IF(W8&gt;KKM!$H$10," baik ",IF(W8&gt;=KKM!$I$10," cukup baik "," perlu bimbingan ")))</f>
        <v xml:space="preserve"> sangat baik </v>
      </c>
      <c r="Y8" s="357">
        <f t="shared" si="1"/>
        <v>90</v>
      </c>
      <c r="Z8" s="361" t="str">
        <f>IF(Y8&gt;KKM!$G$10," sangat baik ",IF(Y8&gt;KKM!$H$10," baik ",IF(Y8&gt;=KKM!$I$10," cukup baik "," perlu bimbingan ")))</f>
        <v xml:space="preserve"> sangat baik </v>
      </c>
      <c r="AA8" s="353" t="str">
        <f t="shared" si="5"/>
        <v>ANGGARA sangat baik  dalam membuat gambar cerita</v>
      </c>
      <c r="AB8" s="256"/>
      <c r="AC8" s="257" t="str">
        <f t="shared" si="2"/>
        <v xml:space="preserve"> sangat baik  dalam membuat gambar cerita</v>
      </c>
      <c r="AD8" s="257" t="str">
        <f t="shared" si="3"/>
        <v xml:space="preserve"> sangat baik  dalam membuat gambar cerita</v>
      </c>
      <c r="AE8" s="257" t="str">
        <f t="shared" si="6"/>
        <v xml:space="preserve"> sangat baik  dalam membuat gambar cerita, dan  sangat baik  dalam membuat gambar cerita</v>
      </c>
      <c r="AF8" s="257" t="str">
        <f t="shared" si="7"/>
        <v xml:space="preserve"> sangat baik  dalam membuat gambar cerita</v>
      </c>
      <c r="AG8" s="258" t="str">
        <f t="shared" si="8"/>
        <v xml:space="preserve"> sangat baik  dalam membuat gambar cerita</v>
      </c>
      <c r="AH8" s="252" t="str">
        <f t="shared" si="9"/>
        <v>ANGGARA sangat baik  dalam membuat gambar cerita</v>
      </c>
      <c r="AI8" s="153"/>
      <c r="AR8" s="469">
        <f t="shared" si="10"/>
        <v>90</v>
      </c>
    </row>
    <row r="9" spans="1:52" ht="68.25" customHeight="1">
      <c r="B9" s="142">
        <v>5</v>
      </c>
      <c r="C9" s="143" t="str">
        <f>SISWA!B10</f>
        <v>1718250040309</v>
      </c>
      <c r="D9" s="144" t="str">
        <f>SISWA!E10</f>
        <v>ARIA</v>
      </c>
      <c r="E9" s="159">
        <v>92.5</v>
      </c>
      <c r="F9" s="160">
        <v>92.5</v>
      </c>
      <c r="G9" s="160"/>
      <c r="H9" s="160"/>
      <c r="I9" s="160">
        <v>92.5</v>
      </c>
      <c r="J9" s="159">
        <v>92.5</v>
      </c>
      <c r="K9" s="159"/>
      <c r="L9" s="159"/>
      <c r="M9" s="159"/>
      <c r="N9" s="159"/>
      <c r="O9" s="159"/>
      <c r="P9" s="159"/>
      <c r="Q9" s="159"/>
      <c r="R9" s="160"/>
      <c r="S9" s="160"/>
      <c r="T9" s="159"/>
      <c r="U9" s="354">
        <f t="shared" si="4"/>
        <v>93</v>
      </c>
      <c r="V9" s="355" t="str">
        <f>IF(U9&gt;KKM!$G$10,"A",IF(U9&gt;KKM!$H$10,"B",IF(U9&gt;=KKM!$I$10,"C","D")))</f>
        <v>A</v>
      </c>
      <c r="W9" s="356">
        <f t="shared" si="0"/>
        <v>92.5</v>
      </c>
      <c r="X9" s="361" t="str">
        <f>IF(W9&gt;KKM!$G$10," sangat baik ",IF(W9&gt;KKM!$H$10," baik ",IF(W9&gt;=KKM!$I$10," cukup baik "," perlu bimbingan ")))</f>
        <v xml:space="preserve"> sangat baik </v>
      </c>
      <c r="Y9" s="357">
        <f t="shared" si="1"/>
        <v>92.5</v>
      </c>
      <c r="Z9" s="361" t="str">
        <f>IF(Y9&gt;KKM!$G$10," sangat baik ",IF(Y9&gt;KKM!$H$10," baik ",IF(Y9&gt;=KKM!$I$10," cukup baik "," perlu bimbingan ")))</f>
        <v xml:space="preserve"> sangat baik </v>
      </c>
      <c r="AA9" s="353" t="str">
        <f t="shared" si="5"/>
        <v>ARIA sangat baik  dalam membuat gambar cerita</v>
      </c>
      <c r="AB9" s="256"/>
      <c r="AC9" s="257" t="str">
        <f t="shared" si="2"/>
        <v xml:space="preserve"> sangat baik  dalam membuat gambar cerita</v>
      </c>
      <c r="AD9" s="257" t="str">
        <f t="shared" si="3"/>
        <v xml:space="preserve"> sangat baik  dalam membuat gambar cerita</v>
      </c>
      <c r="AE9" s="257" t="str">
        <f t="shared" si="6"/>
        <v xml:space="preserve"> sangat baik  dalam membuat gambar cerita, dan  sangat baik  dalam membuat gambar cerita</v>
      </c>
      <c r="AF9" s="257" t="str">
        <f t="shared" si="7"/>
        <v xml:space="preserve"> sangat baik  dalam membuat gambar cerita</v>
      </c>
      <c r="AG9" s="258" t="str">
        <f t="shared" si="8"/>
        <v xml:space="preserve"> sangat baik  dalam membuat gambar cerita</v>
      </c>
      <c r="AH9" s="252" t="str">
        <f t="shared" si="9"/>
        <v>ARIA sangat baik  dalam membuat gambar cerita</v>
      </c>
      <c r="AI9" s="153"/>
      <c r="AR9" s="469">
        <f t="shared" si="10"/>
        <v>93</v>
      </c>
    </row>
    <row r="10" spans="1:52" ht="68.25" customHeight="1">
      <c r="B10" s="142">
        <v>6</v>
      </c>
      <c r="C10" s="143" t="str">
        <f>SISWA!B11</f>
        <v>1718250040310</v>
      </c>
      <c r="D10" s="144" t="str">
        <f>SISWA!E11</f>
        <v>CAHAYA</v>
      </c>
      <c r="E10" s="159">
        <v>90</v>
      </c>
      <c r="F10" s="160">
        <v>90</v>
      </c>
      <c r="G10" s="160"/>
      <c r="H10" s="160"/>
      <c r="I10" s="160">
        <v>90</v>
      </c>
      <c r="J10" s="159">
        <v>90</v>
      </c>
      <c r="K10" s="159"/>
      <c r="L10" s="159"/>
      <c r="M10" s="159"/>
      <c r="N10" s="159"/>
      <c r="O10" s="159"/>
      <c r="P10" s="159"/>
      <c r="Q10" s="159"/>
      <c r="R10" s="160"/>
      <c r="S10" s="160"/>
      <c r="T10" s="159"/>
      <c r="U10" s="354">
        <f t="shared" si="4"/>
        <v>90</v>
      </c>
      <c r="V10" s="355" t="str">
        <f>IF(U10&gt;KKM!$G$10,"A",IF(U10&gt;KKM!$H$10,"B",IF(U10&gt;=KKM!$I$10,"C","D")))</f>
        <v>A</v>
      </c>
      <c r="W10" s="356">
        <f t="shared" si="0"/>
        <v>90</v>
      </c>
      <c r="X10" s="361" t="str">
        <f>IF(W10&gt;KKM!$G$10," sangat baik ",IF(W10&gt;KKM!$H$10," baik ",IF(W10&gt;=KKM!$I$10," cukup baik "," perlu bimbingan ")))</f>
        <v xml:space="preserve"> sangat baik </v>
      </c>
      <c r="Y10" s="357">
        <f t="shared" si="1"/>
        <v>90</v>
      </c>
      <c r="Z10" s="361" t="str">
        <f>IF(Y10&gt;KKM!$G$10," sangat baik ",IF(Y10&gt;KKM!$H$10," baik ",IF(Y10&gt;=KKM!$I$10," cukup baik "," perlu bimbingan ")))</f>
        <v xml:space="preserve"> sangat baik </v>
      </c>
      <c r="AA10" s="353" t="str">
        <f t="shared" si="5"/>
        <v>CAHAYA sangat baik  dalam membuat gambar cerita</v>
      </c>
      <c r="AB10" s="256"/>
      <c r="AC10" s="257" t="str">
        <f t="shared" si="2"/>
        <v xml:space="preserve"> sangat baik  dalam membuat gambar cerita</v>
      </c>
      <c r="AD10" s="257" t="str">
        <f t="shared" si="3"/>
        <v xml:space="preserve"> sangat baik  dalam membuat gambar cerita</v>
      </c>
      <c r="AE10" s="257" t="str">
        <f t="shared" si="6"/>
        <v xml:space="preserve"> sangat baik  dalam membuat gambar cerita, dan  sangat baik  dalam membuat gambar cerita</v>
      </c>
      <c r="AF10" s="257" t="str">
        <f t="shared" si="7"/>
        <v xml:space="preserve"> sangat baik  dalam membuat gambar cerita</v>
      </c>
      <c r="AG10" s="258" t="str">
        <f t="shared" si="8"/>
        <v xml:space="preserve"> sangat baik  dalam membuat gambar cerita</v>
      </c>
      <c r="AH10" s="252" t="str">
        <f t="shared" si="9"/>
        <v>CAHAYA sangat baik  dalam membuat gambar cerita</v>
      </c>
      <c r="AI10" s="153"/>
      <c r="AR10" s="469">
        <f t="shared" si="10"/>
        <v>90</v>
      </c>
    </row>
    <row r="11" spans="1:52" ht="68.25" customHeight="1">
      <c r="B11" s="142">
        <v>7</v>
      </c>
      <c r="C11" s="143" t="str">
        <f>SISWA!B12</f>
        <v>1718250040311</v>
      </c>
      <c r="D11" s="144" t="str">
        <f>SISWA!E12</f>
        <v>CALISTA</v>
      </c>
      <c r="E11" s="159">
        <v>82.5</v>
      </c>
      <c r="F11" s="160">
        <v>82.5</v>
      </c>
      <c r="G11" s="160"/>
      <c r="H11" s="160"/>
      <c r="I11" s="160">
        <v>82.5</v>
      </c>
      <c r="J11" s="159">
        <v>82.5</v>
      </c>
      <c r="K11" s="159"/>
      <c r="L11" s="159"/>
      <c r="M11" s="159"/>
      <c r="N11" s="159"/>
      <c r="O11" s="159"/>
      <c r="P11" s="159"/>
      <c r="Q11" s="159"/>
      <c r="R11" s="160"/>
      <c r="S11" s="160"/>
      <c r="T11" s="159"/>
      <c r="U11" s="354">
        <f t="shared" si="4"/>
        <v>83</v>
      </c>
      <c r="V11" s="355" t="str">
        <f>IF(U11&gt;KKM!$G$10,"A",IF(U11&gt;KKM!$H$10,"B",IF(U11&gt;=KKM!$I$10,"C","D")))</f>
        <v>B</v>
      </c>
      <c r="W11" s="356">
        <f t="shared" si="0"/>
        <v>82.5</v>
      </c>
      <c r="X11" s="361" t="str">
        <f>IF(W11&gt;KKM!$G$10," sangat baik ",IF(W11&gt;KKM!$H$10," baik ",IF(W11&gt;=KKM!$I$10," cukup baik "," perlu bimbingan ")))</f>
        <v xml:space="preserve"> baik </v>
      </c>
      <c r="Y11" s="357">
        <f t="shared" si="1"/>
        <v>82.5</v>
      </c>
      <c r="Z11" s="361" t="str">
        <f>IF(Y11&gt;KKM!$G$10," sangat baik ",IF(Y11&gt;KKM!$H$10," baik ",IF(Y11&gt;=KKM!$I$10," cukup baik "," perlu bimbingan ")))</f>
        <v xml:space="preserve"> baik </v>
      </c>
      <c r="AA11" s="353" t="str">
        <f t="shared" si="5"/>
        <v>CALISTA baik  dalam membuat gambar cerita</v>
      </c>
      <c r="AB11" s="256"/>
      <c r="AC11" s="257" t="str">
        <f t="shared" si="2"/>
        <v xml:space="preserve"> baik  dalam membuat gambar cerita</v>
      </c>
      <c r="AD11" s="257" t="str">
        <f t="shared" si="3"/>
        <v xml:space="preserve"> baik  dalam membuat gambar cerita</v>
      </c>
      <c r="AE11" s="257" t="str">
        <f t="shared" si="6"/>
        <v xml:space="preserve"> baik  dalam membuat gambar cerita, dan  baik  dalam membuat gambar cerita</v>
      </c>
      <c r="AF11" s="257" t="str">
        <f t="shared" si="7"/>
        <v xml:space="preserve"> baik  dalam membuat gambar cerita</v>
      </c>
      <c r="AG11" s="258" t="str">
        <f t="shared" si="8"/>
        <v xml:space="preserve"> baik  dalam membuat gambar cerita</v>
      </c>
      <c r="AH11" s="252" t="str">
        <f t="shared" si="9"/>
        <v>CALISTA baik  dalam membuat gambar cerita</v>
      </c>
      <c r="AI11" s="153"/>
      <c r="AR11" s="469">
        <f t="shared" si="10"/>
        <v>83</v>
      </c>
    </row>
    <row r="12" spans="1:52" ht="68.25" customHeight="1">
      <c r="B12" s="142">
        <v>8</v>
      </c>
      <c r="C12" s="143" t="str">
        <f>SISWA!B13</f>
        <v>1718250040312</v>
      </c>
      <c r="D12" s="144" t="str">
        <f>SISWA!E13</f>
        <v>CARISSA</v>
      </c>
      <c r="E12" s="159">
        <v>92.5</v>
      </c>
      <c r="F12" s="160">
        <v>92.5</v>
      </c>
      <c r="G12" s="160"/>
      <c r="H12" s="160"/>
      <c r="I12" s="160">
        <v>92.5</v>
      </c>
      <c r="J12" s="159">
        <v>92.5</v>
      </c>
      <c r="K12" s="159"/>
      <c r="L12" s="159"/>
      <c r="M12" s="159"/>
      <c r="N12" s="159"/>
      <c r="O12" s="159"/>
      <c r="P12" s="159"/>
      <c r="Q12" s="159"/>
      <c r="R12" s="160"/>
      <c r="S12" s="160"/>
      <c r="T12" s="159"/>
      <c r="U12" s="354">
        <f t="shared" si="4"/>
        <v>93</v>
      </c>
      <c r="V12" s="355" t="str">
        <f>IF(U12&gt;KKM!$G$10,"A",IF(U12&gt;KKM!$H$10,"B",IF(U12&gt;=KKM!$I$10,"C","D")))</f>
        <v>A</v>
      </c>
      <c r="W12" s="356">
        <f t="shared" si="0"/>
        <v>92.5</v>
      </c>
      <c r="X12" s="361" t="str">
        <f>IF(W12&gt;KKM!$G$10," sangat baik ",IF(W12&gt;KKM!$H$10," baik ",IF(W12&gt;=KKM!$I$10," cukup baik "," perlu bimbingan ")))</f>
        <v xml:space="preserve"> sangat baik </v>
      </c>
      <c r="Y12" s="357">
        <f t="shared" si="1"/>
        <v>92.5</v>
      </c>
      <c r="Z12" s="361" t="str">
        <f>IF(Y12&gt;KKM!$G$10," sangat baik ",IF(Y12&gt;KKM!$H$10," baik ",IF(Y12&gt;=KKM!$I$10," cukup baik "," perlu bimbingan ")))</f>
        <v xml:space="preserve"> sangat baik </v>
      </c>
      <c r="AA12" s="353" t="str">
        <f t="shared" si="5"/>
        <v>CARISSA sangat baik  dalam membuat gambar cerita</v>
      </c>
      <c r="AB12" s="256"/>
      <c r="AC12" s="257" t="str">
        <f t="shared" si="2"/>
        <v xml:space="preserve"> sangat baik  dalam membuat gambar cerita</v>
      </c>
      <c r="AD12" s="257" t="str">
        <f t="shared" si="3"/>
        <v xml:space="preserve"> sangat baik  dalam membuat gambar cerita</v>
      </c>
      <c r="AE12" s="257" t="str">
        <f t="shared" si="6"/>
        <v xml:space="preserve"> sangat baik  dalam membuat gambar cerita, dan  sangat baik  dalam membuat gambar cerita</v>
      </c>
      <c r="AF12" s="257" t="str">
        <f t="shared" si="7"/>
        <v xml:space="preserve"> sangat baik  dalam membuat gambar cerita</v>
      </c>
      <c r="AG12" s="258" t="str">
        <f t="shared" si="8"/>
        <v xml:space="preserve"> sangat baik  dalam membuat gambar cerita</v>
      </c>
      <c r="AH12" s="252" t="str">
        <f t="shared" si="9"/>
        <v>CARISSA sangat baik  dalam membuat gambar cerita</v>
      </c>
      <c r="AI12" s="153"/>
      <c r="AR12" s="469">
        <f t="shared" si="10"/>
        <v>93</v>
      </c>
    </row>
    <row r="13" spans="1:52" ht="68.25" customHeight="1">
      <c r="B13" s="142">
        <v>9</v>
      </c>
      <c r="C13" s="143" t="str">
        <f>SISWA!B14</f>
        <v>1718250040313</v>
      </c>
      <c r="D13" s="144" t="str">
        <f>SISWA!E14</f>
        <v>CHAIDAR</v>
      </c>
      <c r="E13" s="159">
        <v>95</v>
      </c>
      <c r="F13" s="160">
        <v>95</v>
      </c>
      <c r="G13" s="160"/>
      <c r="H13" s="160"/>
      <c r="I13" s="160">
        <v>95</v>
      </c>
      <c r="J13" s="159">
        <v>95</v>
      </c>
      <c r="K13" s="159"/>
      <c r="L13" s="159"/>
      <c r="M13" s="159"/>
      <c r="N13" s="159"/>
      <c r="O13" s="159"/>
      <c r="P13" s="159"/>
      <c r="Q13" s="159"/>
      <c r="R13" s="160"/>
      <c r="S13" s="160"/>
      <c r="T13" s="159"/>
      <c r="U13" s="354">
        <f t="shared" si="4"/>
        <v>95</v>
      </c>
      <c r="V13" s="355" t="str">
        <f>IF(U13&gt;KKM!$G$10,"A",IF(U13&gt;KKM!$H$10,"B",IF(U13&gt;=KKM!$I$10,"C","D")))</f>
        <v>A</v>
      </c>
      <c r="W13" s="356">
        <f t="shared" si="0"/>
        <v>95</v>
      </c>
      <c r="X13" s="361" t="str">
        <f>IF(W13&gt;KKM!$G$10," sangat baik ",IF(W13&gt;KKM!$H$10," baik ",IF(W13&gt;=KKM!$I$10," cukup baik "," perlu bimbingan ")))</f>
        <v xml:space="preserve"> sangat baik </v>
      </c>
      <c r="Y13" s="357">
        <f t="shared" si="1"/>
        <v>95</v>
      </c>
      <c r="Z13" s="361" t="str">
        <f>IF(Y13&gt;KKM!$G$10," sangat baik ",IF(Y13&gt;KKM!$H$10," baik ",IF(Y13&gt;=KKM!$I$10," cukup baik "," perlu bimbingan ")))</f>
        <v xml:space="preserve"> sangat baik </v>
      </c>
      <c r="AA13" s="353" t="str">
        <f t="shared" si="5"/>
        <v>CHAIDAR sangat baik  dalam membuat gambar cerita</v>
      </c>
      <c r="AB13" s="256"/>
      <c r="AC13" s="257" t="str">
        <f t="shared" si="2"/>
        <v xml:space="preserve"> sangat baik  dalam membuat gambar cerita</v>
      </c>
      <c r="AD13" s="257" t="str">
        <f t="shared" si="3"/>
        <v xml:space="preserve"> sangat baik  dalam membuat gambar cerita</v>
      </c>
      <c r="AE13" s="257" t="str">
        <f t="shared" si="6"/>
        <v xml:space="preserve"> sangat baik  dalam membuat gambar cerita, dan  sangat baik  dalam membuat gambar cerita</v>
      </c>
      <c r="AF13" s="257" t="str">
        <f t="shared" si="7"/>
        <v xml:space="preserve"> sangat baik  dalam membuat gambar cerita</v>
      </c>
      <c r="AG13" s="258" t="str">
        <f t="shared" si="8"/>
        <v xml:space="preserve"> sangat baik  dalam membuat gambar cerita</v>
      </c>
      <c r="AH13" s="252" t="str">
        <f t="shared" si="9"/>
        <v>CHAIDAR sangat baik  dalam membuat gambar cerita</v>
      </c>
      <c r="AI13" s="153"/>
      <c r="AR13" s="469">
        <f t="shared" si="10"/>
        <v>95</v>
      </c>
    </row>
    <row r="14" spans="1:52" ht="68.25" customHeight="1">
      <c r="B14" s="142">
        <v>10</v>
      </c>
      <c r="C14" s="143" t="str">
        <f>SISWA!B15</f>
        <v>1718250040314</v>
      </c>
      <c r="D14" s="144" t="str">
        <f>SISWA!E15</f>
        <v>DAVKA</v>
      </c>
      <c r="E14" s="159">
        <v>97.5</v>
      </c>
      <c r="F14" s="160">
        <v>97.5</v>
      </c>
      <c r="G14" s="160"/>
      <c r="H14" s="160"/>
      <c r="I14" s="160">
        <v>97.5</v>
      </c>
      <c r="J14" s="159">
        <v>97.5</v>
      </c>
      <c r="K14" s="159"/>
      <c r="L14" s="159"/>
      <c r="M14" s="159"/>
      <c r="N14" s="159"/>
      <c r="O14" s="159"/>
      <c r="P14" s="159"/>
      <c r="Q14" s="159"/>
      <c r="R14" s="160"/>
      <c r="S14" s="160"/>
      <c r="T14" s="159"/>
      <c r="U14" s="354">
        <f t="shared" si="4"/>
        <v>98</v>
      </c>
      <c r="V14" s="355" t="str">
        <f>IF(U14&gt;KKM!$G$10,"A",IF(U14&gt;KKM!$H$10,"B",IF(U14&gt;=KKM!$I$10,"C","D")))</f>
        <v>A</v>
      </c>
      <c r="W14" s="356">
        <f t="shared" si="0"/>
        <v>97.5</v>
      </c>
      <c r="X14" s="361" t="str">
        <f>IF(W14&gt;KKM!$G$10," sangat baik ",IF(W14&gt;KKM!$H$10," baik ",IF(W14&gt;=KKM!$I$10," cukup baik "," perlu bimbingan ")))</f>
        <v xml:space="preserve"> sangat baik </v>
      </c>
      <c r="Y14" s="357">
        <f t="shared" si="1"/>
        <v>97.5</v>
      </c>
      <c r="Z14" s="361" t="str">
        <f>IF(Y14&gt;KKM!$G$10," sangat baik ",IF(Y14&gt;KKM!$H$10," baik ",IF(Y14&gt;=KKM!$I$10," cukup baik "," perlu bimbingan ")))</f>
        <v xml:space="preserve"> sangat baik </v>
      </c>
      <c r="AA14" s="353" t="str">
        <f t="shared" si="5"/>
        <v>DAVKA sangat baik  dalam membuat gambar cerita</v>
      </c>
      <c r="AB14" s="256"/>
      <c r="AC14" s="257" t="str">
        <f t="shared" si="2"/>
        <v xml:space="preserve"> sangat baik  dalam membuat gambar cerita</v>
      </c>
      <c r="AD14" s="257" t="str">
        <f t="shared" si="3"/>
        <v xml:space="preserve"> sangat baik  dalam membuat gambar cerita</v>
      </c>
      <c r="AE14" s="257" t="str">
        <f t="shared" si="6"/>
        <v xml:space="preserve"> sangat baik  dalam membuat gambar cerita, dan  sangat baik  dalam membuat gambar cerita</v>
      </c>
      <c r="AF14" s="257" t="str">
        <f t="shared" si="7"/>
        <v xml:space="preserve"> sangat baik  dalam membuat gambar cerita</v>
      </c>
      <c r="AG14" s="258" t="str">
        <f t="shared" si="8"/>
        <v xml:space="preserve"> sangat baik  dalam membuat gambar cerita</v>
      </c>
      <c r="AH14" s="252" t="str">
        <f t="shared" si="9"/>
        <v>DAVKA sangat baik  dalam membuat gambar cerita</v>
      </c>
      <c r="AI14" s="153"/>
      <c r="AR14" s="469">
        <f t="shared" si="10"/>
        <v>98</v>
      </c>
    </row>
    <row r="15" spans="1:52" ht="68.25" customHeight="1">
      <c r="B15" s="142">
        <v>11</v>
      </c>
      <c r="C15" s="143" t="str">
        <f>SISWA!B16</f>
        <v>1718250040315</v>
      </c>
      <c r="D15" s="144" t="str">
        <f>SISWA!E16</f>
        <v>DZIBRIL</v>
      </c>
      <c r="E15" s="159">
        <v>80</v>
      </c>
      <c r="F15" s="160">
        <v>80</v>
      </c>
      <c r="G15" s="160"/>
      <c r="H15" s="160"/>
      <c r="I15" s="160">
        <v>80</v>
      </c>
      <c r="J15" s="159">
        <v>80</v>
      </c>
      <c r="K15" s="159"/>
      <c r="L15" s="159"/>
      <c r="M15" s="159"/>
      <c r="N15" s="159"/>
      <c r="O15" s="159"/>
      <c r="P15" s="159"/>
      <c r="Q15" s="159"/>
      <c r="R15" s="160"/>
      <c r="S15" s="160"/>
      <c r="T15" s="159"/>
      <c r="U15" s="354">
        <f t="shared" si="4"/>
        <v>80</v>
      </c>
      <c r="V15" s="355" t="str">
        <f>IF(U15&gt;KKM!$G$10,"A",IF(U15&gt;KKM!$H$10,"B",IF(U15&gt;=KKM!$I$10,"C","D")))</f>
        <v>B</v>
      </c>
      <c r="W15" s="356">
        <f t="shared" si="0"/>
        <v>80</v>
      </c>
      <c r="X15" s="361" t="str">
        <f>IF(W15&gt;KKM!$G$10," sangat baik ",IF(W15&gt;KKM!$H$10," baik ",IF(W15&gt;=KKM!$I$10," cukup baik "," perlu bimbingan ")))</f>
        <v xml:space="preserve"> baik </v>
      </c>
      <c r="Y15" s="357">
        <f t="shared" si="1"/>
        <v>80</v>
      </c>
      <c r="Z15" s="361" t="str">
        <f>IF(Y15&gt;KKM!$G$10," sangat baik ",IF(Y15&gt;KKM!$H$10," baik ",IF(Y15&gt;=KKM!$I$10," cukup baik "," perlu bimbingan ")))</f>
        <v xml:space="preserve"> baik </v>
      </c>
      <c r="AA15" s="353" t="str">
        <f t="shared" si="5"/>
        <v>DZIBRIL baik  dalam membuat gambar cerita</v>
      </c>
      <c r="AB15" s="256"/>
      <c r="AC15" s="257" t="str">
        <f t="shared" si="2"/>
        <v xml:space="preserve"> baik  dalam membuat gambar cerita</v>
      </c>
      <c r="AD15" s="257" t="str">
        <f t="shared" si="3"/>
        <v xml:space="preserve"> baik  dalam membuat gambar cerita</v>
      </c>
      <c r="AE15" s="257" t="str">
        <f t="shared" si="6"/>
        <v xml:space="preserve"> baik  dalam membuat gambar cerita, dan  baik  dalam membuat gambar cerita</v>
      </c>
      <c r="AF15" s="257" t="str">
        <f t="shared" si="7"/>
        <v xml:space="preserve"> baik  dalam membuat gambar cerita</v>
      </c>
      <c r="AG15" s="258" t="str">
        <f t="shared" si="8"/>
        <v xml:space="preserve"> baik  dalam membuat gambar cerita</v>
      </c>
      <c r="AH15" s="252" t="str">
        <f t="shared" si="9"/>
        <v>DZIBRIL baik  dalam membuat gambar cerita</v>
      </c>
      <c r="AI15" s="153"/>
      <c r="AR15" s="469">
        <f t="shared" si="10"/>
        <v>80</v>
      </c>
    </row>
    <row r="16" spans="1:52" ht="68.25" customHeight="1">
      <c r="B16" s="142">
        <v>12</v>
      </c>
      <c r="C16" s="143" t="str">
        <f>SISWA!B17</f>
        <v>1718250040316</v>
      </c>
      <c r="D16" s="144" t="str">
        <f>SISWA!E17</f>
        <v>ERICHA</v>
      </c>
      <c r="E16" s="159">
        <v>92.5</v>
      </c>
      <c r="F16" s="160">
        <v>92.5</v>
      </c>
      <c r="G16" s="160"/>
      <c r="H16" s="160"/>
      <c r="I16" s="160">
        <v>92.5</v>
      </c>
      <c r="J16" s="159">
        <v>92.5</v>
      </c>
      <c r="K16" s="159"/>
      <c r="L16" s="159"/>
      <c r="M16" s="159"/>
      <c r="N16" s="159"/>
      <c r="O16" s="159"/>
      <c r="P16" s="159"/>
      <c r="Q16" s="159"/>
      <c r="R16" s="160"/>
      <c r="S16" s="160"/>
      <c r="T16" s="159"/>
      <c r="U16" s="354">
        <f t="shared" si="4"/>
        <v>93</v>
      </c>
      <c r="V16" s="355" t="str">
        <f>IF(U16&gt;KKM!$G$10,"A",IF(U16&gt;KKM!$H$10,"B",IF(U16&gt;=KKM!$I$10,"C","D")))</f>
        <v>A</v>
      </c>
      <c r="W16" s="356">
        <f t="shared" si="0"/>
        <v>92.5</v>
      </c>
      <c r="X16" s="361" t="str">
        <f>IF(W16&gt;KKM!$G$10," sangat baik ",IF(W16&gt;KKM!$H$10," baik ",IF(W16&gt;=KKM!$I$10," cukup baik "," perlu bimbingan ")))</f>
        <v xml:space="preserve"> sangat baik </v>
      </c>
      <c r="Y16" s="357">
        <f t="shared" si="1"/>
        <v>92.5</v>
      </c>
      <c r="Z16" s="361" t="str">
        <f>IF(Y16&gt;KKM!$G$10," sangat baik ",IF(Y16&gt;KKM!$H$10," baik ",IF(Y16&gt;=KKM!$I$10," cukup baik "," perlu bimbingan ")))</f>
        <v xml:space="preserve"> sangat baik </v>
      </c>
      <c r="AA16" s="353" t="str">
        <f t="shared" si="5"/>
        <v>ERICHA sangat baik  dalam membuat gambar cerita</v>
      </c>
      <c r="AB16" s="256"/>
      <c r="AC16" s="257" t="str">
        <f t="shared" si="2"/>
        <v xml:space="preserve"> sangat baik  dalam membuat gambar cerita</v>
      </c>
      <c r="AD16" s="257" t="str">
        <f t="shared" si="3"/>
        <v xml:space="preserve"> sangat baik  dalam membuat gambar cerita</v>
      </c>
      <c r="AE16" s="257" t="str">
        <f t="shared" si="6"/>
        <v xml:space="preserve"> sangat baik  dalam membuat gambar cerita, dan  sangat baik  dalam membuat gambar cerita</v>
      </c>
      <c r="AF16" s="257" t="str">
        <f t="shared" si="7"/>
        <v xml:space="preserve"> sangat baik  dalam membuat gambar cerita</v>
      </c>
      <c r="AG16" s="258" t="str">
        <f t="shared" si="8"/>
        <v xml:space="preserve"> sangat baik  dalam membuat gambar cerita</v>
      </c>
      <c r="AH16" s="252" t="str">
        <f t="shared" si="9"/>
        <v>ERICHA sangat baik  dalam membuat gambar cerita</v>
      </c>
      <c r="AI16" s="153"/>
      <c r="AR16" s="469">
        <f t="shared" si="10"/>
        <v>93</v>
      </c>
    </row>
    <row r="17" spans="2:44" ht="68.25" customHeight="1">
      <c r="B17" s="142">
        <v>13</v>
      </c>
      <c r="C17" s="143" t="str">
        <f>SISWA!B18</f>
        <v>1718250040317</v>
      </c>
      <c r="D17" s="144" t="str">
        <f>SISWA!E18</f>
        <v>HISYAM</v>
      </c>
      <c r="E17" s="159">
        <v>85</v>
      </c>
      <c r="F17" s="160">
        <v>85</v>
      </c>
      <c r="G17" s="160"/>
      <c r="H17" s="160"/>
      <c r="I17" s="160">
        <v>85</v>
      </c>
      <c r="J17" s="159">
        <v>85</v>
      </c>
      <c r="K17" s="159"/>
      <c r="L17" s="159"/>
      <c r="M17" s="159"/>
      <c r="N17" s="159"/>
      <c r="O17" s="159"/>
      <c r="P17" s="159"/>
      <c r="Q17" s="159"/>
      <c r="R17" s="160"/>
      <c r="S17" s="160"/>
      <c r="T17" s="159"/>
      <c r="U17" s="354">
        <f t="shared" si="4"/>
        <v>85</v>
      </c>
      <c r="V17" s="355" t="str">
        <f>IF(U17&gt;KKM!$G$10,"A",IF(U17&gt;KKM!$H$10,"B",IF(U17&gt;=KKM!$I$10,"C","D")))</f>
        <v>B</v>
      </c>
      <c r="W17" s="356">
        <f t="shared" si="0"/>
        <v>85</v>
      </c>
      <c r="X17" s="361" t="str">
        <f>IF(W17&gt;KKM!$G$10," sangat baik ",IF(W17&gt;KKM!$H$10," baik ",IF(W17&gt;=KKM!$I$10," cukup baik "," perlu bimbingan ")))</f>
        <v xml:space="preserve"> baik </v>
      </c>
      <c r="Y17" s="357">
        <f t="shared" si="1"/>
        <v>85</v>
      </c>
      <c r="Z17" s="361" t="str">
        <f>IF(Y17&gt;KKM!$G$10," sangat baik ",IF(Y17&gt;KKM!$H$10," baik ",IF(Y17&gt;=KKM!$I$10," cukup baik "," perlu bimbingan ")))</f>
        <v xml:space="preserve"> baik </v>
      </c>
      <c r="AA17" s="353" t="str">
        <f t="shared" si="5"/>
        <v>HISYAM baik  dalam membuat gambar cerita</v>
      </c>
      <c r="AB17" s="256"/>
      <c r="AC17" s="257" t="str">
        <f t="shared" si="2"/>
        <v xml:space="preserve"> baik  dalam membuat gambar cerita</v>
      </c>
      <c r="AD17" s="257" t="str">
        <f t="shared" si="3"/>
        <v xml:space="preserve"> baik  dalam membuat gambar cerita</v>
      </c>
      <c r="AE17" s="257" t="str">
        <f t="shared" si="6"/>
        <v xml:space="preserve"> baik  dalam membuat gambar cerita, dan  baik  dalam membuat gambar cerita</v>
      </c>
      <c r="AF17" s="257" t="str">
        <f t="shared" si="7"/>
        <v xml:space="preserve"> baik  dalam membuat gambar cerita</v>
      </c>
      <c r="AG17" s="258" t="str">
        <f t="shared" si="8"/>
        <v xml:space="preserve"> baik  dalam membuat gambar cerita</v>
      </c>
      <c r="AH17" s="252" t="str">
        <f t="shared" si="9"/>
        <v>HISYAM baik  dalam membuat gambar cerita</v>
      </c>
      <c r="AI17" s="153"/>
      <c r="AR17" s="469">
        <f t="shared" si="10"/>
        <v>85</v>
      </c>
    </row>
    <row r="18" spans="2:44" ht="68.25" customHeight="1">
      <c r="B18" s="142">
        <v>14</v>
      </c>
      <c r="C18" s="143" t="str">
        <f>SISWA!B19</f>
        <v>1718250040318</v>
      </c>
      <c r="D18" s="144" t="str">
        <f>SISWA!E19</f>
        <v>FAUZI</v>
      </c>
      <c r="E18" s="159">
        <v>85</v>
      </c>
      <c r="F18" s="160">
        <v>85</v>
      </c>
      <c r="G18" s="160"/>
      <c r="H18" s="160"/>
      <c r="I18" s="160">
        <v>85</v>
      </c>
      <c r="J18" s="159">
        <v>85</v>
      </c>
      <c r="K18" s="159"/>
      <c r="L18" s="159"/>
      <c r="M18" s="159"/>
      <c r="N18" s="159"/>
      <c r="O18" s="159"/>
      <c r="P18" s="159"/>
      <c r="Q18" s="159"/>
      <c r="R18" s="160"/>
      <c r="S18" s="160"/>
      <c r="T18" s="159"/>
      <c r="U18" s="354">
        <f t="shared" si="4"/>
        <v>85</v>
      </c>
      <c r="V18" s="355" t="str">
        <f>IF(U18&gt;KKM!$G$10,"A",IF(U18&gt;KKM!$H$10,"B",IF(U18&gt;=KKM!$I$10,"C","D")))</f>
        <v>B</v>
      </c>
      <c r="W18" s="356">
        <f t="shared" si="0"/>
        <v>85</v>
      </c>
      <c r="X18" s="361" t="str">
        <f>IF(W18&gt;KKM!$G$10," sangat baik ",IF(W18&gt;KKM!$H$10," baik ",IF(W18&gt;=KKM!$I$10," cukup baik "," perlu bimbingan ")))</f>
        <v xml:space="preserve"> baik </v>
      </c>
      <c r="Y18" s="357">
        <f t="shared" si="1"/>
        <v>85</v>
      </c>
      <c r="Z18" s="361" t="str">
        <f>IF(Y18&gt;KKM!$G$10," sangat baik ",IF(Y18&gt;KKM!$H$10," baik ",IF(Y18&gt;=KKM!$I$10," cukup baik "," perlu bimbingan ")))</f>
        <v xml:space="preserve"> baik </v>
      </c>
      <c r="AA18" s="353" t="str">
        <f t="shared" si="5"/>
        <v>FAUZI baik  dalam membuat gambar cerita</v>
      </c>
      <c r="AB18" s="256"/>
      <c r="AC18" s="257" t="str">
        <f t="shared" si="2"/>
        <v xml:space="preserve"> baik  dalam membuat gambar cerita</v>
      </c>
      <c r="AD18" s="257" t="str">
        <f t="shared" si="3"/>
        <v xml:space="preserve"> baik  dalam membuat gambar cerita</v>
      </c>
      <c r="AE18" s="257" t="str">
        <f t="shared" si="6"/>
        <v xml:space="preserve"> baik  dalam membuat gambar cerita, dan  baik  dalam membuat gambar cerita</v>
      </c>
      <c r="AF18" s="257" t="str">
        <f t="shared" si="7"/>
        <v xml:space="preserve"> baik  dalam membuat gambar cerita</v>
      </c>
      <c r="AG18" s="258" t="str">
        <f t="shared" si="8"/>
        <v xml:space="preserve"> baik  dalam membuat gambar cerita</v>
      </c>
      <c r="AH18" s="252" t="str">
        <f t="shared" si="9"/>
        <v>FAUZI baik  dalam membuat gambar cerita</v>
      </c>
      <c r="AI18" s="153"/>
      <c r="AR18" s="469">
        <f t="shared" si="10"/>
        <v>85</v>
      </c>
    </row>
    <row r="19" spans="2:44" ht="68.25" customHeight="1">
      <c r="B19" s="142">
        <v>15</v>
      </c>
      <c r="C19" s="143" t="str">
        <f>SISWA!B20</f>
        <v>1718250040319</v>
      </c>
      <c r="D19" s="144" t="str">
        <f>SISWA!E20</f>
        <v>FIRLY</v>
      </c>
      <c r="E19" s="159">
        <v>87.5</v>
      </c>
      <c r="F19" s="160">
        <v>87.5</v>
      </c>
      <c r="G19" s="160"/>
      <c r="H19" s="160"/>
      <c r="I19" s="160">
        <v>87.5</v>
      </c>
      <c r="J19" s="159">
        <v>87.5</v>
      </c>
      <c r="K19" s="159"/>
      <c r="L19" s="159"/>
      <c r="M19" s="159"/>
      <c r="N19" s="159"/>
      <c r="O19" s="159"/>
      <c r="P19" s="159"/>
      <c r="Q19" s="159"/>
      <c r="R19" s="160"/>
      <c r="S19" s="160"/>
      <c r="T19" s="159"/>
      <c r="U19" s="354">
        <f t="shared" si="4"/>
        <v>88</v>
      </c>
      <c r="V19" s="355" t="str">
        <f>IF(U19&gt;KKM!$G$10,"A",IF(U19&gt;KKM!$H$10,"B",IF(U19&gt;=KKM!$I$10,"C","D")))</f>
        <v>A</v>
      </c>
      <c r="W19" s="356">
        <f t="shared" si="0"/>
        <v>87.5</v>
      </c>
      <c r="X19" s="361" t="str">
        <f>IF(W19&gt;KKM!$G$10," sangat baik ",IF(W19&gt;KKM!$H$10," baik ",IF(W19&gt;=KKM!$I$10," cukup baik "," perlu bimbingan ")))</f>
        <v xml:space="preserve"> sangat baik </v>
      </c>
      <c r="Y19" s="357">
        <f t="shared" si="1"/>
        <v>87.5</v>
      </c>
      <c r="Z19" s="361" t="str">
        <f>IF(Y19&gt;KKM!$G$10," sangat baik ",IF(Y19&gt;KKM!$H$10," baik ",IF(Y19&gt;=KKM!$I$10," cukup baik "," perlu bimbingan ")))</f>
        <v xml:space="preserve"> sangat baik </v>
      </c>
      <c r="AA19" s="353" t="str">
        <f t="shared" si="5"/>
        <v>FIRLY sangat baik  dalam membuat gambar cerita</v>
      </c>
      <c r="AB19" s="256"/>
      <c r="AC19" s="257" t="str">
        <f t="shared" si="2"/>
        <v xml:space="preserve"> sangat baik  dalam membuat gambar cerita</v>
      </c>
      <c r="AD19" s="257" t="str">
        <f t="shared" si="3"/>
        <v xml:space="preserve"> sangat baik  dalam membuat gambar cerita</v>
      </c>
      <c r="AE19" s="257" t="str">
        <f t="shared" si="6"/>
        <v xml:space="preserve"> sangat baik  dalam membuat gambar cerita, dan  sangat baik  dalam membuat gambar cerita</v>
      </c>
      <c r="AF19" s="257" t="str">
        <f t="shared" si="7"/>
        <v xml:space="preserve"> sangat baik  dalam membuat gambar cerita</v>
      </c>
      <c r="AG19" s="258" t="str">
        <f t="shared" si="8"/>
        <v xml:space="preserve"> sangat baik  dalam membuat gambar cerita</v>
      </c>
      <c r="AH19" s="252" t="str">
        <f t="shared" si="9"/>
        <v>FIRLY sangat baik  dalam membuat gambar cerita</v>
      </c>
      <c r="AI19" s="153"/>
      <c r="AR19" s="469">
        <f t="shared" si="10"/>
        <v>88</v>
      </c>
    </row>
    <row r="20" spans="2:44" ht="68.25" customHeight="1">
      <c r="B20" s="142">
        <v>16</v>
      </c>
      <c r="C20" s="143" t="str">
        <f>SISWA!B21</f>
        <v>1718250040320</v>
      </c>
      <c r="D20" s="144" t="str">
        <f>SISWA!E21</f>
        <v>HANA</v>
      </c>
      <c r="E20" s="159">
        <v>85</v>
      </c>
      <c r="F20" s="160">
        <v>85</v>
      </c>
      <c r="G20" s="160"/>
      <c r="H20" s="160"/>
      <c r="I20" s="160">
        <v>85</v>
      </c>
      <c r="J20" s="159">
        <v>85</v>
      </c>
      <c r="K20" s="159"/>
      <c r="L20" s="159"/>
      <c r="M20" s="159"/>
      <c r="N20" s="159"/>
      <c r="O20" s="159"/>
      <c r="P20" s="159"/>
      <c r="Q20" s="159"/>
      <c r="R20" s="160"/>
      <c r="S20" s="160"/>
      <c r="T20" s="159"/>
      <c r="U20" s="354">
        <f t="shared" si="4"/>
        <v>85</v>
      </c>
      <c r="V20" s="355" t="str">
        <f>IF(U20&gt;KKM!$G$10,"A",IF(U20&gt;KKM!$H$10,"B",IF(U20&gt;=KKM!$I$10,"C","D")))</f>
        <v>B</v>
      </c>
      <c r="W20" s="356">
        <f t="shared" si="0"/>
        <v>85</v>
      </c>
      <c r="X20" s="361" t="str">
        <f>IF(W20&gt;KKM!$G$10," sangat baik ",IF(W20&gt;KKM!$H$10," baik ",IF(W20&gt;=KKM!$I$10," cukup baik "," perlu bimbingan ")))</f>
        <v xml:space="preserve"> baik </v>
      </c>
      <c r="Y20" s="357">
        <f t="shared" si="1"/>
        <v>85</v>
      </c>
      <c r="Z20" s="361" t="str">
        <f>IF(Y20&gt;KKM!$G$10," sangat baik ",IF(Y20&gt;KKM!$H$10," baik ",IF(Y20&gt;=KKM!$I$10," cukup baik "," perlu bimbingan ")))</f>
        <v xml:space="preserve"> baik </v>
      </c>
      <c r="AA20" s="353" t="str">
        <f t="shared" si="5"/>
        <v>HANA baik  dalam membuat gambar cerita</v>
      </c>
      <c r="AB20" s="256"/>
      <c r="AC20" s="257" t="str">
        <f t="shared" si="2"/>
        <v xml:space="preserve"> baik  dalam membuat gambar cerita</v>
      </c>
      <c r="AD20" s="257" t="str">
        <f t="shared" si="3"/>
        <v xml:space="preserve"> baik  dalam membuat gambar cerita</v>
      </c>
      <c r="AE20" s="257" t="str">
        <f t="shared" si="6"/>
        <v xml:space="preserve"> baik  dalam membuat gambar cerita, dan  baik  dalam membuat gambar cerita</v>
      </c>
      <c r="AF20" s="257" t="str">
        <f t="shared" si="7"/>
        <v xml:space="preserve"> baik  dalam membuat gambar cerita</v>
      </c>
      <c r="AG20" s="258" t="str">
        <f t="shared" si="8"/>
        <v xml:space="preserve"> baik  dalam membuat gambar cerita</v>
      </c>
      <c r="AH20" s="252" t="str">
        <f t="shared" si="9"/>
        <v>HANA baik  dalam membuat gambar cerita</v>
      </c>
      <c r="AI20" s="153"/>
      <c r="AR20" s="469">
        <f t="shared" si="10"/>
        <v>85</v>
      </c>
    </row>
    <row r="21" spans="2:44" ht="68.25" customHeight="1">
      <c r="B21" s="142">
        <v>17</v>
      </c>
      <c r="C21" s="143" t="str">
        <f>SISWA!B22</f>
        <v>1718250040321</v>
      </c>
      <c r="D21" s="144" t="str">
        <f>SISWA!E22</f>
        <v>MALLA</v>
      </c>
      <c r="E21" s="159">
        <v>95</v>
      </c>
      <c r="F21" s="160">
        <v>95</v>
      </c>
      <c r="G21" s="160"/>
      <c r="H21" s="160"/>
      <c r="I21" s="160">
        <v>95</v>
      </c>
      <c r="J21" s="159">
        <v>95</v>
      </c>
      <c r="K21" s="159"/>
      <c r="L21" s="159"/>
      <c r="M21" s="159"/>
      <c r="N21" s="159"/>
      <c r="O21" s="159"/>
      <c r="P21" s="159"/>
      <c r="Q21" s="159"/>
      <c r="R21" s="160"/>
      <c r="S21" s="160"/>
      <c r="T21" s="159"/>
      <c r="U21" s="354">
        <f t="shared" si="4"/>
        <v>95</v>
      </c>
      <c r="V21" s="355" t="str">
        <f>IF(U21&gt;KKM!$G$10,"A",IF(U21&gt;KKM!$H$10,"B",IF(U21&gt;=KKM!$I$10,"C","D")))</f>
        <v>A</v>
      </c>
      <c r="W21" s="356">
        <f t="shared" si="0"/>
        <v>95</v>
      </c>
      <c r="X21" s="361" t="str">
        <f>IF(W21&gt;KKM!$G$10," sangat baik ",IF(W21&gt;KKM!$H$10," baik ",IF(W21&gt;=KKM!$I$10," cukup baik "," perlu bimbingan ")))</f>
        <v xml:space="preserve"> sangat baik </v>
      </c>
      <c r="Y21" s="357">
        <f t="shared" si="1"/>
        <v>95</v>
      </c>
      <c r="Z21" s="361" t="str">
        <f>IF(Y21&gt;KKM!$G$10," sangat baik ",IF(Y21&gt;KKM!$H$10," baik ",IF(Y21&gt;=KKM!$I$10," cukup baik "," perlu bimbingan ")))</f>
        <v xml:space="preserve"> sangat baik </v>
      </c>
      <c r="AA21" s="353" t="str">
        <f t="shared" si="5"/>
        <v>MALLA sangat baik  dalam membuat gambar cerita</v>
      </c>
      <c r="AB21" s="256"/>
      <c r="AC21" s="257" t="str">
        <f t="shared" si="2"/>
        <v xml:space="preserve"> sangat baik  dalam membuat gambar cerita</v>
      </c>
      <c r="AD21" s="257" t="str">
        <f t="shared" si="3"/>
        <v xml:space="preserve"> sangat baik  dalam membuat gambar cerita</v>
      </c>
      <c r="AE21" s="257" t="str">
        <f t="shared" si="6"/>
        <v xml:space="preserve"> sangat baik  dalam membuat gambar cerita, dan  sangat baik  dalam membuat gambar cerita</v>
      </c>
      <c r="AF21" s="257" t="str">
        <f t="shared" si="7"/>
        <v xml:space="preserve"> sangat baik  dalam membuat gambar cerita</v>
      </c>
      <c r="AG21" s="258" t="str">
        <f t="shared" si="8"/>
        <v xml:space="preserve"> sangat baik  dalam membuat gambar cerita</v>
      </c>
      <c r="AH21" s="252" t="str">
        <f t="shared" si="9"/>
        <v>MALLA sangat baik  dalam membuat gambar cerita</v>
      </c>
      <c r="AI21" s="153"/>
      <c r="AR21" s="469">
        <f t="shared" si="10"/>
        <v>95</v>
      </c>
    </row>
    <row r="22" spans="2:44" ht="68.25" customHeight="1">
      <c r="B22" s="142">
        <v>18</v>
      </c>
      <c r="C22" s="143" t="str">
        <f>SISWA!B23</f>
        <v>1718250040322</v>
      </c>
      <c r="D22" s="144" t="str">
        <f>SISWA!E23</f>
        <v>INTAN</v>
      </c>
      <c r="E22" s="159">
        <v>92.5</v>
      </c>
      <c r="F22" s="160">
        <v>92.5</v>
      </c>
      <c r="G22" s="160"/>
      <c r="H22" s="160"/>
      <c r="I22" s="160">
        <v>92.5</v>
      </c>
      <c r="J22" s="159">
        <v>92.5</v>
      </c>
      <c r="K22" s="159"/>
      <c r="L22" s="159"/>
      <c r="M22" s="159"/>
      <c r="N22" s="159"/>
      <c r="O22" s="159"/>
      <c r="P22" s="159"/>
      <c r="Q22" s="159"/>
      <c r="R22" s="160"/>
      <c r="S22" s="160"/>
      <c r="T22" s="159"/>
      <c r="U22" s="354">
        <f t="shared" si="4"/>
        <v>93</v>
      </c>
      <c r="V22" s="355" t="str">
        <f>IF(U22&gt;KKM!$G$10,"A",IF(U22&gt;KKM!$H$10,"B",IF(U22&gt;=KKM!$I$10,"C","D")))</f>
        <v>A</v>
      </c>
      <c r="W22" s="356">
        <f t="shared" si="0"/>
        <v>92.5</v>
      </c>
      <c r="X22" s="361" t="str">
        <f>IF(W22&gt;KKM!$G$10," sangat baik ",IF(W22&gt;KKM!$H$10," baik ",IF(W22&gt;=KKM!$I$10," cukup baik "," perlu bimbingan ")))</f>
        <v xml:space="preserve"> sangat baik </v>
      </c>
      <c r="Y22" s="357">
        <f t="shared" si="1"/>
        <v>92.5</v>
      </c>
      <c r="Z22" s="361" t="str">
        <f>IF(Y22&gt;KKM!$G$10," sangat baik ",IF(Y22&gt;KKM!$H$10," baik ",IF(Y22&gt;=KKM!$I$10," cukup baik "," perlu bimbingan ")))</f>
        <v xml:space="preserve"> sangat baik </v>
      </c>
      <c r="AA22" s="353" t="str">
        <f t="shared" si="5"/>
        <v>INTAN sangat baik  dalam membuat gambar cerita</v>
      </c>
      <c r="AB22" s="256"/>
      <c r="AC22" s="257" t="str">
        <f t="shared" si="2"/>
        <v xml:space="preserve"> sangat baik  dalam membuat gambar cerita</v>
      </c>
      <c r="AD22" s="257" t="str">
        <f t="shared" si="3"/>
        <v xml:space="preserve"> sangat baik  dalam membuat gambar cerita</v>
      </c>
      <c r="AE22" s="257" t="str">
        <f t="shared" si="6"/>
        <v xml:space="preserve"> sangat baik  dalam membuat gambar cerita, dan  sangat baik  dalam membuat gambar cerita</v>
      </c>
      <c r="AF22" s="257" t="str">
        <f t="shared" si="7"/>
        <v xml:space="preserve"> sangat baik  dalam membuat gambar cerita</v>
      </c>
      <c r="AG22" s="258" t="str">
        <f t="shared" si="8"/>
        <v xml:space="preserve"> sangat baik  dalam membuat gambar cerita</v>
      </c>
      <c r="AH22" s="252" t="str">
        <f t="shared" si="9"/>
        <v>INTAN sangat baik  dalam membuat gambar cerita</v>
      </c>
      <c r="AI22" s="153"/>
      <c r="AR22" s="469">
        <f t="shared" si="10"/>
        <v>93</v>
      </c>
    </row>
    <row r="23" spans="2:44" ht="68.25" customHeight="1">
      <c r="B23" s="142">
        <v>19</v>
      </c>
      <c r="C23" s="143" t="str">
        <f>SISWA!B24</f>
        <v>1718250040323</v>
      </c>
      <c r="D23" s="144" t="str">
        <f>SISWA!E24</f>
        <v>JORDY</v>
      </c>
      <c r="E23" s="159">
        <v>87.5</v>
      </c>
      <c r="F23" s="160">
        <v>87.5</v>
      </c>
      <c r="G23" s="160"/>
      <c r="H23" s="160"/>
      <c r="I23" s="160">
        <v>87.5</v>
      </c>
      <c r="J23" s="159">
        <v>87.5</v>
      </c>
      <c r="K23" s="159"/>
      <c r="L23" s="159"/>
      <c r="M23" s="159"/>
      <c r="N23" s="159"/>
      <c r="O23" s="159"/>
      <c r="P23" s="159"/>
      <c r="Q23" s="159"/>
      <c r="R23" s="160"/>
      <c r="S23" s="160"/>
      <c r="T23" s="159"/>
      <c r="U23" s="354">
        <f t="shared" si="4"/>
        <v>88</v>
      </c>
      <c r="V23" s="355" t="str">
        <f>IF(U23&gt;KKM!$G$10,"A",IF(U23&gt;KKM!$H$10,"B",IF(U23&gt;=KKM!$I$10,"C","D")))</f>
        <v>A</v>
      </c>
      <c r="W23" s="356">
        <f t="shared" si="0"/>
        <v>87.5</v>
      </c>
      <c r="X23" s="361" t="str">
        <f>IF(W23&gt;KKM!$G$10," sangat baik ",IF(W23&gt;KKM!$H$10," baik ",IF(W23&gt;=KKM!$I$10," cukup baik "," perlu bimbingan ")))</f>
        <v xml:space="preserve"> sangat baik </v>
      </c>
      <c r="Y23" s="357">
        <f t="shared" si="1"/>
        <v>87.5</v>
      </c>
      <c r="Z23" s="361" t="str">
        <f>IF(Y23&gt;KKM!$G$10," sangat baik ",IF(Y23&gt;KKM!$H$10," baik ",IF(Y23&gt;=KKM!$I$10," cukup baik "," perlu bimbingan ")))</f>
        <v xml:space="preserve"> sangat baik </v>
      </c>
      <c r="AA23" s="353" t="str">
        <f t="shared" si="5"/>
        <v>JORDY sangat baik  dalam membuat gambar cerita</v>
      </c>
      <c r="AB23" s="256"/>
      <c r="AC23" s="257" t="str">
        <f t="shared" si="2"/>
        <v xml:space="preserve"> sangat baik  dalam membuat gambar cerita</v>
      </c>
      <c r="AD23" s="257" t="str">
        <f t="shared" si="3"/>
        <v xml:space="preserve"> sangat baik  dalam membuat gambar cerita</v>
      </c>
      <c r="AE23" s="257" t="str">
        <f t="shared" si="6"/>
        <v xml:space="preserve"> sangat baik  dalam membuat gambar cerita, dan  sangat baik  dalam membuat gambar cerita</v>
      </c>
      <c r="AF23" s="257" t="str">
        <f t="shared" si="7"/>
        <v xml:space="preserve"> sangat baik  dalam membuat gambar cerita</v>
      </c>
      <c r="AG23" s="258" t="str">
        <f t="shared" si="8"/>
        <v xml:space="preserve"> sangat baik  dalam membuat gambar cerita</v>
      </c>
      <c r="AH23" s="252" t="str">
        <f t="shared" si="9"/>
        <v>JORDY sangat baik  dalam membuat gambar cerita</v>
      </c>
      <c r="AI23" s="153"/>
      <c r="AR23" s="469">
        <f t="shared" si="10"/>
        <v>88</v>
      </c>
    </row>
    <row r="24" spans="2:44" ht="68.25" customHeight="1">
      <c r="B24" s="142">
        <v>20</v>
      </c>
      <c r="C24" s="143" t="str">
        <f>SISWA!B25</f>
        <v>1718250040324</v>
      </c>
      <c r="D24" s="144" t="str">
        <f>SISWA!E25</f>
        <v>KURNIA</v>
      </c>
      <c r="E24" s="159">
        <v>90</v>
      </c>
      <c r="F24" s="160">
        <v>90</v>
      </c>
      <c r="G24" s="160"/>
      <c r="H24" s="160"/>
      <c r="I24" s="160">
        <v>90</v>
      </c>
      <c r="J24" s="159">
        <v>90</v>
      </c>
      <c r="K24" s="159"/>
      <c r="L24" s="159"/>
      <c r="M24" s="159"/>
      <c r="N24" s="159"/>
      <c r="O24" s="159"/>
      <c r="P24" s="159"/>
      <c r="Q24" s="159"/>
      <c r="R24" s="160"/>
      <c r="S24" s="160"/>
      <c r="T24" s="159"/>
      <c r="U24" s="354">
        <f t="shared" si="4"/>
        <v>90</v>
      </c>
      <c r="V24" s="355" t="str">
        <f>IF(U24&gt;KKM!$G$10,"A",IF(U24&gt;KKM!$H$10,"B",IF(U24&gt;=KKM!$I$10,"C","D")))</f>
        <v>A</v>
      </c>
      <c r="W24" s="356">
        <f t="shared" si="0"/>
        <v>90</v>
      </c>
      <c r="X24" s="361" t="str">
        <f>IF(W24&gt;KKM!$G$10," sangat baik ",IF(W24&gt;KKM!$H$10," baik ",IF(W24&gt;=KKM!$I$10," cukup baik "," perlu bimbingan ")))</f>
        <v xml:space="preserve"> sangat baik </v>
      </c>
      <c r="Y24" s="357">
        <f t="shared" si="1"/>
        <v>90</v>
      </c>
      <c r="Z24" s="361" t="str">
        <f>IF(Y24&gt;KKM!$G$10," sangat baik ",IF(Y24&gt;KKM!$H$10," baik ",IF(Y24&gt;=KKM!$I$10," cukup baik "," perlu bimbingan ")))</f>
        <v xml:space="preserve"> sangat baik </v>
      </c>
      <c r="AA24" s="353" t="str">
        <f t="shared" si="5"/>
        <v>KURNIA sangat baik  dalam membuat gambar cerita</v>
      </c>
      <c r="AB24" s="256"/>
      <c r="AC24" s="257" t="str">
        <f t="shared" si="2"/>
        <v xml:space="preserve"> sangat baik  dalam membuat gambar cerita</v>
      </c>
      <c r="AD24" s="257" t="str">
        <f t="shared" si="3"/>
        <v xml:space="preserve"> sangat baik  dalam membuat gambar cerita</v>
      </c>
      <c r="AE24" s="257" t="str">
        <f t="shared" si="6"/>
        <v xml:space="preserve"> sangat baik  dalam membuat gambar cerita, dan  sangat baik  dalam membuat gambar cerita</v>
      </c>
      <c r="AF24" s="257" t="str">
        <f t="shared" si="7"/>
        <v xml:space="preserve"> sangat baik  dalam membuat gambar cerita</v>
      </c>
      <c r="AG24" s="258" t="str">
        <f t="shared" si="8"/>
        <v xml:space="preserve"> sangat baik  dalam membuat gambar cerita</v>
      </c>
      <c r="AH24" s="252" t="str">
        <f t="shared" si="9"/>
        <v>KURNIA sangat baik  dalam membuat gambar cerita</v>
      </c>
      <c r="AI24" s="153"/>
      <c r="AR24" s="469">
        <f t="shared" si="10"/>
        <v>90</v>
      </c>
    </row>
    <row r="25" spans="2:44" ht="68.25" customHeight="1">
      <c r="B25" s="142">
        <v>21</v>
      </c>
      <c r="C25" s="143" t="str">
        <f>SISWA!B26</f>
        <v>1718250040325</v>
      </c>
      <c r="D25" s="144" t="str">
        <f>SISWA!E26</f>
        <v>LATIZA</v>
      </c>
      <c r="E25" s="159">
        <v>97.5</v>
      </c>
      <c r="F25" s="160">
        <v>97.5</v>
      </c>
      <c r="G25" s="160"/>
      <c r="H25" s="160"/>
      <c r="I25" s="160">
        <v>97.5</v>
      </c>
      <c r="J25" s="159">
        <v>97.5</v>
      </c>
      <c r="K25" s="159"/>
      <c r="L25" s="159"/>
      <c r="M25" s="159"/>
      <c r="N25" s="159"/>
      <c r="O25" s="159"/>
      <c r="P25" s="159"/>
      <c r="Q25" s="159"/>
      <c r="R25" s="160"/>
      <c r="S25" s="160"/>
      <c r="T25" s="159"/>
      <c r="U25" s="354">
        <f t="shared" si="4"/>
        <v>98</v>
      </c>
      <c r="V25" s="355" t="str">
        <f>IF(U25&gt;KKM!$G$10,"A",IF(U25&gt;KKM!$H$10,"B",IF(U25&gt;=KKM!$I$10,"C","D")))</f>
        <v>A</v>
      </c>
      <c r="W25" s="356">
        <f t="shared" si="0"/>
        <v>97.5</v>
      </c>
      <c r="X25" s="361" t="str">
        <f>IF(W25&gt;KKM!$G$10," sangat baik ",IF(W25&gt;KKM!$H$10," baik ",IF(W25&gt;=KKM!$I$10," cukup baik "," perlu bimbingan ")))</f>
        <v xml:space="preserve"> sangat baik </v>
      </c>
      <c r="Y25" s="357">
        <f t="shared" si="1"/>
        <v>97.5</v>
      </c>
      <c r="Z25" s="361" t="str">
        <f>IF(Y25&gt;KKM!$G$10," sangat baik ",IF(Y25&gt;KKM!$H$10," baik ",IF(Y25&gt;=KKM!$I$10," cukup baik "," perlu bimbingan ")))</f>
        <v xml:space="preserve"> sangat baik </v>
      </c>
      <c r="AA25" s="353" t="str">
        <f t="shared" si="5"/>
        <v>LATIZA sangat baik  dalam membuat gambar cerita</v>
      </c>
      <c r="AB25" s="256"/>
      <c r="AC25" s="257" t="str">
        <f t="shared" si="2"/>
        <v xml:space="preserve"> sangat baik  dalam membuat gambar cerita</v>
      </c>
      <c r="AD25" s="257" t="str">
        <f t="shared" si="3"/>
        <v xml:space="preserve"> sangat baik  dalam membuat gambar cerita</v>
      </c>
      <c r="AE25" s="257" t="str">
        <f t="shared" si="6"/>
        <v xml:space="preserve"> sangat baik  dalam membuat gambar cerita, dan  sangat baik  dalam membuat gambar cerita</v>
      </c>
      <c r="AF25" s="257" t="str">
        <f t="shared" si="7"/>
        <v xml:space="preserve"> sangat baik  dalam membuat gambar cerita</v>
      </c>
      <c r="AG25" s="258" t="str">
        <f t="shared" si="8"/>
        <v xml:space="preserve"> sangat baik  dalam membuat gambar cerita</v>
      </c>
      <c r="AH25" s="252" t="str">
        <f t="shared" si="9"/>
        <v>LATIZA sangat baik  dalam membuat gambar cerita</v>
      </c>
      <c r="AI25" s="153"/>
      <c r="AR25" s="469">
        <f t="shared" si="10"/>
        <v>98</v>
      </c>
    </row>
    <row r="26" spans="2:44" ht="68.25" customHeight="1">
      <c r="B26" s="142">
        <v>22</v>
      </c>
      <c r="C26" s="143" t="str">
        <f>SISWA!B27</f>
        <v>1718250040326</v>
      </c>
      <c r="D26" s="144" t="str">
        <f>SISWA!E27</f>
        <v>RIZKY</v>
      </c>
      <c r="E26" s="159">
        <v>87.5</v>
      </c>
      <c r="F26" s="160">
        <v>87.5</v>
      </c>
      <c r="G26" s="160"/>
      <c r="H26" s="160"/>
      <c r="I26" s="160">
        <v>87.5</v>
      </c>
      <c r="J26" s="159">
        <v>87.5</v>
      </c>
      <c r="K26" s="159"/>
      <c r="L26" s="159"/>
      <c r="M26" s="159"/>
      <c r="N26" s="159"/>
      <c r="O26" s="159"/>
      <c r="P26" s="159"/>
      <c r="Q26" s="159"/>
      <c r="R26" s="160"/>
      <c r="S26" s="160"/>
      <c r="T26" s="159"/>
      <c r="U26" s="354">
        <f t="shared" si="4"/>
        <v>88</v>
      </c>
      <c r="V26" s="355" t="str">
        <f>IF(U26&gt;KKM!$G$10,"A",IF(U26&gt;KKM!$H$10,"B",IF(U26&gt;=KKM!$I$10,"C","D")))</f>
        <v>A</v>
      </c>
      <c r="W26" s="356">
        <f t="shared" si="0"/>
        <v>87.5</v>
      </c>
      <c r="X26" s="361" t="str">
        <f>IF(W26&gt;KKM!$G$10," sangat baik ",IF(W26&gt;KKM!$H$10," baik ",IF(W26&gt;=KKM!$I$10," cukup baik "," perlu bimbingan ")))</f>
        <v xml:space="preserve"> sangat baik </v>
      </c>
      <c r="Y26" s="357">
        <f t="shared" si="1"/>
        <v>87.5</v>
      </c>
      <c r="Z26" s="361" t="str">
        <f>IF(Y26&gt;KKM!$G$10," sangat baik ",IF(Y26&gt;KKM!$H$10," baik ",IF(Y26&gt;=KKM!$I$10," cukup baik "," perlu bimbingan ")))</f>
        <v xml:space="preserve"> sangat baik </v>
      </c>
      <c r="AA26" s="353" t="str">
        <f t="shared" si="5"/>
        <v>RIZKY sangat baik  dalam membuat gambar cerita</v>
      </c>
      <c r="AB26" s="256"/>
      <c r="AC26" s="257" t="str">
        <f t="shared" si="2"/>
        <v xml:space="preserve"> sangat baik  dalam membuat gambar cerita</v>
      </c>
      <c r="AD26" s="257" t="str">
        <f t="shared" si="3"/>
        <v xml:space="preserve"> sangat baik  dalam membuat gambar cerita</v>
      </c>
      <c r="AE26" s="257" t="str">
        <f t="shared" si="6"/>
        <v xml:space="preserve"> sangat baik  dalam membuat gambar cerita, dan  sangat baik  dalam membuat gambar cerita</v>
      </c>
      <c r="AF26" s="257" t="str">
        <f t="shared" si="7"/>
        <v xml:space="preserve"> sangat baik  dalam membuat gambar cerita</v>
      </c>
      <c r="AG26" s="258" t="str">
        <f t="shared" si="8"/>
        <v xml:space="preserve"> sangat baik  dalam membuat gambar cerita</v>
      </c>
      <c r="AH26" s="252" t="str">
        <f t="shared" si="9"/>
        <v>RIZKY sangat baik  dalam membuat gambar cerita</v>
      </c>
      <c r="AI26" s="153"/>
      <c r="AR26" s="469">
        <f t="shared" si="10"/>
        <v>88</v>
      </c>
    </row>
    <row r="27" spans="2:44" ht="68.25" customHeight="1">
      <c r="B27" s="142">
        <v>23</v>
      </c>
      <c r="C27" s="143" t="str">
        <f>SISWA!B28</f>
        <v>1718250040327</v>
      </c>
      <c r="D27" s="144" t="str">
        <f>SISWA!E28</f>
        <v>RAMADHANDANI</v>
      </c>
      <c r="E27" s="159">
        <v>87.5</v>
      </c>
      <c r="F27" s="160">
        <v>87.5</v>
      </c>
      <c r="G27" s="160"/>
      <c r="H27" s="160"/>
      <c r="I27" s="160">
        <v>87.5</v>
      </c>
      <c r="J27" s="159">
        <v>87.5</v>
      </c>
      <c r="K27" s="159"/>
      <c r="L27" s="159"/>
      <c r="M27" s="159"/>
      <c r="N27" s="159"/>
      <c r="O27" s="159"/>
      <c r="P27" s="159"/>
      <c r="Q27" s="159"/>
      <c r="R27" s="160"/>
      <c r="S27" s="160"/>
      <c r="T27" s="159"/>
      <c r="U27" s="354">
        <f t="shared" si="4"/>
        <v>88</v>
      </c>
      <c r="V27" s="355" t="str">
        <f>IF(U27&gt;KKM!$G$10,"A",IF(U27&gt;KKM!$H$10,"B",IF(U27&gt;=KKM!$I$10,"C","D")))</f>
        <v>A</v>
      </c>
      <c r="W27" s="356">
        <f t="shared" si="0"/>
        <v>87.5</v>
      </c>
      <c r="X27" s="361" t="str">
        <f>IF(W27&gt;KKM!$G$10," sangat baik ",IF(W27&gt;KKM!$H$10," baik ",IF(W27&gt;=KKM!$I$10," cukup baik "," perlu bimbingan ")))</f>
        <v xml:space="preserve"> sangat baik </v>
      </c>
      <c r="Y27" s="357">
        <f t="shared" si="1"/>
        <v>87.5</v>
      </c>
      <c r="Z27" s="361" t="str">
        <f>IF(Y27&gt;KKM!$G$10," sangat baik ",IF(Y27&gt;KKM!$H$10," baik ",IF(Y27&gt;=KKM!$I$10," cukup baik "," perlu bimbingan ")))</f>
        <v xml:space="preserve"> sangat baik </v>
      </c>
      <c r="AA27" s="353" t="str">
        <f t="shared" si="5"/>
        <v>RAMADHANDANI sangat baik  dalam membuat gambar cerita</v>
      </c>
      <c r="AB27" s="256"/>
      <c r="AC27" s="257" t="str">
        <f t="shared" si="2"/>
        <v xml:space="preserve"> sangat baik  dalam membuat gambar cerita</v>
      </c>
      <c r="AD27" s="257" t="str">
        <f t="shared" si="3"/>
        <v xml:space="preserve"> sangat baik  dalam membuat gambar cerita</v>
      </c>
      <c r="AE27" s="257" t="str">
        <f t="shared" si="6"/>
        <v xml:space="preserve"> sangat baik  dalam membuat gambar cerita, dan  sangat baik  dalam membuat gambar cerita</v>
      </c>
      <c r="AF27" s="257" t="str">
        <f t="shared" si="7"/>
        <v xml:space="preserve"> sangat baik  dalam membuat gambar cerita</v>
      </c>
      <c r="AG27" s="258" t="str">
        <f t="shared" si="8"/>
        <v xml:space="preserve"> sangat baik  dalam membuat gambar cerita</v>
      </c>
      <c r="AH27" s="252" t="str">
        <f t="shared" si="9"/>
        <v>RAMADHANDANI sangat baik  dalam membuat gambar cerita</v>
      </c>
      <c r="AI27" s="153"/>
      <c r="AR27" s="469">
        <f t="shared" si="10"/>
        <v>88</v>
      </c>
    </row>
    <row r="28" spans="2:44" ht="68.25" customHeight="1">
      <c r="B28" s="142">
        <v>24</v>
      </c>
      <c r="C28" s="143" t="str">
        <f>SISWA!B29</f>
        <v>1718250040328</v>
      </c>
      <c r="D28" s="144" t="str">
        <f>SISWA!E29</f>
        <v>SYAEPUL</v>
      </c>
      <c r="E28" s="159">
        <v>90</v>
      </c>
      <c r="F28" s="160">
        <v>90</v>
      </c>
      <c r="G28" s="160"/>
      <c r="H28" s="160"/>
      <c r="I28" s="160">
        <v>90</v>
      </c>
      <c r="J28" s="159">
        <v>90</v>
      </c>
      <c r="K28" s="159"/>
      <c r="L28" s="159"/>
      <c r="M28" s="159"/>
      <c r="N28" s="159"/>
      <c r="O28" s="159"/>
      <c r="P28" s="159"/>
      <c r="Q28" s="159"/>
      <c r="R28" s="160"/>
      <c r="S28" s="160"/>
      <c r="T28" s="159"/>
      <c r="U28" s="354">
        <f t="shared" si="4"/>
        <v>90</v>
      </c>
      <c r="V28" s="355" t="str">
        <f>IF(U28&gt;KKM!$G$10,"A",IF(U28&gt;KKM!$H$10,"B",IF(U28&gt;=KKM!$I$10,"C","D")))</f>
        <v>A</v>
      </c>
      <c r="W28" s="356">
        <f t="shared" si="0"/>
        <v>90</v>
      </c>
      <c r="X28" s="361" t="str">
        <f>IF(W28&gt;KKM!$G$10," sangat baik ",IF(W28&gt;KKM!$H$10," baik ",IF(W28&gt;=KKM!$I$10," cukup baik "," perlu bimbingan ")))</f>
        <v xml:space="preserve"> sangat baik </v>
      </c>
      <c r="Y28" s="357">
        <f t="shared" si="1"/>
        <v>90</v>
      </c>
      <c r="Z28" s="361" t="str">
        <f>IF(Y28&gt;KKM!$G$10," sangat baik ",IF(Y28&gt;KKM!$H$10," baik ",IF(Y28&gt;=KKM!$I$10," cukup baik "," perlu bimbingan ")))</f>
        <v xml:space="preserve"> sangat baik </v>
      </c>
      <c r="AA28" s="353" t="str">
        <f t="shared" si="5"/>
        <v>SYAEPUL sangat baik  dalam membuat gambar cerita</v>
      </c>
      <c r="AB28" s="256"/>
      <c r="AC28" s="257" t="str">
        <f t="shared" si="2"/>
        <v xml:space="preserve"> sangat baik  dalam membuat gambar cerita</v>
      </c>
      <c r="AD28" s="257" t="str">
        <f t="shared" si="3"/>
        <v xml:space="preserve"> sangat baik  dalam membuat gambar cerita</v>
      </c>
      <c r="AE28" s="257" t="str">
        <f t="shared" si="6"/>
        <v xml:space="preserve"> sangat baik  dalam membuat gambar cerita, dan  sangat baik  dalam membuat gambar cerita</v>
      </c>
      <c r="AF28" s="257" t="str">
        <f t="shared" si="7"/>
        <v xml:space="preserve"> sangat baik  dalam membuat gambar cerita</v>
      </c>
      <c r="AG28" s="258" t="str">
        <f t="shared" si="8"/>
        <v xml:space="preserve"> sangat baik  dalam membuat gambar cerita</v>
      </c>
      <c r="AH28" s="252" t="str">
        <f t="shared" si="9"/>
        <v>SYAEPUL sangat baik  dalam membuat gambar cerita</v>
      </c>
      <c r="AI28" s="153"/>
      <c r="AR28" s="469">
        <f t="shared" si="10"/>
        <v>90</v>
      </c>
    </row>
    <row r="29" spans="2:44" ht="68.25" customHeight="1">
      <c r="B29" s="142">
        <v>25</v>
      </c>
      <c r="C29" s="143" t="str">
        <f>SISWA!B30</f>
        <v>1718250040329</v>
      </c>
      <c r="D29" s="144" t="str">
        <f>SISWA!E30</f>
        <v>ALIF</v>
      </c>
      <c r="E29" s="159">
        <v>92.5</v>
      </c>
      <c r="F29" s="160">
        <v>92.5</v>
      </c>
      <c r="G29" s="160"/>
      <c r="H29" s="160"/>
      <c r="I29" s="160">
        <v>92.5</v>
      </c>
      <c r="J29" s="159">
        <v>92.5</v>
      </c>
      <c r="K29" s="159"/>
      <c r="L29" s="159"/>
      <c r="M29" s="159"/>
      <c r="N29" s="159"/>
      <c r="O29" s="159"/>
      <c r="P29" s="159"/>
      <c r="Q29" s="159"/>
      <c r="R29" s="160"/>
      <c r="S29" s="160"/>
      <c r="T29" s="159"/>
      <c r="U29" s="354">
        <f t="shared" si="4"/>
        <v>93</v>
      </c>
      <c r="V29" s="355" t="str">
        <f>IF(U29&gt;KKM!$G$10,"A",IF(U29&gt;KKM!$H$10,"B",IF(U29&gt;=KKM!$I$10,"C","D")))</f>
        <v>A</v>
      </c>
      <c r="W29" s="356">
        <f t="shared" si="0"/>
        <v>92.5</v>
      </c>
      <c r="X29" s="361" t="str">
        <f>IF(W29&gt;KKM!$G$10," sangat baik ",IF(W29&gt;KKM!$H$10," baik ",IF(W29&gt;=KKM!$I$10," cukup baik "," perlu bimbingan ")))</f>
        <v xml:space="preserve"> sangat baik </v>
      </c>
      <c r="Y29" s="357">
        <f t="shared" si="1"/>
        <v>92.5</v>
      </c>
      <c r="Z29" s="361" t="str">
        <f>IF(Y29&gt;KKM!$G$10," sangat baik ",IF(Y29&gt;KKM!$H$10," baik ",IF(Y29&gt;=KKM!$I$10," cukup baik "," perlu bimbingan ")))</f>
        <v xml:space="preserve"> sangat baik </v>
      </c>
      <c r="AA29" s="353" t="str">
        <f t="shared" si="5"/>
        <v>ALIF sangat baik  dalam membuat gambar cerita</v>
      </c>
      <c r="AB29" s="256"/>
      <c r="AC29" s="257" t="str">
        <f t="shared" si="2"/>
        <v xml:space="preserve"> sangat baik  dalam membuat gambar cerita</v>
      </c>
      <c r="AD29" s="257" t="str">
        <f t="shared" si="3"/>
        <v xml:space="preserve"> sangat baik  dalam membuat gambar cerita</v>
      </c>
      <c r="AE29" s="257" t="str">
        <f t="shared" si="6"/>
        <v xml:space="preserve"> sangat baik  dalam membuat gambar cerita, dan  sangat baik  dalam membuat gambar cerita</v>
      </c>
      <c r="AF29" s="257" t="str">
        <f t="shared" si="7"/>
        <v xml:space="preserve"> sangat baik  dalam membuat gambar cerita</v>
      </c>
      <c r="AG29" s="258" t="str">
        <f t="shared" si="8"/>
        <v xml:space="preserve"> sangat baik  dalam membuat gambar cerita</v>
      </c>
      <c r="AH29" s="252" t="str">
        <f t="shared" si="9"/>
        <v>ALIF sangat baik  dalam membuat gambar cerita</v>
      </c>
      <c r="AI29" s="153"/>
      <c r="AR29" s="469">
        <f t="shared" si="10"/>
        <v>93</v>
      </c>
    </row>
    <row r="30" spans="2:44" ht="68.25" customHeight="1">
      <c r="B30" s="142">
        <v>26</v>
      </c>
      <c r="C30" s="143" t="str">
        <f>SISWA!B31</f>
        <v>1718250040330</v>
      </c>
      <c r="D30" s="144" t="str">
        <f>SISWA!E31</f>
        <v>HIZKIEL</v>
      </c>
      <c r="E30" s="159">
        <v>87.5</v>
      </c>
      <c r="F30" s="160">
        <v>87.5</v>
      </c>
      <c r="G30" s="160"/>
      <c r="H30" s="160"/>
      <c r="I30" s="160">
        <v>87.5</v>
      </c>
      <c r="J30" s="159">
        <v>87.5</v>
      </c>
      <c r="K30" s="159"/>
      <c r="L30" s="159"/>
      <c r="M30" s="159"/>
      <c r="N30" s="159"/>
      <c r="O30" s="159"/>
      <c r="P30" s="159"/>
      <c r="Q30" s="159"/>
      <c r="R30" s="160"/>
      <c r="S30" s="160"/>
      <c r="T30" s="159"/>
      <c r="U30" s="354">
        <f t="shared" si="4"/>
        <v>88</v>
      </c>
      <c r="V30" s="355" t="str">
        <f>IF(U30&gt;KKM!$G$10,"A",IF(U30&gt;KKM!$H$10,"B",IF(U30&gt;=KKM!$I$10,"C","D")))</f>
        <v>A</v>
      </c>
      <c r="W30" s="356">
        <f t="shared" si="0"/>
        <v>87.5</v>
      </c>
      <c r="X30" s="361" t="str">
        <f>IF(W30&gt;KKM!$G$10," sangat baik ",IF(W30&gt;KKM!$H$10," baik ",IF(W30&gt;=KKM!$I$10," cukup baik "," perlu bimbingan ")))</f>
        <v xml:space="preserve"> sangat baik </v>
      </c>
      <c r="Y30" s="357">
        <f t="shared" si="1"/>
        <v>87.5</v>
      </c>
      <c r="Z30" s="361" t="str">
        <f>IF(Y30&gt;KKM!$G$10," sangat baik ",IF(Y30&gt;KKM!$H$10," baik ",IF(Y30&gt;=KKM!$I$10," cukup baik "," perlu bimbingan ")))</f>
        <v xml:space="preserve"> sangat baik </v>
      </c>
      <c r="AA30" s="353" t="str">
        <f t="shared" si="5"/>
        <v>HIZKIEL sangat baik  dalam membuat gambar cerita</v>
      </c>
      <c r="AB30" s="256"/>
      <c r="AC30" s="257" t="str">
        <f t="shared" si="2"/>
        <v xml:space="preserve"> sangat baik  dalam membuat gambar cerita</v>
      </c>
      <c r="AD30" s="257" t="str">
        <f t="shared" si="3"/>
        <v xml:space="preserve"> sangat baik  dalam membuat gambar cerita</v>
      </c>
      <c r="AE30" s="257" t="str">
        <f t="shared" si="6"/>
        <v xml:space="preserve"> sangat baik  dalam membuat gambar cerita, dan  sangat baik  dalam membuat gambar cerita</v>
      </c>
      <c r="AF30" s="257" t="str">
        <f t="shared" si="7"/>
        <v xml:space="preserve"> sangat baik  dalam membuat gambar cerita</v>
      </c>
      <c r="AG30" s="258" t="str">
        <f t="shared" si="8"/>
        <v xml:space="preserve"> sangat baik  dalam membuat gambar cerita</v>
      </c>
      <c r="AH30" s="252" t="str">
        <f t="shared" si="9"/>
        <v>HIZKIEL sangat baik  dalam membuat gambar cerita</v>
      </c>
      <c r="AI30" s="153"/>
      <c r="AR30" s="469">
        <f t="shared" si="10"/>
        <v>88</v>
      </c>
    </row>
    <row r="31" spans="2:44" ht="68.25" customHeight="1">
      <c r="B31" s="142">
        <v>27</v>
      </c>
      <c r="C31" s="143" t="str">
        <f>SISWA!B32</f>
        <v>1718250040331</v>
      </c>
      <c r="D31" s="144" t="str">
        <f>SISWA!E32</f>
        <v>LAEL</v>
      </c>
      <c r="E31" s="159">
        <v>97.5</v>
      </c>
      <c r="F31" s="160">
        <v>97.5</v>
      </c>
      <c r="G31" s="160"/>
      <c r="H31" s="160"/>
      <c r="I31" s="160">
        <v>97.5</v>
      </c>
      <c r="J31" s="159">
        <v>97.5</v>
      </c>
      <c r="K31" s="159"/>
      <c r="L31" s="159"/>
      <c r="M31" s="159"/>
      <c r="N31" s="159"/>
      <c r="O31" s="159"/>
      <c r="P31" s="159"/>
      <c r="Q31" s="159"/>
      <c r="R31" s="160"/>
      <c r="S31" s="160"/>
      <c r="T31" s="159"/>
      <c r="U31" s="354">
        <f t="shared" si="4"/>
        <v>98</v>
      </c>
      <c r="V31" s="355" t="str">
        <f>IF(U31&gt;KKM!$G$10,"A",IF(U31&gt;KKM!$H$10,"B",IF(U31&gt;=KKM!$I$10,"C","D")))</f>
        <v>A</v>
      </c>
      <c r="W31" s="356">
        <f t="shared" si="0"/>
        <v>97.5</v>
      </c>
      <c r="X31" s="361" t="str">
        <f>IF(W31&gt;KKM!$G$10," sangat baik ",IF(W31&gt;KKM!$H$10," baik ",IF(W31&gt;=KKM!$I$10," cukup baik "," perlu bimbingan ")))</f>
        <v xml:space="preserve"> sangat baik </v>
      </c>
      <c r="Y31" s="357">
        <f t="shared" si="1"/>
        <v>97.5</v>
      </c>
      <c r="Z31" s="361" t="str">
        <f>IF(Y31&gt;KKM!$G$10," sangat baik ",IF(Y31&gt;KKM!$H$10," baik ",IF(Y31&gt;=KKM!$I$10," cukup baik "," perlu bimbingan ")))</f>
        <v xml:space="preserve"> sangat baik </v>
      </c>
      <c r="AA31" s="353" t="str">
        <f t="shared" si="5"/>
        <v>LAEL sangat baik  dalam membuat gambar cerita</v>
      </c>
      <c r="AB31" s="256"/>
      <c r="AC31" s="257" t="str">
        <f t="shared" si="2"/>
        <v xml:space="preserve"> sangat baik  dalam membuat gambar cerita</v>
      </c>
      <c r="AD31" s="257" t="str">
        <f t="shared" si="3"/>
        <v xml:space="preserve"> sangat baik  dalam membuat gambar cerita</v>
      </c>
      <c r="AE31" s="257" t="str">
        <f t="shared" si="6"/>
        <v xml:space="preserve"> sangat baik  dalam membuat gambar cerita, dan  sangat baik  dalam membuat gambar cerita</v>
      </c>
      <c r="AF31" s="257" t="str">
        <f t="shared" si="7"/>
        <v xml:space="preserve"> sangat baik  dalam membuat gambar cerita</v>
      </c>
      <c r="AG31" s="258" t="str">
        <f t="shared" si="8"/>
        <v xml:space="preserve"> sangat baik  dalam membuat gambar cerita</v>
      </c>
      <c r="AH31" s="252" t="str">
        <f t="shared" si="9"/>
        <v>LAEL sangat baik  dalam membuat gambar cerita</v>
      </c>
      <c r="AI31" s="153"/>
      <c r="AR31" s="469">
        <f t="shared" si="10"/>
        <v>98</v>
      </c>
    </row>
    <row r="32" spans="2:44" ht="68.25" customHeight="1">
      <c r="B32" s="142">
        <v>28</v>
      </c>
      <c r="C32" s="143" t="str">
        <f>SISWA!B33</f>
        <v>1718250040332</v>
      </c>
      <c r="D32" s="144" t="str">
        <f>SISWA!E33</f>
        <v>NABIL</v>
      </c>
      <c r="E32" s="159">
        <v>87.5</v>
      </c>
      <c r="F32" s="160">
        <v>87.5</v>
      </c>
      <c r="G32" s="160"/>
      <c r="H32" s="160"/>
      <c r="I32" s="160">
        <v>87.5</v>
      </c>
      <c r="J32" s="159">
        <v>87.5</v>
      </c>
      <c r="K32" s="159"/>
      <c r="L32" s="159"/>
      <c r="M32" s="159"/>
      <c r="N32" s="159"/>
      <c r="O32" s="159"/>
      <c r="P32" s="159"/>
      <c r="Q32" s="159"/>
      <c r="R32" s="160"/>
      <c r="S32" s="160"/>
      <c r="T32" s="159"/>
      <c r="U32" s="354">
        <f t="shared" si="4"/>
        <v>88</v>
      </c>
      <c r="V32" s="355" t="str">
        <f>IF(U32&gt;KKM!$G$10,"A",IF(U32&gt;KKM!$H$10,"B",IF(U32&gt;=KKM!$I$10,"C","D")))</f>
        <v>A</v>
      </c>
      <c r="W32" s="356">
        <f t="shared" si="0"/>
        <v>87.5</v>
      </c>
      <c r="X32" s="361" t="str">
        <f>IF(W32&gt;KKM!$G$10," sangat baik ",IF(W32&gt;KKM!$H$10," baik ",IF(W32&gt;=KKM!$I$10," cukup baik "," perlu bimbingan ")))</f>
        <v xml:space="preserve"> sangat baik </v>
      </c>
      <c r="Y32" s="357">
        <f t="shared" si="1"/>
        <v>87.5</v>
      </c>
      <c r="Z32" s="361" t="str">
        <f>IF(Y32&gt;KKM!$G$10," sangat baik ",IF(Y32&gt;KKM!$H$10," baik ",IF(Y32&gt;=KKM!$I$10," cukup baik "," perlu bimbingan ")))</f>
        <v xml:space="preserve"> sangat baik </v>
      </c>
      <c r="AA32" s="353" t="str">
        <f t="shared" si="5"/>
        <v>NABIL sangat baik  dalam membuat gambar cerita</v>
      </c>
      <c r="AB32" s="256"/>
      <c r="AC32" s="257" t="str">
        <f t="shared" si="2"/>
        <v xml:space="preserve"> sangat baik  dalam membuat gambar cerita</v>
      </c>
      <c r="AD32" s="257" t="str">
        <f t="shared" si="3"/>
        <v xml:space="preserve"> sangat baik  dalam membuat gambar cerita</v>
      </c>
      <c r="AE32" s="257" t="str">
        <f t="shared" si="6"/>
        <v xml:space="preserve"> sangat baik  dalam membuat gambar cerita, dan  sangat baik  dalam membuat gambar cerita</v>
      </c>
      <c r="AF32" s="257" t="str">
        <f t="shared" si="7"/>
        <v xml:space="preserve"> sangat baik  dalam membuat gambar cerita</v>
      </c>
      <c r="AG32" s="258" t="str">
        <f t="shared" si="8"/>
        <v xml:space="preserve"> sangat baik  dalam membuat gambar cerita</v>
      </c>
      <c r="AH32" s="252" t="str">
        <f t="shared" si="9"/>
        <v>NABIL sangat baik  dalam membuat gambar cerita</v>
      </c>
      <c r="AI32" s="153"/>
      <c r="AR32" s="469">
        <f t="shared" si="10"/>
        <v>88</v>
      </c>
    </row>
    <row r="33" spans="2:44" ht="68.25" customHeight="1">
      <c r="B33" s="142">
        <v>29</v>
      </c>
      <c r="C33" s="143" t="str">
        <f>SISWA!B34</f>
        <v>1718250040333</v>
      </c>
      <c r="D33" s="144" t="str">
        <f>SISWA!E34</f>
        <v>RASYA</v>
      </c>
      <c r="E33" s="159">
        <v>85</v>
      </c>
      <c r="F33" s="160">
        <v>85</v>
      </c>
      <c r="G33" s="160"/>
      <c r="H33" s="160"/>
      <c r="I33" s="160">
        <v>85</v>
      </c>
      <c r="J33" s="159">
        <v>85</v>
      </c>
      <c r="K33" s="159"/>
      <c r="L33" s="159"/>
      <c r="M33" s="159"/>
      <c r="N33" s="159"/>
      <c r="O33" s="159"/>
      <c r="P33" s="159"/>
      <c r="Q33" s="159"/>
      <c r="R33" s="160"/>
      <c r="S33" s="160"/>
      <c r="T33" s="159"/>
      <c r="U33" s="354">
        <f t="shared" si="4"/>
        <v>85</v>
      </c>
      <c r="V33" s="355" t="str">
        <f>IF(U33&gt;KKM!$G$10,"A",IF(U33&gt;KKM!$H$10,"B",IF(U33&gt;=KKM!$I$10,"C","D")))</f>
        <v>B</v>
      </c>
      <c r="W33" s="356">
        <f t="shared" si="0"/>
        <v>85</v>
      </c>
      <c r="X33" s="361" t="str">
        <f>IF(W33&gt;KKM!$G$10," sangat baik ",IF(W33&gt;KKM!$H$10," baik ",IF(W33&gt;=KKM!$I$10," cukup baik "," perlu bimbingan ")))</f>
        <v xml:space="preserve"> baik </v>
      </c>
      <c r="Y33" s="357">
        <f t="shared" si="1"/>
        <v>85</v>
      </c>
      <c r="Z33" s="361" t="str">
        <f>IF(Y33&gt;KKM!$G$10," sangat baik ",IF(Y33&gt;KKM!$H$10," baik ",IF(Y33&gt;=KKM!$I$10," cukup baik "," perlu bimbingan ")))</f>
        <v xml:space="preserve"> baik </v>
      </c>
      <c r="AA33" s="353" t="str">
        <f t="shared" si="5"/>
        <v>RASYA baik  dalam membuat gambar cerita</v>
      </c>
      <c r="AB33" s="256"/>
      <c r="AC33" s="257" t="str">
        <f t="shared" si="2"/>
        <v xml:space="preserve"> baik  dalam membuat gambar cerita</v>
      </c>
      <c r="AD33" s="257" t="str">
        <f t="shared" si="3"/>
        <v xml:space="preserve"> baik  dalam membuat gambar cerita</v>
      </c>
      <c r="AE33" s="257" t="str">
        <f t="shared" si="6"/>
        <v xml:space="preserve"> baik  dalam membuat gambar cerita, dan  baik  dalam membuat gambar cerita</v>
      </c>
      <c r="AF33" s="257" t="str">
        <f t="shared" si="7"/>
        <v xml:space="preserve"> baik  dalam membuat gambar cerita</v>
      </c>
      <c r="AG33" s="258" t="str">
        <f t="shared" si="8"/>
        <v xml:space="preserve"> baik  dalam membuat gambar cerita</v>
      </c>
      <c r="AH33" s="252" t="str">
        <f t="shared" si="9"/>
        <v>RASYA baik  dalam membuat gambar cerita</v>
      </c>
      <c r="AI33" s="153"/>
      <c r="AR33" s="469">
        <f t="shared" si="10"/>
        <v>85</v>
      </c>
    </row>
    <row r="34" spans="2:44" ht="68.25" customHeight="1">
      <c r="B34" s="142">
        <v>30</v>
      </c>
      <c r="C34" s="143" t="str">
        <f>SISWA!B35</f>
        <v>1718250040334</v>
      </c>
      <c r="D34" s="144" t="str">
        <f>SISWA!E35</f>
        <v>RIZKI</v>
      </c>
      <c r="E34" s="159">
        <v>90</v>
      </c>
      <c r="F34" s="160">
        <v>90</v>
      </c>
      <c r="G34" s="160"/>
      <c r="H34" s="160"/>
      <c r="I34" s="160">
        <v>90</v>
      </c>
      <c r="J34" s="159">
        <v>90</v>
      </c>
      <c r="K34" s="159"/>
      <c r="L34" s="159"/>
      <c r="M34" s="159"/>
      <c r="N34" s="159"/>
      <c r="O34" s="159"/>
      <c r="P34" s="159"/>
      <c r="Q34" s="159"/>
      <c r="R34" s="160"/>
      <c r="S34" s="160"/>
      <c r="T34" s="159"/>
      <c r="U34" s="354">
        <f t="shared" si="4"/>
        <v>90</v>
      </c>
      <c r="V34" s="355" t="str">
        <f>IF(U34&gt;KKM!$G$10,"A",IF(U34&gt;KKM!$H$10,"B",IF(U34&gt;=KKM!$I$10,"C","D")))</f>
        <v>A</v>
      </c>
      <c r="W34" s="356">
        <f t="shared" si="0"/>
        <v>90</v>
      </c>
      <c r="X34" s="361" t="str">
        <f>IF(W34&gt;KKM!$G$10," sangat baik ",IF(W34&gt;KKM!$H$10," baik ",IF(W34&gt;=KKM!$I$10," cukup baik "," perlu bimbingan ")))</f>
        <v xml:space="preserve"> sangat baik </v>
      </c>
      <c r="Y34" s="357">
        <f t="shared" si="1"/>
        <v>90</v>
      </c>
      <c r="Z34" s="361" t="str">
        <f>IF(Y34&gt;KKM!$G$10," sangat baik ",IF(Y34&gt;KKM!$H$10," baik ",IF(Y34&gt;=KKM!$I$10," cukup baik "," perlu bimbingan ")))</f>
        <v xml:space="preserve"> sangat baik </v>
      </c>
      <c r="AA34" s="353" t="str">
        <f t="shared" si="5"/>
        <v>RIZKI sangat baik  dalam membuat gambar cerita</v>
      </c>
      <c r="AB34" s="256"/>
      <c r="AC34" s="257" t="str">
        <f t="shared" si="2"/>
        <v xml:space="preserve"> sangat baik  dalam membuat gambar cerita</v>
      </c>
      <c r="AD34" s="257" t="str">
        <f t="shared" si="3"/>
        <v xml:space="preserve"> sangat baik  dalam membuat gambar cerita</v>
      </c>
      <c r="AE34" s="257" t="str">
        <f t="shared" si="6"/>
        <v xml:space="preserve"> sangat baik  dalam membuat gambar cerita, dan  sangat baik  dalam membuat gambar cerita</v>
      </c>
      <c r="AF34" s="257" t="str">
        <f t="shared" si="7"/>
        <v xml:space="preserve"> sangat baik  dalam membuat gambar cerita</v>
      </c>
      <c r="AG34" s="258" t="str">
        <f t="shared" si="8"/>
        <v xml:space="preserve"> sangat baik  dalam membuat gambar cerita</v>
      </c>
      <c r="AH34" s="252" t="str">
        <f t="shared" si="9"/>
        <v>RIZKI sangat baik  dalam membuat gambar cerita</v>
      </c>
      <c r="AI34" s="153"/>
      <c r="AR34" s="469">
        <f t="shared" si="10"/>
        <v>90</v>
      </c>
    </row>
    <row r="35" spans="2:44" ht="68.25" customHeight="1">
      <c r="B35" s="142">
        <v>31</v>
      </c>
      <c r="C35" s="143" t="str">
        <f>SISWA!B36</f>
        <v>1718250040335</v>
      </c>
      <c r="D35" s="144" t="str">
        <f>SISWA!E36</f>
        <v>SATRIA</v>
      </c>
      <c r="E35" s="159">
        <v>97.5</v>
      </c>
      <c r="F35" s="160">
        <v>97.5</v>
      </c>
      <c r="G35" s="160"/>
      <c r="H35" s="160"/>
      <c r="I35" s="160">
        <v>97.5</v>
      </c>
      <c r="J35" s="159">
        <v>97.5</v>
      </c>
      <c r="K35" s="159"/>
      <c r="L35" s="159"/>
      <c r="M35" s="159"/>
      <c r="N35" s="159"/>
      <c r="O35" s="159"/>
      <c r="P35" s="159"/>
      <c r="Q35" s="159"/>
      <c r="R35" s="160"/>
      <c r="S35" s="160"/>
      <c r="T35" s="159"/>
      <c r="U35" s="354">
        <f t="shared" si="4"/>
        <v>98</v>
      </c>
      <c r="V35" s="355" t="str">
        <f>IF(U35&gt;KKM!$G$10,"A",IF(U35&gt;KKM!$H$10,"B",IF(U35&gt;=KKM!$I$10,"C","D")))</f>
        <v>A</v>
      </c>
      <c r="W35" s="356">
        <f t="shared" si="0"/>
        <v>97.5</v>
      </c>
      <c r="X35" s="361" t="str">
        <f>IF(W35&gt;KKM!$G$10," sangat baik ",IF(W35&gt;KKM!$H$10," baik ",IF(W35&gt;=KKM!$I$10," cukup baik "," perlu bimbingan ")))</f>
        <v xml:space="preserve"> sangat baik </v>
      </c>
      <c r="Y35" s="357">
        <f t="shared" si="1"/>
        <v>97.5</v>
      </c>
      <c r="Z35" s="361" t="str">
        <f>IF(Y35&gt;KKM!$G$10," sangat baik ",IF(Y35&gt;KKM!$H$10," baik ",IF(Y35&gt;=KKM!$I$10," cukup baik "," perlu bimbingan ")))</f>
        <v xml:space="preserve"> sangat baik </v>
      </c>
      <c r="AA35" s="353" t="str">
        <f t="shared" si="5"/>
        <v>SATRIA sangat baik  dalam membuat gambar cerita</v>
      </c>
      <c r="AB35" s="256"/>
      <c r="AC35" s="257" t="str">
        <f t="shared" si="2"/>
        <v xml:space="preserve"> sangat baik  dalam membuat gambar cerita</v>
      </c>
      <c r="AD35" s="257" t="str">
        <f t="shared" si="3"/>
        <v xml:space="preserve"> sangat baik  dalam membuat gambar cerita</v>
      </c>
      <c r="AE35" s="257" t="str">
        <f t="shared" si="6"/>
        <v xml:space="preserve"> sangat baik  dalam membuat gambar cerita, dan  sangat baik  dalam membuat gambar cerita</v>
      </c>
      <c r="AF35" s="257" t="str">
        <f t="shared" si="7"/>
        <v xml:space="preserve"> sangat baik  dalam membuat gambar cerita</v>
      </c>
      <c r="AG35" s="258" t="str">
        <f t="shared" si="8"/>
        <v xml:space="preserve"> sangat baik  dalam membuat gambar cerita</v>
      </c>
      <c r="AH35" s="252" t="str">
        <f t="shared" si="9"/>
        <v>SATRIA sangat baik  dalam membuat gambar cerita</v>
      </c>
      <c r="AI35" s="153"/>
      <c r="AR35" s="469">
        <f t="shared" si="10"/>
        <v>98</v>
      </c>
    </row>
    <row r="36" spans="2:44" ht="68.25" customHeight="1">
      <c r="B36" s="142">
        <v>32</v>
      </c>
      <c r="C36" s="143" t="str">
        <f>SISWA!B37</f>
        <v>1718250040336</v>
      </c>
      <c r="D36" s="144" t="str">
        <f>SISWA!E37</f>
        <v>NADIA</v>
      </c>
      <c r="E36" s="159">
        <v>97.5</v>
      </c>
      <c r="F36" s="160">
        <v>97.5</v>
      </c>
      <c r="G36" s="160"/>
      <c r="H36" s="160"/>
      <c r="I36" s="160">
        <v>97.5</v>
      </c>
      <c r="J36" s="159">
        <v>97.5</v>
      </c>
      <c r="K36" s="159"/>
      <c r="L36" s="159"/>
      <c r="M36" s="159"/>
      <c r="N36" s="159"/>
      <c r="O36" s="159"/>
      <c r="P36" s="159"/>
      <c r="Q36" s="159"/>
      <c r="R36" s="160"/>
      <c r="S36" s="160"/>
      <c r="T36" s="159"/>
      <c r="U36" s="354">
        <f t="shared" si="4"/>
        <v>98</v>
      </c>
      <c r="V36" s="355" t="str">
        <f>IF(U36&gt;KKM!$G$10,"A",IF(U36&gt;KKM!$H$10,"B",IF(U36&gt;=KKM!$I$10,"C","D")))</f>
        <v>A</v>
      </c>
      <c r="W36" s="356">
        <f t="shared" si="0"/>
        <v>97.5</v>
      </c>
      <c r="X36" s="361" t="str">
        <f>IF(W36&gt;KKM!$G$10," sangat baik ",IF(W36&gt;KKM!$H$10," baik ",IF(W36&gt;=KKM!$I$10," cukup baik "," perlu bimbingan ")))</f>
        <v xml:space="preserve"> sangat baik </v>
      </c>
      <c r="Y36" s="357">
        <f t="shared" si="1"/>
        <v>97.5</v>
      </c>
      <c r="Z36" s="361" t="str">
        <f>IF(Y36&gt;KKM!$G$10," sangat baik ",IF(Y36&gt;KKM!$H$10," baik ",IF(Y36&gt;=KKM!$I$10," cukup baik "," perlu bimbingan ")))</f>
        <v xml:space="preserve"> sangat baik </v>
      </c>
      <c r="AA36" s="353" t="str">
        <f t="shared" si="5"/>
        <v>NADIA sangat baik  dalam membuat gambar cerita</v>
      </c>
      <c r="AB36" s="256"/>
      <c r="AC36" s="257" t="str">
        <f t="shared" si="2"/>
        <v xml:space="preserve"> sangat baik  dalam membuat gambar cerita</v>
      </c>
      <c r="AD36" s="257" t="str">
        <f t="shared" si="3"/>
        <v xml:space="preserve"> sangat baik  dalam membuat gambar cerita</v>
      </c>
      <c r="AE36" s="257" t="str">
        <f t="shared" si="6"/>
        <v xml:space="preserve"> sangat baik  dalam membuat gambar cerita, dan  sangat baik  dalam membuat gambar cerita</v>
      </c>
      <c r="AF36" s="257" t="str">
        <f t="shared" si="7"/>
        <v xml:space="preserve"> sangat baik  dalam membuat gambar cerita</v>
      </c>
      <c r="AG36" s="258" t="str">
        <f t="shared" si="8"/>
        <v xml:space="preserve"> sangat baik  dalam membuat gambar cerita</v>
      </c>
      <c r="AH36" s="252" t="str">
        <f t="shared" si="9"/>
        <v>NADIA sangat baik  dalam membuat gambar cerita</v>
      </c>
      <c r="AI36" s="153"/>
      <c r="AR36" s="469">
        <f t="shared" si="10"/>
        <v>98</v>
      </c>
    </row>
    <row r="37" spans="2:44" ht="68.25" customHeight="1">
      <c r="B37" s="142">
        <v>33</v>
      </c>
      <c r="C37" s="143" t="str">
        <f>SISWA!B38</f>
        <v>1718250040337</v>
      </c>
      <c r="D37" s="144" t="str">
        <f>SISWA!E38</f>
        <v>NAFILA</v>
      </c>
      <c r="E37" s="159">
        <v>77.5</v>
      </c>
      <c r="F37" s="160">
        <v>77.5</v>
      </c>
      <c r="G37" s="160"/>
      <c r="H37" s="160"/>
      <c r="I37" s="160">
        <v>77.5</v>
      </c>
      <c r="J37" s="159">
        <v>77.5</v>
      </c>
      <c r="K37" s="159"/>
      <c r="L37" s="159"/>
      <c r="M37" s="159"/>
      <c r="N37" s="159"/>
      <c r="O37" s="159"/>
      <c r="P37" s="159"/>
      <c r="Q37" s="159"/>
      <c r="R37" s="160"/>
      <c r="S37" s="160"/>
      <c r="T37" s="159"/>
      <c r="U37" s="354">
        <f t="shared" si="4"/>
        <v>78</v>
      </c>
      <c r="V37" s="355" t="str">
        <f>IF(U37&gt;KKM!$G$10,"A",IF(U37&gt;KKM!$H$10,"B",IF(U37&gt;=KKM!$I$10,"C","D")))</f>
        <v>B</v>
      </c>
      <c r="W37" s="356">
        <f t="shared" si="0"/>
        <v>77.5</v>
      </c>
      <c r="X37" s="361" t="str">
        <f>IF(W37&gt;KKM!$G$10," sangat baik ",IF(W37&gt;KKM!$H$10," baik ",IF(W37&gt;=KKM!$I$10," cukup baik "," perlu bimbingan ")))</f>
        <v xml:space="preserve"> baik </v>
      </c>
      <c r="Y37" s="357">
        <f t="shared" si="1"/>
        <v>77.5</v>
      </c>
      <c r="Z37" s="361" t="str">
        <f>IF(Y37&gt;KKM!$G$10," sangat baik ",IF(Y37&gt;KKM!$H$10," baik ",IF(Y37&gt;=KKM!$I$10," cukup baik "," perlu bimbingan ")))</f>
        <v xml:space="preserve"> baik </v>
      </c>
      <c r="AA37" s="353" t="str">
        <f t="shared" si="5"/>
        <v>NAFILA baik  dalam membuat gambar cerita</v>
      </c>
      <c r="AB37" s="256"/>
      <c r="AC37" s="257" t="str">
        <f t="shared" si="2"/>
        <v xml:space="preserve"> baik  dalam membuat gambar cerita</v>
      </c>
      <c r="AD37" s="257" t="str">
        <f t="shared" si="3"/>
        <v xml:space="preserve"> baik  dalam membuat gambar cerita</v>
      </c>
      <c r="AE37" s="257" t="str">
        <f t="shared" si="6"/>
        <v xml:space="preserve"> baik  dalam membuat gambar cerita, dan  baik  dalam membuat gambar cerita</v>
      </c>
      <c r="AF37" s="257" t="str">
        <f t="shared" si="7"/>
        <v xml:space="preserve"> baik  dalam membuat gambar cerita</v>
      </c>
      <c r="AG37" s="258" t="str">
        <f t="shared" si="8"/>
        <v xml:space="preserve"> baik  dalam membuat gambar cerita</v>
      </c>
      <c r="AH37" s="252" t="str">
        <f t="shared" si="9"/>
        <v>NAFILA baik  dalam membuat gambar cerita</v>
      </c>
      <c r="AI37" s="153"/>
      <c r="AR37" s="469">
        <f t="shared" si="10"/>
        <v>78</v>
      </c>
    </row>
    <row r="38" spans="2:44" ht="68.25" customHeight="1">
      <c r="B38" s="142">
        <v>34</v>
      </c>
      <c r="C38" s="143" t="str">
        <f>SISWA!B39</f>
        <v>1718250040338</v>
      </c>
      <c r="D38" s="144" t="str">
        <f>SISWA!E39</f>
        <v>NAZZALA</v>
      </c>
      <c r="E38" s="159">
        <v>95</v>
      </c>
      <c r="F38" s="160">
        <v>95</v>
      </c>
      <c r="G38" s="160"/>
      <c r="H38" s="160"/>
      <c r="I38" s="160">
        <v>95</v>
      </c>
      <c r="J38" s="159">
        <v>95</v>
      </c>
      <c r="K38" s="159"/>
      <c r="L38" s="159"/>
      <c r="M38" s="159"/>
      <c r="N38" s="159"/>
      <c r="O38" s="159"/>
      <c r="P38" s="159"/>
      <c r="Q38" s="159"/>
      <c r="R38" s="160"/>
      <c r="S38" s="160"/>
      <c r="T38" s="159"/>
      <c r="U38" s="354">
        <f t="shared" si="4"/>
        <v>95</v>
      </c>
      <c r="V38" s="355" t="str">
        <f>IF(U38&gt;KKM!$G$10,"A",IF(U38&gt;KKM!$H$10,"B",IF(U38&gt;=KKM!$I$10,"C","D")))</f>
        <v>A</v>
      </c>
      <c r="W38" s="356">
        <f t="shared" si="0"/>
        <v>95</v>
      </c>
      <c r="X38" s="361" t="str">
        <f>IF(W38&gt;KKM!$G$10," sangat baik ",IF(W38&gt;KKM!$H$10," baik ",IF(W38&gt;=KKM!$I$10," cukup baik "," perlu bimbingan ")))</f>
        <v xml:space="preserve"> sangat baik </v>
      </c>
      <c r="Y38" s="357">
        <f t="shared" si="1"/>
        <v>95</v>
      </c>
      <c r="Z38" s="361" t="str">
        <f>IF(Y38&gt;KKM!$G$10," sangat baik ",IF(Y38&gt;KKM!$H$10," baik ",IF(Y38&gt;=KKM!$I$10," cukup baik "," perlu bimbingan ")))</f>
        <v xml:space="preserve"> sangat baik </v>
      </c>
      <c r="AA38" s="353" t="str">
        <f t="shared" si="5"/>
        <v>NAZZALA sangat baik  dalam membuat gambar cerita</v>
      </c>
      <c r="AB38" s="256"/>
      <c r="AC38" s="257" t="str">
        <f t="shared" si="2"/>
        <v xml:space="preserve"> sangat baik  dalam membuat gambar cerita</v>
      </c>
      <c r="AD38" s="257" t="str">
        <f t="shared" si="3"/>
        <v xml:space="preserve"> sangat baik  dalam membuat gambar cerita</v>
      </c>
      <c r="AE38" s="257" t="str">
        <f t="shared" si="6"/>
        <v xml:space="preserve"> sangat baik  dalam membuat gambar cerita, dan  sangat baik  dalam membuat gambar cerita</v>
      </c>
      <c r="AF38" s="257" t="str">
        <f t="shared" si="7"/>
        <v xml:space="preserve"> sangat baik  dalam membuat gambar cerita</v>
      </c>
      <c r="AG38" s="258" t="str">
        <f t="shared" si="8"/>
        <v xml:space="preserve"> sangat baik  dalam membuat gambar cerita</v>
      </c>
      <c r="AH38" s="252" t="str">
        <f t="shared" si="9"/>
        <v>NAZZALA sangat baik  dalam membuat gambar cerita</v>
      </c>
      <c r="AI38" s="153"/>
      <c r="AR38" s="469">
        <f t="shared" si="10"/>
        <v>95</v>
      </c>
    </row>
    <row r="39" spans="2:44" ht="68.25" customHeight="1">
      <c r="B39" s="142">
        <v>35</v>
      </c>
      <c r="C39" s="143" t="str">
        <f>SISWA!B40</f>
        <v>1718250040339</v>
      </c>
      <c r="D39" s="144" t="str">
        <f>SISWA!E40</f>
        <v>RAFAREL</v>
      </c>
      <c r="E39" s="159">
        <v>90</v>
      </c>
      <c r="F39" s="160">
        <v>90</v>
      </c>
      <c r="G39" s="160"/>
      <c r="H39" s="160"/>
      <c r="I39" s="160">
        <v>90</v>
      </c>
      <c r="J39" s="159">
        <v>90</v>
      </c>
      <c r="K39" s="159"/>
      <c r="L39" s="159"/>
      <c r="M39" s="159"/>
      <c r="N39" s="159"/>
      <c r="O39" s="159"/>
      <c r="P39" s="159"/>
      <c r="Q39" s="159"/>
      <c r="R39" s="160"/>
      <c r="S39" s="160"/>
      <c r="T39" s="159"/>
      <c r="U39" s="354">
        <f t="shared" si="4"/>
        <v>90</v>
      </c>
      <c r="V39" s="355" t="str">
        <f>IF(U39&gt;KKM!$G$10,"A",IF(U39&gt;KKM!$H$10,"B",IF(U39&gt;=KKM!$I$10,"C","D")))</f>
        <v>A</v>
      </c>
      <c r="W39" s="356">
        <f t="shared" si="0"/>
        <v>90</v>
      </c>
      <c r="X39" s="361" t="str">
        <f>IF(W39&gt;KKM!$G$10," sangat baik ",IF(W39&gt;KKM!$H$10," baik ",IF(W39&gt;=KKM!$I$10," cukup baik "," perlu bimbingan ")))</f>
        <v xml:space="preserve"> sangat baik </v>
      </c>
      <c r="Y39" s="357">
        <f t="shared" si="1"/>
        <v>90</v>
      </c>
      <c r="Z39" s="361" t="str">
        <f>IF(Y39&gt;KKM!$G$10," sangat baik ",IF(Y39&gt;KKM!$H$10," baik ",IF(Y39&gt;=KKM!$I$10," cukup baik "," perlu bimbingan ")))</f>
        <v xml:space="preserve"> sangat baik </v>
      </c>
      <c r="AA39" s="353" t="str">
        <f t="shared" si="5"/>
        <v>RAFAREL sangat baik  dalam membuat gambar cerita</v>
      </c>
      <c r="AB39" s="256"/>
      <c r="AC39" s="257" t="str">
        <f t="shared" si="2"/>
        <v xml:space="preserve"> sangat baik  dalam membuat gambar cerita</v>
      </c>
      <c r="AD39" s="257" t="str">
        <f t="shared" si="3"/>
        <v xml:space="preserve"> sangat baik  dalam membuat gambar cerita</v>
      </c>
      <c r="AE39" s="257" t="str">
        <f t="shared" si="6"/>
        <v xml:space="preserve"> sangat baik  dalam membuat gambar cerita, dan  sangat baik  dalam membuat gambar cerita</v>
      </c>
      <c r="AF39" s="257" t="str">
        <f t="shared" si="7"/>
        <v xml:space="preserve"> sangat baik  dalam membuat gambar cerita</v>
      </c>
      <c r="AG39" s="258" t="str">
        <f t="shared" si="8"/>
        <v xml:space="preserve"> sangat baik  dalam membuat gambar cerita</v>
      </c>
      <c r="AH39" s="252" t="str">
        <f t="shared" si="9"/>
        <v>RAFAREL sangat baik  dalam membuat gambar cerita</v>
      </c>
      <c r="AI39" s="153"/>
      <c r="AR39" s="469">
        <f t="shared" si="10"/>
        <v>90</v>
      </c>
    </row>
    <row r="40" spans="2:44" ht="68.25" customHeight="1">
      <c r="B40" s="142">
        <v>36</v>
      </c>
      <c r="C40" s="143" t="str">
        <f>SISWA!B41</f>
        <v>1718250040340</v>
      </c>
      <c r="D40" s="144" t="str">
        <f>SISWA!E41</f>
        <v>RAKHA</v>
      </c>
      <c r="E40" s="159">
        <v>97.5</v>
      </c>
      <c r="F40" s="160">
        <v>97.5</v>
      </c>
      <c r="G40" s="160"/>
      <c r="H40" s="160"/>
      <c r="I40" s="160">
        <v>97.5</v>
      </c>
      <c r="J40" s="159">
        <v>97.5</v>
      </c>
      <c r="K40" s="159"/>
      <c r="L40" s="159"/>
      <c r="M40" s="159"/>
      <c r="N40" s="159"/>
      <c r="O40" s="159"/>
      <c r="P40" s="159"/>
      <c r="Q40" s="159"/>
      <c r="R40" s="160"/>
      <c r="S40" s="160"/>
      <c r="T40" s="159"/>
      <c r="U40" s="354">
        <f t="shared" si="4"/>
        <v>98</v>
      </c>
      <c r="V40" s="355" t="str">
        <f>IF(U40&gt;KKM!$G$10,"A",IF(U40&gt;KKM!$H$10,"B",IF(U40&gt;=KKM!$I$10,"C","D")))</f>
        <v>A</v>
      </c>
      <c r="W40" s="356">
        <f t="shared" si="0"/>
        <v>97.5</v>
      </c>
      <c r="X40" s="361" t="str">
        <f>IF(W40&gt;KKM!$G$10," sangat baik ",IF(W40&gt;KKM!$H$10," baik ",IF(W40&gt;=KKM!$I$10," cukup baik "," perlu bimbingan ")))</f>
        <v xml:space="preserve"> sangat baik </v>
      </c>
      <c r="Y40" s="357">
        <f t="shared" si="1"/>
        <v>97.5</v>
      </c>
      <c r="Z40" s="361" t="str">
        <f>IF(Y40&gt;KKM!$G$10," sangat baik ",IF(Y40&gt;KKM!$H$10," baik ",IF(Y40&gt;=KKM!$I$10," cukup baik "," perlu bimbingan ")))</f>
        <v xml:space="preserve"> sangat baik </v>
      </c>
      <c r="AA40" s="353" t="str">
        <f t="shared" si="5"/>
        <v>RAKHA sangat baik  dalam membuat gambar cerita</v>
      </c>
      <c r="AB40" s="256"/>
      <c r="AC40" s="257" t="str">
        <f t="shared" si="2"/>
        <v xml:space="preserve"> sangat baik  dalam membuat gambar cerita</v>
      </c>
      <c r="AD40" s="257" t="str">
        <f t="shared" si="3"/>
        <v xml:space="preserve"> sangat baik  dalam membuat gambar cerita</v>
      </c>
      <c r="AE40" s="257" t="str">
        <f t="shared" si="6"/>
        <v xml:space="preserve"> sangat baik  dalam membuat gambar cerita, dan  sangat baik  dalam membuat gambar cerita</v>
      </c>
      <c r="AF40" s="257" t="str">
        <f t="shared" si="7"/>
        <v xml:space="preserve"> sangat baik  dalam membuat gambar cerita</v>
      </c>
      <c r="AG40" s="258" t="str">
        <f t="shared" si="8"/>
        <v xml:space="preserve"> sangat baik  dalam membuat gambar cerita</v>
      </c>
      <c r="AH40" s="252" t="str">
        <f t="shared" si="9"/>
        <v>RAKHA sangat baik  dalam membuat gambar cerita</v>
      </c>
      <c r="AI40" s="153"/>
      <c r="AR40" s="469">
        <f t="shared" si="10"/>
        <v>98</v>
      </c>
    </row>
    <row r="41" spans="2:44" ht="68.25" customHeight="1">
      <c r="B41" s="142">
        <v>37</v>
      </c>
      <c r="C41" s="143" t="str">
        <f>SISWA!B42</f>
        <v>1718250040341</v>
      </c>
      <c r="D41" s="144" t="str">
        <f>SISWA!E42</f>
        <v>RYU</v>
      </c>
      <c r="E41" s="159">
        <v>85</v>
      </c>
      <c r="F41" s="160">
        <v>85</v>
      </c>
      <c r="G41" s="160"/>
      <c r="H41" s="160"/>
      <c r="I41" s="160">
        <v>85</v>
      </c>
      <c r="J41" s="159">
        <v>85</v>
      </c>
      <c r="K41" s="159"/>
      <c r="L41" s="159"/>
      <c r="M41" s="159"/>
      <c r="N41" s="159"/>
      <c r="O41" s="159"/>
      <c r="P41" s="159"/>
      <c r="Q41" s="159"/>
      <c r="R41" s="160"/>
      <c r="S41" s="160"/>
      <c r="T41" s="159"/>
      <c r="U41" s="354">
        <f t="shared" si="4"/>
        <v>85</v>
      </c>
      <c r="V41" s="355" t="str">
        <f>IF(U41&gt;KKM!$G$10,"A",IF(U41&gt;KKM!$H$10,"B",IF(U41&gt;=KKM!$I$10,"C","D")))</f>
        <v>B</v>
      </c>
      <c r="W41" s="356">
        <f t="shared" si="0"/>
        <v>85</v>
      </c>
      <c r="X41" s="361" t="str">
        <f>IF(W41&gt;KKM!$G$10," sangat baik ",IF(W41&gt;KKM!$H$10," baik ",IF(W41&gt;=KKM!$I$10," cukup baik "," perlu bimbingan ")))</f>
        <v xml:space="preserve"> baik </v>
      </c>
      <c r="Y41" s="357">
        <f t="shared" si="1"/>
        <v>85</v>
      </c>
      <c r="Z41" s="361" t="str">
        <f>IF(Y41&gt;KKM!$G$10," sangat baik ",IF(Y41&gt;KKM!$H$10," baik ",IF(Y41&gt;=KKM!$I$10," cukup baik "," perlu bimbingan ")))</f>
        <v xml:space="preserve"> baik </v>
      </c>
      <c r="AA41" s="353" t="str">
        <f t="shared" si="5"/>
        <v>RYU baik  dalam membuat gambar cerita</v>
      </c>
      <c r="AB41" s="256"/>
      <c r="AC41" s="257" t="str">
        <f t="shared" si="2"/>
        <v xml:space="preserve"> baik  dalam membuat gambar cerita</v>
      </c>
      <c r="AD41" s="257" t="str">
        <f t="shared" si="3"/>
        <v xml:space="preserve"> baik  dalam membuat gambar cerita</v>
      </c>
      <c r="AE41" s="257" t="str">
        <f t="shared" si="6"/>
        <v xml:space="preserve"> baik  dalam membuat gambar cerita, dan  baik  dalam membuat gambar cerita</v>
      </c>
      <c r="AF41" s="257" t="str">
        <f t="shared" si="7"/>
        <v xml:space="preserve"> baik  dalam membuat gambar cerita</v>
      </c>
      <c r="AG41" s="258" t="str">
        <f t="shared" si="8"/>
        <v xml:space="preserve"> baik  dalam membuat gambar cerita</v>
      </c>
      <c r="AH41" s="252" t="str">
        <f t="shared" si="9"/>
        <v>RYU baik  dalam membuat gambar cerita</v>
      </c>
      <c r="AI41" s="153"/>
      <c r="AR41" s="469">
        <f t="shared" si="10"/>
        <v>85</v>
      </c>
    </row>
    <row r="42" spans="2:44" ht="68.25" customHeight="1">
      <c r="B42" s="142">
        <v>38</v>
      </c>
      <c r="C42" s="143" t="str">
        <f>SISWA!B43</f>
        <v>1718250040342</v>
      </c>
      <c r="D42" s="144" t="str">
        <f>SISWA!E43</f>
        <v>SAEPUL</v>
      </c>
      <c r="E42" s="159">
        <v>87.5</v>
      </c>
      <c r="F42" s="160">
        <v>87.5</v>
      </c>
      <c r="G42" s="160"/>
      <c r="H42" s="160"/>
      <c r="I42" s="160">
        <v>87.5</v>
      </c>
      <c r="J42" s="159">
        <v>87.5</v>
      </c>
      <c r="K42" s="159"/>
      <c r="L42" s="159"/>
      <c r="M42" s="159"/>
      <c r="N42" s="159"/>
      <c r="O42" s="159"/>
      <c r="P42" s="159"/>
      <c r="Q42" s="159"/>
      <c r="R42" s="160"/>
      <c r="S42" s="160"/>
      <c r="T42" s="159"/>
      <c r="U42" s="354">
        <f t="shared" si="4"/>
        <v>88</v>
      </c>
      <c r="V42" s="355" t="str">
        <f>IF(U42&gt;KKM!$G$10,"A",IF(U42&gt;KKM!$H$10,"B",IF(U42&gt;=KKM!$I$10,"C","D")))</f>
        <v>A</v>
      </c>
      <c r="W42" s="356">
        <f t="shared" si="0"/>
        <v>87.5</v>
      </c>
      <c r="X42" s="361" t="str">
        <f>IF(W42&gt;KKM!$G$10," sangat baik ",IF(W42&gt;KKM!$H$10," baik ",IF(W42&gt;=KKM!$I$10," cukup baik "," perlu bimbingan ")))</f>
        <v xml:space="preserve"> sangat baik </v>
      </c>
      <c r="Y42" s="357">
        <f t="shared" si="1"/>
        <v>87.5</v>
      </c>
      <c r="Z42" s="361" t="str">
        <f>IF(Y42&gt;KKM!$G$10," sangat baik ",IF(Y42&gt;KKM!$H$10," baik ",IF(Y42&gt;=KKM!$I$10," cukup baik "," perlu bimbingan ")))</f>
        <v xml:space="preserve"> sangat baik </v>
      </c>
      <c r="AA42" s="353" t="str">
        <f t="shared" si="5"/>
        <v>SAEPUL sangat baik  dalam membuat gambar cerita</v>
      </c>
      <c r="AB42" s="256"/>
      <c r="AC42" s="257" t="str">
        <f t="shared" si="2"/>
        <v xml:space="preserve"> sangat baik  dalam membuat gambar cerita</v>
      </c>
      <c r="AD42" s="257" t="str">
        <f t="shared" si="3"/>
        <v xml:space="preserve"> sangat baik  dalam membuat gambar cerita</v>
      </c>
      <c r="AE42" s="257" t="str">
        <f t="shared" si="6"/>
        <v xml:space="preserve"> sangat baik  dalam membuat gambar cerita, dan  sangat baik  dalam membuat gambar cerita</v>
      </c>
      <c r="AF42" s="257" t="str">
        <f t="shared" si="7"/>
        <v xml:space="preserve"> sangat baik  dalam membuat gambar cerita</v>
      </c>
      <c r="AG42" s="258" t="str">
        <f t="shared" si="8"/>
        <v xml:space="preserve"> sangat baik  dalam membuat gambar cerita</v>
      </c>
      <c r="AH42" s="252" t="str">
        <f t="shared" si="9"/>
        <v>SAEPUL sangat baik  dalam membuat gambar cerita</v>
      </c>
      <c r="AI42" s="153"/>
      <c r="AR42" s="469">
        <f t="shared" si="10"/>
        <v>88</v>
      </c>
    </row>
    <row r="43" spans="2:44" ht="68.25" customHeight="1">
      <c r="B43" s="142">
        <v>39</v>
      </c>
      <c r="C43" s="143" t="str">
        <f>SISWA!B44</f>
        <v>1718250040343</v>
      </c>
      <c r="D43" s="144" t="str">
        <f>SISWA!E44</f>
        <v>SALMA</v>
      </c>
      <c r="E43" s="159">
        <v>80</v>
      </c>
      <c r="F43" s="160">
        <v>80</v>
      </c>
      <c r="G43" s="160"/>
      <c r="H43" s="160"/>
      <c r="I43" s="160">
        <v>80</v>
      </c>
      <c r="J43" s="159">
        <v>80</v>
      </c>
      <c r="K43" s="159"/>
      <c r="L43" s="159"/>
      <c r="M43" s="159"/>
      <c r="N43" s="159"/>
      <c r="O43" s="159"/>
      <c r="P43" s="159"/>
      <c r="Q43" s="159"/>
      <c r="R43" s="160"/>
      <c r="S43" s="160"/>
      <c r="T43" s="159"/>
      <c r="U43" s="354">
        <f t="shared" si="4"/>
        <v>80</v>
      </c>
      <c r="V43" s="355" t="str">
        <f>IF(U43&gt;KKM!$G$10,"A",IF(U43&gt;KKM!$H$10,"B",IF(U43&gt;=KKM!$I$10,"C","D")))</f>
        <v>B</v>
      </c>
      <c r="W43" s="356">
        <f t="shared" si="0"/>
        <v>80</v>
      </c>
      <c r="X43" s="361" t="str">
        <f>IF(W43&gt;KKM!$G$10," sangat baik ",IF(W43&gt;KKM!$H$10," baik ",IF(W43&gt;=KKM!$I$10," cukup baik "," perlu bimbingan ")))</f>
        <v xml:space="preserve"> baik </v>
      </c>
      <c r="Y43" s="357">
        <f t="shared" si="1"/>
        <v>80</v>
      </c>
      <c r="Z43" s="361" t="str">
        <f>IF(Y43&gt;KKM!$G$10," sangat baik ",IF(Y43&gt;KKM!$H$10," baik ",IF(Y43&gt;=KKM!$I$10," cukup baik "," perlu bimbingan ")))</f>
        <v xml:space="preserve"> baik </v>
      </c>
      <c r="AA43" s="353" t="str">
        <f t="shared" si="5"/>
        <v>SALMA baik  dalam membuat gambar cerita</v>
      </c>
      <c r="AB43" s="256"/>
      <c r="AC43" s="257" t="str">
        <f t="shared" si="2"/>
        <v xml:space="preserve"> baik  dalam membuat gambar cerita</v>
      </c>
      <c r="AD43" s="257" t="str">
        <f t="shared" si="3"/>
        <v xml:space="preserve"> baik  dalam membuat gambar cerita</v>
      </c>
      <c r="AE43" s="257" t="str">
        <f t="shared" si="6"/>
        <v xml:space="preserve"> baik  dalam membuat gambar cerita, dan  baik  dalam membuat gambar cerita</v>
      </c>
      <c r="AF43" s="257" t="str">
        <f t="shared" si="7"/>
        <v xml:space="preserve"> baik  dalam membuat gambar cerita</v>
      </c>
      <c r="AG43" s="258" t="str">
        <f t="shared" si="8"/>
        <v xml:space="preserve"> baik  dalam membuat gambar cerita</v>
      </c>
      <c r="AH43" s="252" t="str">
        <f t="shared" si="9"/>
        <v>SALMA baik  dalam membuat gambar cerita</v>
      </c>
      <c r="AI43" s="153"/>
      <c r="AR43" s="469">
        <f t="shared" si="10"/>
        <v>80</v>
      </c>
    </row>
    <row r="44" spans="2:44" ht="68.25" customHeight="1">
      <c r="B44" s="142">
        <v>40</v>
      </c>
      <c r="C44" s="143" t="str">
        <f>SISWA!B45</f>
        <v>1718250040344</v>
      </c>
      <c r="D44" s="144" t="str">
        <f>SISWA!E45</f>
        <v>SYAKILA</v>
      </c>
      <c r="E44" s="159">
        <v>90</v>
      </c>
      <c r="F44" s="160">
        <v>90</v>
      </c>
      <c r="G44" s="160"/>
      <c r="H44" s="160"/>
      <c r="I44" s="160">
        <v>90</v>
      </c>
      <c r="J44" s="159">
        <v>90</v>
      </c>
      <c r="K44" s="159"/>
      <c r="L44" s="159"/>
      <c r="M44" s="159"/>
      <c r="N44" s="159"/>
      <c r="O44" s="159"/>
      <c r="P44" s="159"/>
      <c r="Q44" s="159"/>
      <c r="R44" s="160"/>
      <c r="S44" s="160"/>
      <c r="T44" s="159"/>
      <c r="U44" s="354">
        <f t="shared" si="4"/>
        <v>90</v>
      </c>
      <c r="V44" s="355" t="str">
        <f>IF(U44&gt;KKM!$G$10,"A",IF(U44&gt;KKM!$H$10,"B",IF(U44&gt;=KKM!$I$10,"C","D")))</f>
        <v>A</v>
      </c>
      <c r="W44" s="356">
        <f t="shared" si="0"/>
        <v>90</v>
      </c>
      <c r="X44" s="361" t="str">
        <f>IF(W44&gt;KKM!$G$10," sangat baik ",IF(W44&gt;KKM!$H$10," baik ",IF(W44&gt;=KKM!$I$10," cukup baik "," perlu bimbingan ")))</f>
        <v xml:space="preserve"> sangat baik </v>
      </c>
      <c r="Y44" s="357">
        <f t="shared" si="1"/>
        <v>90</v>
      </c>
      <c r="Z44" s="361" t="str">
        <f>IF(Y44&gt;KKM!$G$10," sangat baik ",IF(Y44&gt;KKM!$H$10," baik ",IF(Y44&gt;=KKM!$I$10," cukup baik "," perlu bimbingan ")))</f>
        <v xml:space="preserve"> sangat baik </v>
      </c>
      <c r="AA44" s="353" t="str">
        <f t="shared" si="5"/>
        <v>SYAKILA sangat baik  dalam membuat gambar cerita</v>
      </c>
      <c r="AB44" s="256"/>
      <c r="AC44" s="257" t="str">
        <f t="shared" si="2"/>
        <v xml:space="preserve"> sangat baik  dalam membuat gambar cerita</v>
      </c>
      <c r="AD44" s="257" t="str">
        <f t="shared" si="3"/>
        <v xml:space="preserve"> sangat baik  dalam membuat gambar cerita</v>
      </c>
      <c r="AE44" s="257" t="str">
        <f t="shared" si="6"/>
        <v xml:space="preserve"> sangat baik  dalam membuat gambar cerita, dan  sangat baik  dalam membuat gambar cerita</v>
      </c>
      <c r="AF44" s="257" t="str">
        <f t="shared" si="7"/>
        <v xml:space="preserve"> sangat baik  dalam membuat gambar cerita</v>
      </c>
      <c r="AG44" s="258" t="str">
        <f t="shared" si="8"/>
        <v xml:space="preserve"> sangat baik  dalam membuat gambar cerita</v>
      </c>
      <c r="AH44" s="252" t="str">
        <f t="shared" si="9"/>
        <v>SYAKILA sangat baik  dalam membuat gambar cerita</v>
      </c>
      <c r="AI44" s="153"/>
      <c r="AR44" s="469">
        <f t="shared" si="10"/>
        <v>90</v>
      </c>
    </row>
    <row r="45" spans="2:44" ht="68.25" customHeight="1">
      <c r="B45" s="142">
        <v>41</v>
      </c>
      <c r="C45" s="143" t="str">
        <f>SISWA!B46</f>
        <v>1718250040345</v>
      </c>
      <c r="D45" s="144" t="str">
        <f>SISWA!E46</f>
        <v>SYIFA</v>
      </c>
      <c r="E45" s="159">
        <v>85</v>
      </c>
      <c r="F45" s="160">
        <v>85</v>
      </c>
      <c r="G45" s="160"/>
      <c r="H45" s="160"/>
      <c r="I45" s="160">
        <v>85</v>
      </c>
      <c r="J45" s="159">
        <v>85</v>
      </c>
      <c r="K45" s="159"/>
      <c r="L45" s="159"/>
      <c r="M45" s="159"/>
      <c r="N45" s="159"/>
      <c r="O45" s="159"/>
      <c r="P45" s="159"/>
      <c r="Q45" s="159"/>
      <c r="R45" s="160"/>
      <c r="S45" s="160"/>
      <c r="T45" s="159"/>
      <c r="U45" s="354">
        <f t="shared" si="4"/>
        <v>85</v>
      </c>
      <c r="V45" s="355" t="str">
        <f>IF(U45&gt;KKM!$G$10,"A",IF(U45&gt;KKM!$H$10,"B",IF(U45&gt;=KKM!$I$10,"C","D")))</f>
        <v>B</v>
      </c>
      <c r="W45" s="356">
        <f t="shared" si="0"/>
        <v>85</v>
      </c>
      <c r="X45" s="361" t="str">
        <f>IF(W45&gt;KKM!$G$10," sangat baik ",IF(W45&gt;KKM!$H$10," baik ",IF(W45&gt;=KKM!$I$10," cukup baik "," perlu bimbingan ")))</f>
        <v xml:space="preserve"> baik </v>
      </c>
      <c r="Y45" s="357">
        <f t="shared" si="1"/>
        <v>85</v>
      </c>
      <c r="Z45" s="361" t="str">
        <f>IF(Y45&gt;KKM!$G$10," sangat baik ",IF(Y45&gt;KKM!$H$10," baik ",IF(Y45&gt;=KKM!$I$10," cukup baik "," perlu bimbingan ")))</f>
        <v xml:space="preserve"> baik </v>
      </c>
      <c r="AA45" s="353" t="str">
        <f t="shared" si="5"/>
        <v>SYIFA baik  dalam membuat gambar cerita</v>
      </c>
      <c r="AB45" s="256"/>
      <c r="AC45" s="257" t="str">
        <f t="shared" si="2"/>
        <v xml:space="preserve"> baik  dalam membuat gambar cerita</v>
      </c>
      <c r="AD45" s="257" t="str">
        <f t="shared" si="3"/>
        <v xml:space="preserve"> baik  dalam membuat gambar cerita</v>
      </c>
      <c r="AE45" s="257" t="str">
        <f t="shared" si="6"/>
        <v xml:space="preserve"> baik  dalam membuat gambar cerita, dan  baik  dalam membuat gambar cerita</v>
      </c>
      <c r="AF45" s="257" t="str">
        <f t="shared" si="7"/>
        <v xml:space="preserve"> baik  dalam membuat gambar cerita</v>
      </c>
      <c r="AG45" s="258" t="str">
        <f t="shared" si="8"/>
        <v xml:space="preserve"> baik  dalam membuat gambar cerita</v>
      </c>
      <c r="AH45" s="252" t="str">
        <f t="shared" si="9"/>
        <v>SYIFA baik  dalam membuat gambar cerita</v>
      </c>
      <c r="AI45" s="153"/>
      <c r="AR45" s="469">
        <f t="shared" si="10"/>
        <v>85</v>
      </c>
    </row>
    <row r="46" spans="2:44" ht="68.25" customHeight="1">
      <c r="B46" s="142">
        <v>42</v>
      </c>
      <c r="C46" s="143" t="str">
        <f>SISWA!B47</f>
        <v>1718250040346</v>
      </c>
      <c r="D46" s="144" t="str">
        <f>SISWA!E47</f>
        <v>WAFDAN</v>
      </c>
      <c r="E46" s="159">
        <v>92.5</v>
      </c>
      <c r="F46" s="160">
        <v>92.5</v>
      </c>
      <c r="G46" s="160"/>
      <c r="H46" s="160"/>
      <c r="I46" s="160">
        <v>92.5</v>
      </c>
      <c r="J46" s="159">
        <v>92.5</v>
      </c>
      <c r="K46" s="159"/>
      <c r="L46" s="159"/>
      <c r="M46" s="159"/>
      <c r="N46" s="159"/>
      <c r="O46" s="159"/>
      <c r="P46" s="159"/>
      <c r="Q46" s="159"/>
      <c r="R46" s="160"/>
      <c r="S46" s="160"/>
      <c r="T46" s="159"/>
      <c r="U46" s="354">
        <f t="shared" si="4"/>
        <v>93</v>
      </c>
      <c r="V46" s="355" t="str">
        <f>IF(U46&gt;KKM!$G$10,"A",IF(U46&gt;KKM!$H$10,"B",IF(U46&gt;=KKM!$I$10,"C","D")))</f>
        <v>A</v>
      </c>
      <c r="W46" s="356">
        <f t="shared" si="0"/>
        <v>92.5</v>
      </c>
      <c r="X46" s="361" t="str">
        <f>IF(W46&gt;KKM!$G$10," sangat baik ",IF(W46&gt;KKM!$H$10," baik ",IF(W46&gt;=KKM!$I$10," cukup baik "," perlu bimbingan ")))</f>
        <v xml:space="preserve"> sangat baik </v>
      </c>
      <c r="Y46" s="357">
        <f t="shared" si="1"/>
        <v>92.5</v>
      </c>
      <c r="Z46" s="361" t="str">
        <f>IF(Y46&gt;KKM!$G$10," sangat baik ",IF(Y46&gt;KKM!$H$10," baik ",IF(Y46&gt;=KKM!$I$10," cukup baik "," perlu bimbingan ")))</f>
        <v xml:space="preserve"> sangat baik </v>
      </c>
      <c r="AA46" s="353" t="str">
        <f t="shared" si="5"/>
        <v>WAFDAN sangat baik  dalam membuat gambar cerita</v>
      </c>
      <c r="AB46" s="256"/>
      <c r="AC46" s="257" t="str">
        <f t="shared" si="2"/>
        <v xml:space="preserve"> sangat baik  dalam membuat gambar cerita</v>
      </c>
      <c r="AD46" s="257" t="str">
        <f t="shared" si="3"/>
        <v xml:space="preserve"> sangat baik  dalam membuat gambar cerita</v>
      </c>
      <c r="AE46" s="257" t="str">
        <f t="shared" si="6"/>
        <v xml:space="preserve"> sangat baik  dalam membuat gambar cerita, dan  sangat baik  dalam membuat gambar cerita</v>
      </c>
      <c r="AF46" s="257" t="str">
        <f t="shared" si="7"/>
        <v xml:space="preserve"> sangat baik  dalam membuat gambar cerita</v>
      </c>
      <c r="AG46" s="258" t="str">
        <f t="shared" si="8"/>
        <v xml:space="preserve"> sangat baik  dalam membuat gambar cerita</v>
      </c>
      <c r="AH46" s="252" t="str">
        <f t="shared" si="9"/>
        <v>WAFDAN sangat baik  dalam membuat gambar cerita</v>
      </c>
      <c r="AI46" s="153"/>
      <c r="AR46" s="469">
        <f t="shared" si="10"/>
        <v>93</v>
      </c>
    </row>
    <row r="47" spans="2:44" ht="68.25" customHeight="1">
      <c r="B47" s="142">
        <v>43</v>
      </c>
      <c r="C47" s="143" t="str">
        <f>SISWA!B48</f>
        <v>1718250040347</v>
      </c>
      <c r="D47" s="144" t="str">
        <f>SISWA!E48</f>
        <v>ZEVA</v>
      </c>
      <c r="E47" s="159">
        <v>92.5</v>
      </c>
      <c r="F47" s="160">
        <v>92.5</v>
      </c>
      <c r="G47" s="160"/>
      <c r="H47" s="160"/>
      <c r="I47" s="160">
        <v>92.5</v>
      </c>
      <c r="J47" s="159">
        <v>92.5</v>
      </c>
      <c r="K47" s="159"/>
      <c r="L47" s="159"/>
      <c r="M47" s="159"/>
      <c r="N47" s="159"/>
      <c r="O47" s="159"/>
      <c r="P47" s="159"/>
      <c r="Q47" s="159"/>
      <c r="R47" s="160"/>
      <c r="S47" s="160"/>
      <c r="T47" s="159"/>
      <c r="U47" s="354">
        <f t="shared" si="4"/>
        <v>93</v>
      </c>
      <c r="V47" s="355" t="str">
        <f>IF(U47&gt;KKM!$G$10,"A",IF(U47&gt;KKM!$H$10,"B",IF(U47&gt;=KKM!$I$10,"C","D")))</f>
        <v>A</v>
      </c>
      <c r="W47" s="356">
        <f t="shared" si="0"/>
        <v>92.5</v>
      </c>
      <c r="X47" s="361" t="str">
        <f>IF(W47&gt;KKM!$G$10," sangat baik ",IF(W47&gt;KKM!$H$10," baik ",IF(W47&gt;=KKM!$I$10," cukup baik "," perlu bimbingan ")))</f>
        <v xml:space="preserve"> sangat baik </v>
      </c>
      <c r="Y47" s="357">
        <f t="shared" si="1"/>
        <v>92.5</v>
      </c>
      <c r="Z47" s="361" t="str">
        <f>IF(Y47&gt;KKM!$G$10," sangat baik ",IF(Y47&gt;KKM!$H$10," baik ",IF(Y47&gt;=KKM!$I$10," cukup baik "," perlu bimbingan ")))</f>
        <v xml:space="preserve"> sangat baik </v>
      </c>
      <c r="AA47" s="353" t="str">
        <f t="shared" si="5"/>
        <v>ZEVA sangat baik  dalam membuat gambar cerita</v>
      </c>
      <c r="AB47" s="256"/>
      <c r="AC47" s="257" t="str">
        <f t="shared" si="2"/>
        <v xml:space="preserve"> sangat baik  dalam membuat gambar cerita</v>
      </c>
      <c r="AD47" s="257" t="str">
        <f t="shared" si="3"/>
        <v xml:space="preserve"> sangat baik  dalam membuat gambar cerita</v>
      </c>
      <c r="AE47" s="257" t="str">
        <f t="shared" si="6"/>
        <v xml:space="preserve"> sangat baik  dalam membuat gambar cerita, dan  sangat baik  dalam membuat gambar cerita</v>
      </c>
      <c r="AF47" s="257" t="str">
        <f t="shared" si="7"/>
        <v xml:space="preserve"> sangat baik  dalam membuat gambar cerita</v>
      </c>
      <c r="AG47" s="258" t="str">
        <f t="shared" si="8"/>
        <v xml:space="preserve"> sangat baik  dalam membuat gambar cerita</v>
      </c>
      <c r="AH47" s="252" t="str">
        <f t="shared" si="9"/>
        <v>ZEVA sangat baik  dalam membuat gambar cerita</v>
      </c>
      <c r="AI47" s="153"/>
      <c r="AR47" s="469">
        <f t="shared" si="10"/>
        <v>93</v>
      </c>
    </row>
    <row r="48" spans="2:44" ht="68.25" customHeight="1">
      <c r="B48" s="142">
        <v>44</v>
      </c>
      <c r="C48" s="143">
        <f>SISWA!B49</f>
        <v>0</v>
      </c>
      <c r="D48" s="144">
        <f>SISWA!E49</f>
        <v>0</v>
      </c>
      <c r="E48" s="159"/>
      <c r="F48" s="160"/>
      <c r="G48" s="160"/>
      <c r="H48" s="160"/>
      <c r="I48" s="160"/>
      <c r="J48" s="159"/>
      <c r="K48" s="159"/>
      <c r="L48" s="159"/>
      <c r="M48" s="159"/>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53"/>
      <c r="AR48" s="469" t="str">
        <f t="shared" si="10"/>
        <v/>
      </c>
    </row>
    <row r="49" spans="2:44" ht="68.25" customHeight="1">
      <c r="B49" s="142">
        <v>45</v>
      </c>
      <c r="C49" s="143">
        <f>SISWA!B50</f>
        <v>0</v>
      </c>
      <c r="D49" s="144">
        <f>SISWA!E50</f>
        <v>0</v>
      </c>
      <c r="E49" s="159"/>
      <c r="F49" s="160"/>
      <c r="G49" s="160"/>
      <c r="H49" s="160"/>
      <c r="I49" s="160"/>
      <c r="J49" s="159"/>
      <c r="K49" s="159"/>
      <c r="L49" s="159"/>
      <c r="M49" s="159"/>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53"/>
      <c r="AR49" s="469" t="str">
        <f t="shared" si="10"/>
        <v/>
      </c>
    </row>
    <row r="50" spans="2:44" ht="68.25" customHeight="1">
      <c r="B50" s="142">
        <v>46</v>
      </c>
      <c r="C50" s="143">
        <f>SISWA!B51</f>
        <v>0</v>
      </c>
      <c r="D50" s="144">
        <f>SISWA!E51</f>
        <v>0</v>
      </c>
      <c r="E50" s="159"/>
      <c r="F50" s="160"/>
      <c r="G50" s="160"/>
      <c r="H50" s="160"/>
      <c r="I50" s="160"/>
      <c r="J50" s="159"/>
      <c r="K50" s="159"/>
      <c r="L50" s="159"/>
      <c r="M50" s="159"/>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53"/>
      <c r="AR50" s="469" t="str">
        <f t="shared" si="10"/>
        <v/>
      </c>
    </row>
    <row r="51" spans="2:44" ht="68.25" customHeight="1">
      <c r="B51" s="142">
        <v>47</v>
      </c>
      <c r="C51" s="143">
        <f>SISWA!B52</f>
        <v>0</v>
      </c>
      <c r="D51" s="144">
        <f>SISWA!E52</f>
        <v>0</v>
      </c>
      <c r="E51" s="159"/>
      <c r="F51" s="160"/>
      <c r="G51" s="160"/>
      <c r="H51" s="160"/>
      <c r="I51" s="160"/>
      <c r="J51" s="159"/>
      <c r="K51" s="159"/>
      <c r="L51" s="159"/>
      <c r="M51" s="159"/>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53"/>
      <c r="AR51" s="469" t="str">
        <f t="shared" si="10"/>
        <v/>
      </c>
    </row>
    <row r="52" spans="2:44" ht="68.25" customHeight="1">
      <c r="B52" s="142">
        <v>48</v>
      </c>
      <c r="C52" s="143">
        <f>SISWA!B53</f>
        <v>0</v>
      </c>
      <c r="D52" s="144">
        <f>SISWA!E53</f>
        <v>0</v>
      </c>
      <c r="E52" s="159"/>
      <c r="F52" s="160"/>
      <c r="G52" s="160"/>
      <c r="H52" s="160"/>
      <c r="I52" s="160"/>
      <c r="J52" s="159"/>
      <c r="K52" s="159"/>
      <c r="L52" s="159"/>
      <c r="M52" s="159"/>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53"/>
      <c r="AR52" s="469" t="str">
        <f t="shared" si="10"/>
        <v/>
      </c>
    </row>
    <row r="53" spans="2:44" ht="68.25" customHeight="1">
      <c r="B53" s="142">
        <v>49</v>
      </c>
      <c r="C53" s="143">
        <f>SISWA!B54</f>
        <v>0</v>
      </c>
      <c r="D53" s="144">
        <f>SISWA!E54</f>
        <v>0</v>
      </c>
      <c r="E53" s="159"/>
      <c r="F53" s="160"/>
      <c r="G53" s="160"/>
      <c r="H53" s="160"/>
      <c r="I53" s="160"/>
      <c r="J53" s="159"/>
      <c r="K53" s="159"/>
      <c r="L53" s="159"/>
      <c r="M53" s="159"/>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53"/>
      <c r="AR53" s="469" t="str">
        <f t="shared" si="10"/>
        <v/>
      </c>
    </row>
    <row r="54" spans="2:44" ht="68.25" customHeight="1">
      <c r="B54" s="142">
        <v>50</v>
      </c>
      <c r="C54" s="143">
        <f>SISWA!B55</f>
        <v>0</v>
      </c>
      <c r="D54" s="144">
        <f>SISWA!E55</f>
        <v>0</v>
      </c>
      <c r="E54" s="159"/>
      <c r="F54" s="160"/>
      <c r="G54" s="160"/>
      <c r="H54" s="160"/>
      <c r="I54" s="160"/>
      <c r="J54" s="159"/>
      <c r="K54" s="159"/>
      <c r="L54" s="159"/>
      <c r="M54" s="159"/>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53"/>
      <c r="AR54" s="469" t="str">
        <f t="shared" si="10"/>
        <v/>
      </c>
    </row>
    <row r="55" spans="2:44" ht="68.25" customHeight="1">
      <c r="B55" s="154"/>
      <c r="C55" s="154"/>
      <c r="D55" s="154"/>
      <c r="E55" s="159"/>
      <c r="F55" s="160"/>
      <c r="G55" s="160"/>
      <c r="H55" s="160"/>
      <c r="I55" s="160"/>
      <c r="J55" s="159"/>
      <c r="K55" s="159"/>
      <c r="L55" s="159"/>
      <c r="M55" s="159"/>
      <c r="N55" s="159"/>
      <c r="O55" s="159"/>
      <c r="P55" s="159"/>
      <c r="Q55" s="159"/>
      <c r="R55" s="160"/>
      <c r="S55" s="160"/>
      <c r="T55" s="159"/>
      <c r="U55" s="147"/>
      <c r="V55" s="148"/>
      <c r="W55" s="149"/>
      <c r="X55" s="149"/>
      <c r="Y55" s="149"/>
      <c r="Z55" s="149"/>
      <c r="AA55" s="150"/>
      <c r="AB55" s="151"/>
      <c r="AC55" s="152"/>
      <c r="AD55" s="155"/>
      <c r="AE55" s="155"/>
      <c r="AF55" s="155"/>
      <c r="AG55" s="155"/>
      <c r="AH55" s="155"/>
      <c r="AI55" s="153"/>
    </row>
  </sheetData>
  <sheetProtection password="C70C" sheet="1" objects="1" scenarios="1"/>
  <mergeCells count="10">
    <mergeCell ref="V2:V4"/>
    <mergeCell ref="W2:Z2"/>
    <mergeCell ref="AA2:AA4"/>
    <mergeCell ref="W3:X3"/>
    <mergeCell ref="Y3:Z3"/>
    <mergeCell ref="B2:B4"/>
    <mergeCell ref="C2:C4"/>
    <mergeCell ref="D2:D4"/>
    <mergeCell ref="E2:T2"/>
    <mergeCell ref="U2:U4"/>
  </mergeCell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K55"/>
  <sheetViews>
    <sheetView zoomScale="80" zoomScaleNormal="80" workbookViewId="0">
      <pane xSplit="4" ySplit="4" topLeftCell="E5" activePane="bottomRight" state="frozen"/>
      <selection pane="topRight" activeCell="E1" sqref="E1"/>
      <selection pane="bottomLeft" activeCell="A5" sqref="A5"/>
      <selection pane="bottomRight" activeCell="L6" sqref="L6"/>
    </sheetView>
  </sheetViews>
  <sheetFormatPr defaultColWidth="0" defaultRowHeight="15"/>
  <cols>
    <col min="1" max="1" width="23.42578125" style="171" customWidth="1"/>
    <col min="2" max="2" width="4.42578125" style="137" customWidth="1"/>
    <col min="3" max="3" width="6.42578125" style="137" customWidth="1"/>
    <col min="4" max="4" width="28.7109375" style="137" customWidth="1"/>
    <col min="5" max="12" width="5.5703125" style="137" customWidth="1"/>
    <col min="13" max="19" width="5.5703125" style="137" hidden="1" customWidth="1"/>
    <col min="20" max="23" width="5.5703125" style="137" customWidth="1"/>
    <col min="24" max="24" width="11.28515625" style="137" customWidth="1"/>
    <col min="25" max="25" width="5.5703125" style="137" customWidth="1"/>
    <col min="26" max="26" width="11.85546875" style="137" customWidth="1"/>
    <col min="27" max="27" width="100.7109375" style="137" customWidth="1"/>
    <col min="28" max="28" width="39.42578125" style="137" customWidth="1"/>
    <col min="29" max="29" width="5" style="137" hidden="1" customWidth="1"/>
    <col min="30" max="30" width="4.7109375" style="137" hidden="1" customWidth="1"/>
    <col min="31" max="31" width="5.140625" style="137" hidden="1" customWidth="1"/>
    <col min="32" max="37" width="5" style="137" hidden="1" customWidth="1"/>
    <col min="38" max="38" width="4.85546875" style="137" hidden="1" customWidth="1"/>
    <col min="39" max="42" width="5" style="137" hidden="1" customWidth="1"/>
    <col min="43" max="43" width="5" style="137" customWidth="1"/>
    <col min="44" max="44" width="5" style="137" hidden="1" customWidth="1"/>
    <col min="45" max="45" width="7" style="137" hidden="1" customWidth="1"/>
    <col min="46" max="46" width="5" style="137" customWidth="1"/>
    <col min="47" max="53" width="5" style="137" hidden="1" customWidth="1"/>
    <col min="54" max="54" width="84.42578125" style="137" hidden="1" customWidth="1"/>
    <col min="55" max="55" width="29.85546875" style="137" hidden="1" customWidth="1"/>
    <col min="56" max="69" width="10.7109375" style="137" hidden="1" customWidth="1"/>
    <col min="70" max="74" width="5" style="137" hidden="1" customWidth="1"/>
    <col min="75" max="75" width="4.85546875" style="137" hidden="1" customWidth="1"/>
    <col min="76" max="80" width="5" style="137" hidden="1" customWidth="1"/>
    <col min="81" max="82" width="0" style="137" hidden="1" customWidth="1"/>
    <col min="83" max="89" width="5" style="137" hidden="1" customWidth="1"/>
    <col min="90" max="90" width="84.42578125" style="137" hidden="1" customWidth="1"/>
    <col min="91" max="91" width="29.85546875" style="137" hidden="1" customWidth="1"/>
    <col min="92" max="115" width="10.7109375" style="137" hidden="1" customWidth="1"/>
    <col min="116" max="16384" width="9.140625" style="137" hidden="1"/>
  </cols>
  <sheetData>
    <row r="1" spans="1:53" s="512" customFormat="1" ht="45.75" customHeight="1">
      <c r="B1" s="513" t="s">
        <v>131</v>
      </c>
      <c r="C1" s="513"/>
      <c r="D1" s="513"/>
      <c r="E1" s="513"/>
      <c r="F1" s="513"/>
      <c r="G1" s="513"/>
      <c r="H1" s="513"/>
      <c r="I1" s="513"/>
      <c r="J1" s="513"/>
      <c r="K1" s="513"/>
      <c r="L1" s="513"/>
      <c r="M1" s="513"/>
      <c r="N1" s="513"/>
      <c r="O1" s="513"/>
      <c r="P1" s="513"/>
      <c r="Q1" s="513"/>
      <c r="R1" s="513"/>
      <c r="S1" s="513"/>
      <c r="T1" s="513"/>
      <c r="U1" s="513"/>
      <c r="V1" s="513"/>
      <c r="W1" s="513"/>
      <c r="X1" s="513"/>
      <c r="Y1" s="513"/>
      <c r="Z1" s="513"/>
      <c r="AA1" s="513"/>
      <c r="AB1" s="513"/>
      <c r="AC1" s="513"/>
      <c r="AD1" s="513"/>
      <c r="AE1" s="513"/>
      <c r="AF1" s="513"/>
      <c r="AG1" s="513"/>
      <c r="AH1" s="513"/>
      <c r="AI1" s="513"/>
      <c r="AJ1" s="513"/>
      <c r="AK1" s="513"/>
      <c r="AL1" s="513"/>
      <c r="AM1" s="513"/>
      <c r="AN1" s="513"/>
      <c r="AO1" s="513"/>
      <c r="AP1" s="513"/>
      <c r="AQ1" s="513"/>
      <c r="AR1" s="513"/>
      <c r="AS1" s="513"/>
      <c r="AT1" s="513"/>
      <c r="AU1" s="513"/>
      <c r="AV1" s="513"/>
      <c r="AW1" s="513"/>
      <c r="AX1" s="513"/>
      <c r="AY1" s="513"/>
      <c r="AZ1" s="513"/>
      <c r="BA1" s="513"/>
    </row>
    <row r="2" spans="1:53"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S2" s="502">
        <f>DEPAN!$E$23</f>
        <v>43</v>
      </c>
    </row>
    <row r="3" spans="1:53" ht="94.5" customHeight="1">
      <c r="B3" s="716"/>
      <c r="C3" s="717"/>
      <c r="D3" s="718"/>
      <c r="E3" s="408" t="str">
        <f>'KI-KD'!$F103</f>
        <v xml:space="preserve">mempraktikkan kombinasi pola gerak dominan (bertumpu, bergantung, keseimbangan, berpindah/ lokomotor, tolakan, putaran, ayunan, melayang, dan mendarat) untuk membentuk keterampilan dasar senam menggunakan alat
</v>
      </c>
      <c r="F3" s="408" t="str">
        <f>'KI-KD'!$F104</f>
        <v>mempraktikkan pengunaan kombinasi gerak dasar langkah dan ayunan lengan mengikuti irama (ketukan) tanpa/dengan musik dalam aktivitas gerak berirama</v>
      </c>
      <c r="G3" s="408" t="str">
        <f>'KI-KD'!$F105</f>
        <v>mempraktikkan salah satu gaya renang dengan koordinasi yang baik pada jarak tertentu</v>
      </c>
      <c r="H3" s="408" t="str">
        <f>'KI-KD'!$F106</f>
        <v>menerapkan konsep pemeliharaan diri dan orang lain dari penyakit menular dan tidak menular</v>
      </c>
      <c r="I3" s="408" t="str">
        <f>'KI-KD'!$F107</f>
        <v>memaparkan bahaya merokok, meminum minuman keras, dan mengonsumsi narkotika, zat-zat aditif (NAPZA) dan obat berbahaya lainnya terhadap kesehatan tubuh</v>
      </c>
      <c r="J3" s="408" t="e">
        <f>'KI-KD'!#REF!</f>
        <v>#REF!</v>
      </c>
      <c r="K3" s="408">
        <f>'KI-KD'!$F109</f>
        <v>0</v>
      </c>
      <c r="L3" s="408">
        <f>'KI-KD'!$F108</f>
        <v>0</v>
      </c>
      <c r="M3" s="408">
        <f>'KI-KD'!$F111</f>
        <v>0</v>
      </c>
      <c r="N3" s="408">
        <f>'KI-KD'!$F112</f>
        <v>0</v>
      </c>
      <c r="O3" s="408">
        <f>'KI-KD'!$F113</f>
        <v>0</v>
      </c>
      <c r="P3" s="138"/>
      <c r="Q3" s="138"/>
      <c r="R3" s="138"/>
      <c r="S3" s="138"/>
      <c r="T3" s="138"/>
      <c r="U3" s="720"/>
      <c r="V3" s="721"/>
      <c r="W3" s="712" t="s">
        <v>267</v>
      </c>
      <c r="X3" s="713"/>
      <c r="Y3" s="714" t="s">
        <v>268</v>
      </c>
      <c r="Z3" s="715"/>
      <c r="AA3" s="679"/>
      <c r="AB3" s="2"/>
      <c r="AC3" s="2"/>
      <c r="AD3" s="2"/>
      <c r="AE3" s="2"/>
      <c r="AF3" s="2"/>
      <c r="AG3" s="2"/>
      <c r="AH3" s="253"/>
      <c r="AS3" s="469">
        <f>AS4-AS5</f>
        <v>43</v>
      </c>
    </row>
    <row r="4" spans="1:53" s="141" customFormat="1" ht="25.5" customHeight="1">
      <c r="A4" s="514"/>
      <c r="B4" s="716"/>
      <c r="C4" s="717"/>
      <c r="D4" s="718"/>
      <c r="E4" s="140" t="str">
        <f>'KI-KD'!$E103</f>
        <v>4.6</v>
      </c>
      <c r="F4" s="140" t="str">
        <f>'KI-KD'!$E104</f>
        <v>4.7</v>
      </c>
      <c r="G4" s="140" t="str">
        <f>'KI-KD'!$E105</f>
        <v>4.8</v>
      </c>
      <c r="H4" s="140" t="str">
        <f>'KI-KD'!$E106</f>
        <v>4.9</v>
      </c>
      <c r="I4" s="140" t="str">
        <f>'KI-KD'!$E107</f>
        <v>4.10</v>
      </c>
      <c r="J4" s="140" t="e">
        <f>'KI-KD'!#REF!</f>
        <v>#REF!</v>
      </c>
      <c r="K4" s="140">
        <f>'KI-KD'!$E109</f>
        <v>0</v>
      </c>
      <c r="L4" s="140">
        <f>'KI-KD'!$E108</f>
        <v>0</v>
      </c>
      <c r="M4" s="140">
        <f>'KI-KD'!$E111</f>
        <v>0</v>
      </c>
      <c r="N4" s="140">
        <f>'KI-KD'!$E112</f>
        <v>0</v>
      </c>
      <c r="O4" s="140">
        <f>'KI-KD'!$E113</f>
        <v>0</v>
      </c>
      <c r="P4" s="140"/>
      <c r="Q4" s="140"/>
      <c r="R4" s="140"/>
      <c r="S4" s="140"/>
      <c r="T4" s="140"/>
      <c r="U4" s="720"/>
      <c r="V4" s="721"/>
      <c r="W4" s="248" t="s">
        <v>269</v>
      </c>
      <c r="X4" s="249" t="s">
        <v>3</v>
      </c>
      <c r="Y4" s="250" t="s">
        <v>269</v>
      </c>
      <c r="Z4" s="251" t="s">
        <v>3</v>
      </c>
      <c r="AA4" s="680"/>
      <c r="AB4" s="2"/>
      <c r="AC4" s="254" t="s">
        <v>270</v>
      </c>
      <c r="AD4" s="254" t="s">
        <v>271</v>
      </c>
      <c r="AE4" s="254" t="s">
        <v>272</v>
      </c>
      <c r="AF4" s="254" t="s">
        <v>273</v>
      </c>
      <c r="AG4" s="255" t="s">
        <v>266</v>
      </c>
      <c r="AH4" s="252"/>
      <c r="AS4" s="141">
        <v>50</v>
      </c>
    </row>
    <row r="5" spans="1:53" ht="66.75" customHeight="1">
      <c r="B5" s="142">
        <v>1</v>
      </c>
      <c r="C5" s="143" t="str">
        <f>SISWA!B6</f>
        <v>1718250040305</v>
      </c>
      <c r="D5" s="144" t="str">
        <f>SISWA!E6</f>
        <v>YAHYA</v>
      </c>
      <c r="E5" s="159">
        <v>90</v>
      </c>
      <c r="F5" s="159">
        <v>85</v>
      </c>
      <c r="G5" s="160">
        <v>95</v>
      </c>
      <c r="H5" s="159">
        <v>90</v>
      </c>
      <c r="I5" s="159">
        <v>83</v>
      </c>
      <c r="J5" s="574"/>
      <c r="K5" s="574"/>
      <c r="L5" s="159"/>
      <c r="M5" s="160"/>
      <c r="N5" s="159"/>
      <c r="O5" s="159"/>
      <c r="P5" s="159"/>
      <c r="Q5" s="159"/>
      <c r="R5" s="160"/>
      <c r="S5" s="160"/>
      <c r="T5" s="159"/>
      <c r="U5" s="354">
        <f>ROUND((AVERAGE(E5:T5)),0)</f>
        <v>89</v>
      </c>
      <c r="V5" s="355" t="str">
        <f>IF(U5&gt;KKM!$G$10,"A",IF(U5&gt;KKM!$H$10,"B",IF(U5&gt;=KKM!$I$10,"C","D")))</f>
        <v>A</v>
      </c>
      <c r="W5" s="356">
        <f t="shared" ref="W5:W54" si="0">MAX(E5:T5)</f>
        <v>95</v>
      </c>
      <c r="X5" s="361" t="str">
        <f>IF(W5&gt;KKM!$G$10," sangat baik ",IF(W5&gt;KKM!$H$10," baik ",IF(W5&gt;=KKM!$I$10," cukup baik "," perlu bimbingan ")))</f>
        <v xml:space="preserve"> sangat baik </v>
      </c>
      <c r="Y5" s="357">
        <f t="shared" ref="Y5:Y54" si="1">MIN(E5:T5)</f>
        <v>83</v>
      </c>
      <c r="Z5" s="361" t="str">
        <f>IF(Y5&gt;KKM!$G$10," sangat baik ",IF(Y5&gt;KKM!$H$10," baik ",IF(Y5&gt;=KKM!$I$10," cukup baik "," perlu bimbingan ")))</f>
        <v xml:space="preserve"> baik </v>
      </c>
      <c r="AA5" s="353" t="str">
        <f>IFERROR(AH5," ")</f>
        <v>YAHYA sangat baik  dalam mempraktikkan salah satu gaya renang dengan koordinasi yang baik pada jarak tertentu, dan  baik  dalam memaparkan bahaya merokok, meminum minuman keras, dan mengonsumsi narkotika, zat-zat aditif (NAPZA) dan obat berbahaya lainnya terhadap kesehatan tubuh</v>
      </c>
      <c r="AB5" s="256"/>
      <c r="AC5" s="257" t="str">
        <f t="shared" ref="AC5:AC54" si="2">X5&amp;" dalam "&amp;INDEX($E$3:$T$3,MATCH(W5,$E5:$T5,0))</f>
        <v xml:space="preserve"> sangat baik  dalam mempraktikkan salah satu gaya renang dengan koordinasi yang baik pada jarak tertentu</v>
      </c>
      <c r="AD5" s="257" t="str">
        <f t="shared" ref="AD5:AD54" si="3">Z5&amp;" dalam "&amp;INDEX($E$3:$T$3,MATCH(Y5,$E5:$T5,0))</f>
        <v xml:space="preserve"> baik  dalam memaparkan bahaya merokok, meminum minuman keras, dan mengonsumsi narkotika, zat-zat aditif (NAPZA) dan obat berbahaya lainnya terhadap kesehatan tubuh</v>
      </c>
      <c r="AE5" s="257" t="str">
        <f>AC5&amp;", dan "&amp;AD5</f>
        <v xml:space="preserve"> sangat baik  dalam mempraktikkan salah satu gaya renang dengan koordinasi yang baik pada jarak tertentu, dan  baik  dalam memaparkan bahaya merokok, meminum minuman keras, dan mengonsumsi narkotika, zat-zat aditif (NAPZA) dan obat berbahaya lainnya terhadap kesehatan tubuh</v>
      </c>
      <c r="AF5" s="257" t="str">
        <f>IF(AC5=AD5,AC5," ")</f>
        <v xml:space="preserve"> </v>
      </c>
      <c r="AG5" s="258" t="str">
        <f>IF(AF5=" ",AE5,AF5)</f>
        <v xml:space="preserve"> sangat baik  dalam mempraktikkan salah satu gaya renang dengan koordinasi yang baik pada jarak tertentu, dan  baik  dalam memaparkan bahaya merokok, meminum minuman keras, dan mengonsumsi narkotika, zat-zat aditif (NAPZA) dan obat berbahaya lainnya terhadap kesehatan tubuh</v>
      </c>
      <c r="AH5" s="252" t="str">
        <f>CONCATENATE(D5,AG5)</f>
        <v>YAHYA sangat baik  dalam mempraktikkan salah satu gaya renang dengan koordinasi yang baik pada jarak tertentu, dan  baik  dalam memaparkan bahaya merokok, meminum minuman keras, dan mengonsumsi narkotika, zat-zat aditif (NAPZA) dan obat berbahaya lainnya terhadap kesehatan tubuh</v>
      </c>
      <c r="AI5" s="153"/>
      <c r="AR5" s="469">
        <f>IFERROR(U5,"")</f>
        <v>89</v>
      </c>
      <c r="AS5" s="469">
        <f>COUNTBLANK(AR5:AR54)</f>
        <v>7</v>
      </c>
    </row>
    <row r="6" spans="1:53" ht="66.75" customHeight="1">
      <c r="B6" s="142">
        <v>2</v>
      </c>
      <c r="C6" s="143" t="str">
        <f>SISWA!B7</f>
        <v>1718250040306</v>
      </c>
      <c r="D6" s="144" t="str">
        <f>SISWA!E7</f>
        <v>ADHWA</v>
      </c>
      <c r="E6" s="159">
        <v>95</v>
      </c>
      <c r="F6" s="159">
        <v>90</v>
      </c>
      <c r="G6" s="160">
        <v>80</v>
      </c>
      <c r="H6" s="160">
        <v>83</v>
      </c>
      <c r="I6" s="160">
        <v>93</v>
      </c>
      <c r="J6" s="160"/>
      <c r="K6" s="160" t="s">
        <v>766</v>
      </c>
      <c r="L6" s="160" t="s">
        <v>766</v>
      </c>
      <c r="M6" s="160"/>
      <c r="N6" s="159"/>
      <c r="O6" s="159"/>
      <c r="P6" s="159"/>
      <c r="Q6" s="159"/>
      <c r="R6" s="160"/>
      <c r="S6" s="160"/>
      <c r="T6" s="159"/>
      <c r="U6" s="354">
        <f t="shared" ref="U6:U54" si="4">ROUND((AVERAGE(E6:T6)),0)</f>
        <v>88</v>
      </c>
      <c r="V6" s="355" t="str">
        <f>IF(U6&gt;KKM!$G$10,"A",IF(U6&gt;KKM!$H$10,"B",IF(U6&gt;=KKM!$I$10,"C","D")))</f>
        <v>A</v>
      </c>
      <c r="W6" s="356">
        <f t="shared" si="0"/>
        <v>95</v>
      </c>
      <c r="X6" s="361" t="str">
        <f>IF(W6&gt;KKM!$G$10," sangat baik ",IF(W6&gt;KKM!$H$10," baik ",IF(W6&gt;=KKM!$I$10," cukup baik "," perlu bimbingan ")))</f>
        <v xml:space="preserve"> sangat baik </v>
      </c>
      <c r="Y6" s="357">
        <f t="shared" si="1"/>
        <v>80</v>
      </c>
      <c r="Z6" s="361" t="str">
        <f>IF(Y6&gt;KKM!$G$10," sangat baik ",IF(Y6&gt;KKM!$H$10," baik ",IF(Y6&gt;=KKM!$I$10," cukup baik "," perlu bimbingan ")))</f>
        <v xml:space="preserve"> baik </v>
      </c>
      <c r="AA6" s="353" t="str">
        <f t="shared" ref="AA6:AA54" si="5">IFERROR(AH6," ")</f>
        <v>ADHWA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B6" s="256"/>
      <c r="AC6" s="257" t="str">
        <f t="shared" si="2"/>
        <v xml:space="preserve"> sangat baik  dalam mempraktikkan kombinasi pola gerak dominan (bertumpu, bergantung, keseimbangan, berpindah/ lokomotor, tolakan, putaran, ayunan, melayang, dan mendarat) untuk membentuk keterampilan dasar senam menggunakan alat
</v>
      </c>
      <c r="AD6" s="257" t="str">
        <f t="shared" si="3"/>
        <v xml:space="preserve"> baik  dalam mempraktikkan salah satu gaya renang dengan koordinasi yang baik pada jarak tertentu</v>
      </c>
      <c r="AE6" s="257" t="str">
        <f t="shared" ref="AE6:AE54" si="6">AC6&amp;", dan "&amp;AD6</f>
        <v xml:space="preserve">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F6" s="257" t="str">
        <f t="shared" ref="AF6:AF54" si="7">IF(AC6=AD6,AC6," ")</f>
        <v xml:space="preserve"> </v>
      </c>
      <c r="AG6" s="258" t="str">
        <f t="shared" ref="AG6:AG54" si="8">IF(AF6=" ",AE6,AF6)</f>
        <v xml:space="preserve">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H6" s="252" t="str">
        <f t="shared" ref="AH6:AH54" si="9">CONCATENATE(D6,AG6)</f>
        <v>ADHWA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I6" s="153"/>
      <c r="AR6" s="469">
        <f t="shared" ref="AR6:AR54" si="10">IFERROR(U6,"")</f>
        <v>88</v>
      </c>
      <c r="AS6" s="503">
        <f>IFERROR(AS3/AS2,"0%")</f>
        <v>1</v>
      </c>
    </row>
    <row r="7" spans="1:53" ht="66.75" customHeight="1">
      <c r="B7" s="142">
        <v>3</v>
      </c>
      <c r="C7" s="143" t="str">
        <f>SISWA!B8</f>
        <v xml:space="preserve"> 1718250040307</v>
      </c>
      <c r="D7" s="144" t="str">
        <f>SISWA!E8</f>
        <v>ANDHIKA</v>
      </c>
      <c r="E7" s="159">
        <v>90</v>
      </c>
      <c r="F7" s="159">
        <v>80</v>
      </c>
      <c r="G7" s="160">
        <v>78</v>
      </c>
      <c r="H7" s="160">
        <v>85</v>
      </c>
      <c r="I7" s="160">
        <v>83</v>
      </c>
      <c r="J7" s="160"/>
      <c r="K7" s="160" t="s">
        <v>766</v>
      </c>
      <c r="L7" s="160"/>
      <c r="M7" s="160"/>
      <c r="N7" s="159"/>
      <c r="O7" s="159"/>
      <c r="P7" s="159"/>
      <c r="Q7" s="159"/>
      <c r="R7" s="160"/>
      <c r="S7" s="160"/>
      <c r="T7" s="159"/>
      <c r="U7" s="354">
        <f t="shared" si="4"/>
        <v>83</v>
      </c>
      <c r="V7" s="355" t="str">
        <f>IF(U7&gt;KKM!$G$10,"A",IF(U7&gt;KKM!$H$10,"B",IF(U7&gt;=KKM!$I$10,"C","D")))</f>
        <v>B</v>
      </c>
      <c r="W7" s="356">
        <f t="shared" si="0"/>
        <v>90</v>
      </c>
      <c r="X7" s="361" t="str">
        <f>IF(W7&gt;KKM!$G$10," sangat baik ",IF(W7&gt;KKM!$H$10," baik ",IF(W7&gt;=KKM!$I$10," cukup baik "," perlu bimbingan ")))</f>
        <v xml:space="preserve"> sangat baik </v>
      </c>
      <c r="Y7" s="357">
        <f t="shared" si="1"/>
        <v>78</v>
      </c>
      <c r="Z7" s="361" t="str">
        <f>IF(Y7&gt;KKM!$G$10," sangat baik ",IF(Y7&gt;KKM!$H$10," baik ",IF(Y7&gt;=KKM!$I$10," cukup baik "," perlu bimbingan ")))</f>
        <v xml:space="preserve"> baik </v>
      </c>
      <c r="AA7" s="353" t="str">
        <f t="shared" si="5"/>
        <v>ANDHIKA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B7" s="256"/>
      <c r="AC7" s="257" t="str">
        <f t="shared" si="2"/>
        <v xml:space="preserve"> sangat baik  dalam mempraktikkan kombinasi pola gerak dominan (bertumpu, bergantung, keseimbangan, berpindah/ lokomotor, tolakan, putaran, ayunan, melayang, dan mendarat) untuk membentuk keterampilan dasar senam menggunakan alat
</v>
      </c>
      <c r="AD7" s="257" t="str">
        <f t="shared" si="3"/>
        <v xml:space="preserve"> baik  dalam mempraktikkan salah satu gaya renang dengan koordinasi yang baik pada jarak tertentu</v>
      </c>
      <c r="AE7"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F7" s="257" t="str">
        <f t="shared" si="7"/>
        <v xml:space="preserve"> </v>
      </c>
      <c r="AG7"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H7" s="252" t="str">
        <f t="shared" si="9"/>
        <v>ANDHIKA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I7" s="153"/>
      <c r="AR7" s="469">
        <f t="shared" si="10"/>
        <v>83</v>
      </c>
    </row>
    <row r="8" spans="1:53" ht="66.75" customHeight="1">
      <c r="B8" s="142">
        <v>4</v>
      </c>
      <c r="C8" s="143" t="str">
        <f>SISWA!B9</f>
        <v xml:space="preserve"> 1718250040308</v>
      </c>
      <c r="D8" s="144" t="str">
        <f>SISWA!E9</f>
        <v>ANGGARA</v>
      </c>
      <c r="E8" s="159">
        <v>95</v>
      </c>
      <c r="F8" s="159">
        <v>80</v>
      </c>
      <c r="G8" s="160">
        <v>90</v>
      </c>
      <c r="H8" s="160">
        <v>90</v>
      </c>
      <c r="I8" s="160">
        <v>83</v>
      </c>
      <c r="J8" s="160"/>
      <c r="K8" s="160"/>
      <c r="L8" s="160"/>
      <c r="M8" s="160"/>
      <c r="N8" s="159"/>
      <c r="O8" s="159"/>
      <c r="P8" s="159"/>
      <c r="Q8" s="159"/>
      <c r="R8" s="160"/>
      <c r="S8" s="160"/>
      <c r="T8" s="159"/>
      <c r="U8" s="354">
        <f t="shared" si="4"/>
        <v>88</v>
      </c>
      <c r="V8" s="355" t="str">
        <f>IF(U8&gt;KKM!$G$10,"A",IF(U8&gt;KKM!$H$10,"B",IF(U8&gt;=KKM!$I$10,"C","D")))</f>
        <v>A</v>
      </c>
      <c r="W8" s="356">
        <f t="shared" si="0"/>
        <v>95</v>
      </c>
      <c r="X8" s="361" t="str">
        <f>IF(W8&gt;KKM!$G$10," sangat baik ",IF(W8&gt;KKM!$H$10," baik ",IF(W8&gt;=KKM!$I$10," cukup baik "," perlu bimbingan ")))</f>
        <v xml:space="preserve"> sangat baik </v>
      </c>
      <c r="Y8" s="357">
        <f t="shared" si="1"/>
        <v>80</v>
      </c>
      <c r="Z8" s="361" t="str">
        <f>IF(Y8&gt;KKM!$G$10," sangat baik ",IF(Y8&gt;KKM!$H$10," baik ",IF(Y8&gt;=KKM!$I$10," cukup baik "," perlu bimbingan ")))</f>
        <v xml:space="preserve"> baik </v>
      </c>
      <c r="AA8" s="353" t="str">
        <f t="shared" si="5"/>
        <v>ANGGARA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8" s="256"/>
      <c r="AC8" s="257" t="str">
        <f t="shared" si="2"/>
        <v xml:space="preserve"> sangat baik  dalam mempraktikkan kombinasi pola gerak dominan (bertumpu, bergantung, keseimbangan, berpindah/ lokomotor, tolakan, putaran, ayunan, melayang, dan mendarat) untuk membentuk keterampilan dasar senam menggunakan alat
</v>
      </c>
      <c r="AD8" s="257" t="str">
        <f t="shared" si="3"/>
        <v xml:space="preserve"> baik  dalam mempraktikkan pengunaan kombinasi gerak dasar langkah dan ayunan lengan mengikuti irama (ketukan) tanpa/dengan musik dalam aktivitas gerak berirama</v>
      </c>
      <c r="AE8"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8" s="257" t="str">
        <f t="shared" si="7"/>
        <v xml:space="preserve"> </v>
      </c>
      <c r="AG8"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8" s="252" t="str">
        <f t="shared" si="9"/>
        <v>ANGGARA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8" s="153"/>
      <c r="AR8" s="469">
        <f t="shared" si="10"/>
        <v>88</v>
      </c>
    </row>
    <row r="9" spans="1:53" ht="66.75" customHeight="1">
      <c r="B9" s="142">
        <v>5</v>
      </c>
      <c r="C9" s="143" t="str">
        <f>SISWA!B10</f>
        <v>1718250040309</v>
      </c>
      <c r="D9" s="144" t="str">
        <f>SISWA!E10</f>
        <v>ARIA</v>
      </c>
      <c r="E9" s="159">
        <v>95</v>
      </c>
      <c r="F9" s="159">
        <v>80</v>
      </c>
      <c r="G9" s="160">
        <v>85</v>
      </c>
      <c r="H9" s="160">
        <v>93</v>
      </c>
      <c r="I9" s="160">
        <v>83</v>
      </c>
      <c r="J9" s="160"/>
      <c r="K9" s="160"/>
      <c r="L9" s="160"/>
      <c r="M9" s="160"/>
      <c r="N9" s="159"/>
      <c r="O9" s="159"/>
      <c r="P9" s="159"/>
      <c r="Q9" s="159"/>
      <c r="R9" s="160"/>
      <c r="S9" s="160"/>
      <c r="T9" s="159"/>
      <c r="U9" s="354">
        <f t="shared" si="4"/>
        <v>87</v>
      </c>
      <c r="V9" s="355" t="str">
        <f>IF(U9&gt;KKM!$G$10,"A",IF(U9&gt;KKM!$H$10,"B",IF(U9&gt;=KKM!$I$10,"C","D")))</f>
        <v>B</v>
      </c>
      <c r="W9" s="356">
        <f t="shared" si="0"/>
        <v>95</v>
      </c>
      <c r="X9" s="361" t="str">
        <f>IF(W9&gt;KKM!$G$10," sangat baik ",IF(W9&gt;KKM!$H$10," baik ",IF(W9&gt;=KKM!$I$10," cukup baik "," perlu bimbingan ")))</f>
        <v xml:space="preserve"> sangat baik </v>
      </c>
      <c r="Y9" s="357">
        <f t="shared" si="1"/>
        <v>80</v>
      </c>
      <c r="Z9" s="361" t="str">
        <f>IF(Y9&gt;KKM!$G$10," sangat baik ",IF(Y9&gt;KKM!$H$10," baik ",IF(Y9&gt;=KKM!$I$10," cukup baik "," perlu bimbingan ")))</f>
        <v xml:space="preserve"> baik </v>
      </c>
      <c r="AA9" s="353" t="str">
        <f t="shared" si="5"/>
        <v>ARIA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9" s="256"/>
      <c r="AC9" s="257" t="str">
        <f t="shared" si="2"/>
        <v xml:space="preserve"> sangat baik  dalam mempraktikkan kombinasi pola gerak dominan (bertumpu, bergantung, keseimbangan, berpindah/ lokomotor, tolakan, putaran, ayunan, melayang, dan mendarat) untuk membentuk keterampilan dasar senam menggunakan alat
</v>
      </c>
      <c r="AD9" s="257" t="str">
        <f t="shared" si="3"/>
        <v xml:space="preserve"> baik  dalam mempraktikkan pengunaan kombinasi gerak dasar langkah dan ayunan lengan mengikuti irama (ketukan) tanpa/dengan musik dalam aktivitas gerak berirama</v>
      </c>
      <c r="AE9"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9" s="257" t="str">
        <f t="shared" si="7"/>
        <v xml:space="preserve"> </v>
      </c>
      <c r="AG9"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9" s="252" t="str">
        <f t="shared" si="9"/>
        <v>ARIA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9" s="153"/>
      <c r="AR9" s="469">
        <f t="shared" si="10"/>
        <v>87</v>
      </c>
    </row>
    <row r="10" spans="1:53" ht="66.75" customHeight="1">
      <c r="B10" s="142">
        <v>6</v>
      </c>
      <c r="C10" s="143" t="str">
        <f>SISWA!B11</f>
        <v>1718250040310</v>
      </c>
      <c r="D10" s="144" t="str">
        <f>SISWA!E11</f>
        <v>CAHAYA</v>
      </c>
      <c r="E10" s="159">
        <v>90</v>
      </c>
      <c r="F10" s="159">
        <v>85</v>
      </c>
      <c r="G10" s="160">
        <v>85</v>
      </c>
      <c r="H10" s="160">
        <v>83</v>
      </c>
      <c r="I10" s="160">
        <v>83</v>
      </c>
      <c r="J10" s="160"/>
      <c r="K10" s="160"/>
      <c r="L10" s="160"/>
      <c r="M10" s="160"/>
      <c r="N10" s="159"/>
      <c r="O10" s="159"/>
      <c r="P10" s="159"/>
      <c r="Q10" s="159"/>
      <c r="R10" s="160"/>
      <c r="S10" s="160"/>
      <c r="T10" s="159"/>
      <c r="U10" s="354">
        <f t="shared" si="4"/>
        <v>85</v>
      </c>
      <c r="V10" s="355" t="str">
        <f>IF(U10&gt;KKM!$G$10,"A",IF(U10&gt;KKM!$H$10,"B",IF(U10&gt;=KKM!$I$10,"C","D")))</f>
        <v>B</v>
      </c>
      <c r="W10" s="356">
        <f t="shared" si="0"/>
        <v>90</v>
      </c>
      <c r="X10" s="361" t="str">
        <f>IF(W10&gt;KKM!$G$10," sangat baik ",IF(W10&gt;KKM!$H$10," baik ",IF(W10&gt;=KKM!$I$10," cukup baik "," perlu bimbingan ")))</f>
        <v xml:space="preserve"> sangat baik </v>
      </c>
      <c r="Y10" s="357">
        <f t="shared" si="1"/>
        <v>83</v>
      </c>
      <c r="Z10" s="361" t="str">
        <f>IF(Y10&gt;KKM!$G$10," sangat baik ",IF(Y10&gt;KKM!$H$10," baik ",IF(Y10&gt;=KKM!$I$10," cukup baik "," perlu bimbingan ")))</f>
        <v xml:space="preserve"> baik </v>
      </c>
      <c r="AA10" s="353" t="str">
        <f t="shared" si="5"/>
        <v>CAHAYA sangat baik  dalam mempraktikkan kombinasi pola gerak dominan (bertumpu, bergantung, keseimbangan, berpindah/ lokomotor, tolakan, putaran, ayunan, melayang, dan mendarat) untuk membentuk keterampilan dasar senam menggunakan alat
, dan  baik  dalam menerapkan konsep pemeliharaan diri dan orang lain dari penyakit menular dan tidak menular</v>
      </c>
      <c r="AB10" s="256"/>
      <c r="AC10" s="257" t="str">
        <f t="shared" si="2"/>
        <v xml:space="preserve"> sangat baik  dalam mempraktikkan kombinasi pola gerak dominan (bertumpu, bergantung, keseimbangan, berpindah/ lokomotor, tolakan, putaran, ayunan, melayang, dan mendarat) untuk membentuk keterampilan dasar senam menggunakan alat
</v>
      </c>
      <c r="AD10" s="257" t="str">
        <f t="shared" si="3"/>
        <v xml:space="preserve"> baik  dalam menerapkan konsep pemeliharaan diri dan orang lain dari penyakit menular dan tidak menular</v>
      </c>
      <c r="AE10" s="257" t="str">
        <f t="shared" si="6"/>
        <v xml:space="preserve"> sangat baik  dalam mempraktikkan kombinasi pola gerak dominan (bertumpu, bergantung, keseimbangan, berpindah/ lokomotor, tolakan, putaran, ayunan, melayang, dan mendarat) untuk membentuk keterampilan dasar senam menggunakan alat
, dan  baik  dalam menerapkan konsep pemeliharaan diri dan orang lain dari penyakit menular dan tidak menular</v>
      </c>
      <c r="AF10" s="257" t="str">
        <f t="shared" si="7"/>
        <v xml:space="preserve"> </v>
      </c>
      <c r="AG10" s="258" t="str">
        <f t="shared" si="8"/>
        <v xml:space="preserve"> sangat baik  dalam mempraktikkan kombinasi pola gerak dominan (bertumpu, bergantung, keseimbangan, berpindah/ lokomotor, tolakan, putaran, ayunan, melayang, dan mendarat) untuk membentuk keterampilan dasar senam menggunakan alat
, dan  baik  dalam menerapkan konsep pemeliharaan diri dan orang lain dari penyakit menular dan tidak menular</v>
      </c>
      <c r="AH10" s="252" t="str">
        <f t="shared" si="9"/>
        <v>CAHAYA sangat baik  dalam mempraktikkan kombinasi pola gerak dominan (bertumpu, bergantung, keseimbangan, berpindah/ lokomotor, tolakan, putaran, ayunan, melayang, dan mendarat) untuk membentuk keterampilan dasar senam menggunakan alat
, dan  baik  dalam menerapkan konsep pemeliharaan diri dan orang lain dari penyakit menular dan tidak menular</v>
      </c>
      <c r="AI10" s="153"/>
      <c r="AR10" s="469">
        <f t="shared" si="10"/>
        <v>85</v>
      </c>
    </row>
    <row r="11" spans="1:53" ht="66.75" customHeight="1">
      <c r="B11" s="142">
        <v>7</v>
      </c>
      <c r="C11" s="143" t="str">
        <f>SISWA!B12</f>
        <v>1718250040311</v>
      </c>
      <c r="D11" s="144" t="str">
        <f>SISWA!E12</f>
        <v>CALISTA</v>
      </c>
      <c r="E11" s="159">
        <v>90</v>
      </c>
      <c r="F11" s="159">
        <v>80</v>
      </c>
      <c r="G11" s="160">
        <v>80</v>
      </c>
      <c r="H11" s="160">
        <v>83</v>
      </c>
      <c r="I11" s="160">
        <v>83</v>
      </c>
      <c r="J11" s="160"/>
      <c r="K11" s="160"/>
      <c r="L11" s="160"/>
      <c r="M11" s="160"/>
      <c r="N11" s="159"/>
      <c r="O11" s="159"/>
      <c r="P11" s="159"/>
      <c r="Q11" s="159"/>
      <c r="R11" s="160"/>
      <c r="S11" s="160"/>
      <c r="T11" s="159"/>
      <c r="U11" s="354">
        <f t="shared" si="4"/>
        <v>83</v>
      </c>
      <c r="V11" s="355" t="str">
        <f>IF(U11&gt;KKM!$G$10,"A",IF(U11&gt;KKM!$H$10,"B",IF(U11&gt;=KKM!$I$10,"C","D")))</f>
        <v>B</v>
      </c>
      <c r="W11" s="356">
        <f t="shared" si="0"/>
        <v>90</v>
      </c>
      <c r="X11" s="361" t="str">
        <f>IF(W11&gt;KKM!$G$10," sangat baik ",IF(W11&gt;KKM!$H$10," baik ",IF(W11&gt;=KKM!$I$10," cukup baik "," perlu bimbingan ")))</f>
        <v xml:space="preserve"> sangat baik </v>
      </c>
      <c r="Y11" s="357">
        <f t="shared" si="1"/>
        <v>80</v>
      </c>
      <c r="Z11" s="361" t="str">
        <f>IF(Y11&gt;KKM!$G$10," sangat baik ",IF(Y11&gt;KKM!$H$10," baik ",IF(Y11&gt;=KKM!$I$10," cukup baik "," perlu bimbingan ")))</f>
        <v xml:space="preserve"> baik </v>
      </c>
      <c r="AA11" s="353" t="str">
        <f t="shared" si="5"/>
        <v>CALISTA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11" s="256"/>
      <c r="AC11" s="257" t="str">
        <f t="shared" si="2"/>
        <v xml:space="preserve"> sangat baik  dalam mempraktikkan kombinasi pola gerak dominan (bertumpu, bergantung, keseimbangan, berpindah/ lokomotor, tolakan, putaran, ayunan, melayang, dan mendarat) untuk membentuk keterampilan dasar senam menggunakan alat
</v>
      </c>
      <c r="AD11" s="257" t="str">
        <f t="shared" si="3"/>
        <v xml:space="preserve"> baik  dalam mempraktikkan pengunaan kombinasi gerak dasar langkah dan ayunan lengan mengikuti irama (ketukan) tanpa/dengan musik dalam aktivitas gerak berirama</v>
      </c>
      <c r="AE11"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11" s="257" t="str">
        <f t="shared" si="7"/>
        <v xml:space="preserve"> </v>
      </c>
      <c r="AG11"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11" s="252" t="str">
        <f t="shared" si="9"/>
        <v>CALISTA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11" s="153"/>
      <c r="AR11" s="469">
        <f t="shared" si="10"/>
        <v>83</v>
      </c>
    </row>
    <row r="12" spans="1:53" ht="66.75" customHeight="1">
      <c r="B12" s="142">
        <v>8</v>
      </c>
      <c r="C12" s="143" t="str">
        <f>SISWA!B13</f>
        <v>1718250040312</v>
      </c>
      <c r="D12" s="144" t="str">
        <f>SISWA!E13</f>
        <v>CARISSA</v>
      </c>
      <c r="E12" s="159">
        <v>85</v>
      </c>
      <c r="F12" s="159">
        <v>90</v>
      </c>
      <c r="G12" s="160">
        <v>85</v>
      </c>
      <c r="H12" s="160">
        <v>88</v>
      </c>
      <c r="I12" s="160">
        <v>80</v>
      </c>
      <c r="J12" s="160"/>
      <c r="K12" s="160"/>
      <c r="L12" s="160"/>
      <c r="M12" s="160"/>
      <c r="N12" s="159"/>
      <c r="O12" s="159"/>
      <c r="P12" s="159"/>
      <c r="Q12" s="159"/>
      <c r="R12" s="160"/>
      <c r="S12" s="160"/>
      <c r="T12" s="159"/>
      <c r="U12" s="354">
        <f t="shared" si="4"/>
        <v>86</v>
      </c>
      <c r="V12" s="355" t="str">
        <f>IF(U12&gt;KKM!$G$10,"A",IF(U12&gt;KKM!$H$10,"B",IF(U12&gt;=KKM!$I$10,"C","D")))</f>
        <v>B</v>
      </c>
      <c r="W12" s="356">
        <f t="shared" si="0"/>
        <v>90</v>
      </c>
      <c r="X12" s="361" t="str">
        <f>IF(W12&gt;KKM!$G$10," sangat baik ",IF(W12&gt;KKM!$H$10," baik ",IF(W12&gt;=KKM!$I$10," cukup baik "," perlu bimbingan ")))</f>
        <v xml:space="preserve"> sangat baik </v>
      </c>
      <c r="Y12" s="357">
        <f t="shared" si="1"/>
        <v>80</v>
      </c>
      <c r="Z12" s="361" t="str">
        <f>IF(Y12&gt;KKM!$G$10," sangat baik ",IF(Y12&gt;KKM!$H$10," baik ",IF(Y12&gt;=KKM!$I$10," cukup baik "," perlu bimbingan ")))</f>
        <v xml:space="preserve"> baik </v>
      </c>
      <c r="AA12" s="353" t="str">
        <f t="shared" si="5"/>
        <v>CARISSA sangat baik  dalam mempraktikkan pengunaan kombinasi gerak dasar langkah dan ayunan lengan mengikuti irama (ketukan) tanpa/dengan musik dalam aktivitas gerak berirama, dan  baik  dalam memaparkan bahaya merokok, meminum minuman keras, dan mengonsumsi narkotika, zat-zat aditif (NAPZA) dan obat berbahaya lainnya terhadap kesehatan tubuh</v>
      </c>
      <c r="AB12" s="256"/>
      <c r="AC12" s="257" t="str">
        <f t="shared" si="2"/>
        <v xml:space="preserve"> sangat baik  dalam mempraktikkan pengunaan kombinasi gerak dasar langkah dan ayunan lengan mengikuti irama (ketukan) tanpa/dengan musik dalam aktivitas gerak berirama</v>
      </c>
      <c r="AD12" s="257" t="str">
        <f t="shared" si="3"/>
        <v xml:space="preserve"> baik  dalam memaparkan bahaya merokok, meminum minuman keras, dan mengonsumsi narkotika, zat-zat aditif (NAPZA) dan obat berbahaya lainnya terhadap kesehatan tubuh</v>
      </c>
      <c r="AE12" s="257" t="str">
        <f t="shared" si="6"/>
        <v xml:space="preserve"> sangat baik  dalam mempraktikkan pengunaan kombinasi gerak dasar langkah dan ayunan lengan mengikuti irama (ketukan) tanpa/dengan musik dalam aktivitas gerak berirama, dan  baik  dalam memaparkan bahaya merokok, meminum minuman keras, dan mengonsumsi narkotika, zat-zat aditif (NAPZA) dan obat berbahaya lainnya terhadap kesehatan tubuh</v>
      </c>
      <c r="AF12" s="257" t="str">
        <f t="shared" si="7"/>
        <v xml:space="preserve"> </v>
      </c>
      <c r="AG12" s="258" t="str">
        <f t="shared" si="8"/>
        <v xml:space="preserve"> sangat baik  dalam mempraktikkan pengunaan kombinasi gerak dasar langkah dan ayunan lengan mengikuti irama (ketukan) tanpa/dengan musik dalam aktivitas gerak berirama, dan  baik  dalam memaparkan bahaya merokok, meminum minuman keras, dan mengonsumsi narkotika, zat-zat aditif (NAPZA) dan obat berbahaya lainnya terhadap kesehatan tubuh</v>
      </c>
      <c r="AH12" s="252" t="str">
        <f t="shared" si="9"/>
        <v>CARISSA sangat baik  dalam mempraktikkan pengunaan kombinasi gerak dasar langkah dan ayunan lengan mengikuti irama (ketukan) tanpa/dengan musik dalam aktivitas gerak berirama, dan  baik  dalam memaparkan bahaya merokok, meminum minuman keras, dan mengonsumsi narkotika, zat-zat aditif (NAPZA) dan obat berbahaya lainnya terhadap kesehatan tubuh</v>
      </c>
      <c r="AI12" s="153"/>
      <c r="AR12" s="469">
        <f t="shared" si="10"/>
        <v>86</v>
      </c>
    </row>
    <row r="13" spans="1:53" ht="66.75" customHeight="1">
      <c r="B13" s="142">
        <v>9</v>
      </c>
      <c r="C13" s="143" t="str">
        <f>SISWA!B14</f>
        <v>1718250040313</v>
      </c>
      <c r="D13" s="144" t="str">
        <f>SISWA!E14</f>
        <v>CHAIDAR</v>
      </c>
      <c r="E13" s="159">
        <v>90</v>
      </c>
      <c r="F13" s="159">
        <v>80</v>
      </c>
      <c r="G13" s="160">
        <v>78</v>
      </c>
      <c r="H13" s="160">
        <v>83</v>
      </c>
      <c r="I13" s="160">
        <v>80</v>
      </c>
      <c r="J13" s="160"/>
      <c r="K13" s="160"/>
      <c r="L13" s="160"/>
      <c r="M13" s="160"/>
      <c r="N13" s="159"/>
      <c r="O13" s="159"/>
      <c r="P13" s="159"/>
      <c r="Q13" s="159"/>
      <c r="R13" s="160"/>
      <c r="S13" s="160"/>
      <c r="T13" s="159"/>
      <c r="U13" s="354">
        <f t="shared" si="4"/>
        <v>82</v>
      </c>
      <c r="V13" s="355" t="str">
        <f>IF(U13&gt;KKM!$G$10,"A",IF(U13&gt;KKM!$H$10,"B",IF(U13&gt;=KKM!$I$10,"C","D")))</f>
        <v>B</v>
      </c>
      <c r="W13" s="356">
        <f t="shared" si="0"/>
        <v>90</v>
      </c>
      <c r="X13" s="361" t="str">
        <f>IF(W13&gt;KKM!$G$10," sangat baik ",IF(W13&gt;KKM!$H$10," baik ",IF(W13&gt;=KKM!$I$10," cukup baik "," perlu bimbingan ")))</f>
        <v xml:space="preserve"> sangat baik </v>
      </c>
      <c r="Y13" s="357">
        <f t="shared" si="1"/>
        <v>78</v>
      </c>
      <c r="Z13" s="361" t="str">
        <f>IF(Y13&gt;KKM!$G$10," sangat baik ",IF(Y13&gt;KKM!$H$10," baik ",IF(Y13&gt;=KKM!$I$10," cukup baik "," perlu bimbingan ")))</f>
        <v xml:space="preserve"> baik </v>
      </c>
      <c r="AA13" s="353" t="str">
        <f t="shared" si="5"/>
        <v>CHAIDAR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B13" s="256"/>
      <c r="AC13" s="257" t="str">
        <f t="shared" si="2"/>
        <v xml:space="preserve"> sangat baik  dalam mempraktikkan kombinasi pola gerak dominan (bertumpu, bergantung, keseimbangan, berpindah/ lokomotor, tolakan, putaran, ayunan, melayang, dan mendarat) untuk membentuk keterampilan dasar senam menggunakan alat
</v>
      </c>
      <c r="AD13" s="257" t="str">
        <f t="shared" si="3"/>
        <v xml:space="preserve"> baik  dalam mempraktikkan salah satu gaya renang dengan koordinasi yang baik pada jarak tertentu</v>
      </c>
      <c r="AE13"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F13" s="257" t="str">
        <f t="shared" si="7"/>
        <v xml:space="preserve"> </v>
      </c>
      <c r="AG13"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H13" s="252" t="str">
        <f t="shared" si="9"/>
        <v>CHAIDAR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I13" s="153"/>
      <c r="AR13" s="469">
        <f t="shared" si="10"/>
        <v>82</v>
      </c>
    </row>
    <row r="14" spans="1:53" ht="66.75" customHeight="1">
      <c r="B14" s="142">
        <v>10</v>
      </c>
      <c r="C14" s="143" t="str">
        <f>SISWA!B15</f>
        <v>1718250040314</v>
      </c>
      <c r="D14" s="144" t="str">
        <f>SISWA!E15</f>
        <v>DAVKA</v>
      </c>
      <c r="E14" s="159">
        <v>95</v>
      </c>
      <c r="F14" s="159">
        <v>80</v>
      </c>
      <c r="G14" s="160">
        <v>85</v>
      </c>
      <c r="H14" s="160">
        <v>88</v>
      </c>
      <c r="I14" s="160">
        <v>93</v>
      </c>
      <c r="J14" s="160"/>
      <c r="K14" s="160"/>
      <c r="L14" s="160"/>
      <c r="M14" s="160"/>
      <c r="N14" s="159"/>
      <c r="O14" s="159"/>
      <c r="P14" s="159"/>
      <c r="Q14" s="159"/>
      <c r="R14" s="160"/>
      <c r="S14" s="160"/>
      <c r="T14" s="159"/>
      <c r="U14" s="354">
        <f t="shared" si="4"/>
        <v>88</v>
      </c>
      <c r="V14" s="355" t="str">
        <f>IF(U14&gt;KKM!$G$10,"A",IF(U14&gt;KKM!$H$10,"B",IF(U14&gt;=KKM!$I$10,"C","D")))</f>
        <v>A</v>
      </c>
      <c r="W14" s="356">
        <f t="shared" si="0"/>
        <v>95</v>
      </c>
      <c r="X14" s="361" t="str">
        <f>IF(W14&gt;KKM!$G$10," sangat baik ",IF(W14&gt;KKM!$H$10," baik ",IF(W14&gt;=KKM!$I$10," cukup baik "," perlu bimbingan ")))</f>
        <v xml:space="preserve"> sangat baik </v>
      </c>
      <c r="Y14" s="357">
        <f t="shared" si="1"/>
        <v>80</v>
      </c>
      <c r="Z14" s="361" t="str">
        <f>IF(Y14&gt;KKM!$G$10," sangat baik ",IF(Y14&gt;KKM!$H$10," baik ",IF(Y14&gt;=KKM!$I$10," cukup baik "," perlu bimbingan ")))</f>
        <v xml:space="preserve"> baik </v>
      </c>
      <c r="AA14" s="353" t="str">
        <f t="shared" si="5"/>
        <v>DAVKA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14" s="256"/>
      <c r="AC14" s="257" t="str">
        <f t="shared" si="2"/>
        <v xml:space="preserve"> sangat baik  dalam mempraktikkan kombinasi pola gerak dominan (bertumpu, bergantung, keseimbangan, berpindah/ lokomotor, tolakan, putaran, ayunan, melayang, dan mendarat) untuk membentuk keterampilan dasar senam menggunakan alat
</v>
      </c>
      <c r="AD14" s="257" t="str">
        <f t="shared" si="3"/>
        <v xml:space="preserve"> baik  dalam mempraktikkan pengunaan kombinasi gerak dasar langkah dan ayunan lengan mengikuti irama (ketukan) tanpa/dengan musik dalam aktivitas gerak berirama</v>
      </c>
      <c r="AE14"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14" s="257" t="str">
        <f t="shared" si="7"/>
        <v xml:space="preserve"> </v>
      </c>
      <c r="AG14"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14" s="252" t="str">
        <f t="shared" si="9"/>
        <v>DAVKA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14" s="153"/>
      <c r="AR14" s="469">
        <f t="shared" si="10"/>
        <v>88</v>
      </c>
    </row>
    <row r="15" spans="1:53" ht="66.75" customHeight="1">
      <c r="B15" s="142">
        <v>11</v>
      </c>
      <c r="C15" s="143" t="str">
        <f>SISWA!B16</f>
        <v>1718250040315</v>
      </c>
      <c r="D15" s="144" t="str">
        <f>SISWA!E16</f>
        <v>DZIBRIL</v>
      </c>
      <c r="E15" s="159">
        <v>90</v>
      </c>
      <c r="F15" s="159">
        <v>80</v>
      </c>
      <c r="G15" s="160">
        <v>80</v>
      </c>
      <c r="H15" s="160">
        <v>83</v>
      </c>
      <c r="I15" s="160">
        <v>93</v>
      </c>
      <c r="J15" s="160"/>
      <c r="K15" s="160"/>
      <c r="L15" s="160"/>
      <c r="M15" s="160"/>
      <c r="N15" s="159"/>
      <c r="O15" s="159"/>
      <c r="P15" s="159"/>
      <c r="Q15" s="159"/>
      <c r="R15" s="160"/>
      <c r="S15" s="160"/>
      <c r="T15" s="159"/>
      <c r="U15" s="354">
        <f t="shared" si="4"/>
        <v>85</v>
      </c>
      <c r="V15" s="355" t="str">
        <f>IF(U15&gt;KKM!$G$10,"A",IF(U15&gt;KKM!$H$10,"B",IF(U15&gt;=KKM!$I$10,"C","D")))</f>
        <v>B</v>
      </c>
      <c r="W15" s="356">
        <f t="shared" si="0"/>
        <v>93</v>
      </c>
      <c r="X15" s="361" t="str">
        <f>IF(W15&gt;KKM!$G$10," sangat baik ",IF(W15&gt;KKM!$H$10," baik ",IF(W15&gt;=KKM!$I$10," cukup baik "," perlu bimbingan ")))</f>
        <v xml:space="preserve"> sangat baik </v>
      </c>
      <c r="Y15" s="357">
        <f t="shared" si="1"/>
        <v>80</v>
      </c>
      <c r="Z15" s="361" t="str">
        <f>IF(Y15&gt;KKM!$G$10," sangat baik ",IF(Y15&gt;KKM!$H$10," baik ",IF(Y15&gt;=KKM!$I$10," cukup baik "," perlu bimbingan ")))</f>
        <v xml:space="preserve"> baik </v>
      </c>
      <c r="AA15" s="353" t="str">
        <f t="shared" si="5"/>
        <v>DZIBRIL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AB15" s="256"/>
      <c r="AC15" s="257" t="str">
        <f t="shared" si="2"/>
        <v xml:space="preserve"> sangat baik  dalam memaparkan bahaya merokok, meminum minuman keras, dan mengonsumsi narkotika, zat-zat aditif (NAPZA) dan obat berbahaya lainnya terhadap kesehatan tubuh</v>
      </c>
      <c r="AD15" s="257" t="str">
        <f t="shared" si="3"/>
        <v xml:space="preserve"> baik  dalam mempraktikkan pengunaan kombinasi gerak dasar langkah dan ayunan lengan mengikuti irama (ketukan) tanpa/dengan musik dalam aktivitas gerak berirama</v>
      </c>
      <c r="AE15" s="257" t="str">
        <f t="shared" si="6"/>
        <v xml:space="preserve">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AF15" s="257" t="str">
        <f t="shared" si="7"/>
        <v xml:space="preserve"> </v>
      </c>
      <c r="AG15" s="258" t="str">
        <f t="shared" si="8"/>
        <v xml:space="preserve">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AH15" s="252" t="str">
        <f t="shared" si="9"/>
        <v>DZIBRIL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AI15" s="153"/>
      <c r="AR15" s="469">
        <f t="shared" si="10"/>
        <v>85</v>
      </c>
    </row>
    <row r="16" spans="1:53" ht="66.75" customHeight="1">
      <c r="B16" s="142">
        <v>12</v>
      </c>
      <c r="C16" s="143" t="str">
        <f>SISWA!B17</f>
        <v>1718250040316</v>
      </c>
      <c r="D16" s="144" t="str">
        <f>SISWA!E17</f>
        <v>ERICHA</v>
      </c>
      <c r="E16" s="159">
        <v>95</v>
      </c>
      <c r="F16" s="159">
        <v>85</v>
      </c>
      <c r="G16" s="160">
        <v>95</v>
      </c>
      <c r="H16" s="160">
        <v>88</v>
      </c>
      <c r="I16" s="160">
        <v>88</v>
      </c>
      <c r="J16" s="160"/>
      <c r="K16" s="160"/>
      <c r="L16" s="160"/>
      <c r="M16" s="160"/>
      <c r="N16" s="159"/>
      <c r="O16" s="159"/>
      <c r="P16" s="159"/>
      <c r="Q16" s="159"/>
      <c r="R16" s="160"/>
      <c r="S16" s="160"/>
      <c r="T16" s="159"/>
      <c r="U16" s="354">
        <f t="shared" si="4"/>
        <v>90</v>
      </c>
      <c r="V16" s="355" t="str">
        <f>IF(U16&gt;KKM!$G$10,"A",IF(U16&gt;KKM!$H$10,"B",IF(U16&gt;=KKM!$I$10,"C","D")))</f>
        <v>A</v>
      </c>
      <c r="W16" s="356">
        <f t="shared" si="0"/>
        <v>95</v>
      </c>
      <c r="X16" s="361" t="str">
        <f>IF(W16&gt;KKM!$G$10," sangat baik ",IF(W16&gt;KKM!$H$10," baik ",IF(W16&gt;=KKM!$I$10," cukup baik "," perlu bimbingan ")))</f>
        <v xml:space="preserve"> sangat baik </v>
      </c>
      <c r="Y16" s="357">
        <f t="shared" si="1"/>
        <v>85</v>
      </c>
      <c r="Z16" s="361" t="str">
        <f>IF(Y16&gt;KKM!$G$10," sangat baik ",IF(Y16&gt;KKM!$H$10," baik ",IF(Y16&gt;=KKM!$I$10," cukup baik "," perlu bimbingan ")))</f>
        <v xml:space="preserve"> baik </v>
      </c>
      <c r="AA16" s="353" t="str">
        <f t="shared" si="5"/>
        <v>ERICHA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16" s="256"/>
      <c r="AC16" s="257" t="str">
        <f t="shared" si="2"/>
        <v xml:space="preserve"> sangat baik  dalam mempraktikkan kombinasi pola gerak dominan (bertumpu, bergantung, keseimbangan, berpindah/ lokomotor, tolakan, putaran, ayunan, melayang, dan mendarat) untuk membentuk keterampilan dasar senam menggunakan alat
</v>
      </c>
      <c r="AD16" s="257" t="str">
        <f t="shared" si="3"/>
        <v xml:space="preserve"> baik  dalam mempraktikkan pengunaan kombinasi gerak dasar langkah dan ayunan lengan mengikuti irama (ketukan) tanpa/dengan musik dalam aktivitas gerak berirama</v>
      </c>
      <c r="AE16"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16" s="257" t="str">
        <f t="shared" si="7"/>
        <v xml:space="preserve"> </v>
      </c>
      <c r="AG16"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16" s="252" t="str">
        <f t="shared" si="9"/>
        <v>ERICHA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16" s="153"/>
      <c r="AR16" s="469">
        <f t="shared" si="10"/>
        <v>90</v>
      </c>
    </row>
    <row r="17" spans="2:44" ht="66.75" customHeight="1">
      <c r="B17" s="142">
        <v>13</v>
      </c>
      <c r="C17" s="143" t="str">
        <f>SISWA!B18</f>
        <v>1718250040317</v>
      </c>
      <c r="D17" s="144" t="str">
        <f>SISWA!E18</f>
        <v>HISYAM</v>
      </c>
      <c r="E17" s="159">
        <v>85</v>
      </c>
      <c r="F17" s="159">
        <v>80</v>
      </c>
      <c r="G17" s="160">
        <v>78</v>
      </c>
      <c r="H17" s="160">
        <v>81</v>
      </c>
      <c r="I17" s="160">
        <v>80</v>
      </c>
      <c r="J17" s="160"/>
      <c r="K17" s="160"/>
      <c r="L17" s="160"/>
      <c r="M17" s="160"/>
      <c r="N17" s="159"/>
      <c r="O17" s="159"/>
      <c r="P17" s="159"/>
      <c r="Q17" s="159"/>
      <c r="R17" s="160"/>
      <c r="S17" s="160"/>
      <c r="T17" s="159"/>
      <c r="U17" s="354">
        <f t="shared" si="4"/>
        <v>81</v>
      </c>
      <c r="V17" s="355" t="str">
        <f>IF(U17&gt;KKM!$G$10,"A",IF(U17&gt;KKM!$H$10,"B",IF(U17&gt;=KKM!$I$10,"C","D")))</f>
        <v>B</v>
      </c>
      <c r="W17" s="356">
        <f t="shared" si="0"/>
        <v>85</v>
      </c>
      <c r="X17" s="361" t="str">
        <f>IF(W17&gt;KKM!$G$10," sangat baik ",IF(W17&gt;KKM!$H$10," baik ",IF(W17&gt;=KKM!$I$10," cukup baik "," perlu bimbingan ")))</f>
        <v xml:space="preserve"> baik </v>
      </c>
      <c r="Y17" s="357">
        <f t="shared" si="1"/>
        <v>78</v>
      </c>
      <c r="Z17" s="361" t="str">
        <f>IF(Y17&gt;KKM!$G$10," sangat baik ",IF(Y17&gt;KKM!$H$10," baik ",IF(Y17&gt;=KKM!$I$10," cukup baik "," perlu bimbingan ")))</f>
        <v xml:space="preserve"> baik </v>
      </c>
      <c r="AA17" s="353" t="str">
        <f t="shared" si="5"/>
        <v>HISYAM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B17" s="256"/>
      <c r="AC17" s="257" t="str">
        <f t="shared" si="2"/>
        <v xml:space="preserve"> baik  dalam mempraktikkan kombinasi pola gerak dominan (bertumpu, bergantung, keseimbangan, berpindah/ lokomotor, tolakan, putaran, ayunan, melayang, dan mendarat) untuk membentuk keterampilan dasar senam menggunakan alat
</v>
      </c>
      <c r="AD17" s="257" t="str">
        <f t="shared" si="3"/>
        <v xml:space="preserve"> baik  dalam mempraktikkan salah satu gaya renang dengan koordinasi yang baik pada jarak tertentu</v>
      </c>
      <c r="AE17" s="257" t="str">
        <f t="shared" si="6"/>
        <v xml:space="preserve">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F17" s="257" t="str">
        <f t="shared" si="7"/>
        <v xml:space="preserve"> </v>
      </c>
      <c r="AG17" s="258" t="str">
        <f t="shared" si="8"/>
        <v xml:space="preserve">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H17" s="252" t="str">
        <f t="shared" si="9"/>
        <v>HISYAM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AI17" s="153"/>
      <c r="AR17" s="469">
        <f t="shared" si="10"/>
        <v>81</v>
      </c>
    </row>
    <row r="18" spans="2:44" ht="66.75" customHeight="1">
      <c r="B18" s="142">
        <v>14</v>
      </c>
      <c r="C18" s="143" t="str">
        <f>SISWA!B19</f>
        <v>1718250040318</v>
      </c>
      <c r="D18" s="144" t="str">
        <f>SISWA!E19</f>
        <v>FAUZI</v>
      </c>
      <c r="E18" s="159">
        <v>95</v>
      </c>
      <c r="F18" s="159">
        <v>85</v>
      </c>
      <c r="G18" s="160">
        <v>90</v>
      </c>
      <c r="H18" s="160">
        <v>88</v>
      </c>
      <c r="I18" s="160">
        <v>93</v>
      </c>
      <c r="J18" s="160"/>
      <c r="K18" s="160"/>
      <c r="L18" s="160"/>
      <c r="M18" s="160"/>
      <c r="N18" s="159"/>
      <c r="O18" s="159"/>
      <c r="P18" s="159"/>
      <c r="Q18" s="159"/>
      <c r="R18" s="160"/>
      <c r="S18" s="160"/>
      <c r="T18" s="159"/>
      <c r="U18" s="354">
        <f t="shared" si="4"/>
        <v>90</v>
      </c>
      <c r="V18" s="355" t="str">
        <f>IF(U18&gt;KKM!$G$10,"A",IF(U18&gt;KKM!$H$10,"B",IF(U18&gt;=KKM!$I$10,"C","D")))</f>
        <v>A</v>
      </c>
      <c r="W18" s="356">
        <f t="shared" si="0"/>
        <v>95</v>
      </c>
      <c r="X18" s="361" t="str">
        <f>IF(W18&gt;KKM!$G$10," sangat baik ",IF(W18&gt;KKM!$H$10," baik ",IF(W18&gt;=KKM!$I$10," cukup baik "," perlu bimbingan ")))</f>
        <v xml:space="preserve"> sangat baik </v>
      </c>
      <c r="Y18" s="357">
        <f t="shared" si="1"/>
        <v>85</v>
      </c>
      <c r="Z18" s="361" t="str">
        <f>IF(Y18&gt;KKM!$G$10," sangat baik ",IF(Y18&gt;KKM!$H$10," baik ",IF(Y18&gt;=KKM!$I$10," cukup baik "," perlu bimbingan ")))</f>
        <v xml:space="preserve"> baik </v>
      </c>
      <c r="AA18" s="353" t="str">
        <f t="shared" si="5"/>
        <v>FAUZI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18" s="256"/>
      <c r="AC18" s="257" t="str">
        <f t="shared" si="2"/>
        <v xml:space="preserve"> sangat baik  dalam mempraktikkan kombinasi pola gerak dominan (bertumpu, bergantung, keseimbangan, berpindah/ lokomotor, tolakan, putaran, ayunan, melayang, dan mendarat) untuk membentuk keterampilan dasar senam menggunakan alat
</v>
      </c>
      <c r="AD18" s="257" t="str">
        <f t="shared" si="3"/>
        <v xml:space="preserve"> baik  dalam mempraktikkan pengunaan kombinasi gerak dasar langkah dan ayunan lengan mengikuti irama (ketukan) tanpa/dengan musik dalam aktivitas gerak berirama</v>
      </c>
      <c r="AE18"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18" s="257" t="str">
        <f t="shared" si="7"/>
        <v xml:space="preserve"> </v>
      </c>
      <c r="AG18"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18" s="252" t="str">
        <f t="shared" si="9"/>
        <v>FAUZI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18" s="153"/>
      <c r="AR18" s="469">
        <f t="shared" si="10"/>
        <v>90</v>
      </c>
    </row>
    <row r="19" spans="2:44" ht="66.75" customHeight="1">
      <c r="B19" s="142">
        <v>15</v>
      </c>
      <c r="C19" s="143" t="str">
        <f>SISWA!B20</f>
        <v>1718250040319</v>
      </c>
      <c r="D19" s="144" t="str">
        <f>SISWA!E20</f>
        <v>FIRLY</v>
      </c>
      <c r="E19" s="159">
        <v>95</v>
      </c>
      <c r="F19" s="159">
        <v>85</v>
      </c>
      <c r="G19" s="160">
        <v>95</v>
      </c>
      <c r="H19" s="160">
        <v>88</v>
      </c>
      <c r="I19" s="160">
        <v>83</v>
      </c>
      <c r="J19" s="160"/>
      <c r="K19" s="160"/>
      <c r="L19" s="160"/>
      <c r="M19" s="160"/>
      <c r="N19" s="159"/>
      <c r="O19" s="159"/>
      <c r="P19" s="159"/>
      <c r="Q19" s="159"/>
      <c r="R19" s="160"/>
      <c r="S19" s="160"/>
      <c r="T19" s="159"/>
      <c r="U19" s="354">
        <f t="shared" si="4"/>
        <v>89</v>
      </c>
      <c r="V19" s="355" t="str">
        <f>IF(U19&gt;KKM!$G$10,"A",IF(U19&gt;KKM!$H$10,"B",IF(U19&gt;=KKM!$I$10,"C","D")))</f>
        <v>A</v>
      </c>
      <c r="W19" s="356">
        <f t="shared" si="0"/>
        <v>95</v>
      </c>
      <c r="X19" s="361" t="str">
        <f>IF(W19&gt;KKM!$G$10," sangat baik ",IF(W19&gt;KKM!$H$10," baik ",IF(W19&gt;=KKM!$I$10," cukup baik "," perlu bimbingan ")))</f>
        <v xml:space="preserve"> sangat baik </v>
      </c>
      <c r="Y19" s="357">
        <f t="shared" si="1"/>
        <v>83</v>
      </c>
      <c r="Z19" s="361" t="str">
        <f>IF(Y19&gt;KKM!$G$10," sangat baik ",IF(Y19&gt;KKM!$H$10," baik ",IF(Y19&gt;=KKM!$I$10," cukup baik "," perlu bimbingan ")))</f>
        <v xml:space="preserve"> baik </v>
      </c>
      <c r="AA19" s="353" t="str">
        <f t="shared" si="5"/>
        <v>FIRLY sangat baik  dalam mempraktikkan kombinasi pola gerak dominan (bertumpu, bergantung, keseimbangan, berpindah/ lokomotor, tolakan, putaran, ayunan, melayang, dan mendarat) untuk membentuk keterampilan dasar senam menggunakan alat
, dan  baik  dalam memaparkan bahaya merokok, meminum minuman keras, dan mengonsumsi narkotika, zat-zat aditif (NAPZA) dan obat berbahaya lainnya terhadap kesehatan tubuh</v>
      </c>
      <c r="AB19" s="256"/>
      <c r="AC19" s="257" t="str">
        <f t="shared" si="2"/>
        <v xml:space="preserve"> sangat baik  dalam mempraktikkan kombinasi pola gerak dominan (bertumpu, bergantung, keseimbangan, berpindah/ lokomotor, tolakan, putaran, ayunan, melayang, dan mendarat) untuk membentuk keterampilan dasar senam menggunakan alat
</v>
      </c>
      <c r="AD19" s="257" t="str">
        <f t="shared" si="3"/>
        <v xml:space="preserve"> baik  dalam memaparkan bahaya merokok, meminum minuman keras, dan mengonsumsi narkotika, zat-zat aditif (NAPZA) dan obat berbahaya lainnya terhadap kesehatan tubuh</v>
      </c>
      <c r="AE19"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memaparkan bahaya merokok, meminum minuman keras, dan mengonsumsi narkotika, zat-zat aditif (NAPZA) dan obat berbahaya lainnya terhadap kesehatan tubuh</v>
      </c>
      <c r="AF19" s="257" t="str">
        <f t="shared" si="7"/>
        <v xml:space="preserve"> </v>
      </c>
      <c r="AG19"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memaparkan bahaya merokok, meminum minuman keras, dan mengonsumsi narkotika, zat-zat aditif (NAPZA) dan obat berbahaya lainnya terhadap kesehatan tubuh</v>
      </c>
      <c r="AH19" s="252" t="str">
        <f t="shared" si="9"/>
        <v>FIRLY sangat baik  dalam mempraktikkan kombinasi pola gerak dominan (bertumpu, bergantung, keseimbangan, berpindah/ lokomotor, tolakan, putaran, ayunan, melayang, dan mendarat) untuk membentuk keterampilan dasar senam menggunakan alat
, dan  baik  dalam memaparkan bahaya merokok, meminum minuman keras, dan mengonsumsi narkotika, zat-zat aditif (NAPZA) dan obat berbahaya lainnya terhadap kesehatan tubuh</v>
      </c>
      <c r="AI19" s="153"/>
      <c r="AR19" s="469">
        <f t="shared" si="10"/>
        <v>89</v>
      </c>
    </row>
    <row r="20" spans="2:44" ht="66.75" customHeight="1">
      <c r="B20" s="142">
        <v>16</v>
      </c>
      <c r="C20" s="143" t="str">
        <f>SISWA!B21</f>
        <v>1718250040320</v>
      </c>
      <c r="D20" s="144" t="str">
        <f>SISWA!E21</f>
        <v>HANA</v>
      </c>
      <c r="E20" s="159">
        <v>90</v>
      </c>
      <c r="F20" s="159">
        <v>80</v>
      </c>
      <c r="G20" s="160">
        <v>85</v>
      </c>
      <c r="H20" s="160">
        <v>88</v>
      </c>
      <c r="I20" s="160">
        <v>80</v>
      </c>
      <c r="J20" s="160"/>
      <c r="K20" s="160"/>
      <c r="L20" s="160"/>
      <c r="M20" s="160"/>
      <c r="N20" s="159"/>
      <c r="O20" s="159"/>
      <c r="P20" s="159"/>
      <c r="Q20" s="159"/>
      <c r="R20" s="160"/>
      <c r="S20" s="160"/>
      <c r="T20" s="159"/>
      <c r="U20" s="354">
        <f t="shared" si="4"/>
        <v>85</v>
      </c>
      <c r="V20" s="355" t="str">
        <f>IF(U20&gt;KKM!$G$10,"A",IF(U20&gt;KKM!$H$10,"B",IF(U20&gt;=KKM!$I$10,"C","D")))</f>
        <v>B</v>
      </c>
      <c r="W20" s="356">
        <f t="shared" si="0"/>
        <v>90</v>
      </c>
      <c r="X20" s="361" t="str">
        <f>IF(W20&gt;KKM!$G$10," sangat baik ",IF(W20&gt;KKM!$H$10," baik ",IF(W20&gt;=KKM!$I$10," cukup baik "," perlu bimbingan ")))</f>
        <v xml:space="preserve"> sangat baik </v>
      </c>
      <c r="Y20" s="357">
        <f t="shared" si="1"/>
        <v>80</v>
      </c>
      <c r="Z20" s="361" t="str">
        <f>IF(Y20&gt;KKM!$G$10," sangat baik ",IF(Y20&gt;KKM!$H$10," baik ",IF(Y20&gt;=KKM!$I$10," cukup baik "," perlu bimbingan ")))</f>
        <v xml:space="preserve"> baik </v>
      </c>
      <c r="AA20" s="353" t="str">
        <f t="shared" si="5"/>
        <v>HANA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20" s="256"/>
      <c r="AC20" s="257" t="str">
        <f t="shared" si="2"/>
        <v xml:space="preserve"> sangat baik  dalam mempraktikkan kombinasi pola gerak dominan (bertumpu, bergantung, keseimbangan, berpindah/ lokomotor, tolakan, putaran, ayunan, melayang, dan mendarat) untuk membentuk keterampilan dasar senam menggunakan alat
</v>
      </c>
      <c r="AD20" s="257" t="str">
        <f t="shared" si="3"/>
        <v xml:space="preserve"> baik  dalam mempraktikkan pengunaan kombinasi gerak dasar langkah dan ayunan lengan mengikuti irama (ketukan) tanpa/dengan musik dalam aktivitas gerak berirama</v>
      </c>
      <c r="AE20"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20" s="257" t="str">
        <f t="shared" si="7"/>
        <v xml:space="preserve"> </v>
      </c>
      <c r="AG20"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20" s="252" t="str">
        <f t="shared" si="9"/>
        <v>HANA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20" s="153"/>
      <c r="AR20" s="469">
        <f t="shared" si="10"/>
        <v>85</v>
      </c>
    </row>
    <row r="21" spans="2:44" ht="66.75" customHeight="1">
      <c r="B21" s="142">
        <v>17</v>
      </c>
      <c r="C21" s="143" t="str">
        <f>SISWA!B22</f>
        <v>1718250040321</v>
      </c>
      <c r="D21" s="144" t="str">
        <f>SISWA!E22</f>
        <v>MALLA</v>
      </c>
      <c r="E21" s="159">
        <v>90</v>
      </c>
      <c r="F21" s="159">
        <v>90</v>
      </c>
      <c r="G21" s="160">
        <v>90</v>
      </c>
      <c r="H21" s="160">
        <v>83</v>
      </c>
      <c r="I21" s="160">
        <v>83</v>
      </c>
      <c r="J21" s="160"/>
      <c r="K21" s="160"/>
      <c r="L21" s="160"/>
      <c r="M21" s="160"/>
      <c r="N21" s="159"/>
      <c r="O21" s="159"/>
      <c r="P21" s="159"/>
      <c r="Q21" s="159"/>
      <c r="R21" s="160"/>
      <c r="S21" s="160"/>
      <c r="T21" s="159"/>
      <c r="U21" s="354">
        <f t="shared" si="4"/>
        <v>87</v>
      </c>
      <c r="V21" s="355" t="str">
        <f>IF(U21&gt;KKM!$G$10,"A",IF(U21&gt;KKM!$H$10,"B",IF(U21&gt;=KKM!$I$10,"C","D")))</f>
        <v>B</v>
      </c>
      <c r="W21" s="356">
        <f t="shared" si="0"/>
        <v>90</v>
      </c>
      <c r="X21" s="361" t="str">
        <f>IF(W21&gt;KKM!$G$10," sangat baik ",IF(W21&gt;KKM!$H$10," baik ",IF(W21&gt;=KKM!$I$10," cukup baik "," perlu bimbingan ")))</f>
        <v xml:space="preserve"> sangat baik </v>
      </c>
      <c r="Y21" s="357">
        <f t="shared" si="1"/>
        <v>83</v>
      </c>
      <c r="Z21" s="361" t="str">
        <f>IF(Y21&gt;KKM!$G$10," sangat baik ",IF(Y21&gt;KKM!$H$10," baik ",IF(Y21&gt;=KKM!$I$10," cukup baik "," perlu bimbingan ")))</f>
        <v xml:space="preserve"> baik </v>
      </c>
      <c r="AA21" s="353" t="str">
        <f t="shared" si="5"/>
        <v>MALLA sangat baik  dalam mempraktikkan kombinasi pola gerak dominan (bertumpu, bergantung, keseimbangan, berpindah/ lokomotor, tolakan, putaran, ayunan, melayang, dan mendarat) untuk membentuk keterampilan dasar senam menggunakan alat
, dan  baik  dalam menerapkan konsep pemeliharaan diri dan orang lain dari penyakit menular dan tidak menular</v>
      </c>
      <c r="AB21" s="256"/>
      <c r="AC21" s="257" t="str">
        <f t="shared" si="2"/>
        <v xml:space="preserve"> sangat baik  dalam mempraktikkan kombinasi pola gerak dominan (bertumpu, bergantung, keseimbangan, berpindah/ lokomotor, tolakan, putaran, ayunan, melayang, dan mendarat) untuk membentuk keterampilan dasar senam menggunakan alat
</v>
      </c>
      <c r="AD21" s="257" t="str">
        <f t="shared" si="3"/>
        <v xml:space="preserve"> baik  dalam menerapkan konsep pemeliharaan diri dan orang lain dari penyakit menular dan tidak menular</v>
      </c>
      <c r="AE21" s="257" t="str">
        <f t="shared" si="6"/>
        <v xml:space="preserve"> sangat baik  dalam mempraktikkan kombinasi pola gerak dominan (bertumpu, bergantung, keseimbangan, berpindah/ lokomotor, tolakan, putaran, ayunan, melayang, dan mendarat) untuk membentuk keterampilan dasar senam menggunakan alat
, dan  baik  dalam menerapkan konsep pemeliharaan diri dan orang lain dari penyakit menular dan tidak menular</v>
      </c>
      <c r="AF21" s="257" t="str">
        <f t="shared" si="7"/>
        <v xml:space="preserve"> </v>
      </c>
      <c r="AG21" s="258" t="str">
        <f t="shared" si="8"/>
        <v xml:space="preserve"> sangat baik  dalam mempraktikkan kombinasi pola gerak dominan (bertumpu, bergantung, keseimbangan, berpindah/ lokomotor, tolakan, putaran, ayunan, melayang, dan mendarat) untuk membentuk keterampilan dasar senam menggunakan alat
, dan  baik  dalam menerapkan konsep pemeliharaan diri dan orang lain dari penyakit menular dan tidak menular</v>
      </c>
      <c r="AH21" s="252" t="str">
        <f t="shared" si="9"/>
        <v>MALLA sangat baik  dalam mempraktikkan kombinasi pola gerak dominan (bertumpu, bergantung, keseimbangan, berpindah/ lokomotor, tolakan, putaran, ayunan, melayang, dan mendarat) untuk membentuk keterampilan dasar senam menggunakan alat
, dan  baik  dalam menerapkan konsep pemeliharaan diri dan orang lain dari penyakit menular dan tidak menular</v>
      </c>
      <c r="AI21" s="153"/>
      <c r="AR21" s="469">
        <f t="shared" si="10"/>
        <v>87</v>
      </c>
    </row>
    <row r="22" spans="2:44" ht="66.75" customHeight="1">
      <c r="B22" s="142">
        <v>18</v>
      </c>
      <c r="C22" s="143" t="str">
        <f>SISWA!B23</f>
        <v>1718250040322</v>
      </c>
      <c r="D22" s="144" t="str">
        <f>SISWA!E23</f>
        <v>INTAN</v>
      </c>
      <c r="E22" s="159">
        <v>90</v>
      </c>
      <c r="F22" s="159">
        <v>80</v>
      </c>
      <c r="G22" s="160">
        <v>80</v>
      </c>
      <c r="H22" s="160">
        <v>88</v>
      </c>
      <c r="I22" s="160">
        <v>80</v>
      </c>
      <c r="J22" s="160"/>
      <c r="K22" s="160"/>
      <c r="L22" s="160"/>
      <c r="M22" s="160"/>
      <c r="N22" s="159"/>
      <c r="O22" s="159"/>
      <c r="P22" s="159"/>
      <c r="Q22" s="159"/>
      <c r="R22" s="160"/>
      <c r="S22" s="160"/>
      <c r="T22" s="159"/>
      <c r="U22" s="354">
        <f t="shared" si="4"/>
        <v>84</v>
      </c>
      <c r="V22" s="355" t="str">
        <f>IF(U22&gt;KKM!$G$10,"A",IF(U22&gt;KKM!$H$10,"B",IF(U22&gt;=KKM!$I$10,"C","D")))</f>
        <v>B</v>
      </c>
      <c r="W22" s="356">
        <f t="shared" si="0"/>
        <v>90</v>
      </c>
      <c r="X22" s="361" t="str">
        <f>IF(W22&gt;KKM!$G$10," sangat baik ",IF(W22&gt;KKM!$H$10," baik ",IF(W22&gt;=KKM!$I$10," cukup baik "," perlu bimbingan ")))</f>
        <v xml:space="preserve"> sangat baik </v>
      </c>
      <c r="Y22" s="357">
        <f t="shared" si="1"/>
        <v>80</v>
      </c>
      <c r="Z22" s="361" t="str">
        <f>IF(Y22&gt;KKM!$G$10," sangat baik ",IF(Y22&gt;KKM!$H$10," baik ",IF(Y22&gt;=KKM!$I$10," cukup baik "," perlu bimbingan ")))</f>
        <v xml:space="preserve"> baik </v>
      </c>
      <c r="AA22" s="353" t="str">
        <f t="shared" si="5"/>
        <v>INTAN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22" s="256"/>
      <c r="AC22" s="257" t="str">
        <f t="shared" si="2"/>
        <v xml:space="preserve"> sangat baik  dalam mempraktikkan kombinasi pola gerak dominan (bertumpu, bergantung, keseimbangan, berpindah/ lokomotor, tolakan, putaran, ayunan, melayang, dan mendarat) untuk membentuk keterampilan dasar senam menggunakan alat
</v>
      </c>
      <c r="AD22" s="257" t="str">
        <f t="shared" si="3"/>
        <v xml:space="preserve"> baik  dalam mempraktikkan pengunaan kombinasi gerak dasar langkah dan ayunan lengan mengikuti irama (ketukan) tanpa/dengan musik dalam aktivitas gerak berirama</v>
      </c>
      <c r="AE22"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22" s="257" t="str">
        <f t="shared" si="7"/>
        <v xml:space="preserve"> </v>
      </c>
      <c r="AG22"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22" s="252" t="str">
        <f t="shared" si="9"/>
        <v>INTAN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22" s="153"/>
      <c r="AR22" s="469">
        <f t="shared" si="10"/>
        <v>84</v>
      </c>
    </row>
    <row r="23" spans="2:44" ht="66.75" customHeight="1">
      <c r="B23" s="142">
        <v>19</v>
      </c>
      <c r="C23" s="143" t="str">
        <f>SISWA!B24</f>
        <v>1718250040323</v>
      </c>
      <c r="D23" s="144" t="str">
        <f>SISWA!E24</f>
        <v>JORDY</v>
      </c>
      <c r="E23" s="159">
        <v>85</v>
      </c>
      <c r="F23" s="159">
        <v>80</v>
      </c>
      <c r="G23" s="160">
        <v>85</v>
      </c>
      <c r="H23" s="160">
        <v>88</v>
      </c>
      <c r="I23" s="160">
        <v>80</v>
      </c>
      <c r="J23" s="160"/>
      <c r="K23" s="160"/>
      <c r="L23" s="160"/>
      <c r="M23" s="160"/>
      <c r="N23" s="159"/>
      <c r="O23" s="159"/>
      <c r="P23" s="159"/>
      <c r="Q23" s="159"/>
      <c r="R23" s="160"/>
      <c r="S23" s="160"/>
      <c r="T23" s="159"/>
      <c r="U23" s="354">
        <f t="shared" si="4"/>
        <v>84</v>
      </c>
      <c r="V23" s="355" t="str">
        <f>IF(U23&gt;KKM!$G$10,"A",IF(U23&gt;KKM!$H$10,"B",IF(U23&gt;=KKM!$I$10,"C","D")))</f>
        <v>B</v>
      </c>
      <c r="W23" s="356">
        <f t="shared" si="0"/>
        <v>88</v>
      </c>
      <c r="X23" s="361" t="str">
        <f>IF(W23&gt;KKM!$G$10," sangat baik ",IF(W23&gt;KKM!$H$10," baik ",IF(W23&gt;=KKM!$I$10," cukup baik "," perlu bimbingan ")))</f>
        <v xml:space="preserve"> sangat baik </v>
      </c>
      <c r="Y23" s="357">
        <f t="shared" si="1"/>
        <v>80</v>
      </c>
      <c r="Z23" s="361" t="str">
        <f>IF(Y23&gt;KKM!$G$10," sangat baik ",IF(Y23&gt;KKM!$H$10," baik ",IF(Y23&gt;=KKM!$I$10," cukup baik "," perlu bimbingan ")))</f>
        <v xml:space="preserve"> baik </v>
      </c>
      <c r="AA23" s="353" t="str">
        <f t="shared" si="5"/>
        <v>JORDY sangat baik  dalam menerapkan konsep pemeliharaan diri dan orang lain dari penyakit menular dan tidak menular, dan  baik  dalam mempraktikkan pengunaan kombinasi gerak dasar langkah dan ayunan lengan mengikuti irama (ketukan) tanpa/dengan musik dalam aktivitas gerak berirama</v>
      </c>
      <c r="AB23" s="256"/>
      <c r="AC23" s="257" t="str">
        <f t="shared" si="2"/>
        <v xml:space="preserve"> sangat baik  dalam menerapkan konsep pemeliharaan diri dan orang lain dari penyakit menular dan tidak menular</v>
      </c>
      <c r="AD23" s="257" t="str">
        <f t="shared" si="3"/>
        <v xml:space="preserve"> baik  dalam mempraktikkan pengunaan kombinasi gerak dasar langkah dan ayunan lengan mengikuti irama (ketukan) tanpa/dengan musik dalam aktivitas gerak berirama</v>
      </c>
      <c r="AE23" s="257" t="str">
        <f t="shared" si="6"/>
        <v xml:space="preserve"> sangat baik  dalam menerapkan konsep pemeliharaan diri dan orang lain dari penyakit menular dan tidak menular, dan  baik  dalam mempraktikkan pengunaan kombinasi gerak dasar langkah dan ayunan lengan mengikuti irama (ketukan) tanpa/dengan musik dalam aktivitas gerak berirama</v>
      </c>
      <c r="AF23" s="257" t="str">
        <f t="shared" si="7"/>
        <v xml:space="preserve"> </v>
      </c>
      <c r="AG23" s="258" t="str">
        <f t="shared" si="8"/>
        <v xml:space="preserve"> sangat baik  dalam menerapkan konsep pemeliharaan diri dan orang lain dari penyakit menular dan tidak menular, dan  baik  dalam mempraktikkan pengunaan kombinasi gerak dasar langkah dan ayunan lengan mengikuti irama (ketukan) tanpa/dengan musik dalam aktivitas gerak berirama</v>
      </c>
      <c r="AH23" s="252" t="str">
        <f t="shared" si="9"/>
        <v>JORDY sangat baik  dalam menerapkan konsep pemeliharaan diri dan orang lain dari penyakit menular dan tidak menular, dan  baik  dalam mempraktikkan pengunaan kombinasi gerak dasar langkah dan ayunan lengan mengikuti irama (ketukan) tanpa/dengan musik dalam aktivitas gerak berirama</v>
      </c>
      <c r="AI23" s="153"/>
      <c r="AR23" s="469">
        <f t="shared" si="10"/>
        <v>84</v>
      </c>
    </row>
    <row r="24" spans="2:44" ht="66.75" customHeight="1">
      <c r="B24" s="142">
        <v>20</v>
      </c>
      <c r="C24" s="143" t="str">
        <f>SISWA!B25</f>
        <v>1718250040324</v>
      </c>
      <c r="D24" s="144" t="str">
        <f>SISWA!E25</f>
        <v>KURNIA</v>
      </c>
      <c r="E24" s="159">
        <v>90</v>
      </c>
      <c r="F24" s="159">
        <v>85</v>
      </c>
      <c r="G24" s="160">
        <v>80</v>
      </c>
      <c r="H24" s="160">
        <v>98</v>
      </c>
      <c r="I24" s="160">
        <v>83</v>
      </c>
      <c r="J24" s="160"/>
      <c r="K24" s="160"/>
      <c r="L24" s="160"/>
      <c r="M24" s="160"/>
      <c r="N24" s="159"/>
      <c r="O24" s="159"/>
      <c r="P24" s="159"/>
      <c r="Q24" s="159"/>
      <c r="R24" s="160"/>
      <c r="S24" s="160"/>
      <c r="T24" s="159"/>
      <c r="U24" s="354">
        <f t="shared" si="4"/>
        <v>87</v>
      </c>
      <c r="V24" s="355" t="str">
        <f>IF(U24&gt;KKM!$G$10,"A",IF(U24&gt;KKM!$H$10,"B",IF(U24&gt;=KKM!$I$10,"C","D")))</f>
        <v>B</v>
      </c>
      <c r="W24" s="356">
        <f t="shared" si="0"/>
        <v>98</v>
      </c>
      <c r="X24" s="361" t="str">
        <f>IF(W24&gt;KKM!$G$10," sangat baik ",IF(W24&gt;KKM!$H$10," baik ",IF(W24&gt;=KKM!$I$10," cukup baik "," perlu bimbingan ")))</f>
        <v xml:space="preserve"> sangat baik </v>
      </c>
      <c r="Y24" s="357">
        <f t="shared" si="1"/>
        <v>80</v>
      </c>
      <c r="Z24" s="361" t="str">
        <f>IF(Y24&gt;KKM!$G$10," sangat baik ",IF(Y24&gt;KKM!$H$10," baik ",IF(Y24&gt;=KKM!$I$10," cukup baik "," perlu bimbingan ")))</f>
        <v xml:space="preserve"> baik </v>
      </c>
      <c r="AA24" s="353" t="str">
        <f t="shared" si="5"/>
        <v>KURNIA sangat baik  dalam menerapkan konsep pemeliharaan diri dan orang lain dari penyakit menular dan tidak menular, dan  baik  dalam mempraktikkan salah satu gaya renang dengan koordinasi yang baik pada jarak tertentu</v>
      </c>
      <c r="AB24" s="256"/>
      <c r="AC24" s="257" t="str">
        <f t="shared" si="2"/>
        <v xml:space="preserve"> sangat baik  dalam menerapkan konsep pemeliharaan diri dan orang lain dari penyakit menular dan tidak menular</v>
      </c>
      <c r="AD24" s="257" t="str">
        <f t="shared" si="3"/>
        <v xml:space="preserve"> baik  dalam mempraktikkan salah satu gaya renang dengan koordinasi yang baik pada jarak tertentu</v>
      </c>
      <c r="AE24" s="257" t="str">
        <f t="shared" si="6"/>
        <v xml:space="preserve"> sangat baik  dalam menerapkan konsep pemeliharaan diri dan orang lain dari penyakit menular dan tidak menular, dan  baik  dalam mempraktikkan salah satu gaya renang dengan koordinasi yang baik pada jarak tertentu</v>
      </c>
      <c r="AF24" s="257" t="str">
        <f t="shared" si="7"/>
        <v xml:space="preserve"> </v>
      </c>
      <c r="AG24" s="258" t="str">
        <f t="shared" si="8"/>
        <v xml:space="preserve"> sangat baik  dalam menerapkan konsep pemeliharaan diri dan orang lain dari penyakit menular dan tidak menular, dan  baik  dalam mempraktikkan salah satu gaya renang dengan koordinasi yang baik pada jarak tertentu</v>
      </c>
      <c r="AH24" s="252" t="str">
        <f t="shared" si="9"/>
        <v>KURNIA sangat baik  dalam menerapkan konsep pemeliharaan diri dan orang lain dari penyakit menular dan tidak menular, dan  baik  dalam mempraktikkan salah satu gaya renang dengan koordinasi yang baik pada jarak tertentu</v>
      </c>
      <c r="AI24" s="153"/>
      <c r="AR24" s="469">
        <f t="shared" si="10"/>
        <v>87</v>
      </c>
    </row>
    <row r="25" spans="2:44" ht="66.75" customHeight="1">
      <c r="B25" s="142">
        <v>21</v>
      </c>
      <c r="C25" s="143" t="str">
        <f>SISWA!B26</f>
        <v>1718250040325</v>
      </c>
      <c r="D25" s="144" t="str">
        <f>SISWA!E26</f>
        <v>LATIZA</v>
      </c>
      <c r="E25" s="159">
        <v>88</v>
      </c>
      <c r="F25" s="159">
        <v>90</v>
      </c>
      <c r="G25" s="160">
        <v>95</v>
      </c>
      <c r="H25" s="160">
        <v>83</v>
      </c>
      <c r="I25" s="160">
        <v>88</v>
      </c>
      <c r="J25" s="160"/>
      <c r="K25" s="160"/>
      <c r="L25" s="160"/>
      <c r="M25" s="160"/>
      <c r="N25" s="159"/>
      <c r="O25" s="159"/>
      <c r="P25" s="159"/>
      <c r="Q25" s="159"/>
      <c r="R25" s="160"/>
      <c r="S25" s="160"/>
      <c r="T25" s="159"/>
      <c r="U25" s="354">
        <f t="shared" si="4"/>
        <v>89</v>
      </c>
      <c r="V25" s="355" t="str">
        <f>IF(U25&gt;KKM!$G$10,"A",IF(U25&gt;KKM!$H$10,"B",IF(U25&gt;=KKM!$I$10,"C","D")))</f>
        <v>A</v>
      </c>
      <c r="W25" s="356">
        <f t="shared" si="0"/>
        <v>95</v>
      </c>
      <c r="X25" s="361" t="str">
        <f>IF(W25&gt;KKM!$G$10," sangat baik ",IF(W25&gt;KKM!$H$10," baik ",IF(W25&gt;=KKM!$I$10," cukup baik "," perlu bimbingan ")))</f>
        <v xml:space="preserve"> sangat baik </v>
      </c>
      <c r="Y25" s="357">
        <f t="shared" si="1"/>
        <v>83</v>
      </c>
      <c r="Z25" s="361" t="str">
        <f>IF(Y25&gt;KKM!$G$10," sangat baik ",IF(Y25&gt;KKM!$H$10," baik ",IF(Y25&gt;=KKM!$I$10," cukup baik "," perlu bimbingan ")))</f>
        <v xml:space="preserve"> baik </v>
      </c>
      <c r="AA25" s="353" t="str">
        <f t="shared" si="5"/>
        <v>LATIZA sangat baik  dalam mempraktikkan salah satu gaya renang dengan koordinasi yang baik pada jarak tertentu, dan  baik  dalam menerapkan konsep pemeliharaan diri dan orang lain dari penyakit menular dan tidak menular</v>
      </c>
      <c r="AB25" s="256"/>
      <c r="AC25" s="257" t="str">
        <f t="shared" si="2"/>
        <v xml:space="preserve"> sangat baik  dalam mempraktikkan salah satu gaya renang dengan koordinasi yang baik pada jarak tertentu</v>
      </c>
      <c r="AD25" s="257" t="str">
        <f t="shared" si="3"/>
        <v xml:space="preserve"> baik  dalam menerapkan konsep pemeliharaan diri dan orang lain dari penyakit menular dan tidak menular</v>
      </c>
      <c r="AE25" s="257" t="str">
        <f t="shared" si="6"/>
        <v xml:space="preserve"> sangat baik  dalam mempraktikkan salah satu gaya renang dengan koordinasi yang baik pada jarak tertentu, dan  baik  dalam menerapkan konsep pemeliharaan diri dan orang lain dari penyakit menular dan tidak menular</v>
      </c>
      <c r="AF25" s="257" t="str">
        <f t="shared" si="7"/>
        <v xml:space="preserve"> </v>
      </c>
      <c r="AG25" s="258" t="str">
        <f t="shared" si="8"/>
        <v xml:space="preserve"> sangat baik  dalam mempraktikkan salah satu gaya renang dengan koordinasi yang baik pada jarak tertentu, dan  baik  dalam menerapkan konsep pemeliharaan diri dan orang lain dari penyakit menular dan tidak menular</v>
      </c>
      <c r="AH25" s="252" t="str">
        <f t="shared" si="9"/>
        <v>LATIZA sangat baik  dalam mempraktikkan salah satu gaya renang dengan koordinasi yang baik pada jarak tertentu, dan  baik  dalam menerapkan konsep pemeliharaan diri dan orang lain dari penyakit menular dan tidak menular</v>
      </c>
      <c r="AI25" s="153"/>
      <c r="AR25" s="469">
        <f t="shared" si="10"/>
        <v>89</v>
      </c>
    </row>
    <row r="26" spans="2:44" ht="66.75" customHeight="1">
      <c r="B26" s="142">
        <v>22</v>
      </c>
      <c r="C26" s="143" t="str">
        <f>SISWA!B27</f>
        <v>1718250040326</v>
      </c>
      <c r="D26" s="144" t="str">
        <f>SISWA!E27</f>
        <v>RIZKY</v>
      </c>
      <c r="E26" s="159">
        <v>90</v>
      </c>
      <c r="F26" s="159">
        <v>80</v>
      </c>
      <c r="G26" s="160">
        <v>90</v>
      </c>
      <c r="H26" s="160">
        <v>83</v>
      </c>
      <c r="I26" s="160">
        <v>88</v>
      </c>
      <c r="J26" s="160"/>
      <c r="K26" s="160"/>
      <c r="L26" s="160"/>
      <c r="M26" s="160"/>
      <c r="N26" s="159"/>
      <c r="O26" s="159"/>
      <c r="P26" s="159"/>
      <c r="Q26" s="159"/>
      <c r="R26" s="160"/>
      <c r="S26" s="160"/>
      <c r="T26" s="159"/>
      <c r="U26" s="354">
        <f t="shared" si="4"/>
        <v>86</v>
      </c>
      <c r="V26" s="355" t="str">
        <f>IF(U26&gt;KKM!$G$10,"A",IF(U26&gt;KKM!$H$10,"B",IF(U26&gt;=KKM!$I$10,"C","D")))</f>
        <v>B</v>
      </c>
      <c r="W26" s="356">
        <f t="shared" si="0"/>
        <v>90</v>
      </c>
      <c r="X26" s="361" t="str">
        <f>IF(W26&gt;KKM!$G$10," sangat baik ",IF(W26&gt;KKM!$H$10," baik ",IF(W26&gt;=KKM!$I$10," cukup baik "," perlu bimbingan ")))</f>
        <v xml:space="preserve"> sangat baik </v>
      </c>
      <c r="Y26" s="357">
        <f t="shared" si="1"/>
        <v>80</v>
      </c>
      <c r="Z26" s="361" t="str">
        <f>IF(Y26&gt;KKM!$G$10," sangat baik ",IF(Y26&gt;KKM!$H$10," baik ",IF(Y26&gt;=KKM!$I$10," cukup baik "," perlu bimbingan ")))</f>
        <v xml:space="preserve"> baik </v>
      </c>
      <c r="AA26" s="353" t="str">
        <f t="shared" si="5"/>
        <v>RIZKY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26" s="256"/>
      <c r="AC26" s="257" t="str">
        <f t="shared" si="2"/>
        <v xml:space="preserve"> sangat baik  dalam mempraktikkan kombinasi pola gerak dominan (bertumpu, bergantung, keseimbangan, berpindah/ lokomotor, tolakan, putaran, ayunan, melayang, dan mendarat) untuk membentuk keterampilan dasar senam menggunakan alat
</v>
      </c>
      <c r="AD26" s="257" t="str">
        <f t="shared" si="3"/>
        <v xml:space="preserve"> baik  dalam mempraktikkan pengunaan kombinasi gerak dasar langkah dan ayunan lengan mengikuti irama (ketukan) tanpa/dengan musik dalam aktivitas gerak berirama</v>
      </c>
      <c r="AE26"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26" s="257" t="str">
        <f t="shared" si="7"/>
        <v xml:space="preserve"> </v>
      </c>
      <c r="AG26"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26" s="252" t="str">
        <f t="shared" si="9"/>
        <v>RIZKY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26" s="153"/>
      <c r="AR26" s="469">
        <f t="shared" si="10"/>
        <v>86</v>
      </c>
    </row>
    <row r="27" spans="2:44" ht="66.75" customHeight="1">
      <c r="B27" s="142">
        <v>23</v>
      </c>
      <c r="C27" s="143" t="str">
        <f>SISWA!B28</f>
        <v>1718250040327</v>
      </c>
      <c r="D27" s="144" t="str">
        <f>SISWA!E28</f>
        <v>RAMADHANDANI</v>
      </c>
      <c r="E27" s="159">
        <v>90</v>
      </c>
      <c r="F27" s="159">
        <v>80</v>
      </c>
      <c r="G27" s="160">
        <v>85</v>
      </c>
      <c r="H27" s="160">
        <v>90</v>
      </c>
      <c r="I27" s="160">
        <v>83</v>
      </c>
      <c r="J27" s="160"/>
      <c r="K27" s="160"/>
      <c r="L27" s="160"/>
      <c r="M27" s="160"/>
      <c r="N27" s="159"/>
      <c r="O27" s="159"/>
      <c r="P27" s="159"/>
      <c r="Q27" s="159"/>
      <c r="R27" s="160"/>
      <c r="S27" s="160"/>
      <c r="T27" s="159"/>
      <c r="U27" s="354">
        <f t="shared" si="4"/>
        <v>86</v>
      </c>
      <c r="V27" s="355" t="str">
        <f>IF(U27&gt;KKM!$G$10,"A",IF(U27&gt;KKM!$H$10,"B",IF(U27&gt;=KKM!$I$10,"C","D")))</f>
        <v>B</v>
      </c>
      <c r="W27" s="356">
        <f t="shared" si="0"/>
        <v>90</v>
      </c>
      <c r="X27" s="361" t="str">
        <f>IF(W27&gt;KKM!$G$10," sangat baik ",IF(W27&gt;KKM!$H$10," baik ",IF(W27&gt;=KKM!$I$10," cukup baik "," perlu bimbingan ")))</f>
        <v xml:space="preserve"> sangat baik </v>
      </c>
      <c r="Y27" s="357">
        <f t="shared" si="1"/>
        <v>80</v>
      </c>
      <c r="Z27" s="361" t="str">
        <f>IF(Y27&gt;KKM!$G$10," sangat baik ",IF(Y27&gt;KKM!$H$10," baik ",IF(Y27&gt;=KKM!$I$10," cukup baik "," perlu bimbingan ")))</f>
        <v xml:space="preserve"> baik </v>
      </c>
      <c r="AA27" s="353" t="str">
        <f t="shared" si="5"/>
        <v>RAMADHANDANI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27" s="256"/>
      <c r="AC27" s="257" t="str">
        <f t="shared" si="2"/>
        <v xml:space="preserve"> sangat baik  dalam mempraktikkan kombinasi pola gerak dominan (bertumpu, bergantung, keseimbangan, berpindah/ lokomotor, tolakan, putaran, ayunan, melayang, dan mendarat) untuk membentuk keterampilan dasar senam menggunakan alat
</v>
      </c>
      <c r="AD27" s="257" t="str">
        <f t="shared" si="3"/>
        <v xml:space="preserve"> baik  dalam mempraktikkan pengunaan kombinasi gerak dasar langkah dan ayunan lengan mengikuti irama (ketukan) tanpa/dengan musik dalam aktivitas gerak berirama</v>
      </c>
      <c r="AE27"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27" s="257" t="str">
        <f t="shared" si="7"/>
        <v xml:space="preserve"> </v>
      </c>
      <c r="AG27"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27" s="252" t="str">
        <f t="shared" si="9"/>
        <v>RAMADHANDANI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27" s="153"/>
      <c r="AR27" s="469">
        <f t="shared" si="10"/>
        <v>86</v>
      </c>
    </row>
    <row r="28" spans="2:44" ht="66.75" customHeight="1">
      <c r="B28" s="142">
        <v>24</v>
      </c>
      <c r="C28" s="143" t="str">
        <f>SISWA!B29</f>
        <v>1718250040328</v>
      </c>
      <c r="D28" s="144" t="str">
        <f>SISWA!E29</f>
        <v>SYAEPUL</v>
      </c>
      <c r="E28" s="159">
        <v>90</v>
      </c>
      <c r="F28" s="159">
        <v>80</v>
      </c>
      <c r="G28" s="160">
        <v>85</v>
      </c>
      <c r="H28" s="160">
        <v>93</v>
      </c>
      <c r="I28" s="160">
        <v>83</v>
      </c>
      <c r="J28" s="160"/>
      <c r="K28" s="160"/>
      <c r="L28" s="160"/>
      <c r="M28" s="160"/>
      <c r="N28" s="159"/>
      <c r="O28" s="159"/>
      <c r="P28" s="159"/>
      <c r="Q28" s="159"/>
      <c r="R28" s="160"/>
      <c r="S28" s="160"/>
      <c r="T28" s="159"/>
      <c r="U28" s="354">
        <f t="shared" si="4"/>
        <v>86</v>
      </c>
      <c r="V28" s="355" t="str">
        <f>IF(U28&gt;KKM!$G$10,"A",IF(U28&gt;KKM!$H$10,"B",IF(U28&gt;=KKM!$I$10,"C","D")))</f>
        <v>B</v>
      </c>
      <c r="W28" s="356">
        <f t="shared" si="0"/>
        <v>93</v>
      </c>
      <c r="X28" s="361" t="str">
        <f>IF(W28&gt;KKM!$G$10," sangat baik ",IF(W28&gt;KKM!$H$10," baik ",IF(W28&gt;=KKM!$I$10," cukup baik "," perlu bimbingan ")))</f>
        <v xml:space="preserve"> sangat baik </v>
      </c>
      <c r="Y28" s="357">
        <f t="shared" si="1"/>
        <v>80</v>
      </c>
      <c r="Z28" s="361" t="str">
        <f>IF(Y28&gt;KKM!$G$10," sangat baik ",IF(Y28&gt;KKM!$H$10," baik ",IF(Y28&gt;=KKM!$I$10," cukup baik "," perlu bimbingan ")))</f>
        <v xml:space="preserve"> baik </v>
      </c>
      <c r="AA28" s="353" t="str">
        <f t="shared" si="5"/>
        <v>SYAEPUL sangat baik  dalam menerapkan konsep pemeliharaan diri dan orang lain dari penyakit menular dan tidak menular, dan  baik  dalam mempraktikkan pengunaan kombinasi gerak dasar langkah dan ayunan lengan mengikuti irama (ketukan) tanpa/dengan musik dalam aktivitas gerak berirama</v>
      </c>
      <c r="AB28" s="256"/>
      <c r="AC28" s="257" t="str">
        <f t="shared" si="2"/>
        <v xml:space="preserve"> sangat baik  dalam menerapkan konsep pemeliharaan diri dan orang lain dari penyakit menular dan tidak menular</v>
      </c>
      <c r="AD28" s="257" t="str">
        <f t="shared" si="3"/>
        <v xml:space="preserve"> baik  dalam mempraktikkan pengunaan kombinasi gerak dasar langkah dan ayunan lengan mengikuti irama (ketukan) tanpa/dengan musik dalam aktivitas gerak berirama</v>
      </c>
      <c r="AE28" s="257" t="str">
        <f t="shared" si="6"/>
        <v xml:space="preserve"> sangat baik  dalam menerapkan konsep pemeliharaan diri dan orang lain dari penyakit menular dan tidak menular, dan  baik  dalam mempraktikkan pengunaan kombinasi gerak dasar langkah dan ayunan lengan mengikuti irama (ketukan) tanpa/dengan musik dalam aktivitas gerak berirama</v>
      </c>
      <c r="AF28" s="257" t="str">
        <f t="shared" si="7"/>
        <v xml:space="preserve"> </v>
      </c>
      <c r="AG28" s="258" t="str">
        <f t="shared" si="8"/>
        <v xml:space="preserve"> sangat baik  dalam menerapkan konsep pemeliharaan diri dan orang lain dari penyakit menular dan tidak menular, dan  baik  dalam mempraktikkan pengunaan kombinasi gerak dasar langkah dan ayunan lengan mengikuti irama (ketukan) tanpa/dengan musik dalam aktivitas gerak berirama</v>
      </c>
      <c r="AH28" s="252" t="str">
        <f t="shared" si="9"/>
        <v>SYAEPUL sangat baik  dalam menerapkan konsep pemeliharaan diri dan orang lain dari penyakit menular dan tidak menular, dan  baik  dalam mempraktikkan pengunaan kombinasi gerak dasar langkah dan ayunan lengan mengikuti irama (ketukan) tanpa/dengan musik dalam aktivitas gerak berirama</v>
      </c>
      <c r="AI28" s="153"/>
      <c r="AR28" s="469">
        <f t="shared" si="10"/>
        <v>86</v>
      </c>
    </row>
    <row r="29" spans="2:44" ht="66.75" customHeight="1">
      <c r="B29" s="142">
        <v>25</v>
      </c>
      <c r="C29" s="143" t="str">
        <f>SISWA!B30</f>
        <v>1718250040329</v>
      </c>
      <c r="D29" s="144" t="str">
        <f>SISWA!E30</f>
        <v>ALIF</v>
      </c>
      <c r="E29" s="159">
        <v>90</v>
      </c>
      <c r="F29" s="159">
        <v>80</v>
      </c>
      <c r="G29" s="160">
        <v>80</v>
      </c>
      <c r="H29" s="160">
        <v>83</v>
      </c>
      <c r="I29" s="160">
        <v>83</v>
      </c>
      <c r="J29" s="160"/>
      <c r="K29" s="160"/>
      <c r="L29" s="160"/>
      <c r="M29" s="160"/>
      <c r="N29" s="159"/>
      <c r="O29" s="159"/>
      <c r="P29" s="159"/>
      <c r="Q29" s="159"/>
      <c r="R29" s="160"/>
      <c r="S29" s="160"/>
      <c r="T29" s="159"/>
      <c r="U29" s="354">
        <f t="shared" si="4"/>
        <v>83</v>
      </c>
      <c r="V29" s="355" t="str">
        <f>IF(U29&gt;KKM!$G$10,"A",IF(U29&gt;KKM!$H$10,"B",IF(U29&gt;=KKM!$I$10,"C","D")))</f>
        <v>B</v>
      </c>
      <c r="W29" s="356">
        <f t="shared" si="0"/>
        <v>90</v>
      </c>
      <c r="X29" s="361" t="str">
        <f>IF(W29&gt;KKM!$G$10," sangat baik ",IF(W29&gt;KKM!$H$10," baik ",IF(W29&gt;=KKM!$I$10," cukup baik "," perlu bimbingan ")))</f>
        <v xml:space="preserve"> sangat baik </v>
      </c>
      <c r="Y29" s="357">
        <f t="shared" si="1"/>
        <v>80</v>
      </c>
      <c r="Z29" s="361" t="str">
        <f>IF(Y29&gt;KKM!$G$10," sangat baik ",IF(Y29&gt;KKM!$H$10," baik ",IF(Y29&gt;=KKM!$I$10," cukup baik "," perlu bimbingan ")))</f>
        <v xml:space="preserve"> baik </v>
      </c>
      <c r="AA29" s="353" t="str">
        <f t="shared" si="5"/>
        <v>ALIF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29" s="256"/>
      <c r="AC29" s="257" t="str">
        <f t="shared" si="2"/>
        <v xml:space="preserve"> sangat baik  dalam mempraktikkan kombinasi pola gerak dominan (bertumpu, bergantung, keseimbangan, berpindah/ lokomotor, tolakan, putaran, ayunan, melayang, dan mendarat) untuk membentuk keterampilan dasar senam menggunakan alat
</v>
      </c>
      <c r="AD29" s="257" t="str">
        <f t="shared" si="3"/>
        <v xml:space="preserve"> baik  dalam mempraktikkan pengunaan kombinasi gerak dasar langkah dan ayunan lengan mengikuti irama (ketukan) tanpa/dengan musik dalam aktivitas gerak berirama</v>
      </c>
      <c r="AE29"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29" s="257" t="str">
        <f t="shared" si="7"/>
        <v xml:space="preserve"> </v>
      </c>
      <c r="AG29"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29" s="252" t="str">
        <f t="shared" si="9"/>
        <v>ALIF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29" s="153"/>
      <c r="AR29" s="469">
        <f t="shared" si="10"/>
        <v>83</v>
      </c>
    </row>
    <row r="30" spans="2:44" ht="66.75" customHeight="1">
      <c r="B30" s="142">
        <v>26</v>
      </c>
      <c r="C30" s="143" t="str">
        <f>SISWA!B31</f>
        <v>1718250040330</v>
      </c>
      <c r="D30" s="144" t="str">
        <f>SISWA!E31</f>
        <v>HIZKIEL</v>
      </c>
      <c r="E30" s="159">
        <v>98</v>
      </c>
      <c r="F30" s="159">
        <v>80</v>
      </c>
      <c r="G30" s="160">
        <v>95</v>
      </c>
      <c r="H30" s="160">
        <v>90</v>
      </c>
      <c r="I30" s="160">
        <v>88</v>
      </c>
      <c r="J30" s="160"/>
      <c r="K30" s="160"/>
      <c r="L30" s="160"/>
      <c r="M30" s="160"/>
      <c r="N30" s="159"/>
      <c r="O30" s="159"/>
      <c r="P30" s="159"/>
      <c r="Q30" s="159"/>
      <c r="R30" s="160"/>
      <c r="S30" s="160"/>
      <c r="T30" s="159"/>
      <c r="U30" s="354">
        <f t="shared" si="4"/>
        <v>90</v>
      </c>
      <c r="V30" s="355" t="str">
        <f>IF(U30&gt;KKM!$G$10,"A",IF(U30&gt;KKM!$H$10,"B",IF(U30&gt;=KKM!$I$10,"C","D")))</f>
        <v>A</v>
      </c>
      <c r="W30" s="356">
        <f t="shared" si="0"/>
        <v>98</v>
      </c>
      <c r="X30" s="361" t="str">
        <f>IF(W30&gt;KKM!$G$10," sangat baik ",IF(W30&gt;KKM!$H$10," baik ",IF(W30&gt;=KKM!$I$10," cukup baik "," perlu bimbingan ")))</f>
        <v xml:space="preserve"> sangat baik </v>
      </c>
      <c r="Y30" s="357">
        <f t="shared" si="1"/>
        <v>80</v>
      </c>
      <c r="Z30" s="361" t="str">
        <f>IF(Y30&gt;KKM!$G$10," sangat baik ",IF(Y30&gt;KKM!$H$10," baik ",IF(Y30&gt;=KKM!$I$10," cukup baik "," perlu bimbingan ")))</f>
        <v xml:space="preserve"> baik </v>
      </c>
      <c r="AA30" s="353" t="str">
        <f t="shared" si="5"/>
        <v>HIZKIEL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30" s="256"/>
      <c r="AC30" s="257" t="str">
        <f t="shared" si="2"/>
        <v xml:space="preserve"> sangat baik  dalam mempraktikkan kombinasi pola gerak dominan (bertumpu, bergantung, keseimbangan, berpindah/ lokomotor, tolakan, putaran, ayunan, melayang, dan mendarat) untuk membentuk keterampilan dasar senam menggunakan alat
</v>
      </c>
      <c r="AD30" s="257" t="str">
        <f t="shared" si="3"/>
        <v xml:space="preserve"> baik  dalam mempraktikkan pengunaan kombinasi gerak dasar langkah dan ayunan lengan mengikuti irama (ketukan) tanpa/dengan musik dalam aktivitas gerak berirama</v>
      </c>
      <c r="AE30"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30" s="257" t="str">
        <f t="shared" si="7"/>
        <v xml:space="preserve"> </v>
      </c>
      <c r="AG30"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30" s="252" t="str">
        <f t="shared" si="9"/>
        <v>HIZKIEL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30" s="153"/>
      <c r="AR30" s="469">
        <f t="shared" si="10"/>
        <v>90</v>
      </c>
    </row>
    <row r="31" spans="2:44" ht="66.75" customHeight="1">
      <c r="B31" s="142">
        <v>27</v>
      </c>
      <c r="C31" s="143" t="str">
        <f>SISWA!B32</f>
        <v>1718250040331</v>
      </c>
      <c r="D31" s="144" t="str">
        <f>SISWA!E32</f>
        <v>LAEL</v>
      </c>
      <c r="E31" s="159">
        <v>90</v>
      </c>
      <c r="F31" s="159">
        <v>80</v>
      </c>
      <c r="G31" s="160">
        <v>90</v>
      </c>
      <c r="H31" s="160">
        <v>88</v>
      </c>
      <c r="I31" s="160">
        <v>80</v>
      </c>
      <c r="J31" s="160"/>
      <c r="K31" s="160"/>
      <c r="L31" s="160"/>
      <c r="M31" s="160"/>
      <c r="N31" s="159"/>
      <c r="O31" s="159"/>
      <c r="P31" s="159"/>
      <c r="Q31" s="159"/>
      <c r="R31" s="160"/>
      <c r="S31" s="160"/>
      <c r="T31" s="159"/>
      <c r="U31" s="354">
        <f t="shared" si="4"/>
        <v>86</v>
      </c>
      <c r="V31" s="355" t="str">
        <f>IF(U31&gt;KKM!$G$10,"A",IF(U31&gt;KKM!$H$10,"B",IF(U31&gt;=KKM!$I$10,"C","D")))</f>
        <v>B</v>
      </c>
      <c r="W31" s="356">
        <f t="shared" si="0"/>
        <v>90</v>
      </c>
      <c r="X31" s="361" t="str">
        <f>IF(W31&gt;KKM!$G$10," sangat baik ",IF(W31&gt;KKM!$H$10," baik ",IF(W31&gt;=KKM!$I$10," cukup baik "," perlu bimbingan ")))</f>
        <v xml:space="preserve"> sangat baik </v>
      </c>
      <c r="Y31" s="357">
        <f t="shared" si="1"/>
        <v>80</v>
      </c>
      <c r="Z31" s="361" t="str">
        <f>IF(Y31&gt;KKM!$G$10," sangat baik ",IF(Y31&gt;KKM!$H$10," baik ",IF(Y31&gt;=KKM!$I$10," cukup baik "," perlu bimbingan ")))</f>
        <v xml:space="preserve"> baik </v>
      </c>
      <c r="AA31" s="353" t="str">
        <f t="shared" si="5"/>
        <v>LAEL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31" s="256"/>
      <c r="AC31" s="257" t="str">
        <f t="shared" si="2"/>
        <v xml:space="preserve"> sangat baik  dalam mempraktikkan kombinasi pola gerak dominan (bertumpu, bergantung, keseimbangan, berpindah/ lokomotor, tolakan, putaran, ayunan, melayang, dan mendarat) untuk membentuk keterampilan dasar senam menggunakan alat
</v>
      </c>
      <c r="AD31" s="257" t="str">
        <f t="shared" si="3"/>
        <v xml:space="preserve"> baik  dalam mempraktikkan pengunaan kombinasi gerak dasar langkah dan ayunan lengan mengikuti irama (ketukan) tanpa/dengan musik dalam aktivitas gerak berirama</v>
      </c>
      <c r="AE31"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31" s="257" t="str">
        <f t="shared" si="7"/>
        <v xml:space="preserve"> </v>
      </c>
      <c r="AG31"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31" s="252" t="str">
        <f t="shared" si="9"/>
        <v>LAEL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31" s="153"/>
      <c r="AR31" s="469">
        <f t="shared" si="10"/>
        <v>86</v>
      </c>
    </row>
    <row r="32" spans="2:44" ht="66.75" customHeight="1">
      <c r="B32" s="142">
        <v>28</v>
      </c>
      <c r="C32" s="143" t="str">
        <f>SISWA!B33</f>
        <v>1718250040332</v>
      </c>
      <c r="D32" s="144" t="str">
        <f>SISWA!E33</f>
        <v>NABIL</v>
      </c>
      <c r="E32" s="159">
        <v>90</v>
      </c>
      <c r="F32" s="159">
        <v>80</v>
      </c>
      <c r="G32" s="160">
        <v>80</v>
      </c>
      <c r="H32" s="160">
        <v>88</v>
      </c>
      <c r="I32" s="160">
        <v>93</v>
      </c>
      <c r="J32" s="160"/>
      <c r="K32" s="160"/>
      <c r="L32" s="160"/>
      <c r="M32" s="160"/>
      <c r="N32" s="159"/>
      <c r="O32" s="159"/>
      <c r="P32" s="159"/>
      <c r="Q32" s="159"/>
      <c r="R32" s="160"/>
      <c r="S32" s="160"/>
      <c r="T32" s="159"/>
      <c r="U32" s="354">
        <f t="shared" si="4"/>
        <v>86</v>
      </c>
      <c r="V32" s="355" t="str">
        <f>IF(U32&gt;KKM!$G$10,"A",IF(U32&gt;KKM!$H$10,"B",IF(U32&gt;=KKM!$I$10,"C","D")))</f>
        <v>B</v>
      </c>
      <c r="W32" s="356">
        <f t="shared" si="0"/>
        <v>93</v>
      </c>
      <c r="X32" s="361" t="str">
        <f>IF(W32&gt;KKM!$G$10," sangat baik ",IF(W32&gt;KKM!$H$10," baik ",IF(W32&gt;=KKM!$I$10," cukup baik "," perlu bimbingan ")))</f>
        <v xml:space="preserve"> sangat baik </v>
      </c>
      <c r="Y32" s="357">
        <f t="shared" si="1"/>
        <v>80</v>
      </c>
      <c r="Z32" s="361" t="str">
        <f>IF(Y32&gt;KKM!$G$10," sangat baik ",IF(Y32&gt;KKM!$H$10," baik ",IF(Y32&gt;=KKM!$I$10," cukup baik "," perlu bimbingan ")))</f>
        <v xml:space="preserve"> baik </v>
      </c>
      <c r="AA32" s="353" t="str">
        <f t="shared" si="5"/>
        <v>NABIL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AB32" s="256"/>
      <c r="AC32" s="257" t="str">
        <f t="shared" si="2"/>
        <v xml:space="preserve"> sangat baik  dalam memaparkan bahaya merokok, meminum minuman keras, dan mengonsumsi narkotika, zat-zat aditif (NAPZA) dan obat berbahaya lainnya terhadap kesehatan tubuh</v>
      </c>
      <c r="AD32" s="257" t="str">
        <f t="shared" si="3"/>
        <v xml:space="preserve"> baik  dalam mempraktikkan pengunaan kombinasi gerak dasar langkah dan ayunan lengan mengikuti irama (ketukan) tanpa/dengan musik dalam aktivitas gerak berirama</v>
      </c>
      <c r="AE32" s="257" t="str">
        <f t="shared" si="6"/>
        <v xml:space="preserve">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AF32" s="257" t="str">
        <f t="shared" si="7"/>
        <v xml:space="preserve"> </v>
      </c>
      <c r="AG32" s="258" t="str">
        <f t="shared" si="8"/>
        <v xml:space="preserve">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AH32" s="252" t="str">
        <f t="shared" si="9"/>
        <v>NABIL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AI32" s="153"/>
      <c r="AR32" s="469">
        <f t="shared" si="10"/>
        <v>86</v>
      </c>
    </row>
    <row r="33" spans="2:44" ht="66.75" customHeight="1">
      <c r="B33" s="142">
        <v>29</v>
      </c>
      <c r="C33" s="143" t="str">
        <f>SISWA!B34</f>
        <v>1718250040333</v>
      </c>
      <c r="D33" s="144" t="str">
        <f>SISWA!E34</f>
        <v>RASYA</v>
      </c>
      <c r="E33" s="159">
        <v>95</v>
      </c>
      <c r="F33" s="159">
        <v>80</v>
      </c>
      <c r="G33" s="160">
        <v>80</v>
      </c>
      <c r="H33" s="160">
        <v>93</v>
      </c>
      <c r="I33" s="160">
        <v>93</v>
      </c>
      <c r="J33" s="160"/>
      <c r="K33" s="160"/>
      <c r="L33" s="160"/>
      <c r="M33" s="160"/>
      <c r="N33" s="159"/>
      <c r="O33" s="159"/>
      <c r="P33" s="159"/>
      <c r="Q33" s="159"/>
      <c r="R33" s="160"/>
      <c r="S33" s="160"/>
      <c r="T33" s="159"/>
      <c r="U33" s="354">
        <f t="shared" si="4"/>
        <v>88</v>
      </c>
      <c r="V33" s="355" t="str">
        <f>IF(U33&gt;KKM!$G$10,"A",IF(U33&gt;KKM!$H$10,"B",IF(U33&gt;=KKM!$I$10,"C","D")))</f>
        <v>A</v>
      </c>
      <c r="W33" s="356">
        <f t="shared" si="0"/>
        <v>95</v>
      </c>
      <c r="X33" s="361" t="str">
        <f>IF(W33&gt;KKM!$G$10," sangat baik ",IF(W33&gt;KKM!$H$10," baik ",IF(W33&gt;=KKM!$I$10," cukup baik "," perlu bimbingan ")))</f>
        <v xml:space="preserve"> sangat baik </v>
      </c>
      <c r="Y33" s="357">
        <f t="shared" si="1"/>
        <v>80</v>
      </c>
      <c r="Z33" s="361" t="str">
        <f>IF(Y33&gt;KKM!$G$10," sangat baik ",IF(Y33&gt;KKM!$H$10," baik ",IF(Y33&gt;=KKM!$I$10," cukup baik "," perlu bimbingan ")))</f>
        <v xml:space="preserve"> baik </v>
      </c>
      <c r="AA33" s="353" t="str">
        <f t="shared" si="5"/>
        <v>RASYA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33" s="256"/>
      <c r="AC33" s="257" t="str">
        <f t="shared" si="2"/>
        <v xml:space="preserve"> sangat baik  dalam mempraktikkan kombinasi pola gerak dominan (bertumpu, bergantung, keseimbangan, berpindah/ lokomotor, tolakan, putaran, ayunan, melayang, dan mendarat) untuk membentuk keterampilan dasar senam menggunakan alat
</v>
      </c>
      <c r="AD33" s="257" t="str">
        <f t="shared" si="3"/>
        <v xml:space="preserve"> baik  dalam mempraktikkan pengunaan kombinasi gerak dasar langkah dan ayunan lengan mengikuti irama (ketukan) tanpa/dengan musik dalam aktivitas gerak berirama</v>
      </c>
      <c r="AE33"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33" s="257" t="str">
        <f t="shared" si="7"/>
        <v xml:space="preserve"> </v>
      </c>
      <c r="AG33"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33" s="252" t="str">
        <f t="shared" si="9"/>
        <v>RASYA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33" s="153"/>
      <c r="AR33" s="469">
        <f t="shared" si="10"/>
        <v>88</v>
      </c>
    </row>
    <row r="34" spans="2:44" ht="66.75" customHeight="1">
      <c r="B34" s="142">
        <v>30</v>
      </c>
      <c r="C34" s="143" t="str">
        <f>SISWA!B35</f>
        <v>1718250040334</v>
      </c>
      <c r="D34" s="144" t="str">
        <f>SISWA!E35</f>
        <v>RIZKI</v>
      </c>
      <c r="E34" s="159">
        <v>90</v>
      </c>
      <c r="F34" s="159">
        <v>80</v>
      </c>
      <c r="G34" s="160">
        <v>90</v>
      </c>
      <c r="H34" s="160">
        <v>88</v>
      </c>
      <c r="I34" s="160">
        <v>83</v>
      </c>
      <c r="J34" s="160"/>
      <c r="K34" s="160"/>
      <c r="L34" s="160"/>
      <c r="M34" s="160"/>
      <c r="N34" s="159"/>
      <c r="O34" s="159"/>
      <c r="P34" s="159"/>
      <c r="Q34" s="159"/>
      <c r="R34" s="160"/>
      <c r="S34" s="160"/>
      <c r="T34" s="159"/>
      <c r="U34" s="354">
        <f t="shared" si="4"/>
        <v>86</v>
      </c>
      <c r="V34" s="355" t="str">
        <f>IF(U34&gt;KKM!$G$10,"A",IF(U34&gt;KKM!$H$10,"B",IF(U34&gt;=KKM!$I$10,"C","D")))</f>
        <v>B</v>
      </c>
      <c r="W34" s="356">
        <f t="shared" si="0"/>
        <v>90</v>
      </c>
      <c r="X34" s="361" t="str">
        <f>IF(W34&gt;KKM!$G$10," sangat baik ",IF(W34&gt;KKM!$H$10," baik ",IF(W34&gt;=KKM!$I$10," cukup baik "," perlu bimbingan ")))</f>
        <v xml:space="preserve"> sangat baik </v>
      </c>
      <c r="Y34" s="357">
        <f t="shared" si="1"/>
        <v>80</v>
      </c>
      <c r="Z34" s="361" t="str">
        <f>IF(Y34&gt;KKM!$G$10," sangat baik ",IF(Y34&gt;KKM!$H$10," baik ",IF(Y34&gt;=KKM!$I$10," cukup baik "," perlu bimbingan ")))</f>
        <v xml:space="preserve"> baik </v>
      </c>
      <c r="AA34" s="353" t="str">
        <f t="shared" si="5"/>
        <v>RIZKI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34" s="256"/>
      <c r="AC34" s="257" t="str">
        <f t="shared" si="2"/>
        <v xml:space="preserve"> sangat baik  dalam mempraktikkan kombinasi pola gerak dominan (bertumpu, bergantung, keseimbangan, berpindah/ lokomotor, tolakan, putaran, ayunan, melayang, dan mendarat) untuk membentuk keterampilan dasar senam menggunakan alat
</v>
      </c>
      <c r="AD34" s="257" t="str">
        <f t="shared" si="3"/>
        <v xml:space="preserve"> baik  dalam mempraktikkan pengunaan kombinasi gerak dasar langkah dan ayunan lengan mengikuti irama (ketukan) tanpa/dengan musik dalam aktivitas gerak berirama</v>
      </c>
      <c r="AE34"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34" s="257" t="str">
        <f t="shared" si="7"/>
        <v xml:space="preserve"> </v>
      </c>
      <c r="AG34"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34" s="252" t="str">
        <f t="shared" si="9"/>
        <v>RIZKI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34" s="153"/>
      <c r="AR34" s="469">
        <f t="shared" si="10"/>
        <v>86</v>
      </c>
    </row>
    <row r="35" spans="2:44" ht="66.75" customHeight="1">
      <c r="B35" s="142">
        <v>31</v>
      </c>
      <c r="C35" s="143" t="str">
        <f>SISWA!B36</f>
        <v>1718250040335</v>
      </c>
      <c r="D35" s="144" t="str">
        <f>SISWA!E36</f>
        <v>SATRIA</v>
      </c>
      <c r="E35" s="159">
        <v>95</v>
      </c>
      <c r="F35" s="159">
        <v>80</v>
      </c>
      <c r="G35" s="160">
        <v>80</v>
      </c>
      <c r="H35" s="160">
        <v>83</v>
      </c>
      <c r="I35" s="160">
        <v>88</v>
      </c>
      <c r="J35" s="160"/>
      <c r="K35" s="160"/>
      <c r="L35" s="160"/>
      <c r="M35" s="160"/>
      <c r="N35" s="159"/>
      <c r="O35" s="159"/>
      <c r="P35" s="159"/>
      <c r="Q35" s="159"/>
      <c r="R35" s="160"/>
      <c r="S35" s="160"/>
      <c r="T35" s="159"/>
      <c r="U35" s="354">
        <f t="shared" si="4"/>
        <v>85</v>
      </c>
      <c r="V35" s="355" t="str">
        <f>IF(U35&gt;KKM!$G$10,"A",IF(U35&gt;KKM!$H$10,"B",IF(U35&gt;=KKM!$I$10,"C","D")))</f>
        <v>B</v>
      </c>
      <c r="W35" s="356">
        <f t="shared" si="0"/>
        <v>95</v>
      </c>
      <c r="X35" s="361" t="str">
        <f>IF(W35&gt;KKM!$G$10," sangat baik ",IF(W35&gt;KKM!$H$10," baik ",IF(W35&gt;=KKM!$I$10," cukup baik "," perlu bimbingan ")))</f>
        <v xml:space="preserve"> sangat baik </v>
      </c>
      <c r="Y35" s="357">
        <f t="shared" si="1"/>
        <v>80</v>
      </c>
      <c r="Z35" s="361" t="str">
        <f>IF(Y35&gt;KKM!$G$10," sangat baik ",IF(Y35&gt;KKM!$H$10," baik ",IF(Y35&gt;=KKM!$I$10," cukup baik "," perlu bimbingan ")))</f>
        <v xml:space="preserve"> baik </v>
      </c>
      <c r="AA35" s="353" t="str">
        <f t="shared" si="5"/>
        <v>SATRIA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35" s="256"/>
      <c r="AC35" s="257" t="str">
        <f t="shared" si="2"/>
        <v xml:space="preserve"> sangat baik  dalam mempraktikkan kombinasi pola gerak dominan (bertumpu, bergantung, keseimbangan, berpindah/ lokomotor, tolakan, putaran, ayunan, melayang, dan mendarat) untuk membentuk keterampilan dasar senam menggunakan alat
</v>
      </c>
      <c r="AD35" s="257" t="str">
        <f t="shared" si="3"/>
        <v xml:space="preserve"> baik  dalam mempraktikkan pengunaan kombinasi gerak dasar langkah dan ayunan lengan mengikuti irama (ketukan) tanpa/dengan musik dalam aktivitas gerak berirama</v>
      </c>
      <c r="AE35"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35" s="257" t="str">
        <f t="shared" si="7"/>
        <v xml:space="preserve"> </v>
      </c>
      <c r="AG35"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35" s="252" t="str">
        <f t="shared" si="9"/>
        <v>SATRIA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35" s="153"/>
      <c r="AR35" s="469">
        <f t="shared" si="10"/>
        <v>85</v>
      </c>
    </row>
    <row r="36" spans="2:44" ht="66.75" customHeight="1">
      <c r="B36" s="142">
        <v>32</v>
      </c>
      <c r="C36" s="143" t="str">
        <f>SISWA!B37</f>
        <v>1718250040336</v>
      </c>
      <c r="D36" s="144" t="str">
        <f>SISWA!E37</f>
        <v>NADIA</v>
      </c>
      <c r="E36" s="159">
        <v>90</v>
      </c>
      <c r="F36" s="159">
        <v>85</v>
      </c>
      <c r="G36" s="160">
        <v>85</v>
      </c>
      <c r="H36" s="160">
        <v>93</v>
      </c>
      <c r="I36" s="160">
        <v>88</v>
      </c>
      <c r="J36" s="160"/>
      <c r="K36" s="160"/>
      <c r="L36" s="160"/>
      <c r="M36" s="160"/>
      <c r="N36" s="159"/>
      <c r="O36" s="159"/>
      <c r="P36" s="159"/>
      <c r="Q36" s="159"/>
      <c r="R36" s="160"/>
      <c r="S36" s="160"/>
      <c r="T36" s="159"/>
      <c r="U36" s="354">
        <f t="shared" si="4"/>
        <v>88</v>
      </c>
      <c r="V36" s="355" t="str">
        <f>IF(U36&gt;KKM!$G$10,"A",IF(U36&gt;KKM!$H$10,"B",IF(U36&gt;=KKM!$I$10,"C","D")))</f>
        <v>A</v>
      </c>
      <c r="W36" s="356">
        <f t="shared" si="0"/>
        <v>93</v>
      </c>
      <c r="X36" s="361" t="str">
        <f>IF(W36&gt;KKM!$G$10," sangat baik ",IF(W36&gt;KKM!$H$10," baik ",IF(W36&gt;=KKM!$I$10," cukup baik "," perlu bimbingan ")))</f>
        <v xml:space="preserve"> sangat baik </v>
      </c>
      <c r="Y36" s="357">
        <f t="shared" si="1"/>
        <v>85</v>
      </c>
      <c r="Z36" s="361" t="str">
        <f>IF(Y36&gt;KKM!$G$10," sangat baik ",IF(Y36&gt;KKM!$H$10," baik ",IF(Y36&gt;=KKM!$I$10," cukup baik "," perlu bimbingan ")))</f>
        <v xml:space="preserve"> baik </v>
      </c>
      <c r="AA36" s="353" t="str">
        <f t="shared" si="5"/>
        <v>NADIA sangat baik  dalam menerapkan konsep pemeliharaan diri dan orang lain dari penyakit menular dan tidak menular, dan  baik  dalam mempraktikkan pengunaan kombinasi gerak dasar langkah dan ayunan lengan mengikuti irama (ketukan) tanpa/dengan musik dalam aktivitas gerak berirama</v>
      </c>
      <c r="AB36" s="256"/>
      <c r="AC36" s="257" t="str">
        <f t="shared" si="2"/>
        <v xml:space="preserve"> sangat baik  dalam menerapkan konsep pemeliharaan diri dan orang lain dari penyakit menular dan tidak menular</v>
      </c>
      <c r="AD36" s="257" t="str">
        <f t="shared" si="3"/>
        <v xml:space="preserve"> baik  dalam mempraktikkan pengunaan kombinasi gerak dasar langkah dan ayunan lengan mengikuti irama (ketukan) tanpa/dengan musik dalam aktivitas gerak berirama</v>
      </c>
      <c r="AE36" s="257" t="str">
        <f t="shared" si="6"/>
        <v xml:space="preserve"> sangat baik  dalam menerapkan konsep pemeliharaan diri dan orang lain dari penyakit menular dan tidak menular, dan  baik  dalam mempraktikkan pengunaan kombinasi gerak dasar langkah dan ayunan lengan mengikuti irama (ketukan) tanpa/dengan musik dalam aktivitas gerak berirama</v>
      </c>
      <c r="AF36" s="257" t="str">
        <f t="shared" si="7"/>
        <v xml:space="preserve"> </v>
      </c>
      <c r="AG36" s="258" t="str">
        <f t="shared" si="8"/>
        <v xml:space="preserve"> sangat baik  dalam menerapkan konsep pemeliharaan diri dan orang lain dari penyakit menular dan tidak menular, dan  baik  dalam mempraktikkan pengunaan kombinasi gerak dasar langkah dan ayunan lengan mengikuti irama (ketukan) tanpa/dengan musik dalam aktivitas gerak berirama</v>
      </c>
      <c r="AH36" s="252" t="str">
        <f t="shared" si="9"/>
        <v>NADIA sangat baik  dalam menerapkan konsep pemeliharaan diri dan orang lain dari penyakit menular dan tidak menular, dan  baik  dalam mempraktikkan pengunaan kombinasi gerak dasar langkah dan ayunan lengan mengikuti irama (ketukan) tanpa/dengan musik dalam aktivitas gerak berirama</v>
      </c>
      <c r="AI36" s="153"/>
      <c r="AR36" s="469">
        <f t="shared" si="10"/>
        <v>88</v>
      </c>
    </row>
    <row r="37" spans="2:44" ht="66.75" customHeight="1">
      <c r="B37" s="142">
        <v>33</v>
      </c>
      <c r="C37" s="143" t="str">
        <f>SISWA!B38</f>
        <v>1718250040337</v>
      </c>
      <c r="D37" s="144" t="str">
        <f>SISWA!E38</f>
        <v>NAFILA</v>
      </c>
      <c r="E37" s="159">
        <v>85</v>
      </c>
      <c r="F37" s="159">
        <v>80</v>
      </c>
      <c r="G37" s="160">
        <v>80</v>
      </c>
      <c r="H37" s="160">
        <v>83</v>
      </c>
      <c r="I37" s="160">
        <v>80</v>
      </c>
      <c r="J37" s="160"/>
      <c r="K37" s="160"/>
      <c r="L37" s="160"/>
      <c r="M37" s="160"/>
      <c r="N37" s="159"/>
      <c r="O37" s="159"/>
      <c r="P37" s="159"/>
      <c r="Q37" s="159"/>
      <c r="R37" s="160"/>
      <c r="S37" s="160"/>
      <c r="T37" s="159"/>
      <c r="U37" s="354">
        <f t="shared" si="4"/>
        <v>82</v>
      </c>
      <c r="V37" s="355" t="str">
        <f>IF(U37&gt;KKM!$G$10,"A",IF(U37&gt;KKM!$H$10,"B",IF(U37&gt;=KKM!$I$10,"C","D")))</f>
        <v>B</v>
      </c>
      <c r="W37" s="356">
        <f t="shared" si="0"/>
        <v>85</v>
      </c>
      <c r="X37" s="361" t="str">
        <f>IF(W37&gt;KKM!$G$10," sangat baik ",IF(W37&gt;KKM!$H$10," baik ",IF(W37&gt;=KKM!$I$10," cukup baik "," perlu bimbingan ")))</f>
        <v xml:space="preserve"> baik </v>
      </c>
      <c r="Y37" s="357">
        <f t="shared" si="1"/>
        <v>80</v>
      </c>
      <c r="Z37" s="361" t="str">
        <f>IF(Y37&gt;KKM!$G$10," sangat baik ",IF(Y37&gt;KKM!$H$10," baik ",IF(Y37&gt;=KKM!$I$10," cukup baik "," perlu bimbingan ")))</f>
        <v xml:space="preserve"> baik </v>
      </c>
      <c r="AA37" s="353" t="str">
        <f t="shared" si="5"/>
        <v>NAFILA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37" s="256"/>
      <c r="AC37" s="257" t="str">
        <f t="shared" si="2"/>
        <v xml:space="preserve"> baik  dalam mempraktikkan kombinasi pola gerak dominan (bertumpu, bergantung, keseimbangan, berpindah/ lokomotor, tolakan, putaran, ayunan, melayang, dan mendarat) untuk membentuk keterampilan dasar senam menggunakan alat
</v>
      </c>
      <c r="AD37" s="257" t="str">
        <f t="shared" si="3"/>
        <v xml:space="preserve"> baik  dalam mempraktikkan pengunaan kombinasi gerak dasar langkah dan ayunan lengan mengikuti irama (ketukan) tanpa/dengan musik dalam aktivitas gerak berirama</v>
      </c>
      <c r="AE37" s="257" t="str">
        <f t="shared" si="6"/>
        <v xml:space="preserve">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37" s="257" t="str">
        <f t="shared" si="7"/>
        <v xml:space="preserve"> </v>
      </c>
      <c r="AG37" s="258" t="str">
        <f t="shared" si="8"/>
        <v xml:space="preserve">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37" s="252" t="str">
        <f t="shared" si="9"/>
        <v>NAFILA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37" s="153"/>
      <c r="AR37" s="469">
        <f t="shared" si="10"/>
        <v>82</v>
      </c>
    </row>
    <row r="38" spans="2:44" ht="66.75" customHeight="1">
      <c r="B38" s="142">
        <v>34</v>
      </c>
      <c r="C38" s="143" t="str">
        <f>SISWA!B39</f>
        <v>1718250040338</v>
      </c>
      <c r="D38" s="144" t="str">
        <f>SISWA!E39</f>
        <v>NAZZALA</v>
      </c>
      <c r="E38" s="159">
        <v>90</v>
      </c>
      <c r="F38" s="159">
        <v>90</v>
      </c>
      <c r="G38" s="160">
        <v>85</v>
      </c>
      <c r="H38" s="160">
        <v>98</v>
      </c>
      <c r="I38" s="160">
        <v>88</v>
      </c>
      <c r="J38" s="160"/>
      <c r="K38" s="160"/>
      <c r="L38" s="160"/>
      <c r="M38" s="160"/>
      <c r="N38" s="159"/>
      <c r="O38" s="159"/>
      <c r="P38" s="159"/>
      <c r="Q38" s="159"/>
      <c r="R38" s="160"/>
      <c r="S38" s="160"/>
      <c r="T38" s="159"/>
      <c r="U38" s="354">
        <f t="shared" si="4"/>
        <v>90</v>
      </c>
      <c r="V38" s="355" t="str">
        <f>IF(U38&gt;KKM!$G$10,"A",IF(U38&gt;KKM!$H$10,"B",IF(U38&gt;=KKM!$I$10,"C","D")))</f>
        <v>A</v>
      </c>
      <c r="W38" s="356">
        <f t="shared" si="0"/>
        <v>98</v>
      </c>
      <c r="X38" s="361" t="str">
        <f>IF(W38&gt;KKM!$G$10," sangat baik ",IF(W38&gt;KKM!$H$10," baik ",IF(W38&gt;=KKM!$I$10," cukup baik "," perlu bimbingan ")))</f>
        <v xml:space="preserve"> sangat baik </v>
      </c>
      <c r="Y38" s="357">
        <f t="shared" si="1"/>
        <v>85</v>
      </c>
      <c r="Z38" s="361" t="str">
        <f>IF(Y38&gt;KKM!$G$10," sangat baik ",IF(Y38&gt;KKM!$H$10," baik ",IF(Y38&gt;=KKM!$I$10," cukup baik "," perlu bimbingan ")))</f>
        <v xml:space="preserve"> baik </v>
      </c>
      <c r="AA38" s="353" t="str">
        <f t="shared" si="5"/>
        <v>NAZZALA sangat baik  dalam menerapkan konsep pemeliharaan diri dan orang lain dari penyakit menular dan tidak menular, dan  baik  dalam mempraktikkan salah satu gaya renang dengan koordinasi yang baik pada jarak tertentu</v>
      </c>
      <c r="AB38" s="256"/>
      <c r="AC38" s="257" t="str">
        <f t="shared" si="2"/>
        <v xml:space="preserve"> sangat baik  dalam menerapkan konsep pemeliharaan diri dan orang lain dari penyakit menular dan tidak menular</v>
      </c>
      <c r="AD38" s="257" t="str">
        <f t="shared" si="3"/>
        <v xml:space="preserve"> baik  dalam mempraktikkan salah satu gaya renang dengan koordinasi yang baik pada jarak tertentu</v>
      </c>
      <c r="AE38" s="257" t="str">
        <f t="shared" si="6"/>
        <v xml:space="preserve"> sangat baik  dalam menerapkan konsep pemeliharaan diri dan orang lain dari penyakit menular dan tidak menular, dan  baik  dalam mempraktikkan salah satu gaya renang dengan koordinasi yang baik pada jarak tertentu</v>
      </c>
      <c r="AF38" s="257" t="str">
        <f t="shared" si="7"/>
        <v xml:space="preserve"> </v>
      </c>
      <c r="AG38" s="258" t="str">
        <f t="shared" si="8"/>
        <v xml:space="preserve"> sangat baik  dalam menerapkan konsep pemeliharaan diri dan orang lain dari penyakit menular dan tidak menular, dan  baik  dalam mempraktikkan salah satu gaya renang dengan koordinasi yang baik pada jarak tertentu</v>
      </c>
      <c r="AH38" s="252" t="str">
        <f t="shared" si="9"/>
        <v>NAZZALA sangat baik  dalam menerapkan konsep pemeliharaan diri dan orang lain dari penyakit menular dan tidak menular, dan  baik  dalam mempraktikkan salah satu gaya renang dengan koordinasi yang baik pada jarak tertentu</v>
      </c>
      <c r="AI38" s="153"/>
      <c r="AR38" s="469">
        <f t="shared" si="10"/>
        <v>90</v>
      </c>
    </row>
    <row r="39" spans="2:44" ht="66.75" customHeight="1">
      <c r="B39" s="142">
        <v>35</v>
      </c>
      <c r="C39" s="143" t="str">
        <f>SISWA!B40</f>
        <v>1718250040339</v>
      </c>
      <c r="D39" s="144" t="str">
        <f>SISWA!E40</f>
        <v>RAFAREL</v>
      </c>
      <c r="E39" s="159">
        <v>90</v>
      </c>
      <c r="F39" s="159">
        <v>80</v>
      </c>
      <c r="G39" s="160">
        <v>90</v>
      </c>
      <c r="H39" s="160">
        <v>90</v>
      </c>
      <c r="I39" s="160">
        <v>88</v>
      </c>
      <c r="J39" s="160"/>
      <c r="K39" s="160"/>
      <c r="L39" s="160"/>
      <c r="M39" s="160"/>
      <c r="N39" s="159"/>
      <c r="O39" s="159"/>
      <c r="P39" s="159"/>
      <c r="Q39" s="159"/>
      <c r="R39" s="160"/>
      <c r="S39" s="160"/>
      <c r="T39" s="159"/>
      <c r="U39" s="354">
        <f t="shared" si="4"/>
        <v>88</v>
      </c>
      <c r="V39" s="355" t="str">
        <f>IF(U39&gt;KKM!$G$10,"A",IF(U39&gt;KKM!$H$10,"B",IF(U39&gt;=KKM!$I$10,"C","D")))</f>
        <v>A</v>
      </c>
      <c r="W39" s="356">
        <f t="shared" si="0"/>
        <v>90</v>
      </c>
      <c r="X39" s="361" t="str">
        <f>IF(W39&gt;KKM!$G$10," sangat baik ",IF(W39&gt;KKM!$H$10," baik ",IF(W39&gt;=KKM!$I$10," cukup baik "," perlu bimbingan ")))</f>
        <v xml:space="preserve"> sangat baik </v>
      </c>
      <c r="Y39" s="357">
        <f t="shared" si="1"/>
        <v>80</v>
      </c>
      <c r="Z39" s="361" t="str">
        <f>IF(Y39&gt;KKM!$G$10," sangat baik ",IF(Y39&gt;KKM!$H$10," baik ",IF(Y39&gt;=KKM!$I$10," cukup baik "," perlu bimbingan ")))</f>
        <v xml:space="preserve"> baik </v>
      </c>
      <c r="AA39" s="353" t="str">
        <f t="shared" si="5"/>
        <v>RAFAREL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39" s="256"/>
      <c r="AC39" s="257" t="str">
        <f t="shared" si="2"/>
        <v xml:space="preserve"> sangat baik  dalam mempraktikkan kombinasi pola gerak dominan (bertumpu, bergantung, keseimbangan, berpindah/ lokomotor, tolakan, putaran, ayunan, melayang, dan mendarat) untuk membentuk keterampilan dasar senam menggunakan alat
</v>
      </c>
      <c r="AD39" s="257" t="str">
        <f t="shared" si="3"/>
        <v xml:space="preserve"> baik  dalam mempraktikkan pengunaan kombinasi gerak dasar langkah dan ayunan lengan mengikuti irama (ketukan) tanpa/dengan musik dalam aktivitas gerak berirama</v>
      </c>
      <c r="AE39"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39" s="257" t="str">
        <f t="shared" si="7"/>
        <v xml:space="preserve"> </v>
      </c>
      <c r="AG39"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39" s="252" t="str">
        <f t="shared" si="9"/>
        <v>RAFAREL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39" s="153"/>
      <c r="AR39" s="469">
        <f t="shared" si="10"/>
        <v>88</v>
      </c>
    </row>
    <row r="40" spans="2:44" ht="66.75" customHeight="1">
      <c r="B40" s="142">
        <v>36</v>
      </c>
      <c r="C40" s="143" t="str">
        <f>SISWA!B41</f>
        <v>1718250040340</v>
      </c>
      <c r="D40" s="144" t="str">
        <f>SISWA!E41</f>
        <v>RAKHA</v>
      </c>
      <c r="E40" s="159">
        <v>85</v>
      </c>
      <c r="F40" s="159">
        <v>80</v>
      </c>
      <c r="G40" s="160">
        <v>85</v>
      </c>
      <c r="H40" s="160">
        <v>93</v>
      </c>
      <c r="I40" s="160">
        <v>93</v>
      </c>
      <c r="J40" s="160"/>
      <c r="K40" s="160"/>
      <c r="L40" s="160"/>
      <c r="M40" s="160"/>
      <c r="N40" s="159"/>
      <c r="O40" s="159"/>
      <c r="P40" s="159"/>
      <c r="Q40" s="159"/>
      <c r="R40" s="160"/>
      <c r="S40" s="160"/>
      <c r="T40" s="159"/>
      <c r="U40" s="354">
        <f t="shared" si="4"/>
        <v>87</v>
      </c>
      <c r="V40" s="355" t="str">
        <f>IF(U40&gt;KKM!$G$10,"A",IF(U40&gt;KKM!$H$10,"B",IF(U40&gt;=KKM!$I$10,"C","D")))</f>
        <v>B</v>
      </c>
      <c r="W40" s="356">
        <f t="shared" si="0"/>
        <v>93</v>
      </c>
      <c r="X40" s="361" t="str">
        <f>IF(W40&gt;KKM!$G$10," sangat baik ",IF(W40&gt;KKM!$H$10," baik ",IF(W40&gt;=KKM!$I$10," cukup baik "," perlu bimbingan ")))</f>
        <v xml:space="preserve"> sangat baik </v>
      </c>
      <c r="Y40" s="357">
        <f t="shared" si="1"/>
        <v>80</v>
      </c>
      <c r="Z40" s="361" t="str">
        <f>IF(Y40&gt;KKM!$G$10," sangat baik ",IF(Y40&gt;KKM!$H$10," baik ",IF(Y40&gt;=KKM!$I$10," cukup baik "," perlu bimbingan ")))</f>
        <v xml:space="preserve"> baik </v>
      </c>
      <c r="AA40" s="353" t="str">
        <f t="shared" si="5"/>
        <v>RAKHA sangat baik  dalam menerapkan konsep pemeliharaan diri dan orang lain dari penyakit menular dan tidak menular, dan  baik  dalam mempraktikkan pengunaan kombinasi gerak dasar langkah dan ayunan lengan mengikuti irama (ketukan) tanpa/dengan musik dalam aktivitas gerak berirama</v>
      </c>
      <c r="AB40" s="256"/>
      <c r="AC40" s="257" t="str">
        <f t="shared" si="2"/>
        <v xml:space="preserve"> sangat baik  dalam menerapkan konsep pemeliharaan diri dan orang lain dari penyakit menular dan tidak menular</v>
      </c>
      <c r="AD40" s="257" t="str">
        <f t="shared" si="3"/>
        <v xml:space="preserve"> baik  dalam mempraktikkan pengunaan kombinasi gerak dasar langkah dan ayunan lengan mengikuti irama (ketukan) tanpa/dengan musik dalam aktivitas gerak berirama</v>
      </c>
      <c r="AE40" s="257" t="str">
        <f t="shared" si="6"/>
        <v xml:space="preserve"> sangat baik  dalam menerapkan konsep pemeliharaan diri dan orang lain dari penyakit menular dan tidak menular, dan  baik  dalam mempraktikkan pengunaan kombinasi gerak dasar langkah dan ayunan lengan mengikuti irama (ketukan) tanpa/dengan musik dalam aktivitas gerak berirama</v>
      </c>
      <c r="AF40" s="257" t="str">
        <f t="shared" si="7"/>
        <v xml:space="preserve"> </v>
      </c>
      <c r="AG40" s="258" t="str">
        <f t="shared" si="8"/>
        <v xml:space="preserve"> sangat baik  dalam menerapkan konsep pemeliharaan diri dan orang lain dari penyakit menular dan tidak menular, dan  baik  dalam mempraktikkan pengunaan kombinasi gerak dasar langkah dan ayunan lengan mengikuti irama (ketukan) tanpa/dengan musik dalam aktivitas gerak berirama</v>
      </c>
      <c r="AH40" s="252" t="str">
        <f t="shared" si="9"/>
        <v>RAKHA sangat baik  dalam menerapkan konsep pemeliharaan diri dan orang lain dari penyakit menular dan tidak menular, dan  baik  dalam mempraktikkan pengunaan kombinasi gerak dasar langkah dan ayunan lengan mengikuti irama (ketukan) tanpa/dengan musik dalam aktivitas gerak berirama</v>
      </c>
      <c r="AI40" s="153"/>
      <c r="AR40" s="469">
        <f t="shared" si="10"/>
        <v>87</v>
      </c>
    </row>
    <row r="41" spans="2:44" ht="66.75" customHeight="1">
      <c r="B41" s="142">
        <v>37</v>
      </c>
      <c r="C41" s="143" t="str">
        <f>SISWA!B42</f>
        <v>1718250040341</v>
      </c>
      <c r="D41" s="144" t="str">
        <f>SISWA!E42</f>
        <v>RYU</v>
      </c>
      <c r="E41" s="159">
        <v>90</v>
      </c>
      <c r="F41" s="159">
        <v>80</v>
      </c>
      <c r="G41" s="160">
        <v>85</v>
      </c>
      <c r="H41" s="160">
        <v>88</v>
      </c>
      <c r="I41" s="160">
        <v>96</v>
      </c>
      <c r="J41" s="160"/>
      <c r="K41" s="160"/>
      <c r="L41" s="160"/>
      <c r="M41" s="160"/>
      <c r="N41" s="159"/>
      <c r="O41" s="159"/>
      <c r="P41" s="159"/>
      <c r="Q41" s="159"/>
      <c r="R41" s="160"/>
      <c r="S41" s="160"/>
      <c r="T41" s="159"/>
      <c r="U41" s="354">
        <f t="shared" si="4"/>
        <v>88</v>
      </c>
      <c r="V41" s="355" t="str">
        <f>IF(U41&gt;KKM!$G$10,"A",IF(U41&gt;KKM!$H$10,"B",IF(U41&gt;=KKM!$I$10,"C","D")))</f>
        <v>A</v>
      </c>
      <c r="W41" s="356">
        <f t="shared" si="0"/>
        <v>96</v>
      </c>
      <c r="X41" s="361" t="str">
        <f>IF(W41&gt;KKM!$G$10," sangat baik ",IF(W41&gt;KKM!$H$10," baik ",IF(W41&gt;=KKM!$I$10," cukup baik "," perlu bimbingan ")))</f>
        <v xml:space="preserve"> sangat baik </v>
      </c>
      <c r="Y41" s="357">
        <f t="shared" si="1"/>
        <v>80</v>
      </c>
      <c r="Z41" s="361" t="str">
        <f>IF(Y41&gt;KKM!$G$10," sangat baik ",IF(Y41&gt;KKM!$H$10," baik ",IF(Y41&gt;=KKM!$I$10," cukup baik "," perlu bimbingan ")))</f>
        <v xml:space="preserve"> baik </v>
      </c>
      <c r="AA41" s="353" t="str">
        <f t="shared" si="5"/>
        <v>RYU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AB41" s="256"/>
      <c r="AC41" s="257" t="str">
        <f t="shared" si="2"/>
        <v xml:space="preserve"> sangat baik  dalam memaparkan bahaya merokok, meminum minuman keras, dan mengonsumsi narkotika, zat-zat aditif (NAPZA) dan obat berbahaya lainnya terhadap kesehatan tubuh</v>
      </c>
      <c r="AD41" s="257" t="str">
        <f t="shared" si="3"/>
        <v xml:space="preserve"> baik  dalam mempraktikkan pengunaan kombinasi gerak dasar langkah dan ayunan lengan mengikuti irama (ketukan) tanpa/dengan musik dalam aktivitas gerak berirama</v>
      </c>
      <c r="AE41" s="257" t="str">
        <f t="shared" si="6"/>
        <v xml:space="preserve">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AF41" s="257" t="str">
        <f t="shared" si="7"/>
        <v xml:space="preserve"> </v>
      </c>
      <c r="AG41" s="258" t="str">
        <f t="shared" si="8"/>
        <v xml:space="preserve">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AH41" s="252" t="str">
        <f t="shared" si="9"/>
        <v>RYU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AI41" s="153"/>
      <c r="AR41" s="469">
        <f t="shared" si="10"/>
        <v>88</v>
      </c>
    </row>
    <row r="42" spans="2:44" ht="66.75" customHeight="1">
      <c r="B42" s="142">
        <v>38</v>
      </c>
      <c r="C42" s="143" t="str">
        <f>SISWA!B43</f>
        <v>1718250040342</v>
      </c>
      <c r="D42" s="144" t="str">
        <f>SISWA!E43</f>
        <v>SAEPUL</v>
      </c>
      <c r="E42" s="159">
        <v>98</v>
      </c>
      <c r="F42" s="159">
        <v>85</v>
      </c>
      <c r="G42" s="160">
        <v>85</v>
      </c>
      <c r="H42" s="160">
        <v>93</v>
      </c>
      <c r="I42" s="160">
        <v>88</v>
      </c>
      <c r="J42" s="160"/>
      <c r="K42" s="160"/>
      <c r="L42" s="160"/>
      <c r="M42" s="160"/>
      <c r="N42" s="159"/>
      <c r="O42" s="159"/>
      <c r="P42" s="159"/>
      <c r="Q42" s="159"/>
      <c r="R42" s="160"/>
      <c r="S42" s="160"/>
      <c r="T42" s="159"/>
      <c r="U42" s="354">
        <f t="shared" si="4"/>
        <v>90</v>
      </c>
      <c r="V42" s="355" t="str">
        <f>IF(U42&gt;KKM!$G$10,"A",IF(U42&gt;KKM!$H$10,"B",IF(U42&gt;=KKM!$I$10,"C","D")))</f>
        <v>A</v>
      </c>
      <c r="W42" s="356">
        <f t="shared" si="0"/>
        <v>98</v>
      </c>
      <c r="X42" s="361" t="str">
        <f>IF(W42&gt;KKM!$G$10," sangat baik ",IF(W42&gt;KKM!$H$10," baik ",IF(W42&gt;=KKM!$I$10," cukup baik "," perlu bimbingan ")))</f>
        <v xml:space="preserve"> sangat baik </v>
      </c>
      <c r="Y42" s="357">
        <f t="shared" si="1"/>
        <v>85</v>
      </c>
      <c r="Z42" s="361" t="str">
        <f>IF(Y42&gt;KKM!$G$10," sangat baik ",IF(Y42&gt;KKM!$H$10," baik ",IF(Y42&gt;=KKM!$I$10," cukup baik "," perlu bimbingan ")))</f>
        <v xml:space="preserve"> baik </v>
      </c>
      <c r="AA42" s="353" t="str">
        <f t="shared" si="5"/>
        <v>SAEPUL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42" s="256"/>
      <c r="AC42" s="257" t="str">
        <f t="shared" si="2"/>
        <v xml:space="preserve"> sangat baik  dalam mempraktikkan kombinasi pola gerak dominan (bertumpu, bergantung, keseimbangan, berpindah/ lokomotor, tolakan, putaran, ayunan, melayang, dan mendarat) untuk membentuk keterampilan dasar senam menggunakan alat
</v>
      </c>
      <c r="AD42" s="257" t="str">
        <f t="shared" si="3"/>
        <v xml:space="preserve"> baik  dalam mempraktikkan pengunaan kombinasi gerak dasar langkah dan ayunan lengan mengikuti irama (ketukan) tanpa/dengan musik dalam aktivitas gerak berirama</v>
      </c>
      <c r="AE42"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42" s="257" t="str">
        <f t="shared" si="7"/>
        <v xml:space="preserve"> </v>
      </c>
      <c r="AG42"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42" s="252" t="str">
        <f t="shared" si="9"/>
        <v>SAEPUL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42" s="153"/>
      <c r="AR42" s="469">
        <f t="shared" si="10"/>
        <v>90</v>
      </c>
    </row>
    <row r="43" spans="2:44" ht="66.75" customHeight="1">
      <c r="B43" s="142">
        <v>39</v>
      </c>
      <c r="C43" s="143" t="str">
        <f>SISWA!B44</f>
        <v>1718250040343</v>
      </c>
      <c r="D43" s="144" t="str">
        <f>SISWA!E44</f>
        <v>SALMA</v>
      </c>
      <c r="E43" s="159">
        <v>90</v>
      </c>
      <c r="F43" s="159">
        <v>80</v>
      </c>
      <c r="G43" s="160">
        <v>90</v>
      </c>
      <c r="H43" s="160">
        <v>88</v>
      </c>
      <c r="I43" s="160">
        <v>88</v>
      </c>
      <c r="J43" s="160"/>
      <c r="K43" s="160"/>
      <c r="L43" s="160"/>
      <c r="M43" s="160"/>
      <c r="N43" s="159"/>
      <c r="O43" s="159"/>
      <c r="P43" s="159"/>
      <c r="Q43" s="159"/>
      <c r="R43" s="160"/>
      <c r="S43" s="160"/>
      <c r="T43" s="159"/>
      <c r="U43" s="354">
        <f t="shared" si="4"/>
        <v>87</v>
      </c>
      <c r="V43" s="355" t="str">
        <f>IF(U43&gt;KKM!$G$10,"A",IF(U43&gt;KKM!$H$10,"B",IF(U43&gt;=KKM!$I$10,"C","D")))</f>
        <v>B</v>
      </c>
      <c r="W43" s="356">
        <f t="shared" si="0"/>
        <v>90</v>
      </c>
      <c r="X43" s="361" t="str">
        <f>IF(W43&gt;KKM!$G$10," sangat baik ",IF(W43&gt;KKM!$H$10," baik ",IF(W43&gt;=KKM!$I$10," cukup baik "," perlu bimbingan ")))</f>
        <v xml:space="preserve"> sangat baik </v>
      </c>
      <c r="Y43" s="357">
        <f t="shared" si="1"/>
        <v>80</v>
      </c>
      <c r="Z43" s="361" t="str">
        <f>IF(Y43&gt;KKM!$G$10," sangat baik ",IF(Y43&gt;KKM!$H$10," baik ",IF(Y43&gt;=KKM!$I$10," cukup baik "," perlu bimbingan ")))</f>
        <v xml:space="preserve"> baik </v>
      </c>
      <c r="AA43" s="353" t="str">
        <f t="shared" si="5"/>
        <v>SALMA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43" s="256"/>
      <c r="AC43" s="257" t="str">
        <f t="shared" si="2"/>
        <v xml:space="preserve"> sangat baik  dalam mempraktikkan kombinasi pola gerak dominan (bertumpu, bergantung, keseimbangan, berpindah/ lokomotor, tolakan, putaran, ayunan, melayang, dan mendarat) untuk membentuk keterampilan dasar senam menggunakan alat
</v>
      </c>
      <c r="AD43" s="257" t="str">
        <f t="shared" si="3"/>
        <v xml:space="preserve"> baik  dalam mempraktikkan pengunaan kombinasi gerak dasar langkah dan ayunan lengan mengikuti irama (ketukan) tanpa/dengan musik dalam aktivitas gerak berirama</v>
      </c>
      <c r="AE43"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43" s="257" t="str">
        <f t="shared" si="7"/>
        <v xml:space="preserve"> </v>
      </c>
      <c r="AG43"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43" s="252" t="str">
        <f t="shared" si="9"/>
        <v>SALMA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43" s="153"/>
      <c r="AR43" s="469">
        <f t="shared" si="10"/>
        <v>87</v>
      </c>
    </row>
    <row r="44" spans="2:44" ht="66.75" customHeight="1">
      <c r="B44" s="142">
        <v>40</v>
      </c>
      <c r="C44" s="143" t="str">
        <f>SISWA!B45</f>
        <v>1718250040344</v>
      </c>
      <c r="D44" s="144" t="str">
        <f>SISWA!E45</f>
        <v>SYAKILA</v>
      </c>
      <c r="E44" s="159">
        <v>80</v>
      </c>
      <c r="F44" s="159">
        <v>80</v>
      </c>
      <c r="G44" s="160">
        <v>80</v>
      </c>
      <c r="H44" s="160">
        <v>93</v>
      </c>
      <c r="I44" s="160">
        <v>93</v>
      </c>
      <c r="J44" s="160"/>
      <c r="K44" s="160"/>
      <c r="L44" s="160"/>
      <c r="M44" s="160"/>
      <c r="N44" s="159"/>
      <c r="O44" s="159"/>
      <c r="P44" s="159"/>
      <c r="Q44" s="159"/>
      <c r="R44" s="160"/>
      <c r="S44" s="160"/>
      <c r="T44" s="159"/>
      <c r="U44" s="354">
        <f t="shared" si="4"/>
        <v>85</v>
      </c>
      <c r="V44" s="355" t="str">
        <f>IF(U44&gt;KKM!$G$10,"A",IF(U44&gt;KKM!$H$10,"B",IF(U44&gt;=KKM!$I$10,"C","D")))</f>
        <v>B</v>
      </c>
      <c r="W44" s="356">
        <f t="shared" si="0"/>
        <v>93</v>
      </c>
      <c r="X44" s="361" t="str">
        <f>IF(W44&gt;KKM!$G$10," sangat baik ",IF(W44&gt;KKM!$H$10," baik ",IF(W44&gt;=KKM!$I$10," cukup baik "," perlu bimbingan ")))</f>
        <v xml:space="preserve"> sangat baik </v>
      </c>
      <c r="Y44" s="357">
        <f t="shared" si="1"/>
        <v>80</v>
      </c>
      <c r="Z44" s="361" t="str">
        <f>IF(Y44&gt;KKM!$G$10," sangat baik ",IF(Y44&gt;KKM!$H$10," baik ",IF(Y44&gt;=KKM!$I$10," cukup baik "," perlu bimbingan ")))</f>
        <v xml:space="preserve"> baik </v>
      </c>
      <c r="AA44" s="353" t="str">
        <f t="shared" si="5"/>
        <v xml:space="preserve">SYAKILA sangat baik  dalam menerapkan konsep pemeliharaan diri dan orang lain dari penyakit menular dan tidak menular, dan  baik  dalam mempraktikkan kombinasi pola gerak dominan (bertumpu, bergantung, keseimbangan, berpindah/ lokomotor, tolakan, putaran, ayunan, melayang, dan mendarat) untuk membentuk keterampilan dasar senam menggunakan alat
</v>
      </c>
      <c r="AB44" s="256"/>
      <c r="AC44" s="257" t="str">
        <f t="shared" si="2"/>
        <v xml:space="preserve"> sangat baik  dalam menerapkan konsep pemeliharaan diri dan orang lain dari penyakit menular dan tidak menular</v>
      </c>
      <c r="AD44" s="257" t="str">
        <f t="shared" si="3"/>
        <v xml:space="preserve"> baik  dalam mempraktikkan kombinasi pola gerak dominan (bertumpu, bergantung, keseimbangan, berpindah/ lokomotor, tolakan, putaran, ayunan, melayang, dan mendarat) untuk membentuk keterampilan dasar senam menggunakan alat
</v>
      </c>
      <c r="AE44" s="257" t="str">
        <f t="shared" si="6"/>
        <v xml:space="preserve"> sangat baik  dalam menerapkan konsep pemeliharaan diri dan orang lain dari penyakit menular dan tidak menular, dan  baik  dalam mempraktikkan kombinasi pola gerak dominan (bertumpu, bergantung, keseimbangan, berpindah/ lokomotor, tolakan, putaran, ayunan, melayang, dan mendarat) untuk membentuk keterampilan dasar senam menggunakan alat
</v>
      </c>
      <c r="AF44" s="257" t="str">
        <f t="shared" si="7"/>
        <v xml:space="preserve"> </v>
      </c>
      <c r="AG44" s="258" t="str">
        <f t="shared" si="8"/>
        <v xml:space="preserve"> sangat baik  dalam menerapkan konsep pemeliharaan diri dan orang lain dari penyakit menular dan tidak menular, dan  baik  dalam mempraktikkan kombinasi pola gerak dominan (bertumpu, bergantung, keseimbangan, berpindah/ lokomotor, tolakan, putaran, ayunan, melayang, dan mendarat) untuk membentuk keterampilan dasar senam menggunakan alat
</v>
      </c>
      <c r="AH44" s="252" t="str">
        <f t="shared" si="9"/>
        <v xml:space="preserve">SYAKILA sangat baik  dalam menerapkan konsep pemeliharaan diri dan orang lain dari penyakit menular dan tidak menular, dan  baik  dalam mempraktikkan kombinasi pola gerak dominan (bertumpu, bergantung, keseimbangan, berpindah/ lokomotor, tolakan, putaran, ayunan, melayang, dan mendarat) untuk membentuk keterampilan dasar senam menggunakan alat
</v>
      </c>
      <c r="AI44" s="153"/>
      <c r="AR44" s="469">
        <f t="shared" si="10"/>
        <v>85</v>
      </c>
    </row>
    <row r="45" spans="2:44" ht="66.75" customHeight="1">
      <c r="B45" s="142">
        <v>41</v>
      </c>
      <c r="C45" s="143" t="str">
        <f>SISWA!B46</f>
        <v>1718250040345</v>
      </c>
      <c r="D45" s="144" t="str">
        <f>SISWA!E46</f>
        <v>SYIFA</v>
      </c>
      <c r="E45" s="159">
        <v>90</v>
      </c>
      <c r="F45" s="160">
        <v>80</v>
      </c>
      <c r="G45" s="160">
        <v>80</v>
      </c>
      <c r="H45" s="160">
        <v>93</v>
      </c>
      <c r="I45" s="160">
        <v>93</v>
      </c>
      <c r="J45" s="160"/>
      <c r="K45" s="160"/>
      <c r="L45" s="160"/>
      <c r="M45" s="160"/>
      <c r="N45" s="159"/>
      <c r="O45" s="159"/>
      <c r="P45" s="159"/>
      <c r="Q45" s="159"/>
      <c r="R45" s="160"/>
      <c r="S45" s="160"/>
      <c r="T45" s="159"/>
      <c r="U45" s="354">
        <f t="shared" si="4"/>
        <v>87</v>
      </c>
      <c r="V45" s="355" t="str">
        <f>IF(U45&gt;KKM!$G$10,"A",IF(U45&gt;KKM!$H$10,"B",IF(U45&gt;=KKM!$I$10,"C","D")))</f>
        <v>B</v>
      </c>
      <c r="W45" s="356">
        <f t="shared" si="0"/>
        <v>93</v>
      </c>
      <c r="X45" s="361" t="str">
        <f>IF(W45&gt;KKM!$G$10," sangat baik ",IF(W45&gt;KKM!$H$10," baik ",IF(W45&gt;=KKM!$I$10," cukup baik "," perlu bimbingan ")))</f>
        <v xml:space="preserve"> sangat baik </v>
      </c>
      <c r="Y45" s="357">
        <f t="shared" si="1"/>
        <v>80</v>
      </c>
      <c r="Z45" s="361" t="str">
        <f>IF(Y45&gt;KKM!$G$10," sangat baik ",IF(Y45&gt;KKM!$H$10," baik ",IF(Y45&gt;=KKM!$I$10," cukup baik "," perlu bimbingan ")))</f>
        <v xml:space="preserve"> baik </v>
      </c>
      <c r="AA45" s="353" t="str">
        <f t="shared" si="5"/>
        <v>SYIFA sangat baik  dalam menerapkan konsep pemeliharaan diri dan orang lain dari penyakit menular dan tidak menular, dan  baik  dalam mempraktikkan pengunaan kombinasi gerak dasar langkah dan ayunan lengan mengikuti irama (ketukan) tanpa/dengan musik dalam aktivitas gerak berirama</v>
      </c>
      <c r="AB45" s="256"/>
      <c r="AC45" s="257" t="str">
        <f t="shared" si="2"/>
        <v xml:space="preserve"> sangat baik  dalam menerapkan konsep pemeliharaan diri dan orang lain dari penyakit menular dan tidak menular</v>
      </c>
      <c r="AD45" s="257" t="str">
        <f t="shared" si="3"/>
        <v xml:space="preserve"> baik  dalam mempraktikkan pengunaan kombinasi gerak dasar langkah dan ayunan lengan mengikuti irama (ketukan) tanpa/dengan musik dalam aktivitas gerak berirama</v>
      </c>
      <c r="AE45" s="257" t="str">
        <f t="shared" si="6"/>
        <v xml:space="preserve"> sangat baik  dalam menerapkan konsep pemeliharaan diri dan orang lain dari penyakit menular dan tidak menular, dan  baik  dalam mempraktikkan pengunaan kombinasi gerak dasar langkah dan ayunan lengan mengikuti irama (ketukan) tanpa/dengan musik dalam aktivitas gerak berirama</v>
      </c>
      <c r="AF45" s="257" t="str">
        <f t="shared" si="7"/>
        <v xml:space="preserve"> </v>
      </c>
      <c r="AG45" s="258" t="str">
        <f t="shared" si="8"/>
        <v xml:space="preserve"> sangat baik  dalam menerapkan konsep pemeliharaan diri dan orang lain dari penyakit menular dan tidak menular, dan  baik  dalam mempraktikkan pengunaan kombinasi gerak dasar langkah dan ayunan lengan mengikuti irama (ketukan) tanpa/dengan musik dalam aktivitas gerak berirama</v>
      </c>
      <c r="AH45" s="252" t="str">
        <f t="shared" si="9"/>
        <v>SYIFA sangat baik  dalam menerapkan konsep pemeliharaan diri dan orang lain dari penyakit menular dan tidak menular, dan  baik  dalam mempraktikkan pengunaan kombinasi gerak dasar langkah dan ayunan lengan mengikuti irama (ketukan) tanpa/dengan musik dalam aktivitas gerak berirama</v>
      </c>
      <c r="AI45" s="153"/>
      <c r="AR45" s="469">
        <f t="shared" si="10"/>
        <v>87</v>
      </c>
    </row>
    <row r="46" spans="2:44" ht="66.75" customHeight="1">
      <c r="B46" s="142">
        <v>42</v>
      </c>
      <c r="C46" s="143" t="str">
        <f>SISWA!B47</f>
        <v>1718250040346</v>
      </c>
      <c r="D46" s="144" t="str">
        <f>SISWA!E47</f>
        <v>WAFDAN</v>
      </c>
      <c r="E46" s="159">
        <v>95</v>
      </c>
      <c r="F46" s="160">
        <v>80</v>
      </c>
      <c r="G46" s="160">
        <v>80</v>
      </c>
      <c r="H46" s="160">
        <v>88</v>
      </c>
      <c r="I46" s="160">
        <v>93</v>
      </c>
      <c r="J46" s="160"/>
      <c r="K46" s="160"/>
      <c r="L46" s="160"/>
      <c r="M46" s="160"/>
      <c r="N46" s="159"/>
      <c r="O46" s="159"/>
      <c r="P46" s="159"/>
      <c r="Q46" s="159"/>
      <c r="R46" s="160"/>
      <c r="S46" s="160"/>
      <c r="T46" s="159"/>
      <c r="U46" s="354">
        <f t="shared" si="4"/>
        <v>87</v>
      </c>
      <c r="V46" s="355" t="str">
        <f>IF(U46&gt;KKM!$G$10,"A",IF(U46&gt;KKM!$H$10,"B",IF(U46&gt;=KKM!$I$10,"C","D")))</f>
        <v>B</v>
      </c>
      <c r="W46" s="356">
        <f t="shared" si="0"/>
        <v>95</v>
      </c>
      <c r="X46" s="361" t="str">
        <f>IF(W46&gt;KKM!$G$10," sangat baik ",IF(W46&gt;KKM!$H$10," baik ",IF(W46&gt;=KKM!$I$10," cukup baik "," perlu bimbingan ")))</f>
        <v xml:space="preserve"> sangat baik </v>
      </c>
      <c r="Y46" s="357">
        <f t="shared" si="1"/>
        <v>80</v>
      </c>
      <c r="Z46" s="361" t="str">
        <f>IF(Y46&gt;KKM!$G$10," sangat baik ",IF(Y46&gt;KKM!$H$10," baik ",IF(Y46&gt;=KKM!$I$10," cukup baik "," perlu bimbingan ")))</f>
        <v xml:space="preserve"> baik </v>
      </c>
      <c r="AA46" s="353" t="str">
        <f t="shared" si="5"/>
        <v>WAFDAN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46" s="256"/>
      <c r="AC46" s="257" t="str">
        <f t="shared" si="2"/>
        <v xml:space="preserve"> sangat baik  dalam mempraktikkan kombinasi pola gerak dominan (bertumpu, bergantung, keseimbangan, berpindah/ lokomotor, tolakan, putaran, ayunan, melayang, dan mendarat) untuk membentuk keterampilan dasar senam menggunakan alat
</v>
      </c>
      <c r="AD46" s="257" t="str">
        <f t="shared" si="3"/>
        <v xml:space="preserve"> baik  dalam mempraktikkan pengunaan kombinasi gerak dasar langkah dan ayunan lengan mengikuti irama (ketukan) tanpa/dengan musik dalam aktivitas gerak berirama</v>
      </c>
      <c r="AE46"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46" s="257" t="str">
        <f t="shared" si="7"/>
        <v xml:space="preserve"> </v>
      </c>
      <c r="AG46"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46" s="252" t="str">
        <f t="shared" si="9"/>
        <v>WAFDAN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46" s="153"/>
      <c r="AR46" s="469">
        <f t="shared" si="10"/>
        <v>87</v>
      </c>
    </row>
    <row r="47" spans="2:44" ht="66.75" customHeight="1">
      <c r="B47" s="142">
        <v>43</v>
      </c>
      <c r="C47" s="143" t="str">
        <f>SISWA!B48</f>
        <v>1718250040347</v>
      </c>
      <c r="D47" s="144" t="str">
        <f>SISWA!E48</f>
        <v>ZEVA</v>
      </c>
      <c r="E47" s="159">
        <v>98</v>
      </c>
      <c r="F47" s="160">
        <v>85</v>
      </c>
      <c r="G47" s="160">
        <v>95</v>
      </c>
      <c r="H47" s="160">
        <v>88</v>
      </c>
      <c r="I47" s="160">
        <v>93</v>
      </c>
      <c r="J47" s="160"/>
      <c r="K47" s="160"/>
      <c r="L47" s="160"/>
      <c r="M47" s="160"/>
      <c r="N47" s="159"/>
      <c r="O47" s="159"/>
      <c r="P47" s="159"/>
      <c r="Q47" s="159"/>
      <c r="R47" s="160"/>
      <c r="S47" s="160"/>
      <c r="T47" s="159"/>
      <c r="U47" s="354">
        <f t="shared" si="4"/>
        <v>92</v>
      </c>
      <c r="V47" s="355" t="str">
        <f>IF(U47&gt;KKM!$G$10,"A",IF(U47&gt;KKM!$H$10,"B",IF(U47&gt;=KKM!$I$10,"C","D")))</f>
        <v>A</v>
      </c>
      <c r="W47" s="356">
        <f t="shared" si="0"/>
        <v>98</v>
      </c>
      <c r="X47" s="361" t="str">
        <f>IF(W47&gt;KKM!$G$10," sangat baik ",IF(W47&gt;KKM!$H$10," baik ",IF(W47&gt;=KKM!$I$10," cukup baik "," perlu bimbingan ")))</f>
        <v xml:space="preserve"> sangat baik </v>
      </c>
      <c r="Y47" s="357">
        <f t="shared" si="1"/>
        <v>85</v>
      </c>
      <c r="Z47" s="361" t="str">
        <f>IF(Y47&gt;KKM!$G$10," sangat baik ",IF(Y47&gt;KKM!$H$10," baik ",IF(Y47&gt;=KKM!$I$10," cukup baik "," perlu bimbingan ")))</f>
        <v xml:space="preserve"> baik </v>
      </c>
      <c r="AA47" s="353" t="str">
        <f t="shared" si="5"/>
        <v>ZEVA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B47" s="256"/>
      <c r="AC47" s="257" t="str">
        <f t="shared" si="2"/>
        <v xml:space="preserve"> sangat baik  dalam mempraktikkan kombinasi pola gerak dominan (bertumpu, bergantung, keseimbangan, berpindah/ lokomotor, tolakan, putaran, ayunan, melayang, dan mendarat) untuk membentuk keterampilan dasar senam menggunakan alat
</v>
      </c>
      <c r="AD47" s="257" t="str">
        <f t="shared" si="3"/>
        <v xml:space="preserve"> baik  dalam mempraktikkan pengunaan kombinasi gerak dasar langkah dan ayunan lengan mengikuti irama (ketukan) tanpa/dengan musik dalam aktivitas gerak berirama</v>
      </c>
      <c r="AE47" s="257" t="str">
        <f t="shared" si="6"/>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F47" s="257" t="str">
        <f t="shared" si="7"/>
        <v xml:space="preserve"> </v>
      </c>
      <c r="AG47" s="258" t="str">
        <f t="shared" si="8"/>
        <v xml:space="preserve">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H47" s="252" t="str">
        <f t="shared" si="9"/>
        <v>ZEVA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AI47" s="153"/>
      <c r="AR47" s="469">
        <f t="shared" si="10"/>
        <v>92</v>
      </c>
    </row>
    <row r="48" spans="2:44" ht="66.75" customHeight="1">
      <c r="B48" s="142">
        <v>44</v>
      </c>
      <c r="C48" s="143">
        <f>SISWA!B49</f>
        <v>0</v>
      </c>
      <c r="D48" s="144">
        <f>SISWA!E49</f>
        <v>0</v>
      </c>
      <c r="E48" s="159"/>
      <c r="F48" s="160"/>
      <c r="G48" s="160"/>
      <c r="H48" s="160"/>
      <c r="I48" s="160"/>
      <c r="J48" s="160"/>
      <c r="K48" s="160"/>
      <c r="L48" s="160"/>
      <c r="M48" s="160"/>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53"/>
      <c r="AR48" s="469" t="str">
        <f t="shared" si="10"/>
        <v/>
      </c>
    </row>
    <row r="49" spans="2:44" ht="66.75" customHeight="1">
      <c r="B49" s="142">
        <v>45</v>
      </c>
      <c r="C49" s="143">
        <f>SISWA!B50</f>
        <v>0</v>
      </c>
      <c r="D49" s="144">
        <f>SISWA!E50</f>
        <v>0</v>
      </c>
      <c r="E49" s="159"/>
      <c r="F49" s="160"/>
      <c r="G49" s="160"/>
      <c r="H49" s="160"/>
      <c r="I49" s="160"/>
      <c r="J49" s="160"/>
      <c r="K49" s="160"/>
      <c r="L49" s="160"/>
      <c r="M49" s="160"/>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53"/>
      <c r="AR49" s="469" t="str">
        <f t="shared" si="10"/>
        <v/>
      </c>
    </row>
    <row r="50" spans="2:44" ht="66.75" customHeight="1">
      <c r="B50" s="142">
        <v>46</v>
      </c>
      <c r="C50" s="143">
        <f>SISWA!B51</f>
        <v>0</v>
      </c>
      <c r="D50" s="144">
        <f>SISWA!E51</f>
        <v>0</v>
      </c>
      <c r="E50" s="159"/>
      <c r="F50" s="160"/>
      <c r="G50" s="160"/>
      <c r="H50" s="160"/>
      <c r="I50" s="160"/>
      <c r="J50" s="160"/>
      <c r="K50" s="160"/>
      <c r="L50" s="160"/>
      <c r="M50" s="160"/>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53"/>
      <c r="AR50" s="469" t="str">
        <f t="shared" si="10"/>
        <v/>
      </c>
    </row>
    <row r="51" spans="2:44" ht="66.75" customHeight="1">
      <c r="B51" s="142">
        <v>47</v>
      </c>
      <c r="C51" s="143">
        <f>SISWA!B52</f>
        <v>0</v>
      </c>
      <c r="D51" s="144">
        <f>SISWA!E52</f>
        <v>0</v>
      </c>
      <c r="E51" s="159"/>
      <c r="F51" s="160"/>
      <c r="G51" s="160"/>
      <c r="H51" s="160"/>
      <c r="I51" s="160"/>
      <c r="J51" s="160"/>
      <c r="K51" s="160"/>
      <c r="L51" s="160"/>
      <c r="M51" s="160"/>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53"/>
      <c r="AR51" s="469" t="str">
        <f t="shared" si="10"/>
        <v/>
      </c>
    </row>
    <row r="52" spans="2:44" ht="66.75" customHeight="1">
      <c r="B52" s="142">
        <v>48</v>
      </c>
      <c r="C52" s="143">
        <f>SISWA!B53</f>
        <v>0</v>
      </c>
      <c r="D52" s="144">
        <f>SISWA!E53</f>
        <v>0</v>
      </c>
      <c r="E52" s="159"/>
      <c r="F52" s="160"/>
      <c r="G52" s="160"/>
      <c r="H52" s="160"/>
      <c r="I52" s="160"/>
      <c r="J52" s="160"/>
      <c r="K52" s="160"/>
      <c r="L52" s="160"/>
      <c r="M52" s="160"/>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53"/>
      <c r="AR52" s="469" t="str">
        <f t="shared" si="10"/>
        <v/>
      </c>
    </row>
    <row r="53" spans="2:44" ht="66.75" customHeight="1">
      <c r="B53" s="142">
        <v>49</v>
      </c>
      <c r="C53" s="143">
        <f>SISWA!B54</f>
        <v>0</v>
      </c>
      <c r="D53" s="144">
        <f>SISWA!E54</f>
        <v>0</v>
      </c>
      <c r="E53" s="159"/>
      <c r="F53" s="160"/>
      <c r="G53" s="160"/>
      <c r="H53" s="160"/>
      <c r="I53" s="160"/>
      <c r="J53" s="160"/>
      <c r="K53" s="160"/>
      <c r="L53" s="160"/>
      <c r="M53" s="160"/>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53"/>
      <c r="AR53" s="469" t="str">
        <f t="shared" si="10"/>
        <v/>
      </c>
    </row>
    <row r="54" spans="2:44" ht="66.75" customHeight="1">
      <c r="B54" s="142">
        <v>50</v>
      </c>
      <c r="C54" s="143">
        <f>SISWA!B55</f>
        <v>0</v>
      </c>
      <c r="D54" s="144">
        <f>SISWA!E55</f>
        <v>0</v>
      </c>
      <c r="E54" s="159"/>
      <c r="F54" s="160"/>
      <c r="G54" s="160"/>
      <c r="H54" s="160"/>
      <c r="I54" s="160"/>
      <c r="J54" s="160"/>
      <c r="K54" s="160"/>
      <c r="L54" s="160"/>
      <c r="M54" s="160"/>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53"/>
      <c r="AR54" s="469" t="str">
        <f t="shared" si="10"/>
        <v/>
      </c>
    </row>
    <row r="55" spans="2:44" ht="66.75" customHeight="1">
      <c r="B55" s="154"/>
      <c r="C55" s="154"/>
      <c r="D55" s="154"/>
      <c r="E55" s="159"/>
      <c r="F55" s="160"/>
      <c r="G55" s="160"/>
      <c r="H55" s="160"/>
      <c r="I55" s="160"/>
      <c r="J55" s="160"/>
      <c r="K55" s="160"/>
      <c r="L55" s="160"/>
      <c r="M55" s="160"/>
      <c r="N55" s="159"/>
      <c r="O55" s="159"/>
      <c r="P55" s="159"/>
      <c r="Q55" s="159"/>
      <c r="R55" s="160"/>
      <c r="S55" s="160"/>
      <c r="T55" s="159"/>
      <c r="U55" s="147"/>
      <c r="V55" s="148"/>
      <c r="W55" s="149"/>
      <c r="X55" s="149"/>
      <c r="Y55" s="149"/>
      <c r="Z55" s="149"/>
      <c r="AA55" s="150"/>
      <c r="AB55" s="151"/>
      <c r="AC55" s="152"/>
      <c r="AD55" s="155"/>
      <c r="AE55" s="155"/>
      <c r="AF55" s="155"/>
      <c r="AG55" s="155"/>
      <c r="AH55" s="155"/>
      <c r="AI55" s="153"/>
    </row>
  </sheetData>
  <mergeCells count="10">
    <mergeCell ref="V2:V4"/>
    <mergeCell ref="W2:Z2"/>
    <mergeCell ref="AA2:AA4"/>
    <mergeCell ref="W3:X3"/>
    <mergeCell ref="Y3:Z3"/>
    <mergeCell ref="B2:B4"/>
    <mergeCell ref="C2:C4"/>
    <mergeCell ref="D2:D4"/>
    <mergeCell ref="E2:T2"/>
    <mergeCell ref="U2:U4"/>
  </mergeCells>
  <pageMargins left="0.7" right="0.7" top="0.75" bottom="0.75" header="0.3" footer="0.3"/>
  <pageSetup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DL55"/>
  <sheetViews>
    <sheetView zoomScale="80" zoomScaleNormal="80" workbookViewId="0">
      <pane xSplit="4" ySplit="4" topLeftCell="E5" activePane="bottomRight" state="frozen"/>
      <selection pane="topRight" activeCell="E1" sqref="E1"/>
      <selection pane="bottomLeft" activeCell="A5" sqref="A5"/>
      <selection pane="bottomRight" activeCell="H6" sqref="H6"/>
    </sheetView>
  </sheetViews>
  <sheetFormatPr defaultColWidth="0" defaultRowHeight="15"/>
  <cols>
    <col min="1" max="1" width="23.42578125" style="171" customWidth="1"/>
    <col min="2" max="2" width="4.42578125" style="137" customWidth="1"/>
    <col min="3" max="3" width="6.42578125" style="137" customWidth="1"/>
    <col min="4" max="4" width="28.7109375" style="137" customWidth="1"/>
    <col min="5" max="9" width="5.42578125" style="137" customWidth="1"/>
    <col min="10" max="20" width="5.42578125" style="137" hidden="1" customWidth="1"/>
    <col min="21" max="23" width="5.42578125" style="137" customWidth="1"/>
    <col min="24" max="24" width="11.7109375" style="137" customWidth="1"/>
    <col min="25" max="25" width="5.42578125" style="137" customWidth="1"/>
    <col min="26" max="26" width="12.42578125" style="137" customWidth="1"/>
    <col min="27" max="27" width="100.7109375" style="137" customWidth="1"/>
    <col min="28" max="28" width="35.85546875" style="137" customWidth="1"/>
    <col min="29" max="29" width="5" style="137" hidden="1" customWidth="1"/>
    <col min="30" max="30" width="4.7109375" style="137" hidden="1" customWidth="1"/>
    <col min="31" max="31" width="5.140625" style="137" hidden="1" customWidth="1"/>
    <col min="32" max="37" width="5" style="137" hidden="1" customWidth="1"/>
    <col min="38" max="38" width="4.85546875" style="137" hidden="1" customWidth="1"/>
    <col min="39" max="42" width="5" style="137" hidden="1" customWidth="1"/>
    <col min="43" max="44" width="5" style="137" customWidth="1"/>
    <col min="45" max="45" width="5" style="137" hidden="1" customWidth="1"/>
    <col min="46" max="46" width="6.28515625" style="137" hidden="1" customWidth="1"/>
    <col min="47" max="47" width="7.7109375" style="137" hidden="1" customWidth="1"/>
    <col min="48" max="48" width="5" style="137" customWidth="1"/>
    <col min="49" max="54" width="5" style="137" hidden="1" customWidth="1"/>
    <col min="55" max="55" width="84.42578125" style="137" hidden="1" customWidth="1"/>
    <col min="56" max="56" width="29.85546875" style="137" hidden="1" customWidth="1"/>
    <col min="57" max="70" width="10.7109375" style="137" hidden="1" customWidth="1"/>
    <col min="71" max="75" width="5" style="137" hidden="1" customWidth="1"/>
    <col min="76" max="76" width="4.85546875" style="137" hidden="1" customWidth="1"/>
    <col min="77" max="82" width="5" style="137" hidden="1" customWidth="1"/>
    <col min="83" max="84" width="0" style="137" hidden="1" customWidth="1"/>
    <col min="85" max="90" width="5" style="137" hidden="1" customWidth="1"/>
    <col min="91" max="91" width="84.42578125" style="137" hidden="1" customWidth="1"/>
    <col min="92" max="92" width="29.85546875" style="137" hidden="1" customWidth="1"/>
    <col min="93" max="116" width="10.7109375" style="137" hidden="1" customWidth="1"/>
    <col min="117" max="16384" width="9.140625" style="137" hidden="1"/>
  </cols>
  <sheetData>
    <row r="1" spans="1:54" s="512" customFormat="1" ht="45.75" customHeight="1">
      <c r="B1" s="513" t="str">
        <f>KKM!X7&amp;" (KETRAMPILAN)"</f>
        <v>BAHASA dan SASTRA SUNDA (KETRAMPILAN)</v>
      </c>
      <c r="C1" s="513"/>
      <c r="D1" s="513"/>
      <c r="E1" s="513"/>
      <c r="F1" s="513"/>
      <c r="G1" s="513"/>
      <c r="H1" s="513"/>
      <c r="I1" s="513"/>
      <c r="J1" s="513"/>
      <c r="K1" s="513"/>
      <c r="L1" s="513"/>
      <c r="M1" s="513"/>
      <c r="N1" s="513"/>
      <c r="O1" s="513"/>
      <c r="P1" s="513"/>
      <c r="Q1" s="513"/>
      <c r="R1" s="513"/>
      <c r="S1" s="513"/>
      <c r="T1" s="513"/>
      <c r="U1" s="513"/>
      <c r="V1" s="513"/>
      <c r="W1" s="513"/>
      <c r="X1" s="513"/>
      <c r="Y1" s="513"/>
      <c r="Z1" s="513"/>
      <c r="AA1" s="513"/>
      <c r="AB1" s="513"/>
      <c r="AC1" s="513"/>
      <c r="AD1" s="513"/>
      <c r="AE1" s="513"/>
      <c r="AF1" s="513"/>
      <c r="AG1" s="513"/>
      <c r="AH1" s="513"/>
      <c r="AI1" s="513"/>
      <c r="AJ1" s="513"/>
      <c r="AK1" s="513"/>
      <c r="AL1" s="513"/>
      <c r="AM1" s="513"/>
      <c r="AN1" s="513"/>
      <c r="AO1" s="513"/>
      <c r="AP1" s="513"/>
      <c r="AQ1" s="513"/>
      <c r="AR1" s="513"/>
      <c r="AS1" s="513"/>
      <c r="AT1" s="513"/>
      <c r="AU1" s="513"/>
      <c r="AV1" s="513"/>
      <c r="AW1" s="513"/>
      <c r="AX1" s="513"/>
      <c r="AY1" s="513"/>
      <c r="AZ1" s="513"/>
      <c r="BA1" s="513"/>
      <c r="BB1" s="513"/>
    </row>
    <row r="2" spans="1:54"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c r="AT2" s="502">
        <f>DEPAN!$E$23</f>
        <v>43</v>
      </c>
      <c r="AU2" s="502"/>
    </row>
    <row r="3" spans="1:54" ht="94.5" customHeight="1">
      <c r="B3" s="716"/>
      <c r="C3" s="717"/>
      <c r="D3" s="718"/>
      <c r="E3" s="408" t="str">
        <f>'KI-KD'!$F117</f>
        <v>melantunkan dan menceritakan isi kawih tentang bangga sebagai bangsa Indonesia</v>
      </c>
      <c r="F3" s="408" t="str">
        <f>'KI-KD'!$F118</f>
        <v xml:space="preserve">membacakan sajak tentang menjaga kelestarian lingkungan dengan lafal, intonasi, dan ekspresi yang benar
</v>
      </c>
      <c r="G3" s="408" t="str">
        <f>'KI-KD'!$F119</f>
        <v>memahami teks eksposisisederhana tentang makanan sehat dan bergizi (makanan tradisional Sunda</v>
      </c>
      <c r="H3" s="408">
        <f>'KI-KD'!$F120</f>
        <v>0</v>
      </c>
      <c r="I3" s="408">
        <f>'KI-KD'!$F121</f>
        <v>0</v>
      </c>
      <c r="J3" s="425"/>
      <c r="K3" s="425"/>
      <c r="L3" s="425"/>
      <c r="M3" s="408"/>
      <c r="N3" s="138"/>
      <c r="O3" s="138"/>
      <c r="P3" s="138"/>
      <c r="Q3" s="138"/>
      <c r="R3" s="138"/>
      <c r="S3" s="138"/>
      <c r="T3" s="138"/>
      <c r="U3" s="720"/>
      <c r="V3" s="721"/>
      <c r="W3" s="712" t="s">
        <v>267</v>
      </c>
      <c r="X3" s="713"/>
      <c r="Y3" s="714" t="s">
        <v>268</v>
      </c>
      <c r="Z3" s="715"/>
      <c r="AA3" s="679"/>
      <c r="AB3" s="2"/>
      <c r="AC3" s="2"/>
      <c r="AD3" s="2"/>
      <c r="AE3" s="2"/>
      <c r="AF3" s="2"/>
      <c r="AG3" s="2"/>
      <c r="AH3" s="253"/>
      <c r="AT3" s="469">
        <f>AT4-AT5</f>
        <v>43</v>
      </c>
      <c r="AU3" s="469"/>
    </row>
    <row r="4" spans="1:54" s="141" customFormat="1" ht="25.5" customHeight="1">
      <c r="A4" s="514"/>
      <c r="B4" s="716"/>
      <c r="C4" s="717"/>
      <c r="D4" s="718"/>
      <c r="E4" s="140" t="str">
        <f>'KI-KD'!$E117</f>
        <v>4.5</v>
      </c>
      <c r="F4" s="140" t="str">
        <f>'KI-KD'!$E118</f>
        <v>4.6</v>
      </c>
      <c r="G4" s="140" t="str">
        <f>'KI-KD'!$E119</f>
        <v>4.7</v>
      </c>
      <c r="H4" s="140">
        <f>'KI-KD'!$E120</f>
        <v>0</v>
      </c>
      <c r="I4" s="140">
        <f>'KI-KD'!$E121</f>
        <v>0</v>
      </c>
      <c r="J4" s="140"/>
      <c r="K4" s="140"/>
      <c r="L4" s="140"/>
      <c r="M4" s="140"/>
      <c r="N4" s="140"/>
      <c r="O4" s="140"/>
      <c r="P4" s="140"/>
      <c r="Q4" s="140"/>
      <c r="R4" s="140"/>
      <c r="S4" s="140"/>
      <c r="T4" s="140"/>
      <c r="U4" s="720"/>
      <c r="V4" s="721"/>
      <c r="W4" s="248" t="s">
        <v>269</v>
      </c>
      <c r="X4" s="249" t="s">
        <v>3</v>
      </c>
      <c r="Y4" s="250" t="s">
        <v>269</v>
      </c>
      <c r="Z4" s="251" t="s">
        <v>3</v>
      </c>
      <c r="AA4" s="680"/>
      <c r="AB4" s="2"/>
      <c r="AC4" s="254" t="s">
        <v>270</v>
      </c>
      <c r="AD4" s="254" t="s">
        <v>271</v>
      </c>
      <c r="AE4" s="254" t="s">
        <v>272</v>
      </c>
      <c r="AF4" s="254" t="s">
        <v>273</v>
      </c>
      <c r="AG4" s="255" t="s">
        <v>266</v>
      </c>
      <c r="AH4" s="252"/>
      <c r="AT4" s="141">
        <v>50</v>
      </c>
    </row>
    <row r="5" spans="1:54" ht="63.75" customHeight="1">
      <c r="B5" s="142">
        <v>1</v>
      </c>
      <c r="C5" s="143" t="str">
        <f>SISWA!B6</f>
        <v>1718250040305</v>
      </c>
      <c r="D5" s="144" t="str">
        <f>SISWA!E6</f>
        <v>YAHYA</v>
      </c>
      <c r="E5" s="159">
        <v>85</v>
      </c>
      <c r="F5" s="159">
        <v>85</v>
      </c>
      <c r="G5" s="160">
        <v>85</v>
      </c>
      <c r="H5" s="159"/>
      <c r="I5" s="159"/>
      <c r="J5" s="159"/>
      <c r="K5" s="159"/>
      <c r="L5" s="159"/>
      <c r="M5" s="160"/>
      <c r="N5" s="159"/>
      <c r="O5" s="159"/>
      <c r="P5" s="159"/>
      <c r="Q5" s="159"/>
      <c r="R5" s="160"/>
      <c r="S5" s="160"/>
      <c r="T5" s="159"/>
      <c r="U5" s="354">
        <f>ROUND((AVERAGE(E5:T5)),0)</f>
        <v>85</v>
      </c>
      <c r="V5" s="355" t="str">
        <f>IF(U5&gt;KKM!$G$10,"A",IF(U5&gt;KKM!$H$10,"B",IF(U5&gt;=KKM!$I$10,"C","D")))</f>
        <v>B</v>
      </c>
      <c r="W5" s="356">
        <f t="shared" ref="W5:W54" si="0">MAX(E5:T5)</f>
        <v>85</v>
      </c>
      <c r="X5" s="361" t="str">
        <f>IF(W5&gt;KKM!$G$10," sangat baik ",IF(W5&gt;KKM!$H$10," baik ",IF(W5&gt;=KKM!$I$10," cukup baik "," perlu bimbingan ")))</f>
        <v xml:space="preserve"> baik </v>
      </c>
      <c r="Y5" s="357">
        <f t="shared" ref="Y5:Y54" si="1">MIN(E5:T5)</f>
        <v>85</v>
      </c>
      <c r="Z5" s="361" t="str">
        <f>IF(Y5&gt;KKM!$G$10," sangat baik ",IF(Y5&gt;KKM!$H$10," baik ",IF(Y5&gt;=KKM!$I$10," cukup baik "," perlu bimbingan ")))</f>
        <v xml:space="preserve"> baik </v>
      </c>
      <c r="AA5" s="353" t="str">
        <f>IFERROR(AH5," ")</f>
        <v>YAHYA baik  dalam melantunkan dan menceritakan isi kawih tentang bangga sebagai bangsa Indonesia</v>
      </c>
      <c r="AB5" s="256"/>
      <c r="AC5" s="257" t="str">
        <f t="shared" ref="AC5:AC54" si="2">X5&amp;" dalam "&amp;INDEX($E$3:$T$3,MATCH(W5,$E5:$T5,0))</f>
        <v xml:space="preserve"> baik  dalam melantunkan dan menceritakan isi kawih tentang bangga sebagai bangsa Indonesia</v>
      </c>
      <c r="AD5" s="257" t="str">
        <f t="shared" ref="AD5:AD54" si="3">Z5&amp;" dalam "&amp;INDEX($E$3:$T$3,MATCH(Y5,$E5:$T5,0))</f>
        <v xml:space="preserve"> baik  dalam melantunkan dan menceritakan isi kawih tentang bangga sebagai bangsa Indonesia</v>
      </c>
      <c r="AE5" s="257" t="str">
        <f>AC5&amp;", dan "&amp;AD5</f>
        <v xml:space="preserve"> baik  dalam melantunkan dan menceritakan isi kawih tentang bangga sebagai bangsa Indonesia, dan  baik  dalam melantunkan dan menceritakan isi kawih tentang bangga sebagai bangsa Indonesia</v>
      </c>
      <c r="AF5" s="257" t="str">
        <f>IF(AC5=AD5,AC5," ")</f>
        <v xml:space="preserve"> baik  dalam melantunkan dan menceritakan isi kawih tentang bangga sebagai bangsa Indonesia</v>
      </c>
      <c r="AG5" s="258" t="str">
        <f>IF(AF5=" ",AE5,AF5)</f>
        <v xml:space="preserve"> baik  dalam melantunkan dan menceritakan isi kawih tentang bangga sebagai bangsa Indonesia</v>
      </c>
      <c r="AH5" s="252" t="str">
        <f>CONCATENATE(D5,AG5)</f>
        <v>YAHYA baik  dalam melantunkan dan menceritakan isi kawih tentang bangga sebagai bangsa Indonesia</v>
      </c>
      <c r="AI5" s="153"/>
      <c r="AS5" s="469">
        <f>IFERROR(U5,"")</f>
        <v>85</v>
      </c>
      <c r="AT5" s="469">
        <f>COUNTBLANK(AS5:AS54)</f>
        <v>7</v>
      </c>
      <c r="AU5" s="469"/>
    </row>
    <row r="6" spans="1:54" ht="63.75" customHeight="1">
      <c r="B6" s="142">
        <v>2</v>
      </c>
      <c r="C6" s="143" t="str">
        <f>SISWA!B7</f>
        <v>1718250040306</v>
      </c>
      <c r="D6" s="144" t="str">
        <f>SISWA!E7</f>
        <v>ADHWA</v>
      </c>
      <c r="E6" s="159">
        <v>82</v>
      </c>
      <c r="F6" s="160">
        <v>82</v>
      </c>
      <c r="G6" s="160">
        <v>82</v>
      </c>
      <c r="H6" s="160" t="s">
        <v>766</v>
      </c>
      <c r="I6" s="160"/>
      <c r="J6" s="160"/>
      <c r="K6" s="160"/>
      <c r="L6" s="160"/>
      <c r="M6" s="160"/>
      <c r="N6" s="159"/>
      <c r="O6" s="159"/>
      <c r="P6" s="159"/>
      <c r="Q6" s="159"/>
      <c r="R6" s="160"/>
      <c r="S6" s="160"/>
      <c r="T6" s="159"/>
      <c r="U6" s="354">
        <f t="shared" ref="U6:U54" si="4">ROUND((AVERAGE(E6:T6)),0)</f>
        <v>82</v>
      </c>
      <c r="V6" s="355" t="str">
        <f>IF(U6&gt;KKM!$G$10,"A",IF(U6&gt;KKM!$H$10,"B",IF(U6&gt;=KKM!$I$10,"C","D")))</f>
        <v>B</v>
      </c>
      <c r="W6" s="356">
        <f t="shared" si="0"/>
        <v>82</v>
      </c>
      <c r="X6" s="361" t="str">
        <f>IF(W6&gt;KKM!$G$10," sangat baik ",IF(W6&gt;KKM!$H$10," baik ",IF(W6&gt;=KKM!$I$10," cukup baik "," perlu bimbingan ")))</f>
        <v xml:space="preserve"> baik </v>
      </c>
      <c r="Y6" s="357">
        <f t="shared" si="1"/>
        <v>82</v>
      </c>
      <c r="Z6" s="361" t="str">
        <f>IF(Y6&gt;KKM!$G$10," sangat baik ",IF(Y6&gt;KKM!$H$10," baik ",IF(Y6&gt;=KKM!$I$10," cukup baik "," perlu bimbingan ")))</f>
        <v xml:space="preserve"> baik </v>
      </c>
      <c r="AA6" s="353" t="str">
        <f t="shared" ref="AA6:AA54" si="5">IFERROR(AH6," ")</f>
        <v>ADHWA baik  dalam melantunkan dan menceritakan isi kawih tentang bangga sebagai bangsa Indonesia</v>
      </c>
      <c r="AB6" s="256"/>
      <c r="AC6" s="257" t="str">
        <f t="shared" si="2"/>
        <v xml:space="preserve"> baik  dalam melantunkan dan menceritakan isi kawih tentang bangga sebagai bangsa Indonesia</v>
      </c>
      <c r="AD6" s="257" t="str">
        <f t="shared" si="3"/>
        <v xml:space="preserve"> baik  dalam melantunkan dan menceritakan isi kawih tentang bangga sebagai bangsa Indonesia</v>
      </c>
      <c r="AE6" s="257" t="str">
        <f t="shared" ref="AE6:AE54" si="6">AC6&amp;", dan "&amp;AD6</f>
        <v xml:space="preserve"> baik  dalam melantunkan dan menceritakan isi kawih tentang bangga sebagai bangsa Indonesia, dan  baik  dalam melantunkan dan menceritakan isi kawih tentang bangga sebagai bangsa Indonesia</v>
      </c>
      <c r="AF6" s="257" t="str">
        <f t="shared" ref="AF6:AF54" si="7">IF(AC6=AD6,AC6," ")</f>
        <v xml:space="preserve"> baik  dalam melantunkan dan menceritakan isi kawih tentang bangga sebagai bangsa Indonesia</v>
      </c>
      <c r="AG6" s="258" t="str">
        <f t="shared" ref="AG6:AG54" si="8">IF(AF6=" ",AE6,AF6)</f>
        <v xml:space="preserve"> baik  dalam melantunkan dan menceritakan isi kawih tentang bangga sebagai bangsa Indonesia</v>
      </c>
      <c r="AH6" s="252" t="str">
        <f t="shared" ref="AH6:AH54" si="9">CONCATENATE(D6,AG6)</f>
        <v>ADHWA baik  dalam melantunkan dan menceritakan isi kawih tentang bangga sebagai bangsa Indonesia</v>
      </c>
      <c r="AI6" s="153"/>
      <c r="AS6" s="469">
        <f t="shared" ref="AS6:AS54" si="10">IFERROR(U6,"")</f>
        <v>82</v>
      </c>
      <c r="AT6" s="503">
        <f>IFERROR(AT3/AT2,"0%")</f>
        <v>1</v>
      </c>
      <c r="AU6" s="503">
        <f>AVERAGE('PAI4'!DG7,'PKN4'!AQ6,BIND4!AT6,'MTK4'!AR6,'IPA4'!AT6,'IPS4'!AV6,SBDP4!AS6,PJOK4!AS6,'MLK1-4'!AT6)</f>
        <v>1</v>
      </c>
    </row>
    <row r="7" spans="1:54" ht="63.75" customHeight="1">
      <c r="B7" s="142">
        <v>3</v>
      </c>
      <c r="C7" s="143" t="str">
        <f>SISWA!B8</f>
        <v xml:space="preserve"> 1718250040307</v>
      </c>
      <c r="D7" s="144" t="str">
        <f>SISWA!E8</f>
        <v>ANDHIKA</v>
      </c>
      <c r="E7" s="159">
        <v>74</v>
      </c>
      <c r="F7" s="160">
        <v>74</v>
      </c>
      <c r="G7" s="160">
        <v>74</v>
      </c>
      <c r="H7" s="160"/>
      <c r="I7" s="160"/>
      <c r="J7" s="160"/>
      <c r="K7" s="160"/>
      <c r="L7" s="160"/>
      <c r="M7" s="160"/>
      <c r="N7" s="159"/>
      <c r="O7" s="159"/>
      <c r="P7" s="159"/>
      <c r="Q7" s="159"/>
      <c r="R7" s="160"/>
      <c r="S7" s="160"/>
      <c r="T7" s="159"/>
      <c r="U7" s="354">
        <f t="shared" si="4"/>
        <v>74</v>
      </c>
      <c r="V7" s="355" t="str">
        <f>IF(U7&gt;KKM!$G$10,"A",IF(U7&gt;KKM!$H$10,"B",IF(U7&gt;=KKM!$I$10,"C","D")))</f>
        <v>C</v>
      </c>
      <c r="W7" s="356">
        <f t="shared" si="0"/>
        <v>74</v>
      </c>
      <c r="X7" s="361" t="str">
        <f>IF(W7&gt;KKM!$G$10," sangat baik ",IF(W7&gt;KKM!$H$10," baik ",IF(W7&gt;=KKM!$I$10," cukup baik "," perlu bimbingan ")))</f>
        <v xml:space="preserve"> cukup baik </v>
      </c>
      <c r="Y7" s="357">
        <f t="shared" si="1"/>
        <v>74</v>
      </c>
      <c r="Z7" s="361" t="str">
        <f>IF(Y7&gt;KKM!$G$10," sangat baik ",IF(Y7&gt;KKM!$H$10," baik ",IF(Y7&gt;=KKM!$I$10," cukup baik "," perlu bimbingan ")))</f>
        <v xml:space="preserve"> cukup baik </v>
      </c>
      <c r="AA7" s="353" t="str">
        <f t="shared" si="5"/>
        <v>ANDHIKA cukup baik  dalam melantunkan dan menceritakan isi kawih tentang bangga sebagai bangsa Indonesia</v>
      </c>
      <c r="AB7" s="256"/>
      <c r="AC7" s="257" t="str">
        <f t="shared" si="2"/>
        <v xml:space="preserve"> cukup baik  dalam melantunkan dan menceritakan isi kawih tentang bangga sebagai bangsa Indonesia</v>
      </c>
      <c r="AD7" s="257" t="str">
        <f t="shared" si="3"/>
        <v xml:space="preserve"> cukup baik  dalam melantunkan dan menceritakan isi kawih tentang bangga sebagai bangsa Indonesia</v>
      </c>
      <c r="AE7" s="257" t="str">
        <f t="shared" si="6"/>
        <v xml:space="preserve"> cukup baik  dalam melantunkan dan menceritakan isi kawih tentang bangga sebagai bangsa Indonesia, dan  cukup baik  dalam melantunkan dan menceritakan isi kawih tentang bangga sebagai bangsa Indonesia</v>
      </c>
      <c r="AF7" s="257" t="str">
        <f t="shared" si="7"/>
        <v xml:space="preserve"> cukup baik  dalam melantunkan dan menceritakan isi kawih tentang bangga sebagai bangsa Indonesia</v>
      </c>
      <c r="AG7" s="258" t="str">
        <f t="shared" si="8"/>
        <v xml:space="preserve"> cukup baik  dalam melantunkan dan menceritakan isi kawih tentang bangga sebagai bangsa Indonesia</v>
      </c>
      <c r="AH7" s="252" t="str">
        <f t="shared" si="9"/>
        <v>ANDHIKA cukup baik  dalam melantunkan dan menceritakan isi kawih tentang bangga sebagai bangsa Indonesia</v>
      </c>
      <c r="AI7" s="153"/>
      <c r="AS7" s="469">
        <f t="shared" si="10"/>
        <v>74</v>
      </c>
    </row>
    <row r="8" spans="1:54" ht="63.75" customHeight="1">
      <c r="B8" s="142">
        <v>4</v>
      </c>
      <c r="C8" s="143" t="str">
        <f>SISWA!B9</f>
        <v xml:space="preserve"> 1718250040308</v>
      </c>
      <c r="D8" s="144" t="str">
        <f>SISWA!E9</f>
        <v>ANGGARA</v>
      </c>
      <c r="E8" s="159">
        <v>77</v>
      </c>
      <c r="F8" s="160">
        <v>77</v>
      </c>
      <c r="G8" s="160">
        <v>77</v>
      </c>
      <c r="H8" s="160"/>
      <c r="I8" s="160"/>
      <c r="J8" s="160"/>
      <c r="K8" s="160"/>
      <c r="L8" s="160"/>
      <c r="M8" s="160"/>
      <c r="N8" s="159"/>
      <c r="O8" s="159"/>
      <c r="P8" s="159"/>
      <c r="Q8" s="159"/>
      <c r="R8" s="160"/>
      <c r="S8" s="160"/>
      <c r="T8" s="159"/>
      <c r="U8" s="354">
        <f t="shared" si="4"/>
        <v>77</v>
      </c>
      <c r="V8" s="355" t="str">
        <f>IF(U8&gt;KKM!$G$10,"A",IF(U8&gt;KKM!$H$10,"B",IF(U8&gt;=KKM!$I$10,"C","D")))</f>
        <v>B</v>
      </c>
      <c r="W8" s="356">
        <f t="shared" si="0"/>
        <v>77</v>
      </c>
      <c r="X8" s="361" t="str">
        <f>IF(W8&gt;KKM!$G$10," sangat baik ",IF(W8&gt;KKM!$H$10," baik ",IF(W8&gt;=KKM!$I$10," cukup baik "," perlu bimbingan ")))</f>
        <v xml:space="preserve"> baik </v>
      </c>
      <c r="Y8" s="357">
        <f t="shared" si="1"/>
        <v>77</v>
      </c>
      <c r="Z8" s="361" t="str">
        <f>IF(Y8&gt;KKM!$G$10," sangat baik ",IF(Y8&gt;KKM!$H$10," baik ",IF(Y8&gt;=KKM!$I$10," cukup baik "," perlu bimbingan ")))</f>
        <v xml:space="preserve"> baik </v>
      </c>
      <c r="AA8" s="353" t="str">
        <f t="shared" si="5"/>
        <v>ANGGARA baik  dalam melantunkan dan menceritakan isi kawih tentang bangga sebagai bangsa Indonesia</v>
      </c>
      <c r="AB8" s="256"/>
      <c r="AC8" s="257" t="str">
        <f t="shared" si="2"/>
        <v xml:space="preserve"> baik  dalam melantunkan dan menceritakan isi kawih tentang bangga sebagai bangsa Indonesia</v>
      </c>
      <c r="AD8" s="257" t="str">
        <f t="shared" si="3"/>
        <v xml:space="preserve"> baik  dalam melantunkan dan menceritakan isi kawih tentang bangga sebagai bangsa Indonesia</v>
      </c>
      <c r="AE8" s="257" t="str">
        <f t="shared" si="6"/>
        <v xml:space="preserve"> baik  dalam melantunkan dan menceritakan isi kawih tentang bangga sebagai bangsa Indonesia, dan  baik  dalam melantunkan dan menceritakan isi kawih tentang bangga sebagai bangsa Indonesia</v>
      </c>
      <c r="AF8" s="257" t="str">
        <f t="shared" si="7"/>
        <v xml:space="preserve"> baik  dalam melantunkan dan menceritakan isi kawih tentang bangga sebagai bangsa Indonesia</v>
      </c>
      <c r="AG8" s="258" t="str">
        <f t="shared" si="8"/>
        <v xml:space="preserve"> baik  dalam melantunkan dan menceritakan isi kawih tentang bangga sebagai bangsa Indonesia</v>
      </c>
      <c r="AH8" s="252" t="str">
        <f t="shared" si="9"/>
        <v>ANGGARA baik  dalam melantunkan dan menceritakan isi kawih tentang bangga sebagai bangsa Indonesia</v>
      </c>
      <c r="AI8" s="153"/>
      <c r="AS8" s="469">
        <f t="shared" si="10"/>
        <v>77</v>
      </c>
    </row>
    <row r="9" spans="1:54" ht="63.75" customHeight="1">
      <c r="B9" s="142">
        <v>5</v>
      </c>
      <c r="C9" s="143" t="str">
        <f>SISWA!B10</f>
        <v>1718250040309</v>
      </c>
      <c r="D9" s="144" t="str">
        <f>SISWA!E10</f>
        <v>ARIA</v>
      </c>
      <c r="E9" s="159">
        <v>82</v>
      </c>
      <c r="F9" s="160">
        <v>82</v>
      </c>
      <c r="G9" s="160">
        <v>82</v>
      </c>
      <c r="H9" s="160"/>
      <c r="I9" s="160"/>
      <c r="J9" s="160"/>
      <c r="K9" s="160"/>
      <c r="L9" s="160"/>
      <c r="M9" s="160"/>
      <c r="N9" s="159"/>
      <c r="O9" s="159"/>
      <c r="P9" s="159"/>
      <c r="Q9" s="159"/>
      <c r="R9" s="160"/>
      <c r="S9" s="160"/>
      <c r="T9" s="159"/>
      <c r="U9" s="354">
        <f t="shared" si="4"/>
        <v>82</v>
      </c>
      <c r="V9" s="355" t="str">
        <f>IF(U9&gt;KKM!$G$10,"A",IF(U9&gt;KKM!$H$10,"B",IF(U9&gt;=KKM!$I$10,"C","D")))</f>
        <v>B</v>
      </c>
      <c r="W9" s="356">
        <f t="shared" si="0"/>
        <v>82</v>
      </c>
      <c r="X9" s="361" t="str">
        <f>IF(W9&gt;KKM!$G$10," sangat baik ",IF(W9&gt;KKM!$H$10," baik ",IF(W9&gt;=KKM!$I$10," cukup baik "," perlu bimbingan ")))</f>
        <v xml:space="preserve"> baik </v>
      </c>
      <c r="Y9" s="357">
        <f t="shared" si="1"/>
        <v>82</v>
      </c>
      <c r="Z9" s="361" t="str">
        <f>IF(Y9&gt;KKM!$G$10," sangat baik ",IF(Y9&gt;KKM!$H$10," baik ",IF(Y9&gt;=KKM!$I$10," cukup baik "," perlu bimbingan ")))</f>
        <v xml:space="preserve"> baik </v>
      </c>
      <c r="AA9" s="353" t="str">
        <f t="shared" si="5"/>
        <v>ARIA baik  dalam melantunkan dan menceritakan isi kawih tentang bangga sebagai bangsa Indonesia</v>
      </c>
      <c r="AB9" s="256"/>
      <c r="AC9" s="257" t="str">
        <f t="shared" si="2"/>
        <v xml:space="preserve"> baik  dalam melantunkan dan menceritakan isi kawih tentang bangga sebagai bangsa Indonesia</v>
      </c>
      <c r="AD9" s="257" t="str">
        <f t="shared" si="3"/>
        <v xml:space="preserve"> baik  dalam melantunkan dan menceritakan isi kawih tentang bangga sebagai bangsa Indonesia</v>
      </c>
      <c r="AE9" s="257" t="str">
        <f t="shared" si="6"/>
        <v xml:space="preserve"> baik  dalam melantunkan dan menceritakan isi kawih tentang bangga sebagai bangsa Indonesia, dan  baik  dalam melantunkan dan menceritakan isi kawih tentang bangga sebagai bangsa Indonesia</v>
      </c>
      <c r="AF9" s="257" t="str">
        <f t="shared" si="7"/>
        <v xml:space="preserve"> baik  dalam melantunkan dan menceritakan isi kawih tentang bangga sebagai bangsa Indonesia</v>
      </c>
      <c r="AG9" s="258" t="str">
        <f t="shared" si="8"/>
        <v xml:space="preserve"> baik  dalam melantunkan dan menceritakan isi kawih tentang bangga sebagai bangsa Indonesia</v>
      </c>
      <c r="AH9" s="252" t="str">
        <f t="shared" si="9"/>
        <v>ARIA baik  dalam melantunkan dan menceritakan isi kawih tentang bangga sebagai bangsa Indonesia</v>
      </c>
      <c r="AI9" s="153"/>
      <c r="AS9" s="469">
        <f t="shared" si="10"/>
        <v>82</v>
      </c>
    </row>
    <row r="10" spans="1:54" ht="63.75" customHeight="1">
      <c r="B10" s="142">
        <v>6</v>
      </c>
      <c r="C10" s="143" t="str">
        <f>SISWA!B11</f>
        <v>1718250040310</v>
      </c>
      <c r="D10" s="144" t="str">
        <f>SISWA!E11</f>
        <v>CAHAYA</v>
      </c>
      <c r="E10" s="159">
        <v>71</v>
      </c>
      <c r="F10" s="160">
        <v>71</v>
      </c>
      <c r="G10" s="160">
        <v>71</v>
      </c>
      <c r="H10" s="160"/>
      <c r="I10" s="160"/>
      <c r="J10" s="160"/>
      <c r="K10" s="160"/>
      <c r="L10" s="160"/>
      <c r="M10" s="160"/>
      <c r="N10" s="159"/>
      <c r="O10" s="159"/>
      <c r="P10" s="159"/>
      <c r="Q10" s="159"/>
      <c r="R10" s="160"/>
      <c r="S10" s="160"/>
      <c r="T10" s="159"/>
      <c r="U10" s="354">
        <f t="shared" si="4"/>
        <v>71</v>
      </c>
      <c r="V10" s="355" t="str">
        <f>IF(U10&gt;KKM!$G$10,"A",IF(U10&gt;KKM!$H$10,"B",IF(U10&gt;=KKM!$I$10,"C","D")))</f>
        <v>C</v>
      </c>
      <c r="W10" s="356">
        <f t="shared" si="0"/>
        <v>71</v>
      </c>
      <c r="X10" s="361" t="str">
        <f>IF(W10&gt;KKM!$G$10," sangat baik ",IF(W10&gt;KKM!$H$10," baik ",IF(W10&gt;=KKM!$I$10," cukup baik "," perlu bimbingan ")))</f>
        <v xml:space="preserve"> cukup baik </v>
      </c>
      <c r="Y10" s="357">
        <f t="shared" si="1"/>
        <v>71</v>
      </c>
      <c r="Z10" s="361" t="str">
        <f>IF(Y10&gt;KKM!$G$10," sangat baik ",IF(Y10&gt;KKM!$H$10," baik ",IF(Y10&gt;=KKM!$I$10," cukup baik "," perlu bimbingan ")))</f>
        <v xml:space="preserve"> cukup baik </v>
      </c>
      <c r="AA10" s="353" t="str">
        <f t="shared" si="5"/>
        <v>CAHAYA cukup baik  dalam melantunkan dan menceritakan isi kawih tentang bangga sebagai bangsa Indonesia</v>
      </c>
      <c r="AB10" s="256"/>
      <c r="AC10" s="257" t="str">
        <f t="shared" si="2"/>
        <v xml:space="preserve"> cukup baik  dalam melantunkan dan menceritakan isi kawih tentang bangga sebagai bangsa Indonesia</v>
      </c>
      <c r="AD10" s="257" t="str">
        <f t="shared" si="3"/>
        <v xml:space="preserve"> cukup baik  dalam melantunkan dan menceritakan isi kawih tentang bangga sebagai bangsa Indonesia</v>
      </c>
      <c r="AE10" s="257" t="str">
        <f t="shared" si="6"/>
        <v xml:space="preserve"> cukup baik  dalam melantunkan dan menceritakan isi kawih tentang bangga sebagai bangsa Indonesia, dan  cukup baik  dalam melantunkan dan menceritakan isi kawih tentang bangga sebagai bangsa Indonesia</v>
      </c>
      <c r="AF10" s="257" t="str">
        <f t="shared" si="7"/>
        <v xml:space="preserve"> cukup baik  dalam melantunkan dan menceritakan isi kawih tentang bangga sebagai bangsa Indonesia</v>
      </c>
      <c r="AG10" s="258" t="str">
        <f t="shared" si="8"/>
        <v xml:space="preserve"> cukup baik  dalam melantunkan dan menceritakan isi kawih tentang bangga sebagai bangsa Indonesia</v>
      </c>
      <c r="AH10" s="252" t="str">
        <f t="shared" si="9"/>
        <v>CAHAYA cukup baik  dalam melantunkan dan menceritakan isi kawih tentang bangga sebagai bangsa Indonesia</v>
      </c>
      <c r="AI10" s="153"/>
      <c r="AS10" s="469">
        <f t="shared" si="10"/>
        <v>71</v>
      </c>
    </row>
    <row r="11" spans="1:54" ht="63.75" customHeight="1">
      <c r="B11" s="142">
        <v>7</v>
      </c>
      <c r="C11" s="143" t="str">
        <f>SISWA!B12</f>
        <v>1718250040311</v>
      </c>
      <c r="D11" s="144" t="str">
        <f>SISWA!E12</f>
        <v>CALISTA</v>
      </c>
      <c r="E11" s="159">
        <v>80</v>
      </c>
      <c r="F11" s="160">
        <v>80</v>
      </c>
      <c r="G11" s="160">
        <v>80</v>
      </c>
      <c r="H11" s="160"/>
      <c r="I11" s="160"/>
      <c r="J11" s="160"/>
      <c r="K11" s="160"/>
      <c r="L11" s="160"/>
      <c r="M11" s="160"/>
      <c r="N11" s="159"/>
      <c r="O11" s="159"/>
      <c r="P11" s="159"/>
      <c r="Q11" s="159"/>
      <c r="R11" s="160"/>
      <c r="S11" s="160"/>
      <c r="T11" s="159"/>
      <c r="U11" s="354">
        <f t="shared" si="4"/>
        <v>80</v>
      </c>
      <c r="V11" s="355" t="str">
        <f>IF(U11&gt;KKM!$G$10,"A",IF(U11&gt;KKM!$H$10,"B",IF(U11&gt;=KKM!$I$10,"C","D")))</f>
        <v>B</v>
      </c>
      <c r="W11" s="356">
        <f t="shared" si="0"/>
        <v>80</v>
      </c>
      <c r="X11" s="361" t="str">
        <f>IF(W11&gt;KKM!$G$10," sangat baik ",IF(W11&gt;KKM!$H$10," baik ",IF(W11&gt;=KKM!$I$10," cukup baik "," perlu bimbingan ")))</f>
        <v xml:space="preserve"> baik </v>
      </c>
      <c r="Y11" s="357">
        <f t="shared" si="1"/>
        <v>80</v>
      </c>
      <c r="Z11" s="361" t="str">
        <f>IF(Y11&gt;KKM!$G$10," sangat baik ",IF(Y11&gt;KKM!$H$10," baik ",IF(Y11&gt;=KKM!$I$10," cukup baik "," perlu bimbingan ")))</f>
        <v xml:space="preserve"> baik </v>
      </c>
      <c r="AA11" s="353" t="str">
        <f t="shared" si="5"/>
        <v>CALISTA baik  dalam melantunkan dan menceritakan isi kawih tentang bangga sebagai bangsa Indonesia</v>
      </c>
      <c r="AB11" s="256"/>
      <c r="AC11" s="257" t="str">
        <f t="shared" si="2"/>
        <v xml:space="preserve"> baik  dalam melantunkan dan menceritakan isi kawih tentang bangga sebagai bangsa Indonesia</v>
      </c>
      <c r="AD11" s="257" t="str">
        <f t="shared" si="3"/>
        <v xml:space="preserve"> baik  dalam melantunkan dan menceritakan isi kawih tentang bangga sebagai bangsa Indonesia</v>
      </c>
      <c r="AE11" s="257" t="str">
        <f t="shared" si="6"/>
        <v xml:space="preserve"> baik  dalam melantunkan dan menceritakan isi kawih tentang bangga sebagai bangsa Indonesia, dan  baik  dalam melantunkan dan menceritakan isi kawih tentang bangga sebagai bangsa Indonesia</v>
      </c>
      <c r="AF11" s="257" t="str">
        <f t="shared" si="7"/>
        <v xml:space="preserve"> baik  dalam melantunkan dan menceritakan isi kawih tentang bangga sebagai bangsa Indonesia</v>
      </c>
      <c r="AG11" s="258" t="str">
        <f t="shared" si="8"/>
        <v xml:space="preserve"> baik  dalam melantunkan dan menceritakan isi kawih tentang bangga sebagai bangsa Indonesia</v>
      </c>
      <c r="AH11" s="252" t="str">
        <f t="shared" si="9"/>
        <v>CALISTA baik  dalam melantunkan dan menceritakan isi kawih tentang bangga sebagai bangsa Indonesia</v>
      </c>
      <c r="AI11" s="153"/>
      <c r="AS11" s="469">
        <f t="shared" si="10"/>
        <v>80</v>
      </c>
    </row>
    <row r="12" spans="1:54" ht="63.75" customHeight="1">
      <c r="B12" s="142">
        <v>8</v>
      </c>
      <c r="C12" s="143" t="str">
        <f>SISWA!B13</f>
        <v>1718250040312</v>
      </c>
      <c r="D12" s="144" t="str">
        <f>SISWA!E13</f>
        <v>CARISSA</v>
      </c>
      <c r="E12" s="159">
        <v>88</v>
      </c>
      <c r="F12" s="160">
        <v>88</v>
      </c>
      <c r="G12" s="160">
        <v>88</v>
      </c>
      <c r="H12" s="160"/>
      <c r="I12" s="160"/>
      <c r="J12" s="160"/>
      <c r="K12" s="160"/>
      <c r="L12" s="160"/>
      <c r="M12" s="160"/>
      <c r="N12" s="159"/>
      <c r="O12" s="159"/>
      <c r="P12" s="159"/>
      <c r="Q12" s="159"/>
      <c r="R12" s="160"/>
      <c r="S12" s="160"/>
      <c r="T12" s="159"/>
      <c r="U12" s="354">
        <f t="shared" si="4"/>
        <v>88</v>
      </c>
      <c r="V12" s="355" t="str">
        <f>IF(U12&gt;KKM!$G$10,"A",IF(U12&gt;KKM!$H$10,"B",IF(U12&gt;=KKM!$I$10,"C","D")))</f>
        <v>A</v>
      </c>
      <c r="W12" s="356">
        <f t="shared" si="0"/>
        <v>88</v>
      </c>
      <c r="X12" s="361" t="str">
        <f>IF(W12&gt;KKM!$G$10," sangat baik ",IF(W12&gt;KKM!$H$10," baik ",IF(W12&gt;=KKM!$I$10," cukup baik "," perlu bimbingan ")))</f>
        <v xml:space="preserve"> sangat baik </v>
      </c>
      <c r="Y12" s="357">
        <f t="shared" si="1"/>
        <v>88</v>
      </c>
      <c r="Z12" s="361" t="str">
        <f>IF(Y12&gt;KKM!$G$10," sangat baik ",IF(Y12&gt;KKM!$H$10," baik ",IF(Y12&gt;=KKM!$I$10," cukup baik "," perlu bimbingan ")))</f>
        <v xml:space="preserve"> sangat baik </v>
      </c>
      <c r="AA12" s="353" t="str">
        <f t="shared" si="5"/>
        <v>CARISSA sangat baik  dalam melantunkan dan menceritakan isi kawih tentang bangga sebagai bangsa Indonesia</v>
      </c>
      <c r="AB12" s="256"/>
      <c r="AC12" s="257" t="str">
        <f t="shared" si="2"/>
        <v xml:space="preserve"> sangat baik  dalam melantunkan dan menceritakan isi kawih tentang bangga sebagai bangsa Indonesia</v>
      </c>
      <c r="AD12" s="257" t="str">
        <f t="shared" si="3"/>
        <v xml:space="preserve"> sangat baik  dalam melantunkan dan menceritakan isi kawih tentang bangga sebagai bangsa Indonesia</v>
      </c>
      <c r="AE12" s="257" t="str">
        <f t="shared" si="6"/>
        <v xml:space="preserve"> sangat baik  dalam melantunkan dan menceritakan isi kawih tentang bangga sebagai bangsa Indonesia, dan  sangat baik  dalam melantunkan dan menceritakan isi kawih tentang bangga sebagai bangsa Indonesia</v>
      </c>
      <c r="AF12" s="257" t="str">
        <f t="shared" si="7"/>
        <v xml:space="preserve"> sangat baik  dalam melantunkan dan menceritakan isi kawih tentang bangga sebagai bangsa Indonesia</v>
      </c>
      <c r="AG12" s="258" t="str">
        <f t="shared" si="8"/>
        <v xml:space="preserve"> sangat baik  dalam melantunkan dan menceritakan isi kawih tentang bangga sebagai bangsa Indonesia</v>
      </c>
      <c r="AH12" s="252" t="str">
        <f t="shared" si="9"/>
        <v>CARISSA sangat baik  dalam melantunkan dan menceritakan isi kawih tentang bangga sebagai bangsa Indonesia</v>
      </c>
      <c r="AI12" s="153"/>
      <c r="AS12" s="469">
        <f t="shared" si="10"/>
        <v>88</v>
      </c>
    </row>
    <row r="13" spans="1:54" ht="63.75" customHeight="1">
      <c r="B13" s="142">
        <v>9</v>
      </c>
      <c r="C13" s="143" t="str">
        <f>SISWA!B14</f>
        <v>1718250040313</v>
      </c>
      <c r="D13" s="144" t="str">
        <f>SISWA!E14</f>
        <v>CHAIDAR</v>
      </c>
      <c r="E13" s="159">
        <v>82</v>
      </c>
      <c r="F13" s="160">
        <v>82</v>
      </c>
      <c r="G13" s="160">
        <v>82</v>
      </c>
      <c r="H13" s="160"/>
      <c r="I13" s="160"/>
      <c r="J13" s="160"/>
      <c r="K13" s="160"/>
      <c r="L13" s="160"/>
      <c r="M13" s="160"/>
      <c r="N13" s="159"/>
      <c r="O13" s="159"/>
      <c r="P13" s="159"/>
      <c r="Q13" s="159"/>
      <c r="R13" s="160"/>
      <c r="S13" s="160"/>
      <c r="T13" s="159"/>
      <c r="U13" s="354">
        <f t="shared" si="4"/>
        <v>82</v>
      </c>
      <c r="V13" s="355" t="str">
        <f>IF(U13&gt;KKM!$G$10,"A",IF(U13&gt;KKM!$H$10,"B",IF(U13&gt;=KKM!$I$10,"C","D")))</f>
        <v>B</v>
      </c>
      <c r="W13" s="356">
        <f t="shared" si="0"/>
        <v>82</v>
      </c>
      <c r="X13" s="361" t="str">
        <f>IF(W13&gt;KKM!$G$10," sangat baik ",IF(W13&gt;KKM!$H$10," baik ",IF(W13&gt;=KKM!$I$10," cukup baik "," perlu bimbingan ")))</f>
        <v xml:space="preserve"> baik </v>
      </c>
      <c r="Y13" s="357">
        <f t="shared" si="1"/>
        <v>82</v>
      </c>
      <c r="Z13" s="361" t="str">
        <f>IF(Y13&gt;KKM!$G$10," sangat baik ",IF(Y13&gt;KKM!$H$10," baik ",IF(Y13&gt;=KKM!$I$10," cukup baik "," perlu bimbingan ")))</f>
        <v xml:space="preserve"> baik </v>
      </c>
      <c r="AA13" s="353" t="str">
        <f t="shared" si="5"/>
        <v>CHAIDAR baik  dalam melantunkan dan menceritakan isi kawih tentang bangga sebagai bangsa Indonesia</v>
      </c>
      <c r="AB13" s="256"/>
      <c r="AC13" s="257" t="str">
        <f t="shared" si="2"/>
        <v xml:space="preserve"> baik  dalam melantunkan dan menceritakan isi kawih tentang bangga sebagai bangsa Indonesia</v>
      </c>
      <c r="AD13" s="257" t="str">
        <f t="shared" si="3"/>
        <v xml:space="preserve"> baik  dalam melantunkan dan menceritakan isi kawih tentang bangga sebagai bangsa Indonesia</v>
      </c>
      <c r="AE13" s="257" t="str">
        <f t="shared" si="6"/>
        <v xml:space="preserve"> baik  dalam melantunkan dan menceritakan isi kawih tentang bangga sebagai bangsa Indonesia, dan  baik  dalam melantunkan dan menceritakan isi kawih tentang bangga sebagai bangsa Indonesia</v>
      </c>
      <c r="AF13" s="257" t="str">
        <f t="shared" si="7"/>
        <v xml:space="preserve"> baik  dalam melantunkan dan menceritakan isi kawih tentang bangga sebagai bangsa Indonesia</v>
      </c>
      <c r="AG13" s="258" t="str">
        <f t="shared" si="8"/>
        <v xml:space="preserve"> baik  dalam melantunkan dan menceritakan isi kawih tentang bangga sebagai bangsa Indonesia</v>
      </c>
      <c r="AH13" s="252" t="str">
        <f t="shared" si="9"/>
        <v>CHAIDAR baik  dalam melantunkan dan menceritakan isi kawih tentang bangga sebagai bangsa Indonesia</v>
      </c>
      <c r="AI13" s="153"/>
      <c r="AS13" s="469">
        <f t="shared" si="10"/>
        <v>82</v>
      </c>
    </row>
    <row r="14" spans="1:54" ht="63.75" customHeight="1">
      <c r="B14" s="142">
        <v>10</v>
      </c>
      <c r="C14" s="143" t="str">
        <f>SISWA!B15</f>
        <v>1718250040314</v>
      </c>
      <c r="D14" s="144" t="str">
        <f>SISWA!E15</f>
        <v>DAVKA</v>
      </c>
      <c r="E14" s="159">
        <v>77</v>
      </c>
      <c r="F14" s="160">
        <v>77</v>
      </c>
      <c r="G14" s="160">
        <v>77</v>
      </c>
      <c r="H14" s="160"/>
      <c r="I14" s="160"/>
      <c r="J14" s="160"/>
      <c r="K14" s="160"/>
      <c r="L14" s="160"/>
      <c r="M14" s="160"/>
      <c r="N14" s="159"/>
      <c r="O14" s="159"/>
      <c r="P14" s="159"/>
      <c r="Q14" s="159"/>
      <c r="R14" s="160"/>
      <c r="S14" s="160"/>
      <c r="T14" s="159"/>
      <c r="U14" s="354">
        <f t="shared" si="4"/>
        <v>77</v>
      </c>
      <c r="V14" s="355" t="str">
        <f>IF(U14&gt;KKM!$G$10,"A",IF(U14&gt;KKM!$H$10,"B",IF(U14&gt;=KKM!$I$10,"C","D")))</f>
        <v>B</v>
      </c>
      <c r="W14" s="356">
        <f t="shared" si="0"/>
        <v>77</v>
      </c>
      <c r="X14" s="361" t="str">
        <f>IF(W14&gt;KKM!$G$10," sangat baik ",IF(W14&gt;KKM!$H$10," baik ",IF(W14&gt;=KKM!$I$10," cukup baik "," perlu bimbingan ")))</f>
        <v xml:space="preserve"> baik </v>
      </c>
      <c r="Y14" s="357">
        <f t="shared" si="1"/>
        <v>77</v>
      </c>
      <c r="Z14" s="361" t="str">
        <f>IF(Y14&gt;KKM!$G$10," sangat baik ",IF(Y14&gt;KKM!$H$10," baik ",IF(Y14&gt;=KKM!$I$10," cukup baik "," perlu bimbingan ")))</f>
        <v xml:space="preserve"> baik </v>
      </c>
      <c r="AA14" s="353" t="str">
        <f t="shared" si="5"/>
        <v>DAVKA baik  dalam melantunkan dan menceritakan isi kawih tentang bangga sebagai bangsa Indonesia</v>
      </c>
      <c r="AB14" s="256"/>
      <c r="AC14" s="257" t="str">
        <f t="shared" si="2"/>
        <v xml:space="preserve"> baik  dalam melantunkan dan menceritakan isi kawih tentang bangga sebagai bangsa Indonesia</v>
      </c>
      <c r="AD14" s="257" t="str">
        <f t="shared" si="3"/>
        <v xml:space="preserve"> baik  dalam melantunkan dan menceritakan isi kawih tentang bangga sebagai bangsa Indonesia</v>
      </c>
      <c r="AE14" s="257" t="str">
        <f t="shared" si="6"/>
        <v xml:space="preserve"> baik  dalam melantunkan dan menceritakan isi kawih tentang bangga sebagai bangsa Indonesia, dan  baik  dalam melantunkan dan menceritakan isi kawih tentang bangga sebagai bangsa Indonesia</v>
      </c>
      <c r="AF14" s="257" t="str">
        <f t="shared" si="7"/>
        <v xml:space="preserve"> baik  dalam melantunkan dan menceritakan isi kawih tentang bangga sebagai bangsa Indonesia</v>
      </c>
      <c r="AG14" s="258" t="str">
        <f t="shared" si="8"/>
        <v xml:space="preserve"> baik  dalam melantunkan dan menceritakan isi kawih tentang bangga sebagai bangsa Indonesia</v>
      </c>
      <c r="AH14" s="252" t="str">
        <f t="shared" si="9"/>
        <v>DAVKA baik  dalam melantunkan dan menceritakan isi kawih tentang bangga sebagai bangsa Indonesia</v>
      </c>
      <c r="AI14" s="153"/>
      <c r="AS14" s="469">
        <f t="shared" si="10"/>
        <v>77</v>
      </c>
    </row>
    <row r="15" spans="1:54" ht="63.75" customHeight="1">
      <c r="B15" s="142">
        <v>11</v>
      </c>
      <c r="C15" s="143" t="str">
        <f>SISWA!B16</f>
        <v>1718250040315</v>
      </c>
      <c r="D15" s="144" t="str">
        <f>SISWA!E16</f>
        <v>DZIBRIL</v>
      </c>
      <c r="E15" s="159">
        <v>77</v>
      </c>
      <c r="F15" s="160">
        <v>77</v>
      </c>
      <c r="G15" s="160">
        <v>77</v>
      </c>
      <c r="H15" s="160"/>
      <c r="I15" s="160"/>
      <c r="J15" s="160"/>
      <c r="K15" s="160"/>
      <c r="L15" s="160"/>
      <c r="M15" s="160"/>
      <c r="N15" s="159"/>
      <c r="O15" s="159"/>
      <c r="P15" s="159"/>
      <c r="Q15" s="159"/>
      <c r="R15" s="160"/>
      <c r="S15" s="160"/>
      <c r="T15" s="159"/>
      <c r="U15" s="354">
        <f t="shared" si="4"/>
        <v>77</v>
      </c>
      <c r="V15" s="355" t="str">
        <f>IF(U15&gt;KKM!$G$10,"A",IF(U15&gt;KKM!$H$10,"B",IF(U15&gt;=KKM!$I$10,"C","D")))</f>
        <v>B</v>
      </c>
      <c r="W15" s="356">
        <f t="shared" si="0"/>
        <v>77</v>
      </c>
      <c r="X15" s="361" t="str">
        <f>IF(W15&gt;KKM!$G$10," sangat baik ",IF(W15&gt;KKM!$H$10," baik ",IF(W15&gt;=KKM!$I$10," cukup baik "," perlu bimbingan ")))</f>
        <v xml:space="preserve"> baik </v>
      </c>
      <c r="Y15" s="357">
        <f t="shared" si="1"/>
        <v>77</v>
      </c>
      <c r="Z15" s="361" t="str">
        <f>IF(Y15&gt;KKM!$G$10," sangat baik ",IF(Y15&gt;KKM!$H$10," baik ",IF(Y15&gt;=KKM!$I$10," cukup baik "," perlu bimbingan ")))</f>
        <v xml:space="preserve"> baik </v>
      </c>
      <c r="AA15" s="353" t="str">
        <f t="shared" si="5"/>
        <v>DZIBRIL baik  dalam melantunkan dan menceritakan isi kawih tentang bangga sebagai bangsa Indonesia</v>
      </c>
      <c r="AB15" s="256"/>
      <c r="AC15" s="257" t="str">
        <f t="shared" si="2"/>
        <v xml:space="preserve"> baik  dalam melantunkan dan menceritakan isi kawih tentang bangga sebagai bangsa Indonesia</v>
      </c>
      <c r="AD15" s="257" t="str">
        <f t="shared" si="3"/>
        <v xml:space="preserve"> baik  dalam melantunkan dan menceritakan isi kawih tentang bangga sebagai bangsa Indonesia</v>
      </c>
      <c r="AE15" s="257" t="str">
        <f t="shared" si="6"/>
        <v xml:space="preserve"> baik  dalam melantunkan dan menceritakan isi kawih tentang bangga sebagai bangsa Indonesia, dan  baik  dalam melantunkan dan menceritakan isi kawih tentang bangga sebagai bangsa Indonesia</v>
      </c>
      <c r="AF15" s="257" t="str">
        <f t="shared" si="7"/>
        <v xml:space="preserve"> baik  dalam melantunkan dan menceritakan isi kawih tentang bangga sebagai bangsa Indonesia</v>
      </c>
      <c r="AG15" s="258" t="str">
        <f t="shared" si="8"/>
        <v xml:space="preserve"> baik  dalam melantunkan dan menceritakan isi kawih tentang bangga sebagai bangsa Indonesia</v>
      </c>
      <c r="AH15" s="252" t="str">
        <f t="shared" si="9"/>
        <v>DZIBRIL baik  dalam melantunkan dan menceritakan isi kawih tentang bangga sebagai bangsa Indonesia</v>
      </c>
      <c r="AI15" s="153"/>
      <c r="AS15" s="469">
        <f t="shared" si="10"/>
        <v>77</v>
      </c>
    </row>
    <row r="16" spans="1:54" ht="63.75" customHeight="1">
      <c r="B16" s="142">
        <v>12</v>
      </c>
      <c r="C16" s="143" t="str">
        <f>SISWA!B17</f>
        <v>1718250040316</v>
      </c>
      <c r="D16" s="144" t="str">
        <f>SISWA!E17</f>
        <v>ERICHA</v>
      </c>
      <c r="E16" s="159">
        <v>85</v>
      </c>
      <c r="F16" s="160">
        <v>85</v>
      </c>
      <c r="G16" s="160">
        <v>85</v>
      </c>
      <c r="H16" s="160"/>
      <c r="I16" s="160"/>
      <c r="J16" s="160"/>
      <c r="K16" s="160"/>
      <c r="L16" s="160"/>
      <c r="M16" s="160"/>
      <c r="N16" s="159"/>
      <c r="O16" s="159"/>
      <c r="P16" s="159"/>
      <c r="Q16" s="159"/>
      <c r="R16" s="160"/>
      <c r="S16" s="160"/>
      <c r="T16" s="159"/>
      <c r="U16" s="354">
        <f t="shared" si="4"/>
        <v>85</v>
      </c>
      <c r="V16" s="355" t="str">
        <f>IF(U16&gt;KKM!$G$10,"A",IF(U16&gt;KKM!$H$10,"B",IF(U16&gt;=KKM!$I$10,"C","D")))</f>
        <v>B</v>
      </c>
      <c r="W16" s="356">
        <f t="shared" si="0"/>
        <v>85</v>
      </c>
      <c r="X16" s="361" t="str">
        <f>IF(W16&gt;KKM!$G$10," sangat baik ",IF(W16&gt;KKM!$H$10," baik ",IF(W16&gt;=KKM!$I$10," cukup baik "," perlu bimbingan ")))</f>
        <v xml:space="preserve"> baik </v>
      </c>
      <c r="Y16" s="357">
        <f t="shared" si="1"/>
        <v>85</v>
      </c>
      <c r="Z16" s="361" t="str">
        <f>IF(Y16&gt;KKM!$G$10," sangat baik ",IF(Y16&gt;KKM!$H$10," baik ",IF(Y16&gt;=KKM!$I$10," cukup baik "," perlu bimbingan ")))</f>
        <v xml:space="preserve"> baik </v>
      </c>
      <c r="AA16" s="353" t="str">
        <f t="shared" si="5"/>
        <v>ERICHA baik  dalam melantunkan dan menceritakan isi kawih tentang bangga sebagai bangsa Indonesia</v>
      </c>
      <c r="AB16" s="256"/>
      <c r="AC16" s="257" t="str">
        <f t="shared" si="2"/>
        <v xml:space="preserve"> baik  dalam melantunkan dan menceritakan isi kawih tentang bangga sebagai bangsa Indonesia</v>
      </c>
      <c r="AD16" s="257" t="str">
        <f t="shared" si="3"/>
        <v xml:space="preserve"> baik  dalam melantunkan dan menceritakan isi kawih tentang bangga sebagai bangsa Indonesia</v>
      </c>
      <c r="AE16" s="257" t="str">
        <f t="shared" si="6"/>
        <v xml:space="preserve"> baik  dalam melantunkan dan menceritakan isi kawih tentang bangga sebagai bangsa Indonesia, dan  baik  dalam melantunkan dan menceritakan isi kawih tentang bangga sebagai bangsa Indonesia</v>
      </c>
      <c r="AF16" s="257" t="str">
        <f t="shared" si="7"/>
        <v xml:space="preserve"> baik  dalam melantunkan dan menceritakan isi kawih tentang bangga sebagai bangsa Indonesia</v>
      </c>
      <c r="AG16" s="258" t="str">
        <f t="shared" si="8"/>
        <v xml:space="preserve"> baik  dalam melantunkan dan menceritakan isi kawih tentang bangga sebagai bangsa Indonesia</v>
      </c>
      <c r="AH16" s="252" t="str">
        <f t="shared" si="9"/>
        <v>ERICHA baik  dalam melantunkan dan menceritakan isi kawih tentang bangga sebagai bangsa Indonesia</v>
      </c>
      <c r="AI16" s="153"/>
      <c r="AS16" s="469">
        <f t="shared" si="10"/>
        <v>85</v>
      </c>
    </row>
    <row r="17" spans="2:45" ht="63.75" customHeight="1">
      <c r="B17" s="142">
        <v>13</v>
      </c>
      <c r="C17" s="143" t="str">
        <f>SISWA!B18</f>
        <v>1718250040317</v>
      </c>
      <c r="D17" s="144" t="str">
        <f>SISWA!E18</f>
        <v>HISYAM</v>
      </c>
      <c r="E17" s="159">
        <v>85</v>
      </c>
      <c r="F17" s="160">
        <v>85</v>
      </c>
      <c r="G17" s="160">
        <v>85</v>
      </c>
      <c r="H17" s="160"/>
      <c r="I17" s="160"/>
      <c r="J17" s="160"/>
      <c r="K17" s="160"/>
      <c r="L17" s="160"/>
      <c r="M17" s="160"/>
      <c r="N17" s="159"/>
      <c r="O17" s="159"/>
      <c r="P17" s="159"/>
      <c r="Q17" s="159"/>
      <c r="R17" s="160"/>
      <c r="S17" s="160"/>
      <c r="T17" s="159"/>
      <c r="U17" s="354">
        <f t="shared" si="4"/>
        <v>85</v>
      </c>
      <c r="V17" s="355" t="str">
        <f>IF(U17&gt;KKM!$G$10,"A",IF(U17&gt;KKM!$H$10,"B",IF(U17&gt;=KKM!$I$10,"C","D")))</f>
        <v>B</v>
      </c>
      <c r="W17" s="356">
        <f t="shared" si="0"/>
        <v>85</v>
      </c>
      <c r="X17" s="361" t="str">
        <f>IF(W17&gt;KKM!$G$10," sangat baik ",IF(W17&gt;KKM!$H$10," baik ",IF(W17&gt;=KKM!$I$10," cukup baik "," perlu bimbingan ")))</f>
        <v xml:space="preserve"> baik </v>
      </c>
      <c r="Y17" s="357">
        <f t="shared" si="1"/>
        <v>85</v>
      </c>
      <c r="Z17" s="361" t="str">
        <f>IF(Y17&gt;KKM!$G$10," sangat baik ",IF(Y17&gt;KKM!$H$10," baik ",IF(Y17&gt;=KKM!$I$10," cukup baik "," perlu bimbingan ")))</f>
        <v xml:space="preserve"> baik </v>
      </c>
      <c r="AA17" s="353" t="str">
        <f t="shared" si="5"/>
        <v>HISYAM baik  dalam melantunkan dan menceritakan isi kawih tentang bangga sebagai bangsa Indonesia</v>
      </c>
      <c r="AB17" s="256"/>
      <c r="AC17" s="257" t="str">
        <f t="shared" si="2"/>
        <v xml:space="preserve"> baik  dalam melantunkan dan menceritakan isi kawih tentang bangga sebagai bangsa Indonesia</v>
      </c>
      <c r="AD17" s="257" t="str">
        <f t="shared" si="3"/>
        <v xml:space="preserve"> baik  dalam melantunkan dan menceritakan isi kawih tentang bangga sebagai bangsa Indonesia</v>
      </c>
      <c r="AE17" s="257" t="str">
        <f t="shared" si="6"/>
        <v xml:space="preserve"> baik  dalam melantunkan dan menceritakan isi kawih tentang bangga sebagai bangsa Indonesia, dan  baik  dalam melantunkan dan menceritakan isi kawih tentang bangga sebagai bangsa Indonesia</v>
      </c>
      <c r="AF17" s="257" t="str">
        <f t="shared" si="7"/>
        <v xml:space="preserve"> baik  dalam melantunkan dan menceritakan isi kawih tentang bangga sebagai bangsa Indonesia</v>
      </c>
      <c r="AG17" s="258" t="str">
        <f t="shared" si="8"/>
        <v xml:space="preserve"> baik  dalam melantunkan dan menceritakan isi kawih tentang bangga sebagai bangsa Indonesia</v>
      </c>
      <c r="AH17" s="252" t="str">
        <f t="shared" si="9"/>
        <v>HISYAM baik  dalam melantunkan dan menceritakan isi kawih tentang bangga sebagai bangsa Indonesia</v>
      </c>
      <c r="AI17" s="153"/>
      <c r="AS17" s="469">
        <f t="shared" si="10"/>
        <v>85</v>
      </c>
    </row>
    <row r="18" spans="2:45" ht="63.75" customHeight="1">
      <c r="B18" s="142">
        <v>14</v>
      </c>
      <c r="C18" s="143" t="str">
        <f>SISWA!B19</f>
        <v>1718250040318</v>
      </c>
      <c r="D18" s="144" t="str">
        <f>SISWA!E19</f>
        <v>FAUZI</v>
      </c>
      <c r="E18" s="159">
        <v>82</v>
      </c>
      <c r="F18" s="160">
        <v>82</v>
      </c>
      <c r="G18" s="160">
        <v>82</v>
      </c>
      <c r="H18" s="160"/>
      <c r="I18" s="160"/>
      <c r="J18" s="160"/>
      <c r="K18" s="160"/>
      <c r="L18" s="160"/>
      <c r="M18" s="160"/>
      <c r="N18" s="159"/>
      <c r="O18" s="159"/>
      <c r="P18" s="159"/>
      <c r="Q18" s="159"/>
      <c r="R18" s="160"/>
      <c r="S18" s="160"/>
      <c r="T18" s="159"/>
      <c r="U18" s="354">
        <f t="shared" si="4"/>
        <v>82</v>
      </c>
      <c r="V18" s="355" t="str">
        <f>IF(U18&gt;KKM!$G$10,"A",IF(U18&gt;KKM!$H$10,"B",IF(U18&gt;=KKM!$I$10,"C","D")))</f>
        <v>B</v>
      </c>
      <c r="W18" s="356">
        <f t="shared" si="0"/>
        <v>82</v>
      </c>
      <c r="X18" s="361" t="str">
        <f>IF(W18&gt;KKM!$G$10," sangat baik ",IF(W18&gt;KKM!$H$10," baik ",IF(W18&gt;=KKM!$I$10," cukup baik "," perlu bimbingan ")))</f>
        <v xml:space="preserve"> baik </v>
      </c>
      <c r="Y18" s="357">
        <f t="shared" si="1"/>
        <v>82</v>
      </c>
      <c r="Z18" s="361" t="str">
        <f>IF(Y18&gt;KKM!$G$10," sangat baik ",IF(Y18&gt;KKM!$H$10," baik ",IF(Y18&gt;=KKM!$I$10," cukup baik "," perlu bimbingan ")))</f>
        <v xml:space="preserve"> baik </v>
      </c>
      <c r="AA18" s="353" t="str">
        <f t="shared" si="5"/>
        <v>FAUZI baik  dalam melantunkan dan menceritakan isi kawih tentang bangga sebagai bangsa Indonesia</v>
      </c>
      <c r="AB18" s="256"/>
      <c r="AC18" s="257" t="str">
        <f t="shared" si="2"/>
        <v xml:space="preserve"> baik  dalam melantunkan dan menceritakan isi kawih tentang bangga sebagai bangsa Indonesia</v>
      </c>
      <c r="AD18" s="257" t="str">
        <f t="shared" si="3"/>
        <v xml:space="preserve"> baik  dalam melantunkan dan menceritakan isi kawih tentang bangga sebagai bangsa Indonesia</v>
      </c>
      <c r="AE18" s="257" t="str">
        <f t="shared" si="6"/>
        <v xml:space="preserve"> baik  dalam melantunkan dan menceritakan isi kawih tentang bangga sebagai bangsa Indonesia, dan  baik  dalam melantunkan dan menceritakan isi kawih tentang bangga sebagai bangsa Indonesia</v>
      </c>
      <c r="AF18" s="257" t="str">
        <f t="shared" si="7"/>
        <v xml:space="preserve"> baik  dalam melantunkan dan menceritakan isi kawih tentang bangga sebagai bangsa Indonesia</v>
      </c>
      <c r="AG18" s="258" t="str">
        <f t="shared" si="8"/>
        <v xml:space="preserve"> baik  dalam melantunkan dan menceritakan isi kawih tentang bangga sebagai bangsa Indonesia</v>
      </c>
      <c r="AH18" s="252" t="str">
        <f t="shared" si="9"/>
        <v>FAUZI baik  dalam melantunkan dan menceritakan isi kawih tentang bangga sebagai bangsa Indonesia</v>
      </c>
      <c r="AI18" s="153"/>
      <c r="AS18" s="469">
        <f t="shared" si="10"/>
        <v>82</v>
      </c>
    </row>
    <row r="19" spans="2:45" ht="63.75" customHeight="1">
      <c r="B19" s="142">
        <v>15</v>
      </c>
      <c r="C19" s="143" t="str">
        <f>SISWA!B20</f>
        <v>1718250040319</v>
      </c>
      <c r="D19" s="144" t="str">
        <f>SISWA!E20</f>
        <v>FIRLY</v>
      </c>
      <c r="E19" s="159">
        <v>88</v>
      </c>
      <c r="F19" s="160">
        <v>88</v>
      </c>
      <c r="G19" s="160">
        <v>88</v>
      </c>
      <c r="H19" s="160"/>
      <c r="I19" s="160"/>
      <c r="J19" s="160"/>
      <c r="K19" s="160"/>
      <c r="L19" s="160"/>
      <c r="M19" s="160"/>
      <c r="N19" s="159"/>
      <c r="O19" s="159"/>
      <c r="P19" s="159"/>
      <c r="Q19" s="159"/>
      <c r="R19" s="160"/>
      <c r="S19" s="160"/>
      <c r="T19" s="159"/>
      <c r="U19" s="354">
        <f t="shared" si="4"/>
        <v>88</v>
      </c>
      <c r="V19" s="355" t="str">
        <f>IF(U19&gt;KKM!$G$10,"A",IF(U19&gt;KKM!$H$10,"B",IF(U19&gt;=KKM!$I$10,"C","D")))</f>
        <v>A</v>
      </c>
      <c r="W19" s="356">
        <f t="shared" si="0"/>
        <v>88</v>
      </c>
      <c r="X19" s="361" t="str">
        <f>IF(W19&gt;KKM!$G$10," sangat baik ",IF(W19&gt;KKM!$H$10," baik ",IF(W19&gt;=KKM!$I$10," cukup baik "," perlu bimbingan ")))</f>
        <v xml:space="preserve"> sangat baik </v>
      </c>
      <c r="Y19" s="357">
        <f t="shared" si="1"/>
        <v>88</v>
      </c>
      <c r="Z19" s="361" t="str">
        <f>IF(Y19&gt;KKM!$G$10," sangat baik ",IF(Y19&gt;KKM!$H$10," baik ",IF(Y19&gt;=KKM!$I$10," cukup baik "," perlu bimbingan ")))</f>
        <v xml:space="preserve"> sangat baik </v>
      </c>
      <c r="AA19" s="353" t="str">
        <f t="shared" si="5"/>
        <v>FIRLY sangat baik  dalam melantunkan dan menceritakan isi kawih tentang bangga sebagai bangsa Indonesia</v>
      </c>
      <c r="AB19" s="256"/>
      <c r="AC19" s="257" t="str">
        <f t="shared" si="2"/>
        <v xml:space="preserve"> sangat baik  dalam melantunkan dan menceritakan isi kawih tentang bangga sebagai bangsa Indonesia</v>
      </c>
      <c r="AD19" s="257" t="str">
        <f t="shared" si="3"/>
        <v xml:space="preserve"> sangat baik  dalam melantunkan dan menceritakan isi kawih tentang bangga sebagai bangsa Indonesia</v>
      </c>
      <c r="AE19" s="257" t="str">
        <f t="shared" si="6"/>
        <v xml:space="preserve"> sangat baik  dalam melantunkan dan menceritakan isi kawih tentang bangga sebagai bangsa Indonesia, dan  sangat baik  dalam melantunkan dan menceritakan isi kawih tentang bangga sebagai bangsa Indonesia</v>
      </c>
      <c r="AF19" s="257" t="str">
        <f t="shared" si="7"/>
        <v xml:space="preserve"> sangat baik  dalam melantunkan dan menceritakan isi kawih tentang bangga sebagai bangsa Indonesia</v>
      </c>
      <c r="AG19" s="258" t="str">
        <f t="shared" si="8"/>
        <v xml:space="preserve"> sangat baik  dalam melantunkan dan menceritakan isi kawih tentang bangga sebagai bangsa Indonesia</v>
      </c>
      <c r="AH19" s="252" t="str">
        <f t="shared" si="9"/>
        <v>FIRLY sangat baik  dalam melantunkan dan menceritakan isi kawih tentang bangga sebagai bangsa Indonesia</v>
      </c>
      <c r="AI19" s="153"/>
      <c r="AS19" s="469">
        <f t="shared" si="10"/>
        <v>88</v>
      </c>
    </row>
    <row r="20" spans="2:45" ht="63.75" customHeight="1">
      <c r="B20" s="142">
        <v>16</v>
      </c>
      <c r="C20" s="143" t="str">
        <f>SISWA!B21</f>
        <v>1718250040320</v>
      </c>
      <c r="D20" s="144" t="str">
        <f>SISWA!E21</f>
        <v>HANA</v>
      </c>
      <c r="E20" s="159">
        <v>77</v>
      </c>
      <c r="F20" s="160">
        <v>77</v>
      </c>
      <c r="G20" s="160">
        <v>77</v>
      </c>
      <c r="H20" s="160"/>
      <c r="I20" s="160"/>
      <c r="J20" s="160"/>
      <c r="K20" s="160"/>
      <c r="L20" s="160"/>
      <c r="M20" s="160"/>
      <c r="N20" s="159"/>
      <c r="O20" s="159"/>
      <c r="P20" s="159"/>
      <c r="Q20" s="159"/>
      <c r="R20" s="160"/>
      <c r="S20" s="160"/>
      <c r="T20" s="159"/>
      <c r="U20" s="354">
        <f t="shared" si="4"/>
        <v>77</v>
      </c>
      <c r="V20" s="355" t="str">
        <f>IF(U20&gt;KKM!$G$10,"A",IF(U20&gt;KKM!$H$10,"B",IF(U20&gt;=KKM!$I$10,"C","D")))</f>
        <v>B</v>
      </c>
      <c r="W20" s="356">
        <f t="shared" si="0"/>
        <v>77</v>
      </c>
      <c r="X20" s="361" t="str">
        <f>IF(W20&gt;KKM!$G$10," sangat baik ",IF(W20&gt;KKM!$H$10," baik ",IF(W20&gt;=KKM!$I$10," cukup baik "," perlu bimbingan ")))</f>
        <v xml:space="preserve"> baik </v>
      </c>
      <c r="Y20" s="357">
        <f t="shared" si="1"/>
        <v>77</v>
      </c>
      <c r="Z20" s="361" t="str">
        <f>IF(Y20&gt;KKM!$G$10," sangat baik ",IF(Y20&gt;KKM!$H$10," baik ",IF(Y20&gt;=KKM!$I$10," cukup baik "," perlu bimbingan ")))</f>
        <v xml:space="preserve"> baik </v>
      </c>
      <c r="AA20" s="353" t="str">
        <f t="shared" si="5"/>
        <v>HANA baik  dalam melantunkan dan menceritakan isi kawih tentang bangga sebagai bangsa Indonesia</v>
      </c>
      <c r="AB20" s="256"/>
      <c r="AC20" s="257" t="str">
        <f t="shared" si="2"/>
        <v xml:space="preserve"> baik  dalam melantunkan dan menceritakan isi kawih tentang bangga sebagai bangsa Indonesia</v>
      </c>
      <c r="AD20" s="257" t="str">
        <f t="shared" si="3"/>
        <v xml:space="preserve"> baik  dalam melantunkan dan menceritakan isi kawih tentang bangga sebagai bangsa Indonesia</v>
      </c>
      <c r="AE20" s="257" t="str">
        <f t="shared" si="6"/>
        <v xml:space="preserve"> baik  dalam melantunkan dan menceritakan isi kawih tentang bangga sebagai bangsa Indonesia, dan  baik  dalam melantunkan dan menceritakan isi kawih tentang bangga sebagai bangsa Indonesia</v>
      </c>
      <c r="AF20" s="257" t="str">
        <f t="shared" si="7"/>
        <v xml:space="preserve"> baik  dalam melantunkan dan menceritakan isi kawih tentang bangga sebagai bangsa Indonesia</v>
      </c>
      <c r="AG20" s="258" t="str">
        <f t="shared" si="8"/>
        <v xml:space="preserve"> baik  dalam melantunkan dan menceritakan isi kawih tentang bangga sebagai bangsa Indonesia</v>
      </c>
      <c r="AH20" s="252" t="str">
        <f t="shared" si="9"/>
        <v>HANA baik  dalam melantunkan dan menceritakan isi kawih tentang bangga sebagai bangsa Indonesia</v>
      </c>
      <c r="AI20" s="153"/>
      <c r="AS20" s="469">
        <f t="shared" si="10"/>
        <v>77</v>
      </c>
    </row>
    <row r="21" spans="2:45" ht="63.75" customHeight="1">
      <c r="B21" s="142">
        <v>17</v>
      </c>
      <c r="C21" s="143" t="str">
        <f>SISWA!B22</f>
        <v>1718250040321</v>
      </c>
      <c r="D21" s="144" t="str">
        <f>SISWA!E22</f>
        <v>MALLA</v>
      </c>
      <c r="E21" s="159">
        <v>88</v>
      </c>
      <c r="F21" s="160">
        <v>88</v>
      </c>
      <c r="G21" s="160">
        <v>88</v>
      </c>
      <c r="H21" s="160"/>
      <c r="I21" s="160"/>
      <c r="J21" s="160"/>
      <c r="K21" s="160"/>
      <c r="L21" s="160"/>
      <c r="M21" s="160"/>
      <c r="N21" s="159"/>
      <c r="O21" s="159"/>
      <c r="P21" s="159"/>
      <c r="Q21" s="159"/>
      <c r="R21" s="160"/>
      <c r="S21" s="160"/>
      <c r="T21" s="159"/>
      <c r="U21" s="354">
        <f t="shared" si="4"/>
        <v>88</v>
      </c>
      <c r="V21" s="355" t="str">
        <f>IF(U21&gt;KKM!$G$10,"A",IF(U21&gt;KKM!$H$10,"B",IF(U21&gt;=KKM!$I$10,"C","D")))</f>
        <v>A</v>
      </c>
      <c r="W21" s="356">
        <f t="shared" si="0"/>
        <v>88</v>
      </c>
      <c r="X21" s="361" t="str">
        <f>IF(W21&gt;KKM!$G$10," sangat baik ",IF(W21&gt;KKM!$H$10," baik ",IF(W21&gt;=KKM!$I$10," cukup baik "," perlu bimbingan ")))</f>
        <v xml:space="preserve"> sangat baik </v>
      </c>
      <c r="Y21" s="357">
        <f t="shared" si="1"/>
        <v>88</v>
      </c>
      <c r="Z21" s="361" t="str">
        <f>IF(Y21&gt;KKM!$G$10," sangat baik ",IF(Y21&gt;KKM!$H$10," baik ",IF(Y21&gt;=KKM!$I$10," cukup baik "," perlu bimbingan ")))</f>
        <v xml:space="preserve"> sangat baik </v>
      </c>
      <c r="AA21" s="353" t="str">
        <f t="shared" si="5"/>
        <v>MALLA sangat baik  dalam melantunkan dan menceritakan isi kawih tentang bangga sebagai bangsa Indonesia</v>
      </c>
      <c r="AB21" s="256"/>
      <c r="AC21" s="257" t="str">
        <f t="shared" si="2"/>
        <v xml:space="preserve"> sangat baik  dalam melantunkan dan menceritakan isi kawih tentang bangga sebagai bangsa Indonesia</v>
      </c>
      <c r="AD21" s="257" t="str">
        <f t="shared" si="3"/>
        <v xml:space="preserve"> sangat baik  dalam melantunkan dan menceritakan isi kawih tentang bangga sebagai bangsa Indonesia</v>
      </c>
      <c r="AE21" s="257" t="str">
        <f t="shared" si="6"/>
        <v xml:space="preserve"> sangat baik  dalam melantunkan dan menceritakan isi kawih tentang bangga sebagai bangsa Indonesia, dan  sangat baik  dalam melantunkan dan menceritakan isi kawih tentang bangga sebagai bangsa Indonesia</v>
      </c>
      <c r="AF21" s="257" t="str">
        <f t="shared" si="7"/>
        <v xml:space="preserve"> sangat baik  dalam melantunkan dan menceritakan isi kawih tentang bangga sebagai bangsa Indonesia</v>
      </c>
      <c r="AG21" s="258" t="str">
        <f t="shared" si="8"/>
        <v xml:space="preserve"> sangat baik  dalam melantunkan dan menceritakan isi kawih tentang bangga sebagai bangsa Indonesia</v>
      </c>
      <c r="AH21" s="252" t="str">
        <f t="shared" si="9"/>
        <v>MALLA sangat baik  dalam melantunkan dan menceritakan isi kawih tentang bangga sebagai bangsa Indonesia</v>
      </c>
      <c r="AI21" s="153"/>
      <c r="AS21" s="469">
        <f t="shared" si="10"/>
        <v>88</v>
      </c>
    </row>
    <row r="22" spans="2:45" ht="63.75" customHeight="1">
      <c r="B22" s="142">
        <v>18</v>
      </c>
      <c r="C22" s="143" t="str">
        <f>SISWA!B23</f>
        <v>1718250040322</v>
      </c>
      <c r="D22" s="144" t="str">
        <f>SISWA!E23</f>
        <v>INTAN</v>
      </c>
      <c r="E22" s="159">
        <v>85</v>
      </c>
      <c r="F22" s="160">
        <v>85</v>
      </c>
      <c r="G22" s="160">
        <v>85</v>
      </c>
      <c r="H22" s="160"/>
      <c r="I22" s="160"/>
      <c r="J22" s="160"/>
      <c r="K22" s="160"/>
      <c r="L22" s="160"/>
      <c r="M22" s="160"/>
      <c r="N22" s="159"/>
      <c r="O22" s="159"/>
      <c r="P22" s="159"/>
      <c r="Q22" s="159"/>
      <c r="R22" s="160"/>
      <c r="S22" s="160"/>
      <c r="T22" s="159"/>
      <c r="U22" s="354">
        <f t="shared" si="4"/>
        <v>85</v>
      </c>
      <c r="V22" s="355" t="str">
        <f>IF(U22&gt;KKM!$G$10,"A",IF(U22&gt;KKM!$H$10,"B",IF(U22&gt;=KKM!$I$10,"C","D")))</f>
        <v>B</v>
      </c>
      <c r="W22" s="356">
        <f t="shared" si="0"/>
        <v>85</v>
      </c>
      <c r="X22" s="361" t="str">
        <f>IF(W22&gt;KKM!$G$10," sangat baik ",IF(W22&gt;KKM!$H$10," baik ",IF(W22&gt;=KKM!$I$10," cukup baik "," perlu bimbingan ")))</f>
        <v xml:space="preserve"> baik </v>
      </c>
      <c r="Y22" s="357">
        <f t="shared" si="1"/>
        <v>85</v>
      </c>
      <c r="Z22" s="361" t="str">
        <f>IF(Y22&gt;KKM!$G$10," sangat baik ",IF(Y22&gt;KKM!$H$10," baik ",IF(Y22&gt;=KKM!$I$10," cukup baik "," perlu bimbingan ")))</f>
        <v xml:space="preserve"> baik </v>
      </c>
      <c r="AA22" s="353" t="str">
        <f t="shared" si="5"/>
        <v>INTAN baik  dalam melantunkan dan menceritakan isi kawih tentang bangga sebagai bangsa Indonesia</v>
      </c>
      <c r="AB22" s="256"/>
      <c r="AC22" s="257" t="str">
        <f t="shared" si="2"/>
        <v xml:space="preserve"> baik  dalam melantunkan dan menceritakan isi kawih tentang bangga sebagai bangsa Indonesia</v>
      </c>
      <c r="AD22" s="257" t="str">
        <f t="shared" si="3"/>
        <v xml:space="preserve"> baik  dalam melantunkan dan menceritakan isi kawih tentang bangga sebagai bangsa Indonesia</v>
      </c>
      <c r="AE22" s="257" t="str">
        <f t="shared" si="6"/>
        <v xml:space="preserve"> baik  dalam melantunkan dan menceritakan isi kawih tentang bangga sebagai bangsa Indonesia, dan  baik  dalam melantunkan dan menceritakan isi kawih tentang bangga sebagai bangsa Indonesia</v>
      </c>
      <c r="AF22" s="257" t="str">
        <f t="shared" si="7"/>
        <v xml:space="preserve"> baik  dalam melantunkan dan menceritakan isi kawih tentang bangga sebagai bangsa Indonesia</v>
      </c>
      <c r="AG22" s="258" t="str">
        <f t="shared" si="8"/>
        <v xml:space="preserve"> baik  dalam melantunkan dan menceritakan isi kawih tentang bangga sebagai bangsa Indonesia</v>
      </c>
      <c r="AH22" s="252" t="str">
        <f t="shared" si="9"/>
        <v>INTAN baik  dalam melantunkan dan menceritakan isi kawih tentang bangga sebagai bangsa Indonesia</v>
      </c>
      <c r="AI22" s="153"/>
      <c r="AS22" s="469">
        <f t="shared" si="10"/>
        <v>85</v>
      </c>
    </row>
    <row r="23" spans="2:45" ht="63.75" customHeight="1">
      <c r="B23" s="142">
        <v>19</v>
      </c>
      <c r="C23" s="143" t="str">
        <f>SISWA!B24</f>
        <v>1718250040323</v>
      </c>
      <c r="D23" s="144" t="str">
        <f>SISWA!E24</f>
        <v>JORDY</v>
      </c>
      <c r="E23" s="159">
        <v>80</v>
      </c>
      <c r="F23" s="160">
        <v>80</v>
      </c>
      <c r="G23" s="160">
        <v>80</v>
      </c>
      <c r="H23" s="160"/>
      <c r="I23" s="160"/>
      <c r="J23" s="160"/>
      <c r="K23" s="160"/>
      <c r="L23" s="160"/>
      <c r="M23" s="160"/>
      <c r="N23" s="159"/>
      <c r="O23" s="159"/>
      <c r="P23" s="159"/>
      <c r="Q23" s="159"/>
      <c r="R23" s="160"/>
      <c r="S23" s="160"/>
      <c r="T23" s="159"/>
      <c r="U23" s="354">
        <f t="shared" si="4"/>
        <v>80</v>
      </c>
      <c r="V23" s="355" t="str">
        <f>IF(U23&gt;KKM!$G$10,"A",IF(U23&gt;KKM!$H$10,"B",IF(U23&gt;=KKM!$I$10,"C","D")))</f>
        <v>B</v>
      </c>
      <c r="W23" s="356">
        <f t="shared" si="0"/>
        <v>80</v>
      </c>
      <c r="X23" s="361" t="str">
        <f>IF(W23&gt;KKM!$G$10," sangat baik ",IF(W23&gt;KKM!$H$10," baik ",IF(W23&gt;=KKM!$I$10," cukup baik "," perlu bimbingan ")))</f>
        <v xml:space="preserve"> baik </v>
      </c>
      <c r="Y23" s="357">
        <f t="shared" si="1"/>
        <v>80</v>
      </c>
      <c r="Z23" s="361" t="str">
        <f>IF(Y23&gt;KKM!$G$10," sangat baik ",IF(Y23&gt;KKM!$H$10," baik ",IF(Y23&gt;=KKM!$I$10," cukup baik "," perlu bimbingan ")))</f>
        <v xml:space="preserve"> baik </v>
      </c>
      <c r="AA23" s="353" t="str">
        <f t="shared" si="5"/>
        <v>JORDY baik  dalam melantunkan dan menceritakan isi kawih tentang bangga sebagai bangsa Indonesia</v>
      </c>
      <c r="AB23" s="256"/>
      <c r="AC23" s="257" t="str">
        <f t="shared" si="2"/>
        <v xml:space="preserve"> baik  dalam melantunkan dan menceritakan isi kawih tentang bangga sebagai bangsa Indonesia</v>
      </c>
      <c r="AD23" s="257" t="str">
        <f t="shared" si="3"/>
        <v xml:space="preserve"> baik  dalam melantunkan dan menceritakan isi kawih tentang bangga sebagai bangsa Indonesia</v>
      </c>
      <c r="AE23" s="257" t="str">
        <f t="shared" si="6"/>
        <v xml:space="preserve"> baik  dalam melantunkan dan menceritakan isi kawih tentang bangga sebagai bangsa Indonesia, dan  baik  dalam melantunkan dan menceritakan isi kawih tentang bangga sebagai bangsa Indonesia</v>
      </c>
      <c r="AF23" s="257" t="str">
        <f t="shared" si="7"/>
        <v xml:space="preserve"> baik  dalam melantunkan dan menceritakan isi kawih tentang bangga sebagai bangsa Indonesia</v>
      </c>
      <c r="AG23" s="258" t="str">
        <f t="shared" si="8"/>
        <v xml:space="preserve"> baik  dalam melantunkan dan menceritakan isi kawih tentang bangga sebagai bangsa Indonesia</v>
      </c>
      <c r="AH23" s="252" t="str">
        <f t="shared" si="9"/>
        <v>JORDY baik  dalam melantunkan dan menceritakan isi kawih tentang bangga sebagai bangsa Indonesia</v>
      </c>
      <c r="AI23" s="153"/>
      <c r="AS23" s="469">
        <f t="shared" si="10"/>
        <v>80</v>
      </c>
    </row>
    <row r="24" spans="2:45" ht="63.75" customHeight="1">
      <c r="B24" s="142">
        <v>20</v>
      </c>
      <c r="C24" s="143" t="str">
        <f>SISWA!B25</f>
        <v>1718250040324</v>
      </c>
      <c r="D24" s="144" t="str">
        <f>SISWA!E25</f>
        <v>KURNIA</v>
      </c>
      <c r="E24" s="159">
        <v>74</v>
      </c>
      <c r="F24" s="160">
        <v>74</v>
      </c>
      <c r="G24" s="160">
        <v>74</v>
      </c>
      <c r="H24" s="160"/>
      <c r="I24" s="160"/>
      <c r="J24" s="160"/>
      <c r="K24" s="160"/>
      <c r="L24" s="160"/>
      <c r="M24" s="160"/>
      <c r="N24" s="159"/>
      <c r="O24" s="159"/>
      <c r="P24" s="159"/>
      <c r="Q24" s="159"/>
      <c r="R24" s="160"/>
      <c r="S24" s="160"/>
      <c r="T24" s="159"/>
      <c r="U24" s="354">
        <f t="shared" si="4"/>
        <v>74</v>
      </c>
      <c r="V24" s="355" t="str">
        <f>IF(U24&gt;KKM!$G$10,"A",IF(U24&gt;KKM!$H$10,"B",IF(U24&gt;=KKM!$I$10,"C","D")))</f>
        <v>C</v>
      </c>
      <c r="W24" s="356">
        <f t="shared" si="0"/>
        <v>74</v>
      </c>
      <c r="X24" s="361" t="str">
        <f>IF(W24&gt;KKM!$G$10," sangat baik ",IF(W24&gt;KKM!$H$10," baik ",IF(W24&gt;=KKM!$I$10," cukup baik "," perlu bimbingan ")))</f>
        <v xml:space="preserve"> cukup baik </v>
      </c>
      <c r="Y24" s="357">
        <f t="shared" si="1"/>
        <v>74</v>
      </c>
      <c r="Z24" s="361" t="str">
        <f>IF(Y24&gt;KKM!$G$10," sangat baik ",IF(Y24&gt;KKM!$H$10," baik ",IF(Y24&gt;=KKM!$I$10," cukup baik "," perlu bimbingan ")))</f>
        <v xml:space="preserve"> cukup baik </v>
      </c>
      <c r="AA24" s="353" t="str">
        <f t="shared" si="5"/>
        <v>KURNIA cukup baik  dalam melantunkan dan menceritakan isi kawih tentang bangga sebagai bangsa Indonesia</v>
      </c>
      <c r="AB24" s="256"/>
      <c r="AC24" s="257" t="str">
        <f t="shared" si="2"/>
        <v xml:space="preserve"> cukup baik  dalam melantunkan dan menceritakan isi kawih tentang bangga sebagai bangsa Indonesia</v>
      </c>
      <c r="AD24" s="257" t="str">
        <f t="shared" si="3"/>
        <v xml:space="preserve"> cukup baik  dalam melantunkan dan menceritakan isi kawih tentang bangga sebagai bangsa Indonesia</v>
      </c>
      <c r="AE24" s="257" t="str">
        <f t="shared" si="6"/>
        <v xml:space="preserve"> cukup baik  dalam melantunkan dan menceritakan isi kawih tentang bangga sebagai bangsa Indonesia, dan  cukup baik  dalam melantunkan dan menceritakan isi kawih tentang bangga sebagai bangsa Indonesia</v>
      </c>
      <c r="AF24" s="257" t="str">
        <f t="shared" si="7"/>
        <v xml:space="preserve"> cukup baik  dalam melantunkan dan menceritakan isi kawih tentang bangga sebagai bangsa Indonesia</v>
      </c>
      <c r="AG24" s="258" t="str">
        <f t="shared" si="8"/>
        <v xml:space="preserve"> cukup baik  dalam melantunkan dan menceritakan isi kawih tentang bangga sebagai bangsa Indonesia</v>
      </c>
      <c r="AH24" s="252" t="str">
        <f t="shared" si="9"/>
        <v>KURNIA cukup baik  dalam melantunkan dan menceritakan isi kawih tentang bangga sebagai bangsa Indonesia</v>
      </c>
      <c r="AI24" s="153"/>
      <c r="AS24" s="469">
        <f t="shared" si="10"/>
        <v>74</v>
      </c>
    </row>
    <row r="25" spans="2:45" ht="63.75" customHeight="1">
      <c r="B25" s="142">
        <v>21</v>
      </c>
      <c r="C25" s="143" t="str">
        <f>SISWA!B26</f>
        <v>1718250040325</v>
      </c>
      <c r="D25" s="144" t="str">
        <f>SISWA!E26</f>
        <v>LATIZA</v>
      </c>
      <c r="E25" s="159">
        <v>100</v>
      </c>
      <c r="F25" s="160">
        <v>100</v>
      </c>
      <c r="G25" s="160">
        <v>100</v>
      </c>
      <c r="H25" s="160"/>
      <c r="I25" s="160"/>
      <c r="J25" s="160"/>
      <c r="K25" s="160"/>
      <c r="L25" s="160"/>
      <c r="M25" s="160"/>
      <c r="N25" s="159"/>
      <c r="O25" s="159"/>
      <c r="P25" s="159"/>
      <c r="Q25" s="159"/>
      <c r="R25" s="160"/>
      <c r="S25" s="160"/>
      <c r="T25" s="159"/>
      <c r="U25" s="354">
        <f t="shared" si="4"/>
        <v>100</v>
      </c>
      <c r="V25" s="355" t="str">
        <f>IF(U25&gt;KKM!$G$10,"A",IF(U25&gt;KKM!$H$10,"B",IF(U25&gt;=KKM!$I$10,"C","D")))</f>
        <v>A</v>
      </c>
      <c r="W25" s="356">
        <f t="shared" si="0"/>
        <v>100</v>
      </c>
      <c r="X25" s="361" t="str">
        <f>IF(W25&gt;KKM!$G$10," sangat baik ",IF(W25&gt;KKM!$H$10," baik ",IF(W25&gt;=KKM!$I$10," cukup baik "," perlu bimbingan ")))</f>
        <v xml:space="preserve"> sangat baik </v>
      </c>
      <c r="Y25" s="357">
        <f t="shared" si="1"/>
        <v>100</v>
      </c>
      <c r="Z25" s="361" t="str">
        <f>IF(Y25&gt;KKM!$G$10," sangat baik ",IF(Y25&gt;KKM!$H$10," baik ",IF(Y25&gt;=KKM!$I$10," cukup baik "," perlu bimbingan ")))</f>
        <v xml:space="preserve"> sangat baik </v>
      </c>
      <c r="AA25" s="353" t="str">
        <f t="shared" si="5"/>
        <v>LATIZA sangat baik  dalam melantunkan dan menceritakan isi kawih tentang bangga sebagai bangsa Indonesia</v>
      </c>
      <c r="AB25" s="256"/>
      <c r="AC25" s="257" t="str">
        <f t="shared" si="2"/>
        <v xml:space="preserve"> sangat baik  dalam melantunkan dan menceritakan isi kawih tentang bangga sebagai bangsa Indonesia</v>
      </c>
      <c r="AD25" s="257" t="str">
        <f t="shared" si="3"/>
        <v xml:space="preserve"> sangat baik  dalam melantunkan dan menceritakan isi kawih tentang bangga sebagai bangsa Indonesia</v>
      </c>
      <c r="AE25" s="257" t="str">
        <f t="shared" si="6"/>
        <v xml:space="preserve"> sangat baik  dalam melantunkan dan menceritakan isi kawih tentang bangga sebagai bangsa Indonesia, dan  sangat baik  dalam melantunkan dan menceritakan isi kawih tentang bangga sebagai bangsa Indonesia</v>
      </c>
      <c r="AF25" s="257" t="str">
        <f t="shared" si="7"/>
        <v xml:space="preserve"> sangat baik  dalam melantunkan dan menceritakan isi kawih tentang bangga sebagai bangsa Indonesia</v>
      </c>
      <c r="AG25" s="258" t="str">
        <f t="shared" si="8"/>
        <v xml:space="preserve"> sangat baik  dalam melantunkan dan menceritakan isi kawih tentang bangga sebagai bangsa Indonesia</v>
      </c>
      <c r="AH25" s="252" t="str">
        <f t="shared" si="9"/>
        <v>LATIZA sangat baik  dalam melantunkan dan menceritakan isi kawih tentang bangga sebagai bangsa Indonesia</v>
      </c>
      <c r="AI25" s="153"/>
      <c r="AS25" s="469">
        <f t="shared" si="10"/>
        <v>100</v>
      </c>
    </row>
    <row r="26" spans="2:45" ht="63.75" customHeight="1">
      <c r="B26" s="142">
        <v>22</v>
      </c>
      <c r="C26" s="143" t="str">
        <f>SISWA!B27</f>
        <v>1718250040326</v>
      </c>
      <c r="D26" s="144" t="str">
        <f>SISWA!E27</f>
        <v>RIZKY</v>
      </c>
      <c r="E26" s="159">
        <v>85</v>
      </c>
      <c r="F26" s="160">
        <v>85</v>
      </c>
      <c r="G26" s="160">
        <v>85</v>
      </c>
      <c r="H26" s="160"/>
      <c r="I26" s="160"/>
      <c r="J26" s="160"/>
      <c r="K26" s="160"/>
      <c r="L26" s="160"/>
      <c r="M26" s="160"/>
      <c r="N26" s="159"/>
      <c r="O26" s="159"/>
      <c r="P26" s="159"/>
      <c r="Q26" s="159"/>
      <c r="R26" s="160"/>
      <c r="S26" s="160"/>
      <c r="T26" s="159"/>
      <c r="U26" s="354">
        <f t="shared" si="4"/>
        <v>85</v>
      </c>
      <c r="V26" s="355" t="str">
        <f>IF(U26&gt;KKM!$G$10,"A",IF(U26&gt;KKM!$H$10,"B",IF(U26&gt;=KKM!$I$10,"C","D")))</f>
        <v>B</v>
      </c>
      <c r="W26" s="356">
        <f t="shared" si="0"/>
        <v>85</v>
      </c>
      <c r="X26" s="361" t="str">
        <f>IF(W26&gt;KKM!$G$10," sangat baik ",IF(W26&gt;KKM!$H$10," baik ",IF(W26&gt;=KKM!$I$10," cukup baik "," perlu bimbingan ")))</f>
        <v xml:space="preserve"> baik </v>
      </c>
      <c r="Y26" s="357">
        <f t="shared" si="1"/>
        <v>85</v>
      </c>
      <c r="Z26" s="361" t="str">
        <f>IF(Y26&gt;KKM!$G$10," sangat baik ",IF(Y26&gt;KKM!$H$10," baik ",IF(Y26&gt;=KKM!$I$10," cukup baik "," perlu bimbingan ")))</f>
        <v xml:space="preserve"> baik </v>
      </c>
      <c r="AA26" s="353" t="str">
        <f t="shared" si="5"/>
        <v>RIZKY baik  dalam melantunkan dan menceritakan isi kawih tentang bangga sebagai bangsa Indonesia</v>
      </c>
      <c r="AB26" s="256"/>
      <c r="AC26" s="257" t="str">
        <f t="shared" si="2"/>
        <v xml:space="preserve"> baik  dalam melantunkan dan menceritakan isi kawih tentang bangga sebagai bangsa Indonesia</v>
      </c>
      <c r="AD26" s="257" t="str">
        <f t="shared" si="3"/>
        <v xml:space="preserve"> baik  dalam melantunkan dan menceritakan isi kawih tentang bangga sebagai bangsa Indonesia</v>
      </c>
      <c r="AE26" s="257" t="str">
        <f t="shared" si="6"/>
        <v xml:space="preserve"> baik  dalam melantunkan dan menceritakan isi kawih tentang bangga sebagai bangsa Indonesia, dan  baik  dalam melantunkan dan menceritakan isi kawih tentang bangga sebagai bangsa Indonesia</v>
      </c>
      <c r="AF26" s="257" t="str">
        <f t="shared" si="7"/>
        <v xml:space="preserve"> baik  dalam melantunkan dan menceritakan isi kawih tentang bangga sebagai bangsa Indonesia</v>
      </c>
      <c r="AG26" s="258" t="str">
        <f t="shared" si="8"/>
        <v xml:space="preserve"> baik  dalam melantunkan dan menceritakan isi kawih tentang bangga sebagai bangsa Indonesia</v>
      </c>
      <c r="AH26" s="252" t="str">
        <f t="shared" si="9"/>
        <v>RIZKY baik  dalam melantunkan dan menceritakan isi kawih tentang bangga sebagai bangsa Indonesia</v>
      </c>
      <c r="AI26" s="153"/>
      <c r="AS26" s="469">
        <f t="shared" si="10"/>
        <v>85</v>
      </c>
    </row>
    <row r="27" spans="2:45" ht="63.75" customHeight="1">
      <c r="B27" s="142">
        <v>23</v>
      </c>
      <c r="C27" s="143" t="str">
        <f>SISWA!B28</f>
        <v>1718250040327</v>
      </c>
      <c r="D27" s="144" t="str">
        <f>SISWA!E28</f>
        <v>RAMADHANDANI</v>
      </c>
      <c r="E27" s="159">
        <v>88</v>
      </c>
      <c r="F27" s="160">
        <v>88</v>
      </c>
      <c r="G27" s="160">
        <v>88</v>
      </c>
      <c r="H27" s="160"/>
      <c r="I27" s="160"/>
      <c r="J27" s="160"/>
      <c r="K27" s="160"/>
      <c r="L27" s="160"/>
      <c r="M27" s="160"/>
      <c r="N27" s="159"/>
      <c r="O27" s="159"/>
      <c r="P27" s="159"/>
      <c r="Q27" s="159"/>
      <c r="R27" s="160"/>
      <c r="S27" s="160"/>
      <c r="T27" s="159"/>
      <c r="U27" s="354">
        <f t="shared" si="4"/>
        <v>88</v>
      </c>
      <c r="V27" s="355" t="str">
        <f>IF(U27&gt;KKM!$G$10,"A",IF(U27&gt;KKM!$H$10,"B",IF(U27&gt;=KKM!$I$10,"C","D")))</f>
        <v>A</v>
      </c>
      <c r="W27" s="356">
        <f t="shared" si="0"/>
        <v>88</v>
      </c>
      <c r="X27" s="361" t="str">
        <f>IF(W27&gt;KKM!$G$10," sangat baik ",IF(W27&gt;KKM!$H$10," baik ",IF(W27&gt;=KKM!$I$10," cukup baik "," perlu bimbingan ")))</f>
        <v xml:space="preserve"> sangat baik </v>
      </c>
      <c r="Y27" s="357">
        <f t="shared" si="1"/>
        <v>88</v>
      </c>
      <c r="Z27" s="361" t="str">
        <f>IF(Y27&gt;KKM!$G$10," sangat baik ",IF(Y27&gt;KKM!$H$10," baik ",IF(Y27&gt;=KKM!$I$10," cukup baik "," perlu bimbingan ")))</f>
        <v xml:space="preserve"> sangat baik </v>
      </c>
      <c r="AA27" s="353" t="str">
        <f t="shared" si="5"/>
        <v>RAMADHANDANI sangat baik  dalam melantunkan dan menceritakan isi kawih tentang bangga sebagai bangsa Indonesia</v>
      </c>
      <c r="AB27" s="256"/>
      <c r="AC27" s="257" t="str">
        <f t="shared" si="2"/>
        <v xml:space="preserve"> sangat baik  dalam melantunkan dan menceritakan isi kawih tentang bangga sebagai bangsa Indonesia</v>
      </c>
      <c r="AD27" s="257" t="str">
        <f t="shared" si="3"/>
        <v xml:space="preserve"> sangat baik  dalam melantunkan dan menceritakan isi kawih tentang bangga sebagai bangsa Indonesia</v>
      </c>
      <c r="AE27" s="257" t="str">
        <f t="shared" si="6"/>
        <v xml:space="preserve"> sangat baik  dalam melantunkan dan menceritakan isi kawih tentang bangga sebagai bangsa Indonesia, dan  sangat baik  dalam melantunkan dan menceritakan isi kawih tentang bangga sebagai bangsa Indonesia</v>
      </c>
      <c r="AF27" s="257" t="str">
        <f t="shared" si="7"/>
        <v xml:space="preserve"> sangat baik  dalam melantunkan dan menceritakan isi kawih tentang bangga sebagai bangsa Indonesia</v>
      </c>
      <c r="AG27" s="258" t="str">
        <f t="shared" si="8"/>
        <v xml:space="preserve"> sangat baik  dalam melantunkan dan menceritakan isi kawih tentang bangga sebagai bangsa Indonesia</v>
      </c>
      <c r="AH27" s="252" t="str">
        <f t="shared" si="9"/>
        <v>RAMADHANDANI sangat baik  dalam melantunkan dan menceritakan isi kawih tentang bangga sebagai bangsa Indonesia</v>
      </c>
      <c r="AI27" s="153"/>
      <c r="AS27" s="469">
        <f t="shared" si="10"/>
        <v>88</v>
      </c>
    </row>
    <row r="28" spans="2:45" ht="63.75" customHeight="1">
      <c r="B28" s="142">
        <v>24</v>
      </c>
      <c r="C28" s="143" t="str">
        <f>SISWA!B29</f>
        <v>1718250040328</v>
      </c>
      <c r="D28" s="144" t="str">
        <f>SISWA!E29</f>
        <v>SYAEPUL</v>
      </c>
      <c r="E28" s="159">
        <v>85</v>
      </c>
      <c r="F28" s="160">
        <v>85</v>
      </c>
      <c r="G28" s="160">
        <v>85</v>
      </c>
      <c r="H28" s="160"/>
      <c r="I28" s="160"/>
      <c r="J28" s="160"/>
      <c r="K28" s="160"/>
      <c r="L28" s="160"/>
      <c r="M28" s="160"/>
      <c r="N28" s="159"/>
      <c r="O28" s="159"/>
      <c r="P28" s="159"/>
      <c r="Q28" s="159"/>
      <c r="R28" s="160"/>
      <c r="S28" s="160"/>
      <c r="T28" s="159"/>
      <c r="U28" s="354">
        <f t="shared" si="4"/>
        <v>85</v>
      </c>
      <c r="V28" s="355" t="str">
        <f>IF(U28&gt;KKM!$G$10,"A",IF(U28&gt;KKM!$H$10,"B",IF(U28&gt;=KKM!$I$10,"C","D")))</f>
        <v>B</v>
      </c>
      <c r="W28" s="356">
        <f t="shared" si="0"/>
        <v>85</v>
      </c>
      <c r="X28" s="361" t="str">
        <f>IF(W28&gt;KKM!$G$10," sangat baik ",IF(W28&gt;KKM!$H$10," baik ",IF(W28&gt;=KKM!$I$10," cukup baik "," perlu bimbingan ")))</f>
        <v xml:space="preserve"> baik </v>
      </c>
      <c r="Y28" s="357">
        <f t="shared" si="1"/>
        <v>85</v>
      </c>
      <c r="Z28" s="361" t="str">
        <f>IF(Y28&gt;KKM!$G$10," sangat baik ",IF(Y28&gt;KKM!$H$10," baik ",IF(Y28&gt;=KKM!$I$10," cukup baik "," perlu bimbingan ")))</f>
        <v xml:space="preserve"> baik </v>
      </c>
      <c r="AA28" s="353" t="str">
        <f t="shared" si="5"/>
        <v>SYAEPUL baik  dalam melantunkan dan menceritakan isi kawih tentang bangga sebagai bangsa Indonesia</v>
      </c>
      <c r="AB28" s="256"/>
      <c r="AC28" s="257" t="str">
        <f t="shared" si="2"/>
        <v xml:space="preserve"> baik  dalam melantunkan dan menceritakan isi kawih tentang bangga sebagai bangsa Indonesia</v>
      </c>
      <c r="AD28" s="257" t="str">
        <f t="shared" si="3"/>
        <v xml:space="preserve"> baik  dalam melantunkan dan menceritakan isi kawih tentang bangga sebagai bangsa Indonesia</v>
      </c>
      <c r="AE28" s="257" t="str">
        <f t="shared" si="6"/>
        <v xml:space="preserve"> baik  dalam melantunkan dan menceritakan isi kawih tentang bangga sebagai bangsa Indonesia, dan  baik  dalam melantunkan dan menceritakan isi kawih tentang bangga sebagai bangsa Indonesia</v>
      </c>
      <c r="AF28" s="257" t="str">
        <f t="shared" si="7"/>
        <v xml:space="preserve"> baik  dalam melantunkan dan menceritakan isi kawih tentang bangga sebagai bangsa Indonesia</v>
      </c>
      <c r="AG28" s="258" t="str">
        <f t="shared" si="8"/>
        <v xml:space="preserve"> baik  dalam melantunkan dan menceritakan isi kawih tentang bangga sebagai bangsa Indonesia</v>
      </c>
      <c r="AH28" s="252" t="str">
        <f t="shared" si="9"/>
        <v>SYAEPUL baik  dalam melantunkan dan menceritakan isi kawih tentang bangga sebagai bangsa Indonesia</v>
      </c>
      <c r="AI28" s="153"/>
      <c r="AS28" s="469">
        <f t="shared" si="10"/>
        <v>85</v>
      </c>
    </row>
    <row r="29" spans="2:45" ht="63.75" customHeight="1">
      <c r="B29" s="142">
        <v>25</v>
      </c>
      <c r="C29" s="143" t="str">
        <f>SISWA!B30</f>
        <v>1718250040329</v>
      </c>
      <c r="D29" s="144" t="str">
        <f>SISWA!E30</f>
        <v>ALIF</v>
      </c>
      <c r="E29" s="159">
        <v>82</v>
      </c>
      <c r="F29" s="160">
        <v>82</v>
      </c>
      <c r="G29" s="160">
        <v>82</v>
      </c>
      <c r="H29" s="160"/>
      <c r="I29" s="160"/>
      <c r="J29" s="160"/>
      <c r="K29" s="160"/>
      <c r="L29" s="160"/>
      <c r="M29" s="160"/>
      <c r="N29" s="159"/>
      <c r="O29" s="159"/>
      <c r="P29" s="159"/>
      <c r="Q29" s="159"/>
      <c r="R29" s="160"/>
      <c r="S29" s="160"/>
      <c r="T29" s="159"/>
      <c r="U29" s="354">
        <f t="shared" si="4"/>
        <v>82</v>
      </c>
      <c r="V29" s="355" t="str">
        <f>IF(U29&gt;KKM!$G$10,"A",IF(U29&gt;KKM!$H$10,"B",IF(U29&gt;=KKM!$I$10,"C","D")))</f>
        <v>B</v>
      </c>
      <c r="W29" s="356">
        <f t="shared" si="0"/>
        <v>82</v>
      </c>
      <c r="X29" s="361" t="str">
        <f>IF(W29&gt;KKM!$G$10," sangat baik ",IF(W29&gt;KKM!$H$10," baik ",IF(W29&gt;=KKM!$I$10," cukup baik "," perlu bimbingan ")))</f>
        <v xml:space="preserve"> baik </v>
      </c>
      <c r="Y29" s="357">
        <f t="shared" si="1"/>
        <v>82</v>
      </c>
      <c r="Z29" s="361" t="str">
        <f>IF(Y29&gt;KKM!$G$10," sangat baik ",IF(Y29&gt;KKM!$H$10," baik ",IF(Y29&gt;=KKM!$I$10," cukup baik "," perlu bimbingan ")))</f>
        <v xml:space="preserve"> baik </v>
      </c>
      <c r="AA29" s="353" t="str">
        <f t="shared" si="5"/>
        <v>ALIF baik  dalam melantunkan dan menceritakan isi kawih tentang bangga sebagai bangsa Indonesia</v>
      </c>
      <c r="AB29" s="256"/>
      <c r="AC29" s="257" t="str">
        <f t="shared" si="2"/>
        <v xml:space="preserve"> baik  dalam melantunkan dan menceritakan isi kawih tentang bangga sebagai bangsa Indonesia</v>
      </c>
      <c r="AD29" s="257" t="str">
        <f t="shared" si="3"/>
        <v xml:space="preserve"> baik  dalam melantunkan dan menceritakan isi kawih tentang bangga sebagai bangsa Indonesia</v>
      </c>
      <c r="AE29" s="257" t="str">
        <f t="shared" si="6"/>
        <v xml:space="preserve"> baik  dalam melantunkan dan menceritakan isi kawih tentang bangga sebagai bangsa Indonesia, dan  baik  dalam melantunkan dan menceritakan isi kawih tentang bangga sebagai bangsa Indonesia</v>
      </c>
      <c r="AF29" s="257" t="str">
        <f t="shared" si="7"/>
        <v xml:space="preserve"> baik  dalam melantunkan dan menceritakan isi kawih tentang bangga sebagai bangsa Indonesia</v>
      </c>
      <c r="AG29" s="258" t="str">
        <f t="shared" si="8"/>
        <v xml:space="preserve"> baik  dalam melantunkan dan menceritakan isi kawih tentang bangga sebagai bangsa Indonesia</v>
      </c>
      <c r="AH29" s="252" t="str">
        <f t="shared" si="9"/>
        <v>ALIF baik  dalam melantunkan dan menceritakan isi kawih tentang bangga sebagai bangsa Indonesia</v>
      </c>
      <c r="AI29" s="153"/>
      <c r="AS29" s="469">
        <f t="shared" si="10"/>
        <v>82</v>
      </c>
    </row>
    <row r="30" spans="2:45" ht="63.75" customHeight="1">
      <c r="B30" s="142">
        <v>26</v>
      </c>
      <c r="C30" s="143" t="str">
        <f>SISWA!B31</f>
        <v>1718250040330</v>
      </c>
      <c r="D30" s="144" t="str">
        <f>SISWA!E31</f>
        <v>HIZKIEL</v>
      </c>
      <c r="E30" s="159">
        <v>85</v>
      </c>
      <c r="F30" s="160">
        <v>85</v>
      </c>
      <c r="G30" s="160">
        <v>85</v>
      </c>
      <c r="H30" s="160"/>
      <c r="I30" s="160"/>
      <c r="J30" s="160"/>
      <c r="K30" s="160"/>
      <c r="L30" s="160"/>
      <c r="M30" s="160"/>
      <c r="N30" s="159"/>
      <c r="O30" s="159"/>
      <c r="P30" s="159"/>
      <c r="Q30" s="159"/>
      <c r="R30" s="160"/>
      <c r="S30" s="160"/>
      <c r="T30" s="159"/>
      <c r="U30" s="354">
        <f t="shared" si="4"/>
        <v>85</v>
      </c>
      <c r="V30" s="355" t="str">
        <f>IF(U30&gt;KKM!$G$10,"A",IF(U30&gt;KKM!$H$10,"B",IF(U30&gt;=KKM!$I$10,"C","D")))</f>
        <v>B</v>
      </c>
      <c r="W30" s="356">
        <f t="shared" si="0"/>
        <v>85</v>
      </c>
      <c r="X30" s="361" t="str">
        <f>IF(W30&gt;KKM!$G$10," sangat baik ",IF(W30&gt;KKM!$H$10," baik ",IF(W30&gt;=KKM!$I$10," cukup baik "," perlu bimbingan ")))</f>
        <v xml:space="preserve"> baik </v>
      </c>
      <c r="Y30" s="357">
        <f t="shared" si="1"/>
        <v>85</v>
      </c>
      <c r="Z30" s="361" t="str">
        <f>IF(Y30&gt;KKM!$G$10," sangat baik ",IF(Y30&gt;KKM!$H$10," baik ",IF(Y30&gt;=KKM!$I$10," cukup baik "," perlu bimbingan ")))</f>
        <v xml:space="preserve"> baik </v>
      </c>
      <c r="AA30" s="353" t="str">
        <f t="shared" si="5"/>
        <v>HIZKIEL baik  dalam melantunkan dan menceritakan isi kawih tentang bangga sebagai bangsa Indonesia</v>
      </c>
      <c r="AB30" s="256"/>
      <c r="AC30" s="257" t="str">
        <f t="shared" si="2"/>
        <v xml:space="preserve"> baik  dalam melantunkan dan menceritakan isi kawih tentang bangga sebagai bangsa Indonesia</v>
      </c>
      <c r="AD30" s="257" t="str">
        <f t="shared" si="3"/>
        <v xml:space="preserve"> baik  dalam melantunkan dan menceritakan isi kawih tentang bangga sebagai bangsa Indonesia</v>
      </c>
      <c r="AE30" s="257" t="str">
        <f t="shared" si="6"/>
        <v xml:space="preserve"> baik  dalam melantunkan dan menceritakan isi kawih tentang bangga sebagai bangsa Indonesia, dan  baik  dalam melantunkan dan menceritakan isi kawih tentang bangga sebagai bangsa Indonesia</v>
      </c>
      <c r="AF30" s="257" t="str">
        <f t="shared" si="7"/>
        <v xml:space="preserve"> baik  dalam melantunkan dan menceritakan isi kawih tentang bangga sebagai bangsa Indonesia</v>
      </c>
      <c r="AG30" s="258" t="str">
        <f t="shared" si="8"/>
        <v xml:space="preserve"> baik  dalam melantunkan dan menceritakan isi kawih tentang bangga sebagai bangsa Indonesia</v>
      </c>
      <c r="AH30" s="252" t="str">
        <f t="shared" si="9"/>
        <v>HIZKIEL baik  dalam melantunkan dan menceritakan isi kawih tentang bangga sebagai bangsa Indonesia</v>
      </c>
      <c r="AI30" s="153"/>
      <c r="AS30" s="469">
        <f t="shared" si="10"/>
        <v>85</v>
      </c>
    </row>
    <row r="31" spans="2:45" ht="63.75" customHeight="1">
      <c r="B31" s="142">
        <v>27</v>
      </c>
      <c r="C31" s="143" t="str">
        <f>SISWA!B32</f>
        <v>1718250040331</v>
      </c>
      <c r="D31" s="144" t="str">
        <f>SISWA!E32</f>
        <v>LAEL</v>
      </c>
      <c r="E31" s="159">
        <v>80</v>
      </c>
      <c r="F31" s="160">
        <v>80</v>
      </c>
      <c r="G31" s="160">
        <v>80</v>
      </c>
      <c r="H31" s="160"/>
      <c r="I31" s="160"/>
      <c r="J31" s="160"/>
      <c r="K31" s="160"/>
      <c r="L31" s="160"/>
      <c r="M31" s="160"/>
      <c r="N31" s="159"/>
      <c r="O31" s="159"/>
      <c r="P31" s="159"/>
      <c r="Q31" s="159"/>
      <c r="R31" s="160"/>
      <c r="S31" s="160"/>
      <c r="T31" s="159"/>
      <c r="U31" s="354">
        <f t="shared" si="4"/>
        <v>80</v>
      </c>
      <c r="V31" s="355" t="str">
        <f>IF(U31&gt;KKM!$G$10,"A",IF(U31&gt;KKM!$H$10,"B",IF(U31&gt;=KKM!$I$10,"C","D")))</f>
        <v>B</v>
      </c>
      <c r="W31" s="356">
        <f t="shared" si="0"/>
        <v>80</v>
      </c>
      <c r="X31" s="361" t="str">
        <f>IF(W31&gt;KKM!$G$10," sangat baik ",IF(W31&gt;KKM!$H$10," baik ",IF(W31&gt;=KKM!$I$10," cukup baik "," perlu bimbingan ")))</f>
        <v xml:space="preserve"> baik </v>
      </c>
      <c r="Y31" s="357">
        <f t="shared" si="1"/>
        <v>80</v>
      </c>
      <c r="Z31" s="361" t="str">
        <f>IF(Y31&gt;KKM!$G$10," sangat baik ",IF(Y31&gt;KKM!$H$10," baik ",IF(Y31&gt;=KKM!$I$10," cukup baik "," perlu bimbingan ")))</f>
        <v xml:space="preserve"> baik </v>
      </c>
      <c r="AA31" s="353" t="str">
        <f t="shared" si="5"/>
        <v>LAEL baik  dalam melantunkan dan menceritakan isi kawih tentang bangga sebagai bangsa Indonesia</v>
      </c>
      <c r="AB31" s="256"/>
      <c r="AC31" s="257" t="str">
        <f t="shared" si="2"/>
        <v xml:space="preserve"> baik  dalam melantunkan dan menceritakan isi kawih tentang bangga sebagai bangsa Indonesia</v>
      </c>
      <c r="AD31" s="257" t="str">
        <f t="shared" si="3"/>
        <v xml:space="preserve"> baik  dalam melantunkan dan menceritakan isi kawih tentang bangga sebagai bangsa Indonesia</v>
      </c>
      <c r="AE31" s="257" t="str">
        <f t="shared" si="6"/>
        <v xml:space="preserve"> baik  dalam melantunkan dan menceritakan isi kawih tentang bangga sebagai bangsa Indonesia, dan  baik  dalam melantunkan dan menceritakan isi kawih tentang bangga sebagai bangsa Indonesia</v>
      </c>
      <c r="AF31" s="257" t="str">
        <f t="shared" si="7"/>
        <v xml:space="preserve"> baik  dalam melantunkan dan menceritakan isi kawih tentang bangga sebagai bangsa Indonesia</v>
      </c>
      <c r="AG31" s="258" t="str">
        <f t="shared" si="8"/>
        <v xml:space="preserve"> baik  dalam melantunkan dan menceritakan isi kawih tentang bangga sebagai bangsa Indonesia</v>
      </c>
      <c r="AH31" s="252" t="str">
        <f t="shared" si="9"/>
        <v>LAEL baik  dalam melantunkan dan menceritakan isi kawih tentang bangga sebagai bangsa Indonesia</v>
      </c>
      <c r="AI31" s="153"/>
      <c r="AS31" s="469">
        <f t="shared" si="10"/>
        <v>80</v>
      </c>
    </row>
    <row r="32" spans="2:45" ht="63.75" customHeight="1">
      <c r="B32" s="142">
        <v>28</v>
      </c>
      <c r="C32" s="143" t="str">
        <f>SISWA!B33</f>
        <v>1718250040332</v>
      </c>
      <c r="D32" s="144" t="str">
        <f>SISWA!E33</f>
        <v>NABIL</v>
      </c>
      <c r="E32" s="159">
        <v>70</v>
      </c>
      <c r="F32" s="160">
        <v>70</v>
      </c>
      <c r="G32" s="160">
        <v>70</v>
      </c>
      <c r="H32" s="160"/>
      <c r="I32" s="160"/>
      <c r="J32" s="160"/>
      <c r="K32" s="160"/>
      <c r="L32" s="160"/>
      <c r="M32" s="160"/>
      <c r="N32" s="159"/>
      <c r="O32" s="159"/>
      <c r="P32" s="159"/>
      <c r="Q32" s="159"/>
      <c r="R32" s="160"/>
      <c r="S32" s="160"/>
      <c r="T32" s="159"/>
      <c r="U32" s="354">
        <f t="shared" si="4"/>
        <v>70</v>
      </c>
      <c r="V32" s="355" t="str">
        <f>IF(U32&gt;KKM!$G$10,"A",IF(U32&gt;KKM!$H$10,"B",IF(U32&gt;=KKM!$I$10,"C","D")))</f>
        <v>C</v>
      </c>
      <c r="W32" s="356">
        <f t="shared" si="0"/>
        <v>70</v>
      </c>
      <c r="X32" s="361" t="str">
        <f>IF(W32&gt;KKM!$G$10," sangat baik ",IF(W32&gt;KKM!$H$10," baik ",IF(W32&gt;=KKM!$I$10," cukup baik "," perlu bimbingan ")))</f>
        <v xml:space="preserve"> cukup baik </v>
      </c>
      <c r="Y32" s="357">
        <f t="shared" si="1"/>
        <v>70</v>
      </c>
      <c r="Z32" s="361" t="str">
        <f>IF(Y32&gt;KKM!$G$10," sangat baik ",IF(Y32&gt;KKM!$H$10," baik ",IF(Y32&gt;=KKM!$I$10," cukup baik "," perlu bimbingan ")))</f>
        <v xml:space="preserve"> cukup baik </v>
      </c>
      <c r="AA32" s="353" t="str">
        <f t="shared" si="5"/>
        <v>NABIL cukup baik  dalam melantunkan dan menceritakan isi kawih tentang bangga sebagai bangsa Indonesia</v>
      </c>
      <c r="AB32" s="256"/>
      <c r="AC32" s="257" t="str">
        <f t="shared" si="2"/>
        <v xml:space="preserve"> cukup baik  dalam melantunkan dan menceritakan isi kawih tentang bangga sebagai bangsa Indonesia</v>
      </c>
      <c r="AD32" s="257" t="str">
        <f t="shared" si="3"/>
        <v xml:space="preserve"> cukup baik  dalam melantunkan dan menceritakan isi kawih tentang bangga sebagai bangsa Indonesia</v>
      </c>
      <c r="AE32" s="257" t="str">
        <f t="shared" si="6"/>
        <v xml:space="preserve"> cukup baik  dalam melantunkan dan menceritakan isi kawih tentang bangga sebagai bangsa Indonesia, dan  cukup baik  dalam melantunkan dan menceritakan isi kawih tentang bangga sebagai bangsa Indonesia</v>
      </c>
      <c r="AF32" s="257" t="str">
        <f t="shared" si="7"/>
        <v xml:space="preserve"> cukup baik  dalam melantunkan dan menceritakan isi kawih tentang bangga sebagai bangsa Indonesia</v>
      </c>
      <c r="AG32" s="258" t="str">
        <f t="shared" si="8"/>
        <v xml:space="preserve"> cukup baik  dalam melantunkan dan menceritakan isi kawih tentang bangga sebagai bangsa Indonesia</v>
      </c>
      <c r="AH32" s="252" t="str">
        <f t="shared" si="9"/>
        <v>NABIL cukup baik  dalam melantunkan dan menceritakan isi kawih tentang bangga sebagai bangsa Indonesia</v>
      </c>
      <c r="AI32" s="153"/>
      <c r="AS32" s="469">
        <f t="shared" si="10"/>
        <v>70</v>
      </c>
    </row>
    <row r="33" spans="2:45" ht="63.75" customHeight="1">
      <c r="B33" s="142">
        <v>29</v>
      </c>
      <c r="C33" s="143" t="str">
        <f>SISWA!B34</f>
        <v>1718250040333</v>
      </c>
      <c r="D33" s="144" t="str">
        <f>SISWA!E34</f>
        <v>RASYA</v>
      </c>
      <c r="E33" s="159">
        <v>71</v>
      </c>
      <c r="F33" s="160">
        <v>71</v>
      </c>
      <c r="G33" s="160">
        <v>71</v>
      </c>
      <c r="H33" s="160"/>
      <c r="I33" s="160"/>
      <c r="J33" s="160"/>
      <c r="K33" s="160"/>
      <c r="L33" s="160"/>
      <c r="M33" s="160"/>
      <c r="N33" s="159"/>
      <c r="O33" s="159"/>
      <c r="P33" s="159"/>
      <c r="Q33" s="159"/>
      <c r="R33" s="160"/>
      <c r="S33" s="160"/>
      <c r="T33" s="159"/>
      <c r="U33" s="354">
        <f t="shared" si="4"/>
        <v>71</v>
      </c>
      <c r="V33" s="355" t="str">
        <f>IF(U33&gt;KKM!$G$10,"A",IF(U33&gt;KKM!$H$10,"B",IF(U33&gt;=KKM!$I$10,"C","D")))</f>
        <v>C</v>
      </c>
      <c r="W33" s="356">
        <f t="shared" si="0"/>
        <v>71</v>
      </c>
      <c r="X33" s="361" t="str">
        <f>IF(W33&gt;KKM!$G$10," sangat baik ",IF(W33&gt;KKM!$H$10," baik ",IF(W33&gt;=KKM!$I$10," cukup baik "," perlu bimbingan ")))</f>
        <v xml:space="preserve"> cukup baik </v>
      </c>
      <c r="Y33" s="357">
        <f t="shared" si="1"/>
        <v>71</v>
      </c>
      <c r="Z33" s="361" t="str">
        <f>IF(Y33&gt;KKM!$G$10," sangat baik ",IF(Y33&gt;KKM!$H$10," baik ",IF(Y33&gt;=KKM!$I$10," cukup baik "," perlu bimbingan ")))</f>
        <v xml:space="preserve"> cukup baik </v>
      </c>
      <c r="AA33" s="353" t="str">
        <f t="shared" si="5"/>
        <v>RASYA cukup baik  dalam melantunkan dan menceritakan isi kawih tentang bangga sebagai bangsa Indonesia</v>
      </c>
      <c r="AB33" s="256"/>
      <c r="AC33" s="257" t="str">
        <f t="shared" si="2"/>
        <v xml:space="preserve"> cukup baik  dalam melantunkan dan menceritakan isi kawih tentang bangga sebagai bangsa Indonesia</v>
      </c>
      <c r="AD33" s="257" t="str">
        <f t="shared" si="3"/>
        <v xml:space="preserve"> cukup baik  dalam melantunkan dan menceritakan isi kawih tentang bangga sebagai bangsa Indonesia</v>
      </c>
      <c r="AE33" s="257" t="str">
        <f t="shared" si="6"/>
        <v xml:space="preserve"> cukup baik  dalam melantunkan dan menceritakan isi kawih tentang bangga sebagai bangsa Indonesia, dan  cukup baik  dalam melantunkan dan menceritakan isi kawih tentang bangga sebagai bangsa Indonesia</v>
      </c>
      <c r="AF33" s="257" t="str">
        <f t="shared" si="7"/>
        <v xml:space="preserve"> cukup baik  dalam melantunkan dan menceritakan isi kawih tentang bangga sebagai bangsa Indonesia</v>
      </c>
      <c r="AG33" s="258" t="str">
        <f t="shared" si="8"/>
        <v xml:space="preserve"> cukup baik  dalam melantunkan dan menceritakan isi kawih tentang bangga sebagai bangsa Indonesia</v>
      </c>
      <c r="AH33" s="252" t="str">
        <f t="shared" si="9"/>
        <v>RASYA cukup baik  dalam melantunkan dan menceritakan isi kawih tentang bangga sebagai bangsa Indonesia</v>
      </c>
      <c r="AI33" s="153"/>
      <c r="AS33" s="469">
        <f t="shared" si="10"/>
        <v>71</v>
      </c>
    </row>
    <row r="34" spans="2:45" ht="63.75" customHeight="1">
      <c r="B34" s="142">
        <v>30</v>
      </c>
      <c r="C34" s="143" t="str">
        <f>SISWA!B35</f>
        <v>1718250040334</v>
      </c>
      <c r="D34" s="144" t="str">
        <f>SISWA!E35</f>
        <v>RIZKI</v>
      </c>
      <c r="E34" s="159">
        <v>85</v>
      </c>
      <c r="F34" s="160">
        <v>85</v>
      </c>
      <c r="G34" s="160">
        <v>85</v>
      </c>
      <c r="H34" s="160"/>
      <c r="I34" s="160"/>
      <c r="J34" s="160"/>
      <c r="K34" s="160"/>
      <c r="L34" s="160"/>
      <c r="M34" s="160"/>
      <c r="N34" s="159"/>
      <c r="O34" s="159"/>
      <c r="P34" s="159"/>
      <c r="Q34" s="159"/>
      <c r="R34" s="160"/>
      <c r="S34" s="160"/>
      <c r="T34" s="159"/>
      <c r="U34" s="354">
        <f t="shared" si="4"/>
        <v>85</v>
      </c>
      <c r="V34" s="355" t="str">
        <f>IF(U34&gt;KKM!$G$10,"A",IF(U34&gt;KKM!$H$10,"B",IF(U34&gt;=KKM!$I$10,"C","D")))</f>
        <v>B</v>
      </c>
      <c r="W34" s="356">
        <f t="shared" si="0"/>
        <v>85</v>
      </c>
      <c r="X34" s="361" t="str">
        <f>IF(W34&gt;KKM!$G$10," sangat baik ",IF(W34&gt;KKM!$H$10," baik ",IF(W34&gt;=KKM!$I$10," cukup baik "," perlu bimbingan ")))</f>
        <v xml:space="preserve"> baik </v>
      </c>
      <c r="Y34" s="357">
        <f t="shared" si="1"/>
        <v>85</v>
      </c>
      <c r="Z34" s="361" t="str">
        <f>IF(Y34&gt;KKM!$G$10," sangat baik ",IF(Y34&gt;KKM!$H$10," baik ",IF(Y34&gt;=KKM!$I$10," cukup baik "," perlu bimbingan ")))</f>
        <v xml:space="preserve"> baik </v>
      </c>
      <c r="AA34" s="353" t="str">
        <f t="shared" si="5"/>
        <v>RIZKI baik  dalam melantunkan dan menceritakan isi kawih tentang bangga sebagai bangsa Indonesia</v>
      </c>
      <c r="AB34" s="256"/>
      <c r="AC34" s="257" t="str">
        <f t="shared" si="2"/>
        <v xml:space="preserve"> baik  dalam melantunkan dan menceritakan isi kawih tentang bangga sebagai bangsa Indonesia</v>
      </c>
      <c r="AD34" s="257" t="str">
        <f t="shared" si="3"/>
        <v xml:space="preserve"> baik  dalam melantunkan dan menceritakan isi kawih tentang bangga sebagai bangsa Indonesia</v>
      </c>
      <c r="AE34" s="257" t="str">
        <f t="shared" si="6"/>
        <v xml:space="preserve"> baik  dalam melantunkan dan menceritakan isi kawih tentang bangga sebagai bangsa Indonesia, dan  baik  dalam melantunkan dan menceritakan isi kawih tentang bangga sebagai bangsa Indonesia</v>
      </c>
      <c r="AF34" s="257" t="str">
        <f t="shared" si="7"/>
        <v xml:space="preserve"> baik  dalam melantunkan dan menceritakan isi kawih tentang bangga sebagai bangsa Indonesia</v>
      </c>
      <c r="AG34" s="258" t="str">
        <f t="shared" si="8"/>
        <v xml:space="preserve"> baik  dalam melantunkan dan menceritakan isi kawih tentang bangga sebagai bangsa Indonesia</v>
      </c>
      <c r="AH34" s="252" t="str">
        <f t="shared" si="9"/>
        <v>RIZKI baik  dalam melantunkan dan menceritakan isi kawih tentang bangga sebagai bangsa Indonesia</v>
      </c>
      <c r="AI34" s="153"/>
      <c r="AS34" s="469">
        <f t="shared" si="10"/>
        <v>85</v>
      </c>
    </row>
    <row r="35" spans="2:45" ht="63.75" customHeight="1">
      <c r="B35" s="142">
        <v>31</v>
      </c>
      <c r="C35" s="143" t="str">
        <f>SISWA!B36</f>
        <v>1718250040335</v>
      </c>
      <c r="D35" s="144" t="str">
        <f>SISWA!E36</f>
        <v>SATRIA</v>
      </c>
      <c r="E35" s="159">
        <v>94</v>
      </c>
      <c r="F35" s="160">
        <v>94</v>
      </c>
      <c r="G35" s="160">
        <v>94</v>
      </c>
      <c r="H35" s="160"/>
      <c r="I35" s="160"/>
      <c r="J35" s="160"/>
      <c r="K35" s="160"/>
      <c r="L35" s="160"/>
      <c r="M35" s="160"/>
      <c r="N35" s="159"/>
      <c r="O35" s="159"/>
      <c r="P35" s="159"/>
      <c r="Q35" s="159"/>
      <c r="R35" s="160"/>
      <c r="S35" s="160"/>
      <c r="T35" s="159"/>
      <c r="U35" s="354">
        <f t="shared" si="4"/>
        <v>94</v>
      </c>
      <c r="V35" s="355" t="str">
        <f>IF(U35&gt;KKM!$G$10,"A",IF(U35&gt;KKM!$H$10,"B",IF(U35&gt;=KKM!$I$10,"C","D")))</f>
        <v>A</v>
      </c>
      <c r="W35" s="356">
        <f t="shared" si="0"/>
        <v>94</v>
      </c>
      <c r="X35" s="361" t="str">
        <f>IF(W35&gt;KKM!$G$10," sangat baik ",IF(W35&gt;KKM!$H$10," baik ",IF(W35&gt;=KKM!$I$10," cukup baik "," perlu bimbingan ")))</f>
        <v xml:space="preserve"> sangat baik </v>
      </c>
      <c r="Y35" s="357">
        <f t="shared" si="1"/>
        <v>94</v>
      </c>
      <c r="Z35" s="361" t="str">
        <f>IF(Y35&gt;KKM!$G$10," sangat baik ",IF(Y35&gt;KKM!$H$10," baik ",IF(Y35&gt;=KKM!$I$10," cukup baik "," perlu bimbingan ")))</f>
        <v xml:space="preserve"> sangat baik </v>
      </c>
      <c r="AA35" s="353" t="str">
        <f t="shared" si="5"/>
        <v>SATRIA sangat baik  dalam melantunkan dan menceritakan isi kawih tentang bangga sebagai bangsa Indonesia</v>
      </c>
      <c r="AB35" s="256"/>
      <c r="AC35" s="257" t="str">
        <f t="shared" si="2"/>
        <v xml:space="preserve"> sangat baik  dalam melantunkan dan menceritakan isi kawih tentang bangga sebagai bangsa Indonesia</v>
      </c>
      <c r="AD35" s="257" t="str">
        <f t="shared" si="3"/>
        <v xml:space="preserve"> sangat baik  dalam melantunkan dan menceritakan isi kawih tentang bangga sebagai bangsa Indonesia</v>
      </c>
      <c r="AE35" s="257" t="str">
        <f t="shared" si="6"/>
        <v xml:space="preserve"> sangat baik  dalam melantunkan dan menceritakan isi kawih tentang bangga sebagai bangsa Indonesia, dan  sangat baik  dalam melantunkan dan menceritakan isi kawih tentang bangga sebagai bangsa Indonesia</v>
      </c>
      <c r="AF35" s="257" t="str">
        <f t="shared" si="7"/>
        <v xml:space="preserve"> sangat baik  dalam melantunkan dan menceritakan isi kawih tentang bangga sebagai bangsa Indonesia</v>
      </c>
      <c r="AG35" s="258" t="str">
        <f t="shared" si="8"/>
        <v xml:space="preserve"> sangat baik  dalam melantunkan dan menceritakan isi kawih tentang bangga sebagai bangsa Indonesia</v>
      </c>
      <c r="AH35" s="252" t="str">
        <f t="shared" si="9"/>
        <v>SATRIA sangat baik  dalam melantunkan dan menceritakan isi kawih tentang bangga sebagai bangsa Indonesia</v>
      </c>
      <c r="AI35" s="153"/>
      <c r="AS35" s="469">
        <f t="shared" si="10"/>
        <v>94</v>
      </c>
    </row>
    <row r="36" spans="2:45" ht="63.75" customHeight="1">
      <c r="B36" s="142">
        <v>32</v>
      </c>
      <c r="C36" s="143" t="str">
        <f>SISWA!B37</f>
        <v>1718250040336</v>
      </c>
      <c r="D36" s="144" t="str">
        <f>SISWA!E37</f>
        <v>NADIA</v>
      </c>
      <c r="E36" s="159">
        <v>94</v>
      </c>
      <c r="F36" s="160">
        <v>94</v>
      </c>
      <c r="G36" s="160">
        <v>94</v>
      </c>
      <c r="H36" s="160"/>
      <c r="I36" s="160"/>
      <c r="J36" s="160"/>
      <c r="K36" s="160"/>
      <c r="L36" s="160"/>
      <c r="M36" s="160"/>
      <c r="N36" s="159"/>
      <c r="O36" s="159"/>
      <c r="P36" s="159"/>
      <c r="Q36" s="159"/>
      <c r="R36" s="160"/>
      <c r="S36" s="160"/>
      <c r="T36" s="159"/>
      <c r="U36" s="354">
        <f t="shared" si="4"/>
        <v>94</v>
      </c>
      <c r="V36" s="355" t="str">
        <f>IF(U36&gt;KKM!$G$10,"A",IF(U36&gt;KKM!$H$10,"B",IF(U36&gt;=KKM!$I$10,"C","D")))</f>
        <v>A</v>
      </c>
      <c r="W36" s="356">
        <f t="shared" si="0"/>
        <v>94</v>
      </c>
      <c r="X36" s="361" t="str">
        <f>IF(W36&gt;KKM!$G$10," sangat baik ",IF(W36&gt;KKM!$H$10," baik ",IF(W36&gt;=KKM!$I$10," cukup baik "," perlu bimbingan ")))</f>
        <v xml:space="preserve"> sangat baik </v>
      </c>
      <c r="Y36" s="357">
        <f t="shared" si="1"/>
        <v>94</v>
      </c>
      <c r="Z36" s="361" t="str">
        <f>IF(Y36&gt;KKM!$G$10," sangat baik ",IF(Y36&gt;KKM!$H$10," baik ",IF(Y36&gt;=KKM!$I$10," cukup baik "," perlu bimbingan ")))</f>
        <v xml:space="preserve"> sangat baik </v>
      </c>
      <c r="AA36" s="353" t="str">
        <f t="shared" si="5"/>
        <v>NADIA sangat baik  dalam melantunkan dan menceritakan isi kawih tentang bangga sebagai bangsa Indonesia</v>
      </c>
      <c r="AB36" s="256"/>
      <c r="AC36" s="257" t="str">
        <f t="shared" si="2"/>
        <v xml:space="preserve"> sangat baik  dalam melantunkan dan menceritakan isi kawih tentang bangga sebagai bangsa Indonesia</v>
      </c>
      <c r="AD36" s="257" t="str">
        <f t="shared" si="3"/>
        <v xml:space="preserve"> sangat baik  dalam melantunkan dan menceritakan isi kawih tentang bangga sebagai bangsa Indonesia</v>
      </c>
      <c r="AE36" s="257" t="str">
        <f t="shared" si="6"/>
        <v xml:space="preserve"> sangat baik  dalam melantunkan dan menceritakan isi kawih tentang bangga sebagai bangsa Indonesia, dan  sangat baik  dalam melantunkan dan menceritakan isi kawih tentang bangga sebagai bangsa Indonesia</v>
      </c>
      <c r="AF36" s="257" t="str">
        <f t="shared" si="7"/>
        <v xml:space="preserve"> sangat baik  dalam melantunkan dan menceritakan isi kawih tentang bangga sebagai bangsa Indonesia</v>
      </c>
      <c r="AG36" s="258" t="str">
        <f t="shared" si="8"/>
        <v xml:space="preserve"> sangat baik  dalam melantunkan dan menceritakan isi kawih tentang bangga sebagai bangsa Indonesia</v>
      </c>
      <c r="AH36" s="252" t="str">
        <f t="shared" si="9"/>
        <v>NADIA sangat baik  dalam melantunkan dan menceritakan isi kawih tentang bangga sebagai bangsa Indonesia</v>
      </c>
      <c r="AI36" s="153"/>
      <c r="AS36" s="469">
        <f t="shared" si="10"/>
        <v>94</v>
      </c>
    </row>
    <row r="37" spans="2:45" ht="63.75" customHeight="1">
      <c r="B37" s="142">
        <v>33</v>
      </c>
      <c r="C37" s="143" t="str">
        <f>SISWA!B38</f>
        <v>1718250040337</v>
      </c>
      <c r="D37" s="144" t="str">
        <f>SISWA!E38</f>
        <v>NAFILA</v>
      </c>
      <c r="E37" s="159">
        <v>80</v>
      </c>
      <c r="F37" s="160">
        <v>80</v>
      </c>
      <c r="G37" s="160">
        <v>80</v>
      </c>
      <c r="H37" s="160"/>
      <c r="I37" s="160"/>
      <c r="J37" s="160"/>
      <c r="K37" s="160"/>
      <c r="L37" s="160"/>
      <c r="M37" s="160"/>
      <c r="N37" s="159"/>
      <c r="O37" s="159"/>
      <c r="P37" s="159"/>
      <c r="Q37" s="159"/>
      <c r="R37" s="160"/>
      <c r="S37" s="160"/>
      <c r="T37" s="159"/>
      <c r="U37" s="354">
        <f t="shared" si="4"/>
        <v>80</v>
      </c>
      <c r="V37" s="355" t="str">
        <f>IF(U37&gt;KKM!$G$10,"A",IF(U37&gt;KKM!$H$10,"B",IF(U37&gt;=KKM!$I$10,"C","D")))</f>
        <v>B</v>
      </c>
      <c r="W37" s="356">
        <f t="shared" si="0"/>
        <v>80</v>
      </c>
      <c r="X37" s="361" t="str">
        <f>IF(W37&gt;KKM!$G$10," sangat baik ",IF(W37&gt;KKM!$H$10," baik ",IF(W37&gt;=KKM!$I$10," cukup baik "," perlu bimbingan ")))</f>
        <v xml:space="preserve"> baik </v>
      </c>
      <c r="Y37" s="357">
        <f t="shared" si="1"/>
        <v>80</v>
      </c>
      <c r="Z37" s="361" t="str">
        <f>IF(Y37&gt;KKM!$G$10," sangat baik ",IF(Y37&gt;KKM!$H$10," baik ",IF(Y37&gt;=KKM!$I$10," cukup baik "," perlu bimbingan ")))</f>
        <v xml:space="preserve"> baik </v>
      </c>
      <c r="AA37" s="353" t="str">
        <f t="shared" si="5"/>
        <v>NAFILA baik  dalam melantunkan dan menceritakan isi kawih tentang bangga sebagai bangsa Indonesia</v>
      </c>
      <c r="AB37" s="256"/>
      <c r="AC37" s="257" t="str">
        <f t="shared" si="2"/>
        <v xml:space="preserve"> baik  dalam melantunkan dan menceritakan isi kawih tentang bangga sebagai bangsa Indonesia</v>
      </c>
      <c r="AD37" s="257" t="str">
        <f t="shared" si="3"/>
        <v xml:space="preserve"> baik  dalam melantunkan dan menceritakan isi kawih tentang bangga sebagai bangsa Indonesia</v>
      </c>
      <c r="AE37" s="257" t="str">
        <f t="shared" si="6"/>
        <v xml:space="preserve"> baik  dalam melantunkan dan menceritakan isi kawih tentang bangga sebagai bangsa Indonesia, dan  baik  dalam melantunkan dan menceritakan isi kawih tentang bangga sebagai bangsa Indonesia</v>
      </c>
      <c r="AF37" s="257" t="str">
        <f t="shared" si="7"/>
        <v xml:space="preserve"> baik  dalam melantunkan dan menceritakan isi kawih tentang bangga sebagai bangsa Indonesia</v>
      </c>
      <c r="AG37" s="258" t="str">
        <f t="shared" si="8"/>
        <v xml:space="preserve"> baik  dalam melantunkan dan menceritakan isi kawih tentang bangga sebagai bangsa Indonesia</v>
      </c>
      <c r="AH37" s="252" t="str">
        <f t="shared" si="9"/>
        <v>NAFILA baik  dalam melantunkan dan menceritakan isi kawih tentang bangga sebagai bangsa Indonesia</v>
      </c>
      <c r="AI37" s="153"/>
      <c r="AS37" s="469">
        <f t="shared" si="10"/>
        <v>80</v>
      </c>
    </row>
    <row r="38" spans="2:45" ht="63.75" customHeight="1">
      <c r="B38" s="142">
        <v>34</v>
      </c>
      <c r="C38" s="143" t="str">
        <f>SISWA!B39</f>
        <v>1718250040338</v>
      </c>
      <c r="D38" s="144" t="str">
        <f>SISWA!E39</f>
        <v>NAZZALA</v>
      </c>
      <c r="E38" s="159">
        <v>82</v>
      </c>
      <c r="F38" s="160">
        <v>82</v>
      </c>
      <c r="G38" s="160">
        <v>82</v>
      </c>
      <c r="H38" s="160"/>
      <c r="I38" s="160"/>
      <c r="J38" s="160"/>
      <c r="K38" s="160"/>
      <c r="L38" s="160"/>
      <c r="M38" s="160"/>
      <c r="N38" s="159"/>
      <c r="O38" s="159"/>
      <c r="P38" s="159"/>
      <c r="Q38" s="159"/>
      <c r="R38" s="160"/>
      <c r="S38" s="160"/>
      <c r="T38" s="159"/>
      <c r="U38" s="354">
        <f t="shared" si="4"/>
        <v>82</v>
      </c>
      <c r="V38" s="355" t="str">
        <f>IF(U38&gt;KKM!$G$10,"A",IF(U38&gt;KKM!$H$10,"B",IF(U38&gt;=KKM!$I$10,"C","D")))</f>
        <v>B</v>
      </c>
      <c r="W38" s="356">
        <f t="shared" si="0"/>
        <v>82</v>
      </c>
      <c r="X38" s="361" t="str">
        <f>IF(W38&gt;KKM!$G$10," sangat baik ",IF(W38&gt;KKM!$H$10," baik ",IF(W38&gt;=KKM!$I$10," cukup baik "," perlu bimbingan ")))</f>
        <v xml:space="preserve"> baik </v>
      </c>
      <c r="Y38" s="357">
        <f t="shared" si="1"/>
        <v>82</v>
      </c>
      <c r="Z38" s="361" t="str">
        <f>IF(Y38&gt;KKM!$G$10," sangat baik ",IF(Y38&gt;KKM!$H$10," baik ",IF(Y38&gt;=KKM!$I$10," cukup baik "," perlu bimbingan ")))</f>
        <v xml:space="preserve"> baik </v>
      </c>
      <c r="AA38" s="353" t="str">
        <f t="shared" si="5"/>
        <v>NAZZALA baik  dalam melantunkan dan menceritakan isi kawih tentang bangga sebagai bangsa Indonesia</v>
      </c>
      <c r="AB38" s="256"/>
      <c r="AC38" s="257" t="str">
        <f t="shared" si="2"/>
        <v xml:space="preserve"> baik  dalam melantunkan dan menceritakan isi kawih tentang bangga sebagai bangsa Indonesia</v>
      </c>
      <c r="AD38" s="257" t="str">
        <f t="shared" si="3"/>
        <v xml:space="preserve"> baik  dalam melantunkan dan menceritakan isi kawih tentang bangga sebagai bangsa Indonesia</v>
      </c>
      <c r="AE38" s="257" t="str">
        <f t="shared" si="6"/>
        <v xml:space="preserve"> baik  dalam melantunkan dan menceritakan isi kawih tentang bangga sebagai bangsa Indonesia, dan  baik  dalam melantunkan dan menceritakan isi kawih tentang bangga sebagai bangsa Indonesia</v>
      </c>
      <c r="AF38" s="257" t="str">
        <f t="shared" si="7"/>
        <v xml:space="preserve"> baik  dalam melantunkan dan menceritakan isi kawih tentang bangga sebagai bangsa Indonesia</v>
      </c>
      <c r="AG38" s="258" t="str">
        <f t="shared" si="8"/>
        <v xml:space="preserve"> baik  dalam melantunkan dan menceritakan isi kawih tentang bangga sebagai bangsa Indonesia</v>
      </c>
      <c r="AH38" s="252" t="str">
        <f t="shared" si="9"/>
        <v>NAZZALA baik  dalam melantunkan dan menceritakan isi kawih tentang bangga sebagai bangsa Indonesia</v>
      </c>
      <c r="AI38" s="153"/>
      <c r="AS38" s="469">
        <f t="shared" si="10"/>
        <v>82</v>
      </c>
    </row>
    <row r="39" spans="2:45" ht="63.75" customHeight="1">
      <c r="B39" s="142">
        <v>35</v>
      </c>
      <c r="C39" s="143" t="str">
        <f>SISWA!B40</f>
        <v>1718250040339</v>
      </c>
      <c r="D39" s="144" t="str">
        <f>SISWA!E40</f>
        <v>RAFAREL</v>
      </c>
      <c r="E39" s="159">
        <v>85</v>
      </c>
      <c r="F39" s="160">
        <v>85</v>
      </c>
      <c r="G39" s="160">
        <v>85</v>
      </c>
      <c r="H39" s="160"/>
      <c r="I39" s="160"/>
      <c r="J39" s="160"/>
      <c r="K39" s="160"/>
      <c r="L39" s="160"/>
      <c r="M39" s="160"/>
      <c r="N39" s="159"/>
      <c r="O39" s="159"/>
      <c r="P39" s="159"/>
      <c r="Q39" s="159"/>
      <c r="R39" s="160"/>
      <c r="S39" s="160"/>
      <c r="T39" s="159"/>
      <c r="U39" s="354">
        <f t="shared" si="4"/>
        <v>85</v>
      </c>
      <c r="V39" s="355" t="str">
        <f>IF(U39&gt;KKM!$G$10,"A",IF(U39&gt;KKM!$H$10,"B",IF(U39&gt;=KKM!$I$10,"C","D")))</f>
        <v>B</v>
      </c>
      <c r="W39" s="356">
        <f t="shared" si="0"/>
        <v>85</v>
      </c>
      <c r="X39" s="361" t="str">
        <f>IF(W39&gt;KKM!$G$10," sangat baik ",IF(W39&gt;KKM!$H$10," baik ",IF(W39&gt;=KKM!$I$10," cukup baik "," perlu bimbingan ")))</f>
        <v xml:space="preserve"> baik </v>
      </c>
      <c r="Y39" s="357">
        <f t="shared" si="1"/>
        <v>85</v>
      </c>
      <c r="Z39" s="361" t="str">
        <f>IF(Y39&gt;KKM!$G$10," sangat baik ",IF(Y39&gt;KKM!$H$10," baik ",IF(Y39&gt;=KKM!$I$10," cukup baik "," perlu bimbingan ")))</f>
        <v xml:space="preserve"> baik </v>
      </c>
      <c r="AA39" s="353" t="str">
        <f t="shared" si="5"/>
        <v>RAFAREL baik  dalam melantunkan dan menceritakan isi kawih tentang bangga sebagai bangsa Indonesia</v>
      </c>
      <c r="AB39" s="256"/>
      <c r="AC39" s="257" t="str">
        <f t="shared" si="2"/>
        <v xml:space="preserve"> baik  dalam melantunkan dan menceritakan isi kawih tentang bangga sebagai bangsa Indonesia</v>
      </c>
      <c r="AD39" s="257" t="str">
        <f t="shared" si="3"/>
        <v xml:space="preserve"> baik  dalam melantunkan dan menceritakan isi kawih tentang bangga sebagai bangsa Indonesia</v>
      </c>
      <c r="AE39" s="257" t="str">
        <f t="shared" si="6"/>
        <v xml:space="preserve"> baik  dalam melantunkan dan menceritakan isi kawih tentang bangga sebagai bangsa Indonesia, dan  baik  dalam melantunkan dan menceritakan isi kawih tentang bangga sebagai bangsa Indonesia</v>
      </c>
      <c r="AF39" s="257" t="str">
        <f t="shared" si="7"/>
        <v xml:space="preserve"> baik  dalam melantunkan dan menceritakan isi kawih tentang bangga sebagai bangsa Indonesia</v>
      </c>
      <c r="AG39" s="258" t="str">
        <f t="shared" si="8"/>
        <v xml:space="preserve"> baik  dalam melantunkan dan menceritakan isi kawih tentang bangga sebagai bangsa Indonesia</v>
      </c>
      <c r="AH39" s="252" t="str">
        <f t="shared" si="9"/>
        <v>RAFAREL baik  dalam melantunkan dan menceritakan isi kawih tentang bangga sebagai bangsa Indonesia</v>
      </c>
      <c r="AI39" s="153"/>
      <c r="AS39" s="469">
        <f t="shared" si="10"/>
        <v>85</v>
      </c>
    </row>
    <row r="40" spans="2:45" ht="63.75" customHeight="1">
      <c r="B40" s="142">
        <v>36</v>
      </c>
      <c r="C40" s="143" t="str">
        <f>SISWA!B41</f>
        <v>1718250040340</v>
      </c>
      <c r="D40" s="144" t="str">
        <f>SISWA!E41</f>
        <v>RAKHA</v>
      </c>
      <c r="E40" s="159">
        <v>82</v>
      </c>
      <c r="F40" s="160">
        <v>82</v>
      </c>
      <c r="G40" s="160">
        <v>82</v>
      </c>
      <c r="H40" s="160"/>
      <c r="I40" s="160"/>
      <c r="J40" s="160"/>
      <c r="K40" s="160"/>
      <c r="L40" s="160"/>
      <c r="M40" s="160"/>
      <c r="N40" s="159"/>
      <c r="O40" s="159"/>
      <c r="P40" s="159"/>
      <c r="Q40" s="159"/>
      <c r="R40" s="160"/>
      <c r="S40" s="160"/>
      <c r="T40" s="159"/>
      <c r="U40" s="354">
        <f t="shared" si="4"/>
        <v>82</v>
      </c>
      <c r="V40" s="355" t="str">
        <f>IF(U40&gt;KKM!$G$10,"A",IF(U40&gt;KKM!$H$10,"B",IF(U40&gt;=KKM!$I$10,"C","D")))</f>
        <v>B</v>
      </c>
      <c r="W40" s="356">
        <f t="shared" si="0"/>
        <v>82</v>
      </c>
      <c r="X40" s="361" t="str">
        <f>IF(W40&gt;KKM!$G$10," sangat baik ",IF(W40&gt;KKM!$H$10," baik ",IF(W40&gt;=KKM!$I$10," cukup baik "," perlu bimbingan ")))</f>
        <v xml:space="preserve"> baik </v>
      </c>
      <c r="Y40" s="357">
        <f t="shared" si="1"/>
        <v>82</v>
      </c>
      <c r="Z40" s="361" t="str">
        <f>IF(Y40&gt;KKM!$G$10," sangat baik ",IF(Y40&gt;KKM!$H$10," baik ",IF(Y40&gt;=KKM!$I$10," cukup baik "," perlu bimbingan ")))</f>
        <v xml:space="preserve"> baik </v>
      </c>
      <c r="AA40" s="353" t="str">
        <f t="shared" si="5"/>
        <v>RAKHA baik  dalam melantunkan dan menceritakan isi kawih tentang bangga sebagai bangsa Indonesia</v>
      </c>
      <c r="AB40" s="256"/>
      <c r="AC40" s="257" t="str">
        <f t="shared" si="2"/>
        <v xml:space="preserve"> baik  dalam melantunkan dan menceritakan isi kawih tentang bangga sebagai bangsa Indonesia</v>
      </c>
      <c r="AD40" s="257" t="str">
        <f t="shared" si="3"/>
        <v xml:space="preserve"> baik  dalam melantunkan dan menceritakan isi kawih tentang bangga sebagai bangsa Indonesia</v>
      </c>
      <c r="AE40" s="257" t="str">
        <f t="shared" si="6"/>
        <v xml:space="preserve"> baik  dalam melantunkan dan menceritakan isi kawih tentang bangga sebagai bangsa Indonesia, dan  baik  dalam melantunkan dan menceritakan isi kawih tentang bangga sebagai bangsa Indonesia</v>
      </c>
      <c r="AF40" s="257" t="str">
        <f t="shared" si="7"/>
        <v xml:space="preserve"> baik  dalam melantunkan dan menceritakan isi kawih tentang bangga sebagai bangsa Indonesia</v>
      </c>
      <c r="AG40" s="258" t="str">
        <f t="shared" si="8"/>
        <v xml:space="preserve"> baik  dalam melantunkan dan menceritakan isi kawih tentang bangga sebagai bangsa Indonesia</v>
      </c>
      <c r="AH40" s="252" t="str">
        <f t="shared" si="9"/>
        <v>RAKHA baik  dalam melantunkan dan menceritakan isi kawih tentang bangga sebagai bangsa Indonesia</v>
      </c>
      <c r="AI40" s="153"/>
      <c r="AS40" s="469">
        <f t="shared" si="10"/>
        <v>82</v>
      </c>
    </row>
    <row r="41" spans="2:45" ht="63.75" customHeight="1">
      <c r="B41" s="142">
        <v>37</v>
      </c>
      <c r="C41" s="143" t="str">
        <f>SISWA!B42</f>
        <v>1718250040341</v>
      </c>
      <c r="D41" s="144" t="str">
        <f>SISWA!E42</f>
        <v>RYU</v>
      </c>
      <c r="E41" s="159">
        <v>65</v>
      </c>
      <c r="F41" s="160">
        <v>65</v>
      </c>
      <c r="G41" s="160">
        <v>65</v>
      </c>
      <c r="H41" s="160"/>
      <c r="I41" s="160"/>
      <c r="J41" s="160"/>
      <c r="K41" s="160"/>
      <c r="L41" s="160"/>
      <c r="M41" s="160"/>
      <c r="N41" s="159"/>
      <c r="O41" s="159"/>
      <c r="P41" s="159"/>
      <c r="Q41" s="159"/>
      <c r="R41" s="160"/>
      <c r="S41" s="160"/>
      <c r="T41" s="159"/>
      <c r="U41" s="354">
        <f t="shared" si="4"/>
        <v>65</v>
      </c>
      <c r="V41" s="355" t="str">
        <f>IF(U41&gt;KKM!$G$10,"A",IF(U41&gt;KKM!$H$10,"B",IF(U41&gt;=KKM!$I$10,"C","D")))</f>
        <v>C</v>
      </c>
      <c r="W41" s="356">
        <f t="shared" si="0"/>
        <v>65</v>
      </c>
      <c r="X41" s="361" t="str">
        <f>IF(W41&gt;KKM!$G$10," sangat baik ",IF(W41&gt;KKM!$H$10," baik ",IF(W41&gt;=KKM!$I$10," cukup baik "," perlu bimbingan ")))</f>
        <v xml:space="preserve"> cukup baik </v>
      </c>
      <c r="Y41" s="357">
        <f t="shared" si="1"/>
        <v>65</v>
      </c>
      <c r="Z41" s="361" t="str">
        <f>IF(Y41&gt;KKM!$G$10," sangat baik ",IF(Y41&gt;KKM!$H$10," baik ",IF(Y41&gt;=KKM!$I$10," cukup baik "," perlu bimbingan ")))</f>
        <v xml:space="preserve"> cukup baik </v>
      </c>
      <c r="AA41" s="353" t="str">
        <f t="shared" si="5"/>
        <v>RYU cukup baik  dalam melantunkan dan menceritakan isi kawih tentang bangga sebagai bangsa Indonesia</v>
      </c>
      <c r="AB41" s="256"/>
      <c r="AC41" s="257" t="str">
        <f t="shared" si="2"/>
        <v xml:space="preserve"> cukup baik  dalam melantunkan dan menceritakan isi kawih tentang bangga sebagai bangsa Indonesia</v>
      </c>
      <c r="AD41" s="257" t="str">
        <f t="shared" si="3"/>
        <v xml:space="preserve"> cukup baik  dalam melantunkan dan menceritakan isi kawih tentang bangga sebagai bangsa Indonesia</v>
      </c>
      <c r="AE41" s="257" t="str">
        <f t="shared" si="6"/>
        <v xml:space="preserve"> cukup baik  dalam melantunkan dan menceritakan isi kawih tentang bangga sebagai bangsa Indonesia, dan  cukup baik  dalam melantunkan dan menceritakan isi kawih tentang bangga sebagai bangsa Indonesia</v>
      </c>
      <c r="AF41" s="257" t="str">
        <f t="shared" si="7"/>
        <v xml:space="preserve"> cukup baik  dalam melantunkan dan menceritakan isi kawih tentang bangga sebagai bangsa Indonesia</v>
      </c>
      <c r="AG41" s="258" t="str">
        <f t="shared" si="8"/>
        <v xml:space="preserve"> cukup baik  dalam melantunkan dan menceritakan isi kawih tentang bangga sebagai bangsa Indonesia</v>
      </c>
      <c r="AH41" s="252" t="str">
        <f t="shared" si="9"/>
        <v>RYU cukup baik  dalam melantunkan dan menceritakan isi kawih tentang bangga sebagai bangsa Indonesia</v>
      </c>
      <c r="AI41" s="153"/>
      <c r="AS41" s="469">
        <f t="shared" si="10"/>
        <v>65</v>
      </c>
    </row>
    <row r="42" spans="2:45" ht="63.75" customHeight="1">
      <c r="B42" s="142">
        <v>38</v>
      </c>
      <c r="C42" s="143" t="str">
        <f>SISWA!B43</f>
        <v>1718250040342</v>
      </c>
      <c r="D42" s="144" t="str">
        <f>SISWA!E43</f>
        <v>SAEPUL</v>
      </c>
      <c r="E42" s="159">
        <v>71</v>
      </c>
      <c r="F42" s="160">
        <v>71</v>
      </c>
      <c r="G42" s="160">
        <v>71</v>
      </c>
      <c r="H42" s="160"/>
      <c r="I42" s="160"/>
      <c r="J42" s="160"/>
      <c r="K42" s="160"/>
      <c r="L42" s="160"/>
      <c r="M42" s="160"/>
      <c r="N42" s="159"/>
      <c r="O42" s="159"/>
      <c r="P42" s="159"/>
      <c r="Q42" s="159"/>
      <c r="R42" s="160"/>
      <c r="S42" s="160"/>
      <c r="T42" s="159"/>
      <c r="U42" s="354">
        <f t="shared" si="4"/>
        <v>71</v>
      </c>
      <c r="V42" s="355" t="str">
        <f>IF(U42&gt;KKM!$G$10,"A",IF(U42&gt;KKM!$H$10,"B",IF(U42&gt;=KKM!$I$10,"C","D")))</f>
        <v>C</v>
      </c>
      <c r="W42" s="356">
        <f t="shared" si="0"/>
        <v>71</v>
      </c>
      <c r="X42" s="361" t="str">
        <f>IF(W42&gt;KKM!$G$10," sangat baik ",IF(W42&gt;KKM!$H$10," baik ",IF(W42&gt;=KKM!$I$10," cukup baik "," perlu bimbingan ")))</f>
        <v xml:space="preserve"> cukup baik </v>
      </c>
      <c r="Y42" s="357">
        <f t="shared" si="1"/>
        <v>71</v>
      </c>
      <c r="Z42" s="361" t="str">
        <f>IF(Y42&gt;KKM!$G$10," sangat baik ",IF(Y42&gt;KKM!$H$10," baik ",IF(Y42&gt;=KKM!$I$10," cukup baik "," perlu bimbingan ")))</f>
        <v xml:space="preserve"> cukup baik </v>
      </c>
      <c r="AA42" s="353" t="str">
        <f t="shared" si="5"/>
        <v>SAEPUL cukup baik  dalam melantunkan dan menceritakan isi kawih tentang bangga sebagai bangsa Indonesia</v>
      </c>
      <c r="AB42" s="256"/>
      <c r="AC42" s="257" t="str">
        <f t="shared" si="2"/>
        <v xml:space="preserve"> cukup baik  dalam melantunkan dan menceritakan isi kawih tentang bangga sebagai bangsa Indonesia</v>
      </c>
      <c r="AD42" s="257" t="str">
        <f t="shared" si="3"/>
        <v xml:space="preserve"> cukup baik  dalam melantunkan dan menceritakan isi kawih tentang bangga sebagai bangsa Indonesia</v>
      </c>
      <c r="AE42" s="257" t="str">
        <f t="shared" si="6"/>
        <v xml:space="preserve"> cukup baik  dalam melantunkan dan menceritakan isi kawih tentang bangga sebagai bangsa Indonesia, dan  cukup baik  dalam melantunkan dan menceritakan isi kawih tentang bangga sebagai bangsa Indonesia</v>
      </c>
      <c r="AF42" s="257" t="str">
        <f t="shared" si="7"/>
        <v xml:space="preserve"> cukup baik  dalam melantunkan dan menceritakan isi kawih tentang bangga sebagai bangsa Indonesia</v>
      </c>
      <c r="AG42" s="258" t="str">
        <f t="shared" si="8"/>
        <v xml:space="preserve"> cukup baik  dalam melantunkan dan menceritakan isi kawih tentang bangga sebagai bangsa Indonesia</v>
      </c>
      <c r="AH42" s="252" t="str">
        <f t="shared" si="9"/>
        <v>SAEPUL cukup baik  dalam melantunkan dan menceritakan isi kawih tentang bangga sebagai bangsa Indonesia</v>
      </c>
      <c r="AI42" s="153"/>
      <c r="AS42" s="469">
        <f t="shared" si="10"/>
        <v>71</v>
      </c>
    </row>
    <row r="43" spans="2:45" ht="63.75" customHeight="1">
      <c r="B43" s="142">
        <v>39</v>
      </c>
      <c r="C43" s="143" t="str">
        <f>SISWA!B44</f>
        <v>1718250040343</v>
      </c>
      <c r="D43" s="144" t="str">
        <f>SISWA!E44</f>
        <v>SALMA</v>
      </c>
      <c r="E43" s="159">
        <v>71</v>
      </c>
      <c r="F43" s="160">
        <v>71</v>
      </c>
      <c r="G43" s="160">
        <v>71</v>
      </c>
      <c r="H43" s="160"/>
      <c r="I43" s="160"/>
      <c r="J43" s="160"/>
      <c r="K43" s="160"/>
      <c r="L43" s="160"/>
      <c r="M43" s="160"/>
      <c r="N43" s="159"/>
      <c r="O43" s="159"/>
      <c r="P43" s="159"/>
      <c r="Q43" s="159"/>
      <c r="R43" s="160"/>
      <c r="S43" s="160"/>
      <c r="T43" s="159"/>
      <c r="U43" s="354">
        <f t="shared" si="4"/>
        <v>71</v>
      </c>
      <c r="V43" s="355" t="str">
        <f>IF(U43&gt;KKM!$G$10,"A",IF(U43&gt;KKM!$H$10,"B",IF(U43&gt;=KKM!$I$10,"C","D")))</f>
        <v>C</v>
      </c>
      <c r="W43" s="356">
        <f t="shared" si="0"/>
        <v>71</v>
      </c>
      <c r="X43" s="361" t="str">
        <f>IF(W43&gt;KKM!$G$10," sangat baik ",IF(W43&gt;KKM!$H$10," baik ",IF(W43&gt;=KKM!$I$10," cukup baik "," perlu bimbingan ")))</f>
        <v xml:space="preserve"> cukup baik </v>
      </c>
      <c r="Y43" s="357">
        <f t="shared" si="1"/>
        <v>71</v>
      </c>
      <c r="Z43" s="361" t="str">
        <f>IF(Y43&gt;KKM!$G$10," sangat baik ",IF(Y43&gt;KKM!$H$10," baik ",IF(Y43&gt;=KKM!$I$10," cukup baik "," perlu bimbingan ")))</f>
        <v xml:space="preserve"> cukup baik </v>
      </c>
      <c r="AA43" s="353" t="str">
        <f t="shared" si="5"/>
        <v>SALMA cukup baik  dalam melantunkan dan menceritakan isi kawih tentang bangga sebagai bangsa Indonesia</v>
      </c>
      <c r="AB43" s="256"/>
      <c r="AC43" s="257" t="str">
        <f t="shared" si="2"/>
        <v xml:space="preserve"> cukup baik  dalam melantunkan dan menceritakan isi kawih tentang bangga sebagai bangsa Indonesia</v>
      </c>
      <c r="AD43" s="257" t="str">
        <f t="shared" si="3"/>
        <v xml:space="preserve"> cukup baik  dalam melantunkan dan menceritakan isi kawih tentang bangga sebagai bangsa Indonesia</v>
      </c>
      <c r="AE43" s="257" t="str">
        <f t="shared" si="6"/>
        <v xml:space="preserve"> cukup baik  dalam melantunkan dan menceritakan isi kawih tentang bangga sebagai bangsa Indonesia, dan  cukup baik  dalam melantunkan dan menceritakan isi kawih tentang bangga sebagai bangsa Indonesia</v>
      </c>
      <c r="AF43" s="257" t="str">
        <f t="shared" si="7"/>
        <v xml:space="preserve"> cukup baik  dalam melantunkan dan menceritakan isi kawih tentang bangga sebagai bangsa Indonesia</v>
      </c>
      <c r="AG43" s="258" t="str">
        <f t="shared" si="8"/>
        <v xml:space="preserve"> cukup baik  dalam melantunkan dan menceritakan isi kawih tentang bangga sebagai bangsa Indonesia</v>
      </c>
      <c r="AH43" s="252" t="str">
        <f t="shared" si="9"/>
        <v>SALMA cukup baik  dalam melantunkan dan menceritakan isi kawih tentang bangga sebagai bangsa Indonesia</v>
      </c>
      <c r="AI43" s="153"/>
      <c r="AS43" s="469">
        <f t="shared" si="10"/>
        <v>71</v>
      </c>
    </row>
    <row r="44" spans="2:45" ht="63.75" customHeight="1">
      <c r="B44" s="142">
        <v>40</v>
      </c>
      <c r="C44" s="143" t="str">
        <f>SISWA!B45</f>
        <v>1718250040344</v>
      </c>
      <c r="D44" s="144" t="str">
        <f>SISWA!E45</f>
        <v>SYAKILA</v>
      </c>
      <c r="E44" s="159">
        <v>77</v>
      </c>
      <c r="F44" s="160">
        <v>77</v>
      </c>
      <c r="G44" s="160">
        <v>77</v>
      </c>
      <c r="H44" s="160"/>
      <c r="I44" s="160"/>
      <c r="J44" s="160"/>
      <c r="K44" s="160"/>
      <c r="L44" s="160"/>
      <c r="M44" s="160"/>
      <c r="N44" s="159"/>
      <c r="O44" s="159"/>
      <c r="P44" s="159"/>
      <c r="Q44" s="159"/>
      <c r="R44" s="160"/>
      <c r="S44" s="160"/>
      <c r="T44" s="159"/>
      <c r="U44" s="354">
        <f t="shared" si="4"/>
        <v>77</v>
      </c>
      <c r="V44" s="355" t="str">
        <f>IF(U44&gt;KKM!$G$10,"A",IF(U44&gt;KKM!$H$10,"B",IF(U44&gt;=KKM!$I$10,"C","D")))</f>
        <v>B</v>
      </c>
      <c r="W44" s="356">
        <f t="shared" si="0"/>
        <v>77</v>
      </c>
      <c r="X44" s="361" t="str">
        <f>IF(W44&gt;KKM!$G$10," sangat baik ",IF(W44&gt;KKM!$H$10," baik ",IF(W44&gt;=KKM!$I$10," cukup baik "," perlu bimbingan ")))</f>
        <v xml:space="preserve"> baik </v>
      </c>
      <c r="Y44" s="357">
        <f t="shared" si="1"/>
        <v>77</v>
      </c>
      <c r="Z44" s="361" t="str">
        <f>IF(Y44&gt;KKM!$G$10," sangat baik ",IF(Y44&gt;KKM!$H$10," baik ",IF(Y44&gt;=KKM!$I$10," cukup baik "," perlu bimbingan ")))</f>
        <v xml:space="preserve"> baik </v>
      </c>
      <c r="AA44" s="353" t="str">
        <f t="shared" si="5"/>
        <v>SYAKILA baik  dalam melantunkan dan menceritakan isi kawih tentang bangga sebagai bangsa Indonesia</v>
      </c>
      <c r="AB44" s="256"/>
      <c r="AC44" s="257" t="str">
        <f t="shared" si="2"/>
        <v xml:space="preserve"> baik  dalam melantunkan dan menceritakan isi kawih tentang bangga sebagai bangsa Indonesia</v>
      </c>
      <c r="AD44" s="257" t="str">
        <f t="shared" si="3"/>
        <v xml:space="preserve"> baik  dalam melantunkan dan menceritakan isi kawih tentang bangga sebagai bangsa Indonesia</v>
      </c>
      <c r="AE44" s="257" t="str">
        <f t="shared" si="6"/>
        <v xml:space="preserve"> baik  dalam melantunkan dan menceritakan isi kawih tentang bangga sebagai bangsa Indonesia, dan  baik  dalam melantunkan dan menceritakan isi kawih tentang bangga sebagai bangsa Indonesia</v>
      </c>
      <c r="AF44" s="257" t="str">
        <f t="shared" si="7"/>
        <v xml:space="preserve"> baik  dalam melantunkan dan menceritakan isi kawih tentang bangga sebagai bangsa Indonesia</v>
      </c>
      <c r="AG44" s="258" t="str">
        <f t="shared" si="8"/>
        <v xml:space="preserve"> baik  dalam melantunkan dan menceritakan isi kawih tentang bangga sebagai bangsa Indonesia</v>
      </c>
      <c r="AH44" s="252" t="str">
        <f t="shared" si="9"/>
        <v>SYAKILA baik  dalam melantunkan dan menceritakan isi kawih tentang bangga sebagai bangsa Indonesia</v>
      </c>
      <c r="AI44" s="153"/>
      <c r="AS44" s="469">
        <f t="shared" si="10"/>
        <v>77</v>
      </c>
    </row>
    <row r="45" spans="2:45" ht="63.75" customHeight="1">
      <c r="B45" s="142">
        <v>41</v>
      </c>
      <c r="C45" s="143" t="str">
        <f>SISWA!B46</f>
        <v>1718250040345</v>
      </c>
      <c r="D45" s="144" t="str">
        <f>SISWA!E46</f>
        <v>SYIFA</v>
      </c>
      <c r="E45" s="159">
        <v>85</v>
      </c>
      <c r="F45" s="160">
        <v>85</v>
      </c>
      <c r="G45" s="160">
        <v>85</v>
      </c>
      <c r="H45" s="160"/>
      <c r="I45" s="160"/>
      <c r="J45" s="160"/>
      <c r="K45" s="160"/>
      <c r="L45" s="160"/>
      <c r="M45" s="160"/>
      <c r="N45" s="159"/>
      <c r="O45" s="159"/>
      <c r="P45" s="159"/>
      <c r="Q45" s="159"/>
      <c r="R45" s="160"/>
      <c r="S45" s="160"/>
      <c r="T45" s="159"/>
      <c r="U45" s="354">
        <f t="shared" si="4"/>
        <v>85</v>
      </c>
      <c r="V45" s="355" t="str">
        <f>IF(U45&gt;KKM!$G$10,"A",IF(U45&gt;KKM!$H$10,"B",IF(U45&gt;=KKM!$I$10,"C","D")))</f>
        <v>B</v>
      </c>
      <c r="W45" s="356">
        <f t="shared" si="0"/>
        <v>85</v>
      </c>
      <c r="X45" s="361" t="str">
        <f>IF(W45&gt;KKM!$G$10," sangat baik ",IF(W45&gt;KKM!$H$10," baik ",IF(W45&gt;=KKM!$I$10," cukup baik "," perlu bimbingan ")))</f>
        <v xml:space="preserve"> baik </v>
      </c>
      <c r="Y45" s="357">
        <f t="shared" si="1"/>
        <v>85</v>
      </c>
      <c r="Z45" s="361" t="str">
        <f>IF(Y45&gt;KKM!$G$10," sangat baik ",IF(Y45&gt;KKM!$H$10," baik ",IF(Y45&gt;=KKM!$I$10," cukup baik "," perlu bimbingan ")))</f>
        <v xml:space="preserve"> baik </v>
      </c>
      <c r="AA45" s="353" t="str">
        <f t="shared" si="5"/>
        <v>SYIFA baik  dalam melantunkan dan menceritakan isi kawih tentang bangga sebagai bangsa Indonesia</v>
      </c>
      <c r="AB45" s="256"/>
      <c r="AC45" s="257" t="str">
        <f t="shared" si="2"/>
        <v xml:space="preserve"> baik  dalam melantunkan dan menceritakan isi kawih tentang bangga sebagai bangsa Indonesia</v>
      </c>
      <c r="AD45" s="257" t="str">
        <f t="shared" si="3"/>
        <v xml:space="preserve"> baik  dalam melantunkan dan menceritakan isi kawih tentang bangga sebagai bangsa Indonesia</v>
      </c>
      <c r="AE45" s="257" t="str">
        <f t="shared" si="6"/>
        <v xml:space="preserve"> baik  dalam melantunkan dan menceritakan isi kawih tentang bangga sebagai bangsa Indonesia, dan  baik  dalam melantunkan dan menceritakan isi kawih tentang bangga sebagai bangsa Indonesia</v>
      </c>
      <c r="AF45" s="257" t="str">
        <f t="shared" si="7"/>
        <v xml:space="preserve"> baik  dalam melantunkan dan menceritakan isi kawih tentang bangga sebagai bangsa Indonesia</v>
      </c>
      <c r="AG45" s="258" t="str">
        <f t="shared" si="8"/>
        <v xml:space="preserve"> baik  dalam melantunkan dan menceritakan isi kawih tentang bangga sebagai bangsa Indonesia</v>
      </c>
      <c r="AH45" s="252" t="str">
        <f t="shared" si="9"/>
        <v>SYIFA baik  dalam melantunkan dan menceritakan isi kawih tentang bangga sebagai bangsa Indonesia</v>
      </c>
      <c r="AI45" s="153"/>
      <c r="AS45" s="469">
        <f t="shared" si="10"/>
        <v>85</v>
      </c>
    </row>
    <row r="46" spans="2:45" ht="63.75" customHeight="1">
      <c r="B46" s="142">
        <v>42</v>
      </c>
      <c r="C46" s="143" t="str">
        <f>SISWA!B47</f>
        <v>1718250040346</v>
      </c>
      <c r="D46" s="144" t="str">
        <f>SISWA!E47</f>
        <v>WAFDAN</v>
      </c>
      <c r="E46" s="159">
        <v>94</v>
      </c>
      <c r="F46" s="160">
        <v>94</v>
      </c>
      <c r="G46" s="160">
        <v>94</v>
      </c>
      <c r="H46" s="160"/>
      <c r="I46" s="160"/>
      <c r="J46" s="160"/>
      <c r="K46" s="160"/>
      <c r="L46" s="160"/>
      <c r="M46" s="160"/>
      <c r="N46" s="159"/>
      <c r="O46" s="159"/>
      <c r="P46" s="159"/>
      <c r="Q46" s="159"/>
      <c r="R46" s="160"/>
      <c r="S46" s="160"/>
      <c r="T46" s="159"/>
      <c r="U46" s="354">
        <f t="shared" si="4"/>
        <v>94</v>
      </c>
      <c r="V46" s="355" t="str">
        <f>IF(U46&gt;KKM!$G$10,"A",IF(U46&gt;KKM!$H$10,"B",IF(U46&gt;=KKM!$I$10,"C","D")))</f>
        <v>A</v>
      </c>
      <c r="W46" s="356">
        <f t="shared" si="0"/>
        <v>94</v>
      </c>
      <c r="X46" s="361" t="str">
        <f>IF(W46&gt;KKM!$G$10," sangat baik ",IF(W46&gt;KKM!$H$10," baik ",IF(W46&gt;=KKM!$I$10," cukup baik "," perlu bimbingan ")))</f>
        <v xml:space="preserve"> sangat baik </v>
      </c>
      <c r="Y46" s="357">
        <f t="shared" si="1"/>
        <v>94</v>
      </c>
      <c r="Z46" s="361" t="str">
        <f>IF(Y46&gt;KKM!$G$10," sangat baik ",IF(Y46&gt;KKM!$H$10," baik ",IF(Y46&gt;=KKM!$I$10," cukup baik "," perlu bimbingan ")))</f>
        <v xml:space="preserve"> sangat baik </v>
      </c>
      <c r="AA46" s="353" t="str">
        <f t="shared" si="5"/>
        <v>WAFDAN sangat baik  dalam melantunkan dan menceritakan isi kawih tentang bangga sebagai bangsa Indonesia</v>
      </c>
      <c r="AB46" s="256"/>
      <c r="AC46" s="257" t="str">
        <f t="shared" si="2"/>
        <v xml:space="preserve"> sangat baik  dalam melantunkan dan menceritakan isi kawih tentang bangga sebagai bangsa Indonesia</v>
      </c>
      <c r="AD46" s="257" t="str">
        <f t="shared" si="3"/>
        <v xml:space="preserve"> sangat baik  dalam melantunkan dan menceritakan isi kawih tentang bangga sebagai bangsa Indonesia</v>
      </c>
      <c r="AE46" s="257" t="str">
        <f t="shared" si="6"/>
        <v xml:space="preserve"> sangat baik  dalam melantunkan dan menceritakan isi kawih tentang bangga sebagai bangsa Indonesia, dan  sangat baik  dalam melantunkan dan menceritakan isi kawih tentang bangga sebagai bangsa Indonesia</v>
      </c>
      <c r="AF46" s="257" t="str">
        <f t="shared" si="7"/>
        <v xml:space="preserve"> sangat baik  dalam melantunkan dan menceritakan isi kawih tentang bangga sebagai bangsa Indonesia</v>
      </c>
      <c r="AG46" s="258" t="str">
        <f t="shared" si="8"/>
        <v xml:space="preserve"> sangat baik  dalam melantunkan dan menceritakan isi kawih tentang bangga sebagai bangsa Indonesia</v>
      </c>
      <c r="AH46" s="252" t="str">
        <f t="shared" si="9"/>
        <v>WAFDAN sangat baik  dalam melantunkan dan menceritakan isi kawih tentang bangga sebagai bangsa Indonesia</v>
      </c>
      <c r="AI46" s="153"/>
      <c r="AS46" s="469">
        <f t="shared" si="10"/>
        <v>94</v>
      </c>
    </row>
    <row r="47" spans="2:45" ht="63.75" customHeight="1">
      <c r="B47" s="142">
        <v>43</v>
      </c>
      <c r="C47" s="143" t="str">
        <f>SISWA!B48</f>
        <v>1718250040347</v>
      </c>
      <c r="D47" s="144" t="str">
        <f>SISWA!E48</f>
        <v>ZEVA</v>
      </c>
      <c r="E47" s="159">
        <v>85</v>
      </c>
      <c r="F47" s="160">
        <v>85</v>
      </c>
      <c r="G47" s="160">
        <v>85</v>
      </c>
      <c r="H47" s="160"/>
      <c r="I47" s="160"/>
      <c r="J47" s="160"/>
      <c r="K47" s="160"/>
      <c r="L47" s="160"/>
      <c r="M47" s="160"/>
      <c r="N47" s="159"/>
      <c r="O47" s="159"/>
      <c r="P47" s="159"/>
      <c r="Q47" s="159"/>
      <c r="R47" s="160"/>
      <c r="S47" s="160"/>
      <c r="T47" s="159"/>
      <c r="U47" s="354">
        <f t="shared" si="4"/>
        <v>85</v>
      </c>
      <c r="V47" s="355" t="str">
        <f>IF(U47&gt;KKM!$G$10,"A",IF(U47&gt;KKM!$H$10,"B",IF(U47&gt;=KKM!$I$10,"C","D")))</f>
        <v>B</v>
      </c>
      <c r="W47" s="356">
        <f t="shared" si="0"/>
        <v>85</v>
      </c>
      <c r="X47" s="361" t="str">
        <f>IF(W47&gt;KKM!$G$10," sangat baik ",IF(W47&gt;KKM!$H$10," baik ",IF(W47&gt;=KKM!$I$10," cukup baik "," perlu bimbingan ")))</f>
        <v xml:space="preserve"> baik </v>
      </c>
      <c r="Y47" s="357">
        <f t="shared" si="1"/>
        <v>85</v>
      </c>
      <c r="Z47" s="361" t="str">
        <f>IF(Y47&gt;KKM!$G$10," sangat baik ",IF(Y47&gt;KKM!$H$10," baik ",IF(Y47&gt;=KKM!$I$10," cukup baik "," perlu bimbingan ")))</f>
        <v xml:space="preserve"> baik </v>
      </c>
      <c r="AA47" s="353" t="str">
        <f t="shared" si="5"/>
        <v>ZEVA baik  dalam melantunkan dan menceritakan isi kawih tentang bangga sebagai bangsa Indonesia</v>
      </c>
      <c r="AB47" s="256"/>
      <c r="AC47" s="257" t="str">
        <f t="shared" si="2"/>
        <v xml:space="preserve"> baik  dalam melantunkan dan menceritakan isi kawih tentang bangga sebagai bangsa Indonesia</v>
      </c>
      <c r="AD47" s="257" t="str">
        <f t="shared" si="3"/>
        <v xml:space="preserve"> baik  dalam melantunkan dan menceritakan isi kawih tentang bangga sebagai bangsa Indonesia</v>
      </c>
      <c r="AE47" s="257" t="str">
        <f t="shared" si="6"/>
        <v xml:space="preserve"> baik  dalam melantunkan dan menceritakan isi kawih tentang bangga sebagai bangsa Indonesia, dan  baik  dalam melantunkan dan menceritakan isi kawih tentang bangga sebagai bangsa Indonesia</v>
      </c>
      <c r="AF47" s="257" t="str">
        <f t="shared" si="7"/>
        <v xml:space="preserve"> baik  dalam melantunkan dan menceritakan isi kawih tentang bangga sebagai bangsa Indonesia</v>
      </c>
      <c r="AG47" s="258" t="str">
        <f t="shared" si="8"/>
        <v xml:space="preserve"> baik  dalam melantunkan dan menceritakan isi kawih tentang bangga sebagai bangsa Indonesia</v>
      </c>
      <c r="AH47" s="252" t="str">
        <f t="shared" si="9"/>
        <v>ZEVA baik  dalam melantunkan dan menceritakan isi kawih tentang bangga sebagai bangsa Indonesia</v>
      </c>
      <c r="AI47" s="153"/>
      <c r="AS47" s="469">
        <f t="shared" si="10"/>
        <v>85</v>
      </c>
    </row>
    <row r="48" spans="2:45" ht="63.75" customHeight="1">
      <c r="B48" s="142">
        <v>44</v>
      </c>
      <c r="C48" s="143">
        <f>SISWA!B49</f>
        <v>0</v>
      </c>
      <c r="D48" s="144">
        <f>SISWA!E49</f>
        <v>0</v>
      </c>
      <c r="E48" s="159"/>
      <c r="F48" s="160"/>
      <c r="G48" s="160"/>
      <c r="H48" s="160"/>
      <c r="I48" s="160"/>
      <c r="J48" s="160"/>
      <c r="K48" s="160"/>
      <c r="L48" s="160"/>
      <c r="M48" s="160"/>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53"/>
      <c r="AS48" s="469" t="str">
        <f t="shared" si="10"/>
        <v/>
      </c>
    </row>
    <row r="49" spans="2:45" ht="63.75" customHeight="1">
      <c r="B49" s="142">
        <v>45</v>
      </c>
      <c r="C49" s="143">
        <f>SISWA!B50</f>
        <v>0</v>
      </c>
      <c r="D49" s="144">
        <f>SISWA!E50</f>
        <v>0</v>
      </c>
      <c r="E49" s="159"/>
      <c r="F49" s="160"/>
      <c r="G49" s="160"/>
      <c r="H49" s="160"/>
      <c r="I49" s="160"/>
      <c r="J49" s="160"/>
      <c r="K49" s="160"/>
      <c r="L49" s="160"/>
      <c r="M49" s="160"/>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53"/>
      <c r="AS49" s="469" t="str">
        <f t="shared" si="10"/>
        <v/>
      </c>
    </row>
    <row r="50" spans="2:45" ht="63.75" customHeight="1">
      <c r="B50" s="142">
        <v>46</v>
      </c>
      <c r="C50" s="143">
        <f>SISWA!B51</f>
        <v>0</v>
      </c>
      <c r="D50" s="144">
        <f>SISWA!E51</f>
        <v>0</v>
      </c>
      <c r="E50" s="159"/>
      <c r="F50" s="160"/>
      <c r="G50" s="160"/>
      <c r="H50" s="160"/>
      <c r="I50" s="160"/>
      <c r="J50" s="160"/>
      <c r="K50" s="160"/>
      <c r="L50" s="160"/>
      <c r="M50" s="160"/>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53"/>
      <c r="AS50" s="469" t="str">
        <f t="shared" si="10"/>
        <v/>
      </c>
    </row>
    <row r="51" spans="2:45" ht="63.75" customHeight="1">
      <c r="B51" s="142">
        <v>47</v>
      </c>
      <c r="C51" s="143">
        <f>SISWA!B52</f>
        <v>0</v>
      </c>
      <c r="D51" s="144">
        <f>SISWA!E52</f>
        <v>0</v>
      </c>
      <c r="E51" s="159"/>
      <c r="F51" s="160"/>
      <c r="G51" s="160"/>
      <c r="H51" s="160"/>
      <c r="I51" s="160"/>
      <c r="J51" s="160"/>
      <c r="K51" s="160"/>
      <c r="L51" s="160"/>
      <c r="M51" s="160"/>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53"/>
      <c r="AS51" s="469" t="str">
        <f t="shared" si="10"/>
        <v/>
      </c>
    </row>
    <row r="52" spans="2:45" ht="63.75" customHeight="1">
      <c r="B52" s="142">
        <v>48</v>
      </c>
      <c r="C52" s="143">
        <f>SISWA!B53</f>
        <v>0</v>
      </c>
      <c r="D52" s="144">
        <f>SISWA!E53</f>
        <v>0</v>
      </c>
      <c r="E52" s="159"/>
      <c r="F52" s="160"/>
      <c r="G52" s="160"/>
      <c r="H52" s="160"/>
      <c r="I52" s="160"/>
      <c r="J52" s="160"/>
      <c r="K52" s="160"/>
      <c r="L52" s="160"/>
      <c r="M52" s="160"/>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53"/>
      <c r="AS52" s="469" t="str">
        <f t="shared" si="10"/>
        <v/>
      </c>
    </row>
    <row r="53" spans="2:45" ht="63.75" customHeight="1">
      <c r="B53" s="142">
        <v>49</v>
      </c>
      <c r="C53" s="143">
        <f>SISWA!B54</f>
        <v>0</v>
      </c>
      <c r="D53" s="144">
        <f>SISWA!E54</f>
        <v>0</v>
      </c>
      <c r="E53" s="159"/>
      <c r="F53" s="160"/>
      <c r="G53" s="160"/>
      <c r="H53" s="160"/>
      <c r="I53" s="160"/>
      <c r="J53" s="160"/>
      <c r="K53" s="160"/>
      <c r="L53" s="160"/>
      <c r="M53" s="160"/>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53"/>
      <c r="AS53" s="469" t="str">
        <f t="shared" si="10"/>
        <v/>
      </c>
    </row>
    <row r="54" spans="2:45" ht="63.75" customHeight="1">
      <c r="B54" s="142">
        <v>50</v>
      </c>
      <c r="C54" s="143">
        <f>SISWA!B55</f>
        <v>0</v>
      </c>
      <c r="D54" s="144">
        <f>SISWA!E55</f>
        <v>0</v>
      </c>
      <c r="E54" s="159"/>
      <c r="F54" s="160"/>
      <c r="G54" s="160"/>
      <c r="H54" s="160"/>
      <c r="I54" s="160"/>
      <c r="J54" s="160"/>
      <c r="K54" s="160"/>
      <c r="L54" s="160"/>
      <c r="M54" s="160"/>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53"/>
      <c r="AS54" s="469" t="str">
        <f t="shared" si="10"/>
        <v/>
      </c>
    </row>
    <row r="55" spans="2:45" ht="15.75">
      <c r="B55" s="154"/>
      <c r="C55" s="154"/>
      <c r="D55" s="154"/>
      <c r="E55" s="159"/>
      <c r="F55" s="160"/>
      <c r="G55" s="160"/>
      <c r="H55" s="160"/>
      <c r="I55" s="160"/>
      <c r="J55" s="160"/>
      <c r="K55" s="160"/>
      <c r="L55" s="160"/>
      <c r="M55" s="160"/>
      <c r="N55" s="159"/>
      <c r="O55" s="159"/>
      <c r="P55" s="159"/>
      <c r="Q55" s="159"/>
      <c r="R55" s="160"/>
      <c r="S55" s="160"/>
      <c r="T55" s="159"/>
      <c r="U55" s="147"/>
      <c r="V55" s="148"/>
      <c r="W55" s="149"/>
      <c r="X55" s="149"/>
      <c r="Y55" s="149"/>
      <c r="Z55" s="149"/>
      <c r="AA55" s="150"/>
      <c r="AB55" s="151"/>
      <c r="AC55" s="152"/>
      <c r="AD55" s="155"/>
      <c r="AE55" s="155"/>
      <c r="AF55" s="155"/>
      <c r="AG55" s="155"/>
      <c r="AH55" s="155"/>
      <c r="AI55" s="153"/>
    </row>
  </sheetData>
  <sheetProtection password="C70C" sheet="1" objects="1" scenarios="1"/>
  <mergeCells count="10">
    <mergeCell ref="V2:V4"/>
    <mergeCell ref="W2:Z2"/>
    <mergeCell ref="AA2:AA4"/>
    <mergeCell ref="W3:X3"/>
    <mergeCell ref="Y3:Z3"/>
    <mergeCell ref="B2:B4"/>
    <mergeCell ref="C2:C4"/>
    <mergeCell ref="D2:D4"/>
    <mergeCell ref="E2:T2"/>
    <mergeCell ref="U2:U4"/>
  </mergeCell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DJ55"/>
  <sheetViews>
    <sheetView zoomScale="80" zoomScaleNormal="8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42578125" style="171" customWidth="1"/>
    <col min="2" max="2" width="4.42578125" style="137" customWidth="1"/>
    <col min="3" max="3" width="6.42578125" style="137" customWidth="1"/>
    <col min="4" max="4" width="28.7109375" style="137" customWidth="1"/>
    <col min="5" max="10" width="5.5703125" style="137" customWidth="1"/>
    <col min="11" max="18" width="5.5703125" style="137" hidden="1" customWidth="1"/>
    <col min="19" max="23" width="5.5703125" style="137" customWidth="1"/>
    <col min="24" max="24" width="11" style="137" customWidth="1"/>
    <col min="25" max="25" width="5.5703125" style="137" customWidth="1"/>
    <col min="26" max="26" width="12" style="137" customWidth="1"/>
    <col min="27" max="27" width="106.28515625" style="137" customWidth="1"/>
    <col min="28" max="28" width="40.5703125" style="137" customWidth="1"/>
    <col min="29" max="29" width="5" style="137" hidden="1" customWidth="1"/>
    <col min="30" max="30" width="4.7109375" style="137" hidden="1" customWidth="1"/>
    <col min="31" max="31" width="5.140625" style="137" hidden="1" customWidth="1"/>
    <col min="32" max="37" width="5" style="137" hidden="1" customWidth="1"/>
    <col min="38" max="38" width="4.85546875" style="137" hidden="1" customWidth="1"/>
    <col min="39" max="43" width="5" style="137" hidden="1" customWidth="1"/>
    <col min="44" max="45" width="5" style="137" customWidth="1"/>
    <col min="46" max="52" width="5" style="137" hidden="1" customWidth="1"/>
    <col min="53" max="53" width="84.42578125" style="137" hidden="1" customWidth="1"/>
    <col min="54" max="54" width="29.85546875" style="137" hidden="1" customWidth="1"/>
    <col min="55" max="68" width="10.7109375" style="137" hidden="1" customWidth="1"/>
    <col min="69" max="73" width="5" style="137" hidden="1" customWidth="1"/>
    <col min="74" max="74" width="4.85546875" style="137" hidden="1" customWidth="1"/>
    <col min="75" max="79" width="5" style="137" hidden="1" customWidth="1"/>
    <col min="80" max="81" width="0" style="137" hidden="1" customWidth="1"/>
    <col min="82" max="88" width="5" style="137" hidden="1" customWidth="1"/>
    <col min="89" max="89" width="84.42578125" style="137" hidden="1" customWidth="1"/>
    <col min="90" max="90" width="29.85546875" style="137" hidden="1" customWidth="1"/>
    <col min="91" max="114" width="10.7109375" style="137" hidden="1" customWidth="1"/>
    <col min="115" max="16384" width="9.140625" style="137" hidden="1"/>
  </cols>
  <sheetData>
    <row r="1" spans="1:52" s="512" customFormat="1" ht="45.75" customHeight="1">
      <c r="B1" s="513" t="str">
        <f>KKM!X8&amp;" (KETRAMPILAN)"</f>
        <v>PLH (KETRAMPILAN)</v>
      </c>
      <c r="C1" s="513"/>
      <c r="D1" s="513"/>
      <c r="E1" s="513"/>
      <c r="F1" s="513"/>
      <c r="G1" s="513"/>
      <c r="H1" s="513"/>
      <c r="I1" s="513"/>
      <c r="J1" s="513"/>
      <c r="K1" s="513"/>
      <c r="L1" s="513"/>
      <c r="M1" s="513"/>
      <c r="N1" s="513"/>
      <c r="O1" s="513"/>
      <c r="P1" s="513"/>
      <c r="Q1" s="513"/>
      <c r="R1" s="513"/>
      <c r="S1" s="513"/>
      <c r="T1" s="513"/>
      <c r="U1" s="513"/>
      <c r="V1" s="513"/>
      <c r="W1" s="513"/>
      <c r="X1" s="513"/>
      <c r="Y1" s="513"/>
      <c r="Z1" s="513"/>
      <c r="AA1" s="513"/>
      <c r="AB1" s="513"/>
      <c r="AC1" s="513"/>
      <c r="AD1" s="513"/>
      <c r="AE1" s="513"/>
      <c r="AF1" s="513"/>
      <c r="AG1" s="513"/>
      <c r="AH1" s="513"/>
      <c r="AI1" s="513"/>
      <c r="AJ1" s="513"/>
      <c r="AK1" s="513"/>
      <c r="AL1" s="513"/>
      <c r="AM1" s="513"/>
      <c r="AN1" s="513"/>
      <c r="AO1" s="513"/>
      <c r="AP1" s="513"/>
      <c r="AQ1" s="513"/>
      <c r="AR1" s="513"/>
      <c r="AS1" s="513"/>
      <c r="AT1" s="513"/>
      <c r="AU1" s="513"/>
      <c r="AV1" s="513"/>
      <c r="AW1" s="513"/>
      <c r="AX1" s="513"/>
      <c r="AY1" s="513"/>
      <c r="AZ1" s="513"/>
    </row>
    <row r="2" spans="1:52" ht="23.25" customHeight="1">
      <c r="B2" s="716" t="s">
        <v>4</v>
      </c>
      <c r="C2" s="717" t="s">
        <v>5</v>
      </c>
      <c r="D2" s="718" t="s">
        <v>52</v>
      </c>
      <c r="E2" s="719" t="s">
        <v>0</v>
      </c>
      <c r="F2" s="719"/>
      <c r="G2" s="719"/>
      <c r="H2" s="719"/>
      <c r="I2" s="719"/>
      <c r="J2" s="719"/>
      <c r="K2" s="719"/>
      <c r="L2" s="719"/>
      <c r="M2" s="719"/>
      <c r="N2" s="719"/>
      <c r="O2" s="719"/>
      <c r="P2" s="719"/>
      <c r="Q2" s="719"/>
      <c r="R2" s="719"/>
      <c r="S2" s="719"/>
      <c r="T2" s="719"/>
      <c r="U2" s="720" t="s">
        <v>13</v>
      </c>
      <c r="V2" s="721" t="s">
        <v>14</v>
      </c>
      <c r="W2" s="722" t="s">
        <v>266</v>
      </c>
      <c r="X2" s="723"/>
      <c r="Y2" s="723"/>
      <c r="Z2" s="723"/>
      <c r="AA2" s="678" t="s">
        <v>3</v>
      </c>
      <c r="AB2" s="2"/>
      <c r="AC2" s="2"/>
      <c r="AD2" s="2"/>
      <c r="AE2" s="2"/>
      <c r="AF2" s="2"/>
      <c r="AG2" s="2"/>
      <c r="AH2" s="253"/>
    </row>
    <row r="3" spans="1:52" ht="94.5" customHeight="1">
      <c r="B3" s="716"/>
      <c r="C3" s="717"/>
      <c r="D3" s="718"/>
      <c r="E3" s="408" t="str">
        <f>'KI-KD'!$F125</f>
        <v>memahami langkah-langkah pengawasan kelestarian lingkungan hidup</v>
      </c>
      <c r="F3" s="408" t="str">
        <f>'KI-KD'!$F126</f>
        <v>senang memelihara/ merawat tanaman dalam pot</v>
      </c>
      <c r="G3" s="408" t="str">
        <f>'KI-KD'!$F127</f>
        <v>melakukan pemeliharaan tanaman dalam pot atau kebun sekolah</v>
      </c>
      <c r="H3" s="408" t="str">
        <f>'KI-KD'!$F128</f>
        <v>menggunakan IPTEK dalam mengelola barang bekas menjadi barang yang bermanfaat</v>
      </c>
      <c r="I3" s="408" t="str">
        <f>'KI-KD'!$F129</f>
        <v>menerima pemanfaatan IPTEK dalam pengelolaan barang bekas menjadi barang yang bermanfaat</v>
      </c>
      <c r="J3" s="408" t="str">
        <f>'KI-KD'!$F130</f>
        <v>membiasakan diri memanfaatkan IPTEK dalam mengelola lingkungan hidup</v>
      </c>
      <c r="K3" s="408" t="str">
        <f>'KI-KD'!$F128</f>
        <v>menggunakan IPTEK dalam mengelola barang bekas menjadi barang yang bermanfaat</v>
      </c>
      <c r="L3" s="408" t="str">
        <f>'KI-KD'!$F128</f>
        <v>menggunakan IPTEK dalam mengelola barang bekas menjadi barang yang bermanfaat</v>
      </c>
      <c r="M3" s="408" t="str">
        <f>'KI-KD'!$F128</f>
        <v>menggunakan IPTEK dalam mengelola barang bekas menjadi barang yang bermanfaat</v>
      </c>
      <c r="N3" s="408" t="str">
        <f>'KI-KD'!$F128</f>
        <v>menggunakan IPTEK dalam mengelola barang bekas menjadi barang yang bermanfaat</v>
      </c>
      <c r="O3" s="408" t="str">
        <f>'KI-KD'!$F128</f>
        <v>menggunakan IPTEK dalam mengelola barang bekas menjadi barang yang bermanfaat</v>
      </c>
      <c r="P3" s="408" t="str">
        <f>'KI-KD'!$F128</f>
        <v>menggunakan IPTEK dalam mengelola barang bekas menjadi barang yang bermanfaat</v>
      </c>
      <c r="Q3" s="408" t="str">
        <f>'KI-KD'!$F128</f>
        <v>menggunakan IPTEK dalam mengelola barang bekas menjadi barang yang bermanfaat</v>
      </c>
      <c r="R3" s="408" t="str">
        <f>'KI-KD'!$F128</f>
        <v>menggunakan IPTEK dalam mengelola barang bekas menjadi barang yang bermanfaat</v>
      </c>
      <c r="S3" s="408" t="str">
        <f>'KI-KD'!$F131</f>
        <v xml:space="preserve">menampilkan hasil karya dalam pameran kelas dan sekolah </v>
      </c>
      <c r="T3" s="408">
        <f>'KI-KD'!$F132</f>
        <v>0</v>
      </c>
      <c r="U3" s="720"/>
      <c r="V3" s="721"/>
      <c r="W3" s="712" t="s">
        <v>267</v>
      </c>
      <c r="X3" s="713"/>
      <c r="Y3" s="714" t="s">
        <v>268</v>
      </c>
      <c r="Z3" s="715"/>
      <c r="AA3" s="679"/>
      <c r="AB3" s="2"/>
      <c r="AC3" s="2"/>
      <c r="AD3" s="2"/>
      <c r="AE3" s="2"/>
      <c r="AF3" s="2"/>
      <c r="AG3" s="2"/>
      <c r="AH3" s="253"/>
    </row>
    <row r="4" spans="1:52" s="141" customFormat="1" ht="25.5" customHeight="1">
      <c r="A4" s="514"/>
      <c r="B4" s="716"/>
      <c r="C4" s="717"/>
      <c r="D4" s="718"/>
      <c r="E4" s="140" t="str">
        <f>'KI-KD'!$E125</f>
        <v>7.1</v>
      </c>
      <c r="F4" s="140" t="str">
        <f>'KI-KD'!$E126</f>
        <v>8.1</v>
      </c>
      <c r="G4" s="140" t="str">
        <f>'KI-KD'!$E127</f>
        <v>9.1</v>
      </c>
      <c r="H4" s="140" t="str">
        <f>'KI-KD'!$E128</f>
        <v>10.1</v>
      </c>
      <c r="I4" s="140" t="str">
        <f>'KI-KD'!$E129</f>
        <v>11.1</v>
      </c>
      <c r="J4" s="140">
        <f>'KI-KD'!$E132</f>
        <v>0</v>
      </c>
      <c r="K4" s="140" t="str">
        <f>'KI-KD'!$E128</f>
        <v>10.1</v>
      </c>
      <c r="L4" s="140" t="str">
        <f>'KI-KD'!$E128</f>
        <v>10.1</v>
      </c>
      <c r="M4" s="140" t="str">
        <f>'KI-KD'!$E128</f>
        <v>10.1</v>
      </c>
      <c r="N4" s="140" t="str">
        <f>'KI-KD'!$E128</f>
        <v>10.1</v>
      </c>
      <c r="O4" s="140" t="str">
        <f>'KI-KD'!$E128</f>
        <v>10.1</v>
      </c>
      <c r="P4" s="140" t="str">
        <f>'KI-KD'!$E128</f>
        <v>10.1</v>
      </c>
      <c r="Q4" s="140" t="str">
        <f>'KI-KD'!$E128</f>
        <v>10.1</v>
      </c>
      <c r="R4" s="140" t="str">
        <f>'KI-KD'!$E128</f>
        <v>10.1</v>
      </c>
      <c r="S4" s="140" t="str">
        <f>'KI-KD'!$E131</f>
        <v>12.2</v>
      </c>
      <c r="T4" s="140">
        <f>'KI-KD'!$E132</f>
        <v>0</v>
      </c>
      <c r="U4" s="720"/>
      <c r="V4" s="721"/>
      <c r="W4" s="248" t="s">
        <v>269</v>
      </c>
      <c r="X4" s="249" t="s">
        <v>3</v>
      </c>
      <c r="Y4" s="250" t="s">
        <v>269</v>
      </c>
      <c r="Z4" s="251" t="s">
        <v>3</v>
      </c>
      <c r="AA4" s="680"/>
      <c r="AB4" s="2"/>
      <c r="AC4" s="254" t="s">
        <v>270</v>
      </c>
      <c r="AD4" s="254" t="s">
        <v>271</v>
      </c>
      <c r="AE4" s="254" t="s">
        <v>272</v>
      </c>
      <c r="AF4" s="254" t="s">
        <v>273</v>
      </c>
      <c r="AG4" s="255" t="s">
        <v>266</v>
      </c>
      <c r="AH4" s="252"/>
    </row>
    <row r="5" spans="1:52" ht="63" customHeight="1">
      <c r="B5" s="142">
        <v>1</v>
      </c>
      <c r="C5" s="143" t="str">
        <f>SISWA!B6</f>
        <v>1718250040305</v>
      </c>
      <c r="D5" s="144" t="str">
        <f>SISWA!E6</f>
        <v>YAHYA</v>
      </c>
      <c r="E5" s="159">
        <v>97</v>
      </c>
      <c r="F5" s="159">
        <v>97</v>
      </c>
      <c r="G5" s="160">
        <v>97</v>
      </c>
      <c r="H5" s="159">
        <v>97</v>
      </c>
      <c r="I5" s="160">
        <v>97</v>
      </c>
      <c r="J5" s="160">
        <v>97</v>
      </c>
      <c r="K5" s="160"/>
      <c r="L5" s="160"/>
      <c r="M5" s="160"/>
      <c r="N5" s="159"/>
      <c r="O5" s="159"/>
      <c r="P5" s="159"/>
      <c r="Q5" s="159"/>
      <c r="R5" s="160"/>
      <c r="S5" s="160">
        <v>97</v>
      </c>
      <c r="T5" s="159" t="s">
        <v>766</v>
      </c>
      <c r="U5" s="354">
        <f>ROUND((AVERAGE(E5:T5)),0)</f>
        <v>97</v>
      </c>
      <c r="V5" s="355" t="str">
        <f>IF(U5&gt;KKM!$G$10,"A",IF(U5&gt;KKM!$H$10,"B",IF(U5&gt;=KKM!$I$10,"C","D")))</f>
        <v>A</v>
      </c>
      <c r="W5" s="356">
        <f t="shared" ref="W5:W54" si="0">MAX(E5:T5)</f>
        <v>97</v>
      </c>
      <c r="X5" s="361" t="str">
        <f>IF(W5&gt;KKM!$G$10," sangat baik ",IF(W5&gt;KKM!$H$10," baik ",IF(W5&gt;=KKM!$I$10," cukup baik "," perlu bimbingan ")))</f>
        <v xml:space="preserve"> sangat baik </v>
      </c>
      <c r="Y5" s="357">
        <f t="shared" ref="Y5:Y54" si="1">MIN(E5:T5)</f>
        <v>97</v>
      </c>
      <c r="Z5" s="361" t="str">
        <f>IF(Y5&gt;KKM!$G$10," sangat baik ",IF(Y5&gt;KKM!$H$10," baik ",IF(Y5&gt;=KKM!$I$10," cukup baik "," perlu bimbingan ")))</f>
        <v xml:space="preserve"> sangat baik </v>
      </c>
      <c r="AA5" s="353" t="str">
        <f>IFERROR(AH5," ")</f>
        <v>YAHYA sangat baik  dalam memahami langkah-langkah pengawasan kelestarian lingkungan hidup</v>
      </c>
      <c r="AB5" s="256"/>
      <c r="AC5" s="257" t="str">
        <f t="shared" ref="AC5:AC54" si="2">X5&amp;" dalam "&amp;INDEX($E$3:$T$3,MATCH(W5,$E5:$T5,0))</f>
        <v xml:space="preserve"> sangat baik  dalam memahami langkah-langkah pengawasan kelestarian lingkungan hidup</v>
      </c>
      <c r="AD5" s="257" t="str">
        <f t="shared" ref="AD5:AD54" si="3">Z5&amp;" dalam "&amp;INDEX($E$3:$T$3,MATCH(Y5,$E5:$T5,0))</f>
        <v xml:space="preserve"> sangat baik  dalam memahami langkah-langkah pengawasan kelestarian lingkungan hidup</v>
      </c>
      <c r="AE5" s="257" t="str">
        <f>AC5&amp;", dan "&amp;AD5</f>
        <v xml:space="preserve"> sangat baik  dalam memahami langkah-langkah pengawasan kelestarian lingkungan hidup, dan  sangat baik  dalam memahami langkah-langkah pengawasan kelestarian lingkungan hidup</v>
      </c>
      <c r="AF5" s="257" t="str">
        <f>IF(AC5=AD5,AC5," ")</f>
        <v xml:space="preserve"> sangat baik  dalam memahami langkah-langkah pengawasan kelestarian lingkungan hidup</v>
      </c>
      <c r="AG5" s="258" t="str">
        <f>IF(AF5=" ",AE5,AF5)</f>
        <v xml:space="preserve"> sangat baik  dalam memahami langkah-langkah pengawasan kelestarian lingkungan hidup</v>
      </c>
      <c r="AH5" s="252" t="str">
        <f>CONCATENATE(D5,AG5)</f>
        <v>YAHYA sangat baik  dalam memahami langkah-langkah pengawasan kelestarian lingkungan hidup</v>
      </c>
      <c r="AI5" s="153"/>
    </row>
    <row r="6" spans="1:52" ht="63" customHeight="1">
      <c r="B6" s="142">
        <v>2</v>
      </c>
      <c r="C6" s="143" t="str">
        <f>SISWA!B7</f>
        <v>1718250040306</v>
      </c>
      <c r="D6" s="144" t="str">
        <f>SISWA!E7</f>
        <v>ADHWA</v>
      </c>
      <c r="E6" s="159">
        <v>97</v>
      </c>
      <c r="F6" s="160">
        <v>97</v>
      </c>
      <c r="G6" s="160">
        <v>97</v>
      </c>
      <c r="H6" s="160">
        <v>97</v>
      </c>
      <c r="I6" s="160">
        <v>97</v>
      </c>
      <c r="J6" s="160">
        <v>97</v>
      </c>
      <c r="K6" s="160"/>
      <c r="L6" s="160"/>
      <c r="M6" s="160"/>
      <c r="N6" s="159"/>
      <c r="O6" s="159"/>
      <c r="P6" s="159"/>
      <c r="Q6" s="159"/>
      <c r="R6" s="160"/>
      <c r="S6" s="160">
        <v>97</v>
      </c>
      <c r="T6" s="159"/>
      <c r="U6" s="354">
        <f t="shared" ref="U6:U54" si="4">ROUND((AVERAGE(E6:T6)),0)</f>
        <v>97</v>
      </c>
      <c r="V6" s="355" t="str">
        <f>IF(U6&gt;KKM!$G$10,"A",IF(U6&gt;KKM!$H$10,"B",IF(U6&gt;=KKM!$I$10,"C","D")))</f>
        <v>A</v>
      </c>
      <c r="W6" s="356">
        <f t="shared" si="0"/>
        <v>97</v>
      </c>
      <c r="X6" s="361" t="str">
        <f>IF(W6&gt;KKM!$G$10," sangat baik ",IF(W6&gt;KKM!$H$10," baik ",IF(W6&gt;=KKM!$I$10," cukup baik "," perlu bimbingan ")))</f>
        <v xml:space="preserve"> sangat baik </v>
      </c>
      <c r="Y6" s="357">
        <f t="shared" si="1"/>
        <v>97</v>
      </c>
      <c r="Z6" s="361" t="str">
        <f>IF(Y6&gt;KKM!$G$10," sangat baik ",IF(Y6&gt;KKM!$H$10," baik ",IF(Y6&gt;=KKM!$I$10," cukup baik "," perlu bimbingan ")))</f>
        <v xml:space="preserve"> sangat baik </v>
      </c>
      <c r="AA6" s="353" t="str">
        <f t="shared" ref="AA6:AA54" si="5">IFERROR(AH6," ")</f>
        <v>ADHWA sangat baik  dalam memahami langkah-langkah pengawasan kelestarian lingkungan hidup</v>
      </c>
      <c r="AB6" s="256"/>
      <c r="AC6" s="257" t="str">
        <f t="shared" si="2"/>
        <v xml:space="preserve"> sangat baik  dalam memahami langkah-langkah pengawasan kelestarian lingkungan hidup</v>
      </c>
      <c r="AD6" s="257" t="str">
        <f t="shared" si="3"/>
        <v xml:space="preserve"> sangat baik  dalam memahami langkah-langkah pengawasan kelestarian lingkungan hidup</v>
      </c>
      <c r="AE6" s="257" t="str">
        <f t="shared" ref="AE6:AE54" si="6">AC6&amp;", dan "&amp;AD6</f>
        <v xml:space="preserve"> sangat baik  dalam memahami langkah-langkah pengawasan kelestarian lingkungan hidup, dan  sangat baik  dalam memahami langkah-langkah pengawasan kelestarian lingkungan hidup</v>
      </c>
      <c r="AF6" s="257" t="str">
        <f t="shared" ref="AF6:AF54" si="7">IF(AC6=AD6,AC6," ")</f>
        <v xml:space="preserve"> sangat baik  dalam memahami langkah-langkah pengawasan kelestarian lingkungan hidup</v>
      </c>
      <c r="AG6" s="258" t="str">
        <f t="shared" ref="AG6:AG54" si="8">IF(AF6=" ",AE6,AF6)</f>
        <v xml:space="preserve"> sangat baik  dalam memahami langkah-langkah pengawasan kelestarian lingkungan hidup</v>
      </c>
      <c r="AH6" s="252" t="str">
        <f t="shared" ref="AH6:AH54" si="9">CONCATENATE(D6,AG6)</f>
        <v>ADHWA sangat baik  dalam memahami langkah-langkah pengawasan kelestarian lingkungan hidup</v>
      </c>
      <c r="AI6" s="153"/>
    </row>
    <row r="7" spans="1:52" ht="63" customHeight="1">
      <c r="B7" s="142">
        <v>3</v>
      </c>
      <c r="C7" s="143" t="str">
        <f>SISWA!B8</f>
        <v xml:space="preserve"> 1718250040307</v>
      </c>
      <c r="D7" s="144" t="str">
        <f>SISWA!E8</f>
        <v>ANDHIKA</v>
      </c>
      <c r="E7" s="159">
        <v>88</v>
      </c>
      <c r="F7" s="160">
        <v>88</v>
      </c>
      <c r="G7" s="160">
        <v>88</v>
      </c>
      <c r="H7" s="160">
        <v>88</v>
      </c>
      <c r="I7" s="160">
        <v>88</v>
      </c>
      <c r="J7" s="160">
        <v>88</v>
      </c>
      <c r="K7" s="160"/>
      <c r="L7" s="160"/>
      <c r="M7" s="160"/>
      <c r="N7" s="159"/>
      <c r="O7" s="159"/>
      <c r="P7" s="159"/>
      <c r="Q7" s="159"/>
      <c r="R7" s="160"/>
      <c r="S7" s="160">
        <v>88</v>
      </c>
      <c r="T7" s="159"/>
      <c r="U7" s="354">
        <f t="shared" si="4"/>
        <v>88</v>
      </c>
      <c r="V7" s="355" t="str">
        <f>IF(U7&gt;KKM!$G$10,"A",IF(U7&gt;KKM!$H$10,"B",IF(U7&gt;=KKM!$I$10,"C","D")))</f>
        <v>A</v>
      </c>
      <c r="W7" s="356">
        <f t="shared" si="0"/>
        <v>88</v>
      </c>
      <c r="X7" s="361" t="str">
        <f>IF(W7&gt;KKM!$G$10," sangat baik ",IF(W7&gt;KKM!$H$10," baik ",IF(W7&gt;=KKM!$I$10," cukup baik "," perlu bimbingan ")))</f>
        <v xml:space="preserve"> sangat baik </v>
      </c>
      <c r="Y7" s="357">
        <f t="shared" si="1"/>
        <v>88</v>
      </c>
      <c r="Z7" s="361" t="str">
        <f>IF(Y7&gt;KKM!$G$10," sangat baik ",IF(Y7&gt;KKM!$H$10," baik ",IF(Y7&gt;=KKM!$I$10," cukup baik "," perlu bimbingan ")))</f>
        <v xml:space="preserve"> sangat baik </v>
      </c>
      <c r="AA7" s="353" t="str">
        <f t="shared" si="5"/>
        <v>ANDHIKA sangat baik  dalam memahami langkah-langkah pengawasan kelestarian lingkungan hidup</v>
      </c>
      <c r="AB7" s="256"/>
      <c r="AC7" s="257" t="str">
        <f t="shared" si="2"/>
        <v xml:space="preserve"> sangat baik  dalam memahami langkah-langkah pengawasan kelestarian lingkungan hidup</v>
      </c>
      <c r="AD7" s="257" t="str">
        <f t="shared" si="3"/>
        <v xml:space="preserve"> sangat baik  dalam memahami langkah-langkah pengawasan kelestarian lingkungan hidup</v>
      </c>
      <c r="AE7" s="257" t="str">
        <f t="shared" si="6"/>
        <v xml:space="preserve"> sangat baik  dalam memahami langkah-langkah pengawasan kelestarian lingkungan hidup, dan  sangat baik  dalam memahami langkah-langkah pengawasan kelestarian lingkungan hidup</v>
      </c>
      <c r="AF7" s="257" t="str">
        <f t="shared" si="7"/>
        <v xml:space="preserve"> sangat baik  dalam memahami langkah-langkah pengawasan kelestarian lingkungan hidup</v>
      </c>
      <c r="AG7" s="258" t="str">
        <f t="shared" si="8"/>
        <v xml:space="preserve"> sangat baik  dalam memahami langkah-langkah pengawasan kelestarian lingkungan hidup</v>
      </c>
      <c r="AH7" s="252" t="str">
        <f t="shared" si="9"/>
        <v>ANDHIKA sangat baik  dalam memahami langkah-langkah pengawasan kelestarian lingkungan hidup</v>
      </c>
      <c r="AI7" s="153"/>
    </row>
    <row r="8" spans="1:52" ht="63" customHeight="1">
      <c r="B8" s="142">
        <v>4</v>
      </c>
      <c r="C8" s="143" t="str">
        <f>SISWA!B9</f>
        <v xml:space="preserve"> 1718250040308</v>
      </c>
      <c r="D8" s="144" t="str">
        <f>SISWA!E9</f>
        <v>ANGGARA</v>
      </c>
      <c r="E8" s="159">
        <v>88</v>
      </c>
      <c r="F8" s="160">
        <v>88</v>
      </c>
      <c r="G8" s="160">
        <v>88</v>
      </c>
      <c r="H8" s="160">
        <v>88</v>
      </c>
      <c r="I8" s="160">
        <v>88</v>
      </c>
      <c r="J8" s="160">
        <v>88</v>
      </c>
      <c r="K8" s="160"/>
      <c r="L8" s="160"/>
      <c r="M8" s="160"/>
      <c r="N8" s="159"/>
      <c r="O8" s="159"/>
      <c r="P8" s="159"/>
      <c r="Q8" s="159"/>
      <c r="R8" s="160"/>
      <c r="S8" s="160">
        <v>88</v>
      </c>
      <c r="T8" s="159"/>
      <c r="U8" s="354">
        <f t="shared" si="4"/>
        <v>88</v>
      </c>
      <c r="V8" s="355" t="str">
        <f>IF(U8&gt;KKM!$G$10,"A",IF(U8&gt;KKM!$H$10,"B",IF(U8&gt;=KKM!$I$10,"C","D")))</f>
        <v>A</v>
      </c>
      <c r="W8" s="356">
        <f t="shared" si="0"/>
        <v>88</v>
      </c>
      <c r="X8" s="361" t="str">
        <f>IF(W8&gt;KKM!$G$10," sangat baik ",IF(W8&gt;KKM!$H$10," baik ",IF(W8&gt;=KKM!$I$10," cukup baik "," perlu bimbingan ")))</f>
        <v xml:space="preserve"> sangat baik </v>
      </c>
      <c r="Y8" s="357">
        <f t="shared" si="1"/>
        <v>88</v>
      </c>
      <c r="Z8" s="361" t="str">
        <f>IF(Y8&gt;KKM!$G$10," sangat baik ",IF(Y8&gt;KKM!$H$10," baik ",IF(Y8&gt;=KKM!$I$10," cukup baik "," perlu bimbingan ")))</f>
        <v xml:space="preserve"> sangat baik </v>
      </c>
      <c r="AA8" s="353" t="str">
        <f t="shared" si="5"/>
        <v>ANGGARA sangat baik  dalam memahami langkah-langkah pengawasan kelestarian lingkungan hidup</v>
      </c>
      <c r="AB8" s="256"/>
      <c r="AC8" s="257" t="str">
        <f t="shared" si="2"/>
        <v xml:space="preserve"> sangat baik  dalam memahami langkah-langkah pengawasan kelestarian lingkungan hidup</v>
      </c>
      <c r="AD8" s="257" t="str">
        <f t="shared" si="3"/>
        <v xml:space="preserve"> sangat baik  dalam memahami langkah-langkah pengawasan kelestarian lingkungan hidup</v>
      </c>
      <c r="AE8" s="257" t="str">
        <f t="shared" si="6"/>
        <v xml:space="preserve"> sangat baik  dalam memahami langkah-langkah pengawasan kelestarian lingkungan hidup, dan  sangat baik  dalam memahami langkah-langkah pengawasan kelestarian lingkungan hidup</v>
      </c>
      <c r="AF8" s="257" t="str">
        <f t="shared" si="7"/>
        <v xml:space="preserve"> sangat baik  dalam memahami langkah-langkah pengawasan kelestarian lingkungan hidup</v>
      </c>
      <c r="AG8" s="258" t="str">
        <f t="shared" si="8"/>
        <v xml:space="preserve"> sangat baik  dalam memahami langkah-langkah pengawasan kelestarian lingkungan hidup</v>
      </c>
      <c r="AH8" s="252" t="str">
        <f t="shared" si="9"/>
        <v>ANGGARA sangat baik  dalam memahami langkah-langkah pengawasan kelestarian lingkungan hidup</v>
      </c>
      <c r="AI8" s="153"/>
    </row>
    <row r="9" spans="1:52" ht="63" customHeight="1">
      <c r="B9" s="142">
        <v>5</v>
      </c>
      <c r="C9" s="143" t="str">
        <f>SISWA!B10</f>
        <v>1718250040309</v>
      </c>
      <c r="D9" s="144" t="str">
        <f>SISWA!E10</f>
        <v>ARIA</v>
      </c>
      <c r="E9" s="159">
        <v>91</v>
      </c>
      <c r="F9" s="160">
        <v>91</v>
      </c>
      <c r="G9" s="160">
        <v>91</v>
      </c>
      <c r="H9" s="160">
        <v>91</v>
      </c>
      <c r="I9" s="160">
        <v>91</v>
      </c>
      <c r="J9" s="160">
        <v>91</v>
      </c>
      <c r="K9" s="160"/>
      <c r="L9" s="160"/>
      <c r="M9" s="160"/>
      <c r="N9" s="159"/>
      <c r="O9" s="159"/>
      <c r="P9" s="159"/>
      <c r="Q9" s="159"/>
      <c r="R9" s="160"/>
      <c r="S9" s="160">
        <v>91</v>
      </c>
      <c r="T9" s="159"/>
      <c r="U9" s="354">
        <f t="shared" si="4"/>
        <v>91</v>
      </c>
      <c r="V9" s="355" t="str">
        <f>IF(U9&gt;KKM!$G$10,"A",IF(U9&gt;KKM!$H$10,"B",IF(U9&gt;=KKM!$I$10,"C","D")))</f>
        <v>A</v>
      </c>
      <c r="W9" s="356">
        <f t="shared" si="0"/>
        <v>91</v>
      </c>
      <c r="X9" s="361" t="str">
        <f>IF(W9&gt;KKM!$G$10," sangat baik ",IF(W9&gt;KKM!$H$10," baik ",IF(W9&gt;=KKM!$I$10," cukup baik "," perlu bimbingan ")))</f>
        <v xml:space="preserve"> sangat baik </v>
      </c>
      <c r="Y9" s="357">
        <f t="shared" si="1"/>
        <v>91</v>
      </c>
      <c r="Z9" s="361" t="str">
        <f>IF(Y9&gt;KKM!$G$10," sangat baik ",IF(Y9&gt;KKM!$H$10," baik ",IF(Y9&gt;=KKM!$I$10," cukup baik "," perlu bimbingan ")))</f>
        <v xml:space="preserve"> sangat baik </v>
      </c>
      <c r="AA9" s="353" t="str">
        <f t="shared" si="5"/>
        <v>ARIA sangat baik  dalam memahami langkah-langkah pengawasan kelestarian lingkungan hidup</v>
      </c>
      <c r="AB9" s="256"/>
      <c r="AC9" s="257" t="str">
        <f t="shared" si="2"/>
        <v xml:space="preserve"> sangat baik  dalam memahami langkah-langkah pengawasan kelestarian lingkungan hidup</v>
      </c>
      <c r="AD9" s="257" t="str">
        <f t="shared" si="3"/>
        <v xml:space="preserve"> sangat baik  dalam memahami langkah-langkah pengawasan kelestarian lingkungan hidup</v>
      </c>
      <c r="AE9" s="257" t="str">
        <f t="shared" si="6"/>
        <v xml:space="preserve"> sangat baik  dalam memahami langkah-langkah pengawasan kelestarian lingkungan hidup, dan  sangat baik  dalam memahami langkah-langkah pengawasan kelestarian lingkungan hidup</v>
      </c>
      <c r="AF9" s="257" t="str">
        <f t="shared" si="7"/>
        <v xml:space="preserve"> sangat baik  dalam memahami langkah-langkah pengawasan kelestarian lingkungan hidup</v>
      </c>
      <c r="AG9" s="258" t="str">
        <f t="shared" si="8"/>
        <v xml:space="preserve"> sangat baik  dalam memahami langkah-langkah pengawasan kelestarian lingkungan hidup</v>
      </c>
      <c r="AH9" s="252" t="str">
        <f t="shared" si="9"/>
        <v>ARIA sangat baik  dalam memahami langkah-langkah pengawasan kelestarian lingkungan hidup</v>
      </c>
      <c r="AI9" s="153"/>
    </row>
    <row r="10" spans="1:52" ht="63" customHeight="1">
      <c r="B10" s="142">
        <v>6</v>
      </c>
      <c r="C10" s="143" t="str">
        <f>SISWA!B11</f>
        <v>1718250040310</v>
      </c>
      <c r="D10" s="144" t="str">
        <f>SISWA!E11</f>
        <v>CAHAYA</v>
      </c>
      <c r="E10" s="159">
        <v>88</v>
      </c>
      <c r="F10" s="160">
        <v>88</v>
      </c>
      <c r="G10" s="160">
        <v>88</v>
      </c>
      <c r="H10" s="160">
        <v>88</v>
      </c>
      <c r="I10" s="160">
        <v>88</v>
      </c>
      <c r="J10" s="160">
        <v>88</v>
      </c>
      <c r="K10" s="160"/>
      <c r="L10" s="160"/>
      <c r="M10" s="160"/>
      <c r="N10" s="159"/>
      <c r="O10" s="159"/>
      <c r="P10" s="159"/>
      <c r="Q10" s="159"/>
      <c r="R10" s="160"/>
      <c r="S10" s="160">
        <v>88</v>
      </c>
      <c r="T10" s="159"/>
      <c r="U10" s="354">
        <f t="shared" si="4"/>
        <v>88</v>
      </c>
      <c r="V10" s="355" t="str">
        <f>IF(U10&gt;KKM!$G$10,"A",IF(U10&gt;KKM!$H$10,"B",IF(U10&gt;=KKM!$I$10,"C","D")))</f>
        <v>A</v>
      </c>
      <c r="W10" s="356">
        <f t="shared" si="0"/>
        <v>88</v>
      </c>
      <c r="X10" s="361" t="str">
        <f>IF(W10&gt;KKM!$G$10," sangat baik ",IF(W10&gt;KKM!$H$10," baik ",IF(W10&gt;=KKM!$I$10," cukup baik "," perlu bimbingan ")))</f>
        <v xml:space="preserve"> sangat baik </v>
      </c>
      <c r="Y10" s="357">
        <f t="shared" si="1"/>
        <v>88</v>
      </c>
      <c r="Z10" s="361" t="str">
        <f>IF(Y10&gt;KKM!$G$10," sangat baik ",IF(Y10&gt;KKM!$H$10," baik ",IF(Y10&gt;=KKM!$I$10," cukup baik "," perlu bimbingan ")))</f>
        <v xml:space="preserve"> sangat baik </v>
      </c>
      <c r="AA10" s="353" t="str">
        <f t="shared" si="5"/>
        <v>CAHAYA sangat baik  dalam memahami langkah-langkah pengawasan kelestarian lingkungan hidup</v>
      </c>
      <c r="AB10" s="256"/>
      <c r="AC10" s="257" t="str">
        <f t="shared" si="2"/>
        <v xml:space="preserve"> sangat baik  dalam memahami langkah-langkah pengawasan kelestarian lingkungan hidup</v>
      </c>
      <c r="AD10" s="257" t="str">
        <f t="shared" si="3"/>
        <v xml:space="preserve"> sangat baik  dalam memahami langkah-langkah pengawasan kelestarian lingkungan hidup</v>
      </c>
      <c r="AE10" s="257" t="str">
        <f t="shared" si="6"/>
        <v xml:space="preserve"> sangat baik  dalam memahami langkah-langkah pengawasan kelestarian lingkungan hidup, dan  sangat baik  dalam memahami langkah-langkah pengawasan kelestarian lingkungan hidup</v>
      </c>
      <c r="AF10" s="257" t="str">
        <f t="shared" si="7"/>
        <v xml:space="preserve"> sangat baik  dalam memahami langkah-langkah pengawasan kelestarian lingkungan hidup</v>
      </c>
      <c r="AG10" s="258" t="str">
        <f t="shared" si="8"/>
        <v xml:space="preserve"> sangat baik  dalam memahami langkah-langkah pengawasan kelestarian lingkungan hidup</v>
      </c>
      <c r="AH10" s="252" t="str">
        <f t="shared" si="9"/>
        <v>CAHAYA sangat baik  dalam memahami langkah-langkah pengawasan kelestarian lingkungan hidup</v>
      </c>
      <c r="AI10" s="153"/>
    </row>
    <row r="11" spans="1:52" ht="63" customHeight="1">
      <c r="B11" s="142">
        <v>7</v>
      </c>
      <c r="C11" s="143" t="str">
        <f>SISWA!B12</f>
        <v>1718250040311</v>
      </c>
      <c r="D11" s="144" t="str">
        <f>SISWA!E12</f>
        <v>CALISTA</v>
      </c>
      <c r="E11" s="159">
        <v>85</v>
      </c>
      <c r="F11" s="160">
        <v>85</v>
      </c>
      <c r="G11" s="160">
        <v>85</v>
      </c>
      <c r="H11" s="160">
        <v>85</v>
      </c>
      <c r="I11" s="160">
        <v>85</v>
      </c>
      <c r="J11" s="160">
        <v>85</v>
      </c>
      <c r="K11" s="160"/>
      <c r="L11" s="160"/>
      <c r="M11" s="160"/>
      <c r="N11" s="159"/>
      <c r="O11" s="159"/>
      <c r="P11" s="159"/>
      <c r="Q11" s="159"/>
      <c r="R11" s="160"/>
      <c r="S11" s="160">
        <v>85</v>
      </c>
      <c r="T11" s="159"/>
      <c r="U11" s="354">
        <f t="shared" si="4"/>
        <v>85</v>
      </c>
      <c r="V11" s="355" t="str">
        <f>IF(U11&gt;KKM!$G$10,"A",IF(U11&gt;KKM!$H$10,"B",IF(U11&gt;=KKM!$I$10,"C","D")))</f>
        <v>B</v>
      </c>
      <c r="W11" s="356">
        <f t="shared" si="0"/>
        <v>85</v>
      </c>
      <c r="X11" s="361" t="str">
        <f>IF(W11&gt;KKM!$G$10," sangat baik ",IF(W11&gt;KKM!$H$10," baik ",IF(W11&gt;=KKM!$I$10," cukup baik "," perlu bimbingan ")))</f>
        <v xml:space="preserve"> baik </v>
      </c>
      <c r="Y11" s="357">
        <f t="shared" si="1"/>
        <v>85</v>
      </c>
      <c r="Z11" s="361" t="str">
        <f>IF(Y11&gt;KKM!$G$10," sangat baik ",IF(Y11&gt;KKM!$H$10," baik ",IF(Y11&gt;=KKM!$I$10," cukup baik "," perlu bimbingan ")))</f>
        <v xml:space="preserve"> baik </v>
      </c>
      <c r="AA11" s="353" t="str">
        <f t="shared" si="5"/>
        <v>CALISTA baik  dalam memahami langkah-langkah pengawasan kelestarian lingkungan hidup</v>
      </c>
      <c r="AB11" s="256"/>
      <c r="AC11" s="257" t="str">
        <f t="shared" si="2"/>
        <v xml:space="preserve"> baik  dalam memahami langkah-langkah pengawasan kelestarian lingkungan hidup</v>
      </c>
      <c r="AD11" s="257" t="str">
        <f t="shared" si="3"/>
        <v xml:space="preserve"> baik  dalam memahami langkah-langkah pengawasan kelestarian lingkungan hidup</v>
      </c>
      <c r="AE11" s="257" t="str">
        <f t="shared" si="6"/>
        <v xml:space="preserve"> baik  dalam memahami langkah-langkah pengawasan kelestarian lingkungan hidup, dan  baik  dalam memahami langkah-langkah pengawasan kelestarian lingkungan hidup</v>
      </c>
      <c r="AF11" s="257" t="str">
        <f t="shared" si="7"/>
        <v xml:space="preserve"> baik  dalam memahami langkah-langkah pengawasan kelestarian lingkungan hidup</v>
      </c>
      <c r="AG11" s="258" t="str">
        <f t="shared" si="8"/>
        <v xml:space="preserve"> baik  dalam memahami langkah-langkah pengawasan kelestarian lingkungan hidup</v>
      </c>
      <c r="AH11" s="252" t="str">
        <f t="shared" si="9"/>
        <v>CALISTA baik  dalam memahami langkah-langkah pengawasan kelestarian lingkungan hidup</v>
      </c>
      <c r="AI11" s="153"/>
    </row>
    <row r="12" spans="1:52" ht="63" customHeight="1">
      <c r="B12" s="142">
        <v>8</v>
      </c>
      <c r="C12" s="143" t="str">
        <f>SISWA!B13</f>
        <v>1718250040312</v>
      </c>
      <c r="D12" s="144" t="str">
        <f>SISWA!E13</f>
        <v>CARISSA</v>
      </c>
      <c r="E12" s="159">
        <v>100</v>
      </c>
      <c r="F12" s="160">
        <v>100</v>
      </c>
      <c r="G12" s="160">
        <v>100</v>
      </c>
      <c r="H12" s="160">
        <v>100</v>
      </c>
      <c r="I12" s="160">
        <v>100</v>
      </c>
      <c r="J12" s="160">
        <v>100</v>
      </c>
      <c r="K12" s="160"/>
      <c r="L12" s="160"/>
      <c r="M12" s="160"/>
      <c r="N12" s="159"/>
      <c r="O12" s="159"/>
      <c r="P12" s="159"/>
      <c r="Q12" s="159"/>
      <c r="R12" s="160"/>
      <c r="S12" s="160">
        <v>100</v>
      </c>
      <c r="T12" s="159"/>
      <c r="U12" s="354">
        <f t="shared" si="4"/>
        <v>100</v>
      </c>
      <c r="V12" s="355" t="str">
        <f>IF(U12&gt;KKM!$G$10,"A",IF(U12&gt;KKM!$H$10,"B",IF(U12&gt;=KKM!$I$10,"C","D")))</f>
        <v>A</v>
      </c>
      <c r="W12" s="356">
        <f t="shared" si="0"/>
        <v>100</v>
      </c>
      <c r="X12" s="361" t="str">
        <f>IF(W12&gt;KKM!$G$10," sangat baik ",IF(W12&gt;KKM!$H$10," baik ",IF(W12&gt;=KKM!$I$10," cukup baik "," perlu bimbingan ")))</f>
        <v xml:space="preserve"> sangat baik </v>
      </c>
      <c r="Y12" s="357">
        <f t="shared" si="1"/>
        <v>100</v>
      </c>
      <c r="Z12" s="361" t="str">
        <f>IF(Y12&gt;KKM!$G$10," sangat baik ",IF(Y12&gt;KKM!$H$10," baik ",IF(Y12&gt;=KKM!$I$10," cukup baik "," perlu bimbingan ")))</f>
        <v xml:space="preserve"> sangat baik </v>
      </c>
      <c r="AA12" s="353" t="str">
        <f t="shared" si="5"/>
        <v>CARISSA sangat baik  dalam memahami langkah-langkah pengawasan kelestarian lingkungan hidup</v>
      </c>
      <c r="AB12" s="256"/>
      <c r="AC12" s="257" t="str">
        <f t="shared" si="2"/>
        <v xml:space="preserve"> sangat baik  dalam memahami langkah-langkah pengawasan kelestarian lingkungan hidup</v>
      </c>
      <c r="AD12" s="257" t="str">
        <f t="shared" si="3"/>
        <v xml:space="preserve"> sangat baik  dalam memahami langkah-langkah pengawasan kelestarian lingkungan hidup</v>
      </c>
      <c r="AE12" s="257" t="str">
        <f t="shared" si="6"/>
        <v xml:space="preserve"> sangat baik  dalam memahami langkah-langkah pengawasan kelestarian lingkungan hidup, dan  sangat baik  dalam memahami langkah-langkah pengawasan kelestarian lingkungan hidup</v>
      </c>
      <c r="AF12" s="257" t="str">
        <f t="shared" si="7"/>
        <v xml:space="preserve"> sangat baik  dalam memahami langkah-langkah pengawasan kelestarian lingkungan hidup</v>
      </c>
      <c r="AG12" s="258" t="str">
        <f t="shared" si="8"/>
        <v xml:space="preserve"> sangat baik  dalam memahami langkah-langkah pengawasan kelestarian lingkungan hidup</v>
      </c>
      <c r="AH12" s="252" t="str">
        <f t="shared" si="9"/>
        <v>CARISSA sangat baik  dalam memahami langkah-langkah pengawasan kelestarian lingkungan hidup</v>
      </c>
      <c r="AI12" s="153"/>
    </row>
    <row r="13" spans="1:52" ht="63" customHeight="1">
      <c r="B13" s="142">
        <v>9</v>
      </c>
      <c r="C13" s="143" t="str">
        <f>SISWA!B14</f>
        <v>1718250040313</v>
      </c>
      <c r="D13" s="144" t="str">
        <f>SISWA!E14</f>
        <v>CHAIDAR</v>
      </c>
      <c r="E13" s="159">
        <v>94</v>
      </c>
      <c r="F13" s="160">
        <v>94</v>
      </c>
      <c r="G13" s="160">
        <v>94</v>
      </c>
      <c r="H13" s="160">
        <v>94</v>
      </c>
      <c r="I13" s="160">
        <v>94</v>
      </c>
      <c r="J13" s="160">
        <v>94</v>
      </c>
      <c r="K13" s="160"/>
      <c r="L13" s="160"/>
      <c r="M13" s="160"/>
      <c r="N13" s="159"/>
      <c r="O13" s="159"/>
      <c r="P13" s="159"/>
      <c r="Q13" s="159"/>
      <c r="R13" s="160"/>
      <c r="S13" s="160">
        <v>94</v>
      </c>
      <c r="T13" s="159"/>
      <c r="U13" s="354">
        <f t="shared" si="4"/>
        <v>94</v>
      </c>
      <c r="V13" s="355" t="str">
        <f>IF(U13&gt;KKM!$G$10,"A",IF(U13&gt;KKM!$H$10,"B",IF(U13&gt;=KKM!$I$10,"C","D")))</f>
        <v>A</v>
      </c>
      <c r="W13" s="356">
        <f t="shared" si="0"/>
        <v>94</v>
      </c>
      <c r="X13" s="361" t="str">
        <f>IF(W13&gt;KKM!$G$10," sangat baik ",IF(W13&gt;KKM!$H$10," baik ",IF(W13&gt;=KKM!$I$10," cukup baik "," perlu bimbingan ")))</f>
        <v xml:space="preserve"> sangat baik </v>
      </c>
      <c r="Y13" s="357">
        <f t="shared" si="1"/>
        <v>94</v>
      </c>
      <c r="Z13" s="361" t="str">
        <f>IF(Y13&gt;KKM!$G$10," sangat baik ",IF(Y13&gt;KKM!$H$10," baik ",IF(Y13&gt;=KKM!$I$10," cukup baik "," perlu bimbingan ")))</f>
        <v xml:space="preserve"> sangat baik </v>
      </c>
      <c r="AA13" s="353" t="str">
        <f t="shared" si="5"/>
        <v>CHAIDAR sangat baik  dalam memahami langkah-langkah pengawasan kelestarian lingkungan hidup</v>
      </c>
      <c r="AB13" s="256"/>
      <c r="AC13" s="257" t="str">
        <f t="shared" si="2"/>
        <v xml:space="preserve"> sangat baik  dalam memahami langkah-langkah pengawasan kelestarian lingkungan hidup</v>
      </c>
      <c r="AD13" s="257" t="str">
        <f t="shared" si="3"/>
        <v xml:space="preserve"> sangat baik  dalam memahami langkah-langkah pengawasan kelestarian lingkungan hidup</v>
      </c>
      <c r="AE13" s="257" t="str">
        <f t="shared" si="6"/>
        <v xml:space="preserve"> sangat baik  dalam memahami langkah-langkah pengawasan kelestarian lingkungan hidup, dan  sangat baik  dalam memahami langkah-langkah pengawasan kelestarian lingkungan hidup</v>
      </c>
      <c r="AF13" s="257" t="str">
        <f t="shared" si="7"/>
        <v xml:space="preserve"> sangat baik  dalam memahami langkah-langkah pengawasan kelestarian lingkungan hidup</v>
      </c>
      <c r="AG13" s="258" t="str">
        <f t="shared" si="8"/>
        <v xml:space="preserve"> sangat baik  dalam memahami langkah-langkah pengawasan kelestarian lingkungan hidup</v>
      </c>
      <c r="AH13" s="252" t="str">
        <f t="shared" si="9"/>
        <v>CHAIDAR sangat baik  dalam memahami langkah-langkah pengawasan kelestarian lingkungan hidup</v>
      </c>
      <c r="AI13" s="153"/>
    </row>
    <row r="14" spans="1:52" ht="63" customHeight="1">
      <c r="B14" s="142">
        <v>10</v>
      </c>
      <c r="C14" s="143" t="str">
        <f>SISWA!B15</f>
        <v>1718250040314</v>
      </c>
      <c r="D14" s="144" t="str">
        <f>SISWA!E15</f>
        <v>DAVKA</v>
      </c>
      <c r="E14" s="159">
        <v>91</v>
      </c>
      <c r="F14" s="160">
        <v>91</v>
      </c>
      <c r="G14" s="160">
        <v>91</v>
      </c>
      <c r="H14" s="160">
        <v>91</v>
      </c>
      <c r="I14" s="160">
        <v>91</v>
      </c>
      <c r="J14" s="160">
        <v>91</v>
      </c>
      <c r="K14" s="160"/>
      <c r="L14" s="160"/>
      <c r="M14" s="160"/>
      <c r="N14" s="159"/>
      <c r="O14" s="159"/>
      <c r="P14" s="159"/>
      <c r="Q14" s="159"/>
      <c r="R14" s="160"/>
      <c r="S14" s="160">
        <v>91</v>
      </c>
      <c r="T14" s="159"/>
      <c r="U14" s="354">
        <f t="shared" si="4"/>
        <v>91</v>
      </c>
      <c r="V14" s="355" t="str">
        <f>IF(U14&gt;KKM!$G$10,"A",IF(U14&gt;KKM!$H$10,"B",IF(U14&gt;=KKM!$I$10,"C","D")))</f>
        <v>A</v>
      </c>
      <c r="W14" s="356">
        <f t="shared" si="0"/>
        <v>91</v>
      </c>
      <c r="X14" s="361" t="str">
        <f>IF(W14&gt;KKM!$G$10," sangat baik ",IF(W14&gt;KKM!$H$10," baik ",IF(W14&gt;=KKM!$I$10," cukup baik "," perlu bimbingan ")))</f>
        <v xml:space="preserve"> sangat baik </v>
      </c>
      <c r="Y14" s="357">
        <f t="shared" si="1"/>
        <v>91</v>
      </c>
      <c r="Z14" s="361" t="str">
        <f>IF(Y14&gt;KKM!$G$10," sangat baik ",IF(Y14&gt;KKM!$H$10," baik ",IF(Y14&gt;=KKM!$I$10," cukup baik "," perlu bimbingan ")))</f>
        <v xml:space="preserve"> sangat baik </v>
      </c>
      <c r="AA14" s="353" t="str">
        <f t="shared" si="5"/>
        <v>DAVKA sangat baik  dalam memahami langkah-langkah pengawasan kelestarian lingkungan hidup</v>
      </c>
      <c r="AB14" s="256"/>
      <c r="AC14" s="257" t="str">
        <f t="shared" si="2"/>
        <v xml:space="preserve"> sangat baik  dalam memahami langkah-langkah pengawasan kelestarian lingkungan hidup</v>
      </c>
      <c r="AD14" s="257" t="str">
        <f t="shared" si="3"/>
        <v xml:space="preserve"> sangat baik  dalam memahami langkah-langkah pengawasan kelestarian lingkungan hidup</v>
      </c>
      <c r="AE14" s="257" t="str">
        <f t="shared" si="6"/>
        <v xml:space="preserve"> sangat baik  dalam memahami langkah-langkah pengawasan kelestarian lingkungan hidup, dan  sangat baik  dalam memahami langkah-langkah pengawasan kelestarian lingkungan hidup</v>
      </c>
      <c r="AF14" s="257" t="str">
        <f t="shared" si="7"/>
        <v xml:space="preserve"> sangat baik  dalam memahami langkah-langkah pengawasan kelestarian lingkungan hidup</v>
      </c>
      <c r="AG14" s="258" t="str">
        <f t="shared" si="8"/>
        <v xml:space="preserve"> sangat baik  dalam memahami langkah-langkah pengawasan kelestarian lingkungan hidup</v>
      </c>
      <c r="AH14" s="252" t="str">
        <f t="shared" si="9"/>
        <v>DAVKA sangat baik  dalam memahami langkah-langkah pengawasan kelestarian lingkungan hidup</v>
      </c>
      <c r="AI14" s="153"/>
    </row>
    <row r="15" spans="1:52" ht="63" customHeight="1">
      <c r="B15" s="142">
        <v>11</v>
      </c>
      <c r="C15" s="143" t="str">
        <f>SISWA!B16</f>
        <v>1718250040315</v>
      </c>
      <c r="D15" s="144" t="str">
        <f>SISWA!E16</f>
        <v>DZIBRIL</v>
      </c>
      <c r="E15" s="159">
        <v>88</v>
      </c>
      <c r="F15" s="160">
        <v>88</v>
      </c>
      <c r="G15" s="160">
        <v>88</v>
      </c>
      <c r="H15" s="160">
        <v>88</v>
      </c>
      <c r="I15" s="160">
        <v>88</v>
      </c>
      <c r="J15" s="160">
        <v>88</v>
      </c>
      <c r="K15" s="160"/>
      <c r="L15" s="160"/>
      <c r="M15" s="160"/>
      <c r="N15" s="159"/>
      <c r="O15" s="159"/>
      <c r="P15" s="159"/>
      <c r="Q15" s="159"/>
      <c r="R15" s="160"/>
      <c r="S15" s="160">
        <v>88</v>
      </c>
      <c r="T15" s="159"/>
      <c r="U15" s="354">
        <f t="shared" si="4"/>
        <v>88</v>
      </c>
      <c r="V15" s="355" t="str">
        <f>IF(U15&gt;KKM!$G$10,"A",IF(U15&gt;KKM!$H$10,"B",IF(U15&gt;=KKM!$I$10,"C","D")))</f>
        <v>A</v>
      </c>
      <c r="W15" s="356">
        <f t="shared" si="0"/>
        <v>88</v>
      </c>
      <c r="X15" s="361" t="str">
        <f>IF(W15&gt;KKM!$G$10," sangat baik ",IF(W15&gt;KKM!$H$10," baik ",IF(W15&gt;=KKM!$I$10," cukup baik "," perlu bimbingan ")))</f>
        <v xml:space="preserve"> sangat baik </v>
      </c>
      <c r="Y15" s="357">
        <f t="shared" si="1"/>
        <v>88</v>
      </c>
      <c r="Z15" s="361" t="str">
        <f>IF(Y15&gt;KKM!$G$10," sangat baik ",IF(Y15&gt;KKM!$H$10," baik ",IF(Y15&gt;=KKM!$I$10," cukup baik "," perlu bimbingan ")))</f>
        <v xml:space="preserve"> sangat baik </v>
      </c>
      <c r="AA15" s="353" t="str">
        <f t="shared" si="5"/>
        <v>DZIBRIL sangat baik  dalam memahami langkah-langkah pengawasan kelestarian lingkungan hidup</v>
      </c>
      <c r="AB15" s="256"/>
      <c r="AC15" s="257" t="str">
        <f t="shared" si="2"/>
        <v xml:space="preserve"> sangat baik  dalam memahami langkah-langkah pengawasan kelestarian lingkungan hidup</v>
      </c>
      <c r="AD15" s="257" t="str">
        <f t="shared" si="3"/>
        <v xml:space="preserve"> sangat baik  dalam memahami langkah-langkah pengawasan kelestarian lingkungan hidup</v>
      </c>
      <c r="AE15" s="257" t="str">
        <f t="shared" si="6"/>
        <v xml:space="preserve"> sangat baik  dalam memahami langkah-langkah pengawasan kelestarian lingkungan hidup, dan  sangat baik  dalam memahami langkah-langkah pengawasan kelestarian lingkungan hidup</v>
      </c>
      <c r="AF15" s="257" t="str">
        <f t="shared" si="7"/>
        <v xml:space="preserve"> sangat baik  dalam memahami langkah-langkah pengawasan kelestarian lingkungan hidup</v>
      </c>
      <c r="AG15" s="258" t="str">
        <f t="shared" si="8"/>
        <v xml:space="preserve"> sangat baik  dalam memahami langkah-langkah pengawasan kelestarian lingkungan hidup</v>
      </c>
      <c r="AH15" s="252" t="str">
        <f t="shared" si="9"/>
        <v>DZIBRIL sangat baik  dalam memahami langkah-langkah pengawasan kelestarian lingkungan hidup</v>
      </c>
      <c r="AI15" s="153"/>
    </row>
    <row r="16" spans="1:52" ht="63" customHeight="1">
      <c r="B16" s="142">
        <v>12</v>
      </c>
      <c r="C16" s="143" t="str">
        <f>SISWA!B17</f>
        <v>1718250040316</v>
      </c>
      <c r="D16" s="144" t="str">
        <f>SISWA!E17</f>
        <v>ERICHA</v>
      </c>
      <c r="E16" s="159">
        <v>88</v>
      </c>
      <c r="F16" s="160">
        <v>88</v>
      </c>
      <c r="G16" s="160">
        <v>88</v>
      </c>
      <c r="H16" s="160">
        <v>88</v>
      </c>
      <c r="I16" s="160">
        <v>88</v>
      </c>
      <c r="J16" s="160">
        <v>88</v>
      </c>
      <c r="K16" s="160"/>
      <c r="L16" s="160"/>
      <c r="M16" s="160"/>
      <c r="N16" s="159"/>
      <c r="O16" s="159"/>
      <c r="P16" s="159"/>
      <c r="Q16" s="159"/>
      <c r="R16" s="160"/>
      <c r="S16" s="160">
        <v>88</v>
      </c>
      <c r="T16" s="159"/>
      <c r="U16" s="354">
        <f t="shared" si="4"/>
        <v>88</v>
      </c>
      <c r="V16" s="355" t="str">
        <f>IF(U16&gt;KKM!$G$10,"A",IF(U16&gt;KKM!$H$10,"B",IF(U16&gt;=KKM!$I$10,"C","D")))</f>
        <v>A</v>
      </c>
      <c r="W16" s="356">
        <f t="shared" si="0"/>
        <v>88</v>
      </c>
      <c r="X16" s="361" t="str">
        <f>IF(W16&gt;KKM!$G$10," sangat baik ",IF(W16&gt;KKM!$H$10," baik ",IF(W16&gt;=KKM!$I$10," cukup baik "," perlu bimbingan ")))</f>
        <v xml:space="preserve"> sangat baik </v>
      </c>
      <c r="Y16" s="357">
        <f t="shared" si="1"/>
        <v>88</v>
      </c>
      <c r="Z16" s="361" t="str">
        <f>IF(Y16&gt;KKM!$G$10," sangat baik ",IF(Y16&gt;KKM!$H$10," baik ",IF(Y16&gt;=KKM!$I$10," cukup baik "," perlu bimbingan ")))</f>
        <v xml:space="preserve"> sangat baik </v>
      </c>
      <c r="AA16" s="353" t="str">
        <f t="shared" si="5"/>
        <v>ERICHA sangat baik  dalam memahami langkah-langkah pengawasan kelestarian lingkungan hidup</v>
      </c>
      <c r="AB16" s="256"/>
      <c r="AC16" s="257" t="str">
        <f t="shared" si="2"/>
        <v xml:space="preserve"> sangat baik  dalam memahami langkah-langkah pengawasan kelestarian lingkungan hidup</v>
      </c>
      <c r="AD16" s="257" t="str">
        <f t="shared" si="3"/>
        <v xml:space="preserve"> sangat baik  dalam memahami langkah-langkah pengawasan kelestarian lingkungan hidup</v>
      </c>
      <c r="AE16" s="257" t="str">
        <f t="shared" si="6"/>
        <v xml:space="preserve"> sangat baik  dalam memahami langkah-langkah pengawasan kelestarian lingkungan hidup, dan  sangat baik  dalam memahami langkah-langkah pengawasan kelestarian lingkungan hidup</v>
      </c>
      <c r="AF16" s="257" t="str">
        <f t="shared" si="7"/>
        <v xml:space="preserve"> sangat baik  dalam memahami langkah-langkah pengawasan kelestarian lingkungan hidup</v>
      </c>
      <c r="AG16" s="258" t="str">
        <f t="shared" si="8"/>
        <v xml:space="preserve"> sangat baik  dalam memahami langkah-langkah pengawasan kelestarian lingkungan hidup</v>
      </c>
      <c r="AH16" s="252" t="str">
        <f t="shared" si="9"/>
        <v>ERICHA sangat baik  dalam memahami langkah-langkah pengawasan kelestarian lingkungan hidup</v>
      </c>
      <c r="AI16" s="153"/>
    </row>
    <row r="17" spans="2:35" ht="63" customHeight="1">
      <c r="B17" s="142">
        <v>13</v>
      </c>
      <c r="C17" s="143" t="str">
        <f>SISWA!B18</f>
        <v>1718250040317</v>
      </c>
      <c r="D17" s="144" t="str">
        <f>SISWA!E18</f>
        <v>HISYAM</v>
      </c>
      <c r="E17" s="159">
        <v>88</v>
      </c>
      <c r="F17" s="160">
        <v>88</v>
      </c>
      <c r="G17" s="160">
        <v>88</v>
      </c>
      <c r="H17" s="160">
        <v>88</v>
      </c>
      <c r="I17" s="160">
        <v>88</v>
      </c>
      <c r="J17" s="160">
        <v>88</v>
      </c>
      <c r="K17" s="160"/>
      <c r="L17" s="160"/>
      <c r="M17" s="160"/>
      <c r="N17" s="159"/>
      <c r="O17" s="159"/>
      <c r="P17" s="159"/>
      <c r="Q17" s="159"/>
      <c r="R17" s="160"/>
      <c r="S17" s="160">
        <v>88</v>
      </c>
      <c r="T17" s="159"/>
      <c r="U17" s="354">
        <f t="shared" si="4"/>
        <v>88</v>
      </c>
      <c r="V17" s="355" t="str">
        <f>IF(U17&gt;KKM!$G$10,"A",IF(U17&gt;KKM!$H$10,"B",IF(U17&gt;=KKM!$I$10,"C","D")))</f>
        <v>A</v>
      </c>
      <c r="W17" s="356">
        <f t="shared" si="0"/>
        <v>88</v>
      </c>
      <c r="X17" s="361" t="str">
        <f>IF(W17&gt;KKM!$G$10," sangat baik ",IF(W17&gt;KKM!$H$10," baik ",IF(W17&gt;=KKM!$I$10," cukup baik "," perlu bimbingan ")))</f>
        <v xml:space="preserve"> sangat baik </v>
      </c>
      <c r="Y17" s="357">
        <f t="shared" si="1"/>
        <v>88</v>
      </c>
      <c r="Z17" s="361" t="str">
        <f>IF(Y17&gt;KKM!$G$10," sangat baik ",IF(Y17&gt;KKM!$H$10," baik ",IF(Y17&gt;=KKM!$I$10," cukup baik "," perlu bimbingan ")))</f>
        <v xml:space="preserve"> sangat baik </v>
      </c>
      <c r="AA17" s="353" t="str">
        <f t="shared" si="5"/>
        <v>HISYAM sangat baik  dalam memahami langkah-langkah pengawasan kelestarian lingkungan hidup</v>
      </c>
      <c r="AB17" s="256"/>
      <c r="AC17" s="257" t="str">
        <f t="shared" si="2"/>
        <v xml:space="preserve"> sangat baik  dalam memahami langkah-langkah pengawasan kelestarian lingkungan hidup</v>
      </c>
      <c r="AD17" s="257" t="str">
        <f t="shared" si="3"/>
        <v xml:space="preserve"> sangat baik  dalam memahami langkah-langkah pengawasan kelestarian lingkungan hidup</v>
      </c>
      <c r="AE17" s="257" t="str">
        <f t="shared" si="6"/>
        <v xml:space="preserve"> sangat baik  dalam memahami langkah-langkah pengawasan kelestarian lingkungan hidup, dan  sangat baik  dalam memahami langkah-langkah pengawasan kelestarian lingkungan hidup</v>
      </c>
      <c r="AF17" s="257" t="str">
        <f t="shared" si="7"/>
        <v xml:space="preserve"> sangat baik  dalam memahami langkah-langkah pengawasan kelestarian lingkungan hidup</v>
      </c>
      <c r="AG17" s="258" t="str">
        <f t="shared" si="8"/>
        <v xml:space="preserve"> sangat baik  dalam memahami langkah-langkah pengawasan kelestarian lingkungan hidup</v>
      </c>
      <c r="AH17" s="252" t="str">
        <f t="shared" si="9"/>
        <v>HISYAM sangat baik  dalam memahami langkah-langkah pengawasan kelestarian lingkungan hidup</v>
      </c>
      <c r="AI17" s="153"/>
    </row>
    <row r="18" spans="2:35" ht="63" customHeight="1">
      <c r="B18" s="142">
        <v>14</v>
      </c>
      <c r="C18" s="143" t="str">
        <f>SISWA!B19</f>
        <v>1718250040318</v>
      </c>
      <c r="D18" s="144" t="str">
        <f>SISWA!E19</f>
        <v>FAUZI</v>
      </c>
      <c r="E18" s="159">
        <v>97</v>
      </c>
      <c r="F18" s="160">
        <v>97</v>
      </c>
      <c r="G18" s="160">
        <v>97</v>
      </c>
      <c r="H18" s="160">
        <v>97</v>
      </c>
      <c r="I18" s="160">
        <v>97</v>
      </c>
      <c r="J18" s="160">
        <v>97</v>
      </c>
      <c r="K18" s="160"/>
      <c r="L18" s="160"/>
      <c r="M18" s="160"/>
      <c r="N18" s="159"/>
      <c r="O18" s="159"/>
      <c r="P18" s="159"/>
      <c r="Q18" s="159"/>
      <c r="R18" s="160"/>
      <c r="S18" s="160">
        <v>97</v>
      </c>
      <c r="T18" s="159"/>
      <c r="U18" s="354">
        <f t="shared" si="4"/>
        <v>97</v>
      </c>
      <c r="V18" s="355" t="str">
        <f>IF(U18&gt;KKM!$G$10,"A",IF(U18&gt;KKM!$H$10,"B",IF(U18&gt;=KKM!$I$10,"C","D")))</f>
        <v>A</v>
      </c>
      <c r="W18" s="356">
        <f t="shared" si="0"/>
        <v>97</v>
      </c>
      <c r="X18" s="361" t="str">
        <f>IF(W18&gt;KKM!$G$10," sangat baik ",IF(W18&gt;KKM!$H$10," baik ",IF(W18&gt;=KKM!$I$10," cukup baik "," perlu bimbingan ")))</f>
        <v xml:space="preserve"> sangat baik </v>
      </c>
      <c r="Y18" s="357">
        <f t="shared" si="1"/>
        <v>97</v>
      </c>
      <c r="Z18" s="361" t="str">
        <f>IF(Y18&gt;KKM!$G$10," sangat baik ",IF(Y18&gt;KKM!$H$10," baik ",IF(Y18&gt;=KKM!$I$10," cukup baik "," perlu bimbingan ")))</f>
        <v xml:space="preserve"> sangat baik </v>
      </c>
      <c r="AA18" s="353" t="str">
        <f t="shared" si="5"/>
        <v>FAUZI sangat baik  dalam memahami langkah-langkah pengawasan kelestarian lingkungan hidup</v>
      </c>
      <c r="AB18" s="256"/>
      <c r="AC18" s="257" t="str">
        <f t="shared" si="2"/>
        <v xml:space="preserve"> sangat baik  dalam memahami langkah-langkah pengawasan kelestarian lingkungan hidup</v>
      </c>
      <c r="AD18" s="257" t="str">
        <f t="shared" si="3"/>
        <v xml:space="preserve"> sangat baik  dalam memahami langkah-langkah pengawasan kelestarian lingkungan hidup</v>
      </c>
      <c r="AE18" s="257" t="str">
        <f t="shared" si="6"/>
        <v xml:space="preserve"> sangat baik  dalam memahami langkah-langkah pengawasan kelestarian lingkungan hidup, dan  sangat baik  dalam memahami langkah-langkah pengawasan kelestarian lingkungan hidup</v>
      </c>
      <c r="AF18" s="257" t="str">
        <f t="shared" si="7"/>
        <v xml:space="preserve"> sangat baik  dalam memahami langkah-langkah pengawasan kelestarian lingkungan hidup</v>
      </c>
      <c r="AG18" s="258" t="str">
        <f t="shared" si="8"/>
        <v xml:space="preserve"> sangat baik  dalam memahami langkah-langkah pengawasan kelestarian lingkungan hidup</v>
      </c>
      <c r="AH18" s="252" t="str">
        <f t="shared" si="9"/>
        <v>FAUZI sangat baik  dalam memahami langkah-langkah pengawasan kelestarian lingkungan hidup</v>
      </c>
      <c r="AI18" s="153"/>
    </row>
    <row r="19" spans="2:35" ht="63" customHeight="1">
      <c r="B19" s="142">
        <v>15</v>
      </c>
      <c r="C19" s="143" t="str">
        <f>SISWA!B20</f>
        <v>1718250040319</v>
      </c>
      <c r="D19" s="144" t="str">
        <f>SISWA!E20</f>
        <v>FIRLY</v>
      </c>
      <c r="E19" s="159">
        <v>91</v>
      </c>
      <c r="F19" s="160">
        <v>91</v>
      </c>
      <c r="G19" s="160">
        <v>91</v>
      </c>
      <c r="H19" s="160">
        <v>91</v>
      </c>
      <c r="I19" s="160">
        <v>91</v>
      </c>
      <c r="J19" s="160">
        <v>91</v>
      </c>
      <c r="K19" s="160"/>
      <c r="L19" s="160"/>
      <c r="M19" s="160"/>
      <c r="N19" s="159"/>
      <c r="O19" s="159"/>
      <c r="P19" s="159"/>
      <c r="Q19" s="159"/>
      <c r="R19" s="160"/>
      <c r="S19" s="160">
        <v>91</v>
      </c>
      <c r="T19" s="159"/>
      <c r="U19" s="354">
        <f t="shared" si="4"/>
        <v>91</v>
      </c>
      <c r="V19" s="355" t="str">
        <f>IF(U19&gt;KKM!$G$10,"A",IF(U19&gt;KKM!$H$10,"B",IF(U19&gt;=KKM!$I$10,"C","D")))</f>
        <v>A</v>
      </c>
      <c r="W19" s="356">
        <f t="shared" si="0"/>
        <v>91</v>
      </c>
      <c r="X19" s="361" t="str">
        <f>IF(W19&gt;KKM!$G$10," sangat baik ",IF(W19&gt;KKM!$H$10," baik ",IF(W19&gt;=KKM!$I$10," cukup baik "," perlu bimbingan ")))</f>
        <v xml:space="preserve"> sangat baik </v>
      </c>
      <c r="Y19" s="357">
        <f t="shared" si="1"/>
        <v>91</v>
      </c>
      <c r="Z19" s="361" t="str">
        <f>IF(Y19&gt;KKM!$G$10," sangat baik ",IF(Y19&gt;KKM!$H$10," baik ",IF(Y19&gt;=KKM!$I$10," cukup baik "," perlu bimbingan ")))</f>
        <v xml:space="preserve"> sangat baik </v>
      </c>
      <c r="AA19" s="353" t="str">
        <f t="shared" si="5"/>
        <v>FIRLY sangat baik  dalam memahami langkah-langkah pengawasan kelestarian lingkungan hidup</v>
      </c>
      <c r="AB19" s="256"/>
      <c r="AC19" s="257" t="str">
        <f t="shared" si="2"/>
        <v xml:space="preserve"> sangat baik  dalam memahami langkah-langkah pengawasan kelestarian lingkungan hidup</v>
      </c>
      <c r="AD19" s="257" t="str">
        <f t="shared" si="3"/>
        <v xml:space="preserve"> sangat baik  dalam memahami langkah-langkah pengawasan kelestarian lingkungan hidup</v>
      </c>
      <c r="AE19" s="257" t="str">
        <f t="shared" si="6"/>
        <v xml:space="preserve"> sangat baik  dalam memahami langkah-langkah pengawasan kelestarian lingkungan hidup, dan  sangat baik  dalam memahami langkah-langkah pengawasan kelestarian lingkungan hidup</v>
      </c>
      <c r="AF19" s="257" t="str">
        <f t="shared" si="7"/>
        <v xml:space="preserve"> sangat baik  dalam memahami langkah-langkah pengawasan kelestarian lingkungan hidup</v>
      </c>
      <c r="AG19" s="258" t="str">
        <f t="shared" si="8"/>
        <v xml:space="preserve"> sangat baik  dalam memahami langkah-langkah pengawasan kelestarian lingkungan hidup</v>
      </c>
      <c r="AH19" s="252" t="str">
        <f t="shared" si="9"/>
        <v>FIRLY sangat baik  dalam memahami langkah-langkah pengawasan kelestarian lingkungan hidup</v>
      </c>
      <c r="AI19" s="153"/>
    </row>
    <row r="20" spans="2:35" ht="63" customHeight="1">
      <c r="B20" s="142">
        <v>16</v>
      </c>
      <c r="C20" s="143" t="str">
        <f>SISWA!B21</f>
        <v>1718250040320</v>
      </c>
      <c r="D20" s="144" t="str">
        <f>SISWA!E21</f>
        <v>HANA</v>
      </c>
      <c r="E20" s="159">
        <v>85</v>
      </c>
      <c r="F20" s="160">
        <v>85</v>
      </c>
      <c r="G20" s="160">
        <v>85</v>
      </c>
      <c r="H20" s="160">
        <v>85</v>
      </c>
      <c r="I20" s="160">
        <v>85</v>
      </c>
      <c r="J20" s="160">
        <v>85</v>
      </c>
      <c r="K20" s="160"/>
      <c r="L20" s="160"/>
      <c r="M20" s="160"/>
      <c r="N20" s="159"/>
      <c r="O20" s="159"/>
      <c r="P20" s="159"/>
      <c r="Q20" s="159"/>
      <c r="R20" s="160"/>
      <c r="S20" s="160">
        <v>85</v>
      </c>
      <c r="T20" s="159"/>
      <c r="U20" s="354">
        <f t="shared" si="4"/>
        <v>85</v>
      </c>
      <c r="V20" s="355" t="str">
        <f>IF(U20&gt;KKM!$G$10,"A",IF(U20&gt;KKM!$H$10,"B",IF(U20&gt;=KKM!$I$10,"C","D")))</f>
        <v>B</v>
      </c>
      <c r="W20" s="356">
        <f t="shared" si="0"/>
        <v>85</v>
      </c>
      <c r="X20" s="361" t="str">
        <f>IF(W20&gt;KKM!$G$10," sangat baik ",IF(W20&gt;KKM!$H$10," baik ",IF(W20&gt;=KKM!$I$10," cukup baik "," perlu bimbingan ")))</f>
        <v xml:space="preserve"> baik </v>
      </c>
      <c r="Y20" s="357">
        <f t="shared" si="1"/>
        <v>85</v>
      </c>
      <c r="Z20" s="361" t="str">
        <f>IF(Y20&gt;KKM!$G$10," sangat baik ",IF(Y20&gt;KKM!$H$10," baik ",IF(Y20&gt;=KKM!$I$10," cukup baik "," perlu bimbingan ")))</f>
        <v xml:space="preserve"> baik </v>
      </c>
      <c r="AA20" s="353" t="str">
        <f t="shared" si="5"/>
        <v>HANA baik  dalam memahami langkah-langkah pengawasan kelestarian lingkungan hidup</v>
      </c>
      <c r="AB20" s="256"/>
      <c r="AC20" s="257" t="str">
        <f t="shared" si="2"/>
        <v xml:space="preserve"> baik  dalam memahami langkah-langkah pengawasan kelestarian lingkungan hidup</v>
      </c>
      <c r="AD20" s="257" t="str">
        <f t="shared" si="3"/>
        <v xml:space="preserve"> baik  dalam memahami langkah-langkah pengawasan kelestarian lingkungan hidup</v>
      </c>
      <c r="AE20" s="257" t="str">
        <f t="shared" si="6"/>
        <v xml:space="preserve"> baik  dalam memahami langkah-langkah pengawasan kelestarian lingkungan hidup, dan  baik  dalam memahami langkah-langkah pengawasan kelestarian lingkungan hidup</v>
      </c>
      <c r="AF20" s="257" t="str">
        <f t="shared" si="7"/>
        <v xml:space="preserve"> baik  dalam memahami langkah-langkah pengawasan kelestarian lingkungan hidup</v>
      </c>
      <c r="AG20" s="258" t="str">
        <f t="shared" si="8"/>
        <v xml:space="preserve"> baik  dalam memahami langkah-langkah pengawasan kelestarian lingkungan hidup</v>
      </c>
      <c r="AH20" s="252" t="str">
        <f t="shared" si="9"/>
        <v>HANA baik  dalam memahami langkah-langkah pengawasan kelestarian lingkungan hidup</v>
      </c>
      <c r="AI20" s="153"/>
    </row>
    <row r="21" spans="2:35" ht="63" customHeight="1">
      <c r="B21" s="142">
        <v>17</v>
      </c>
      <c r="C21" s="143" t="str">
        <f>SISWA!B22</f>
        <v>1718250040321</v>
      </c>
      <c r="D21" s="144" t="str">
        <f>SISWA!E22</f>
        <v>MALLA</v>
      </c>
      <c r="E21" s="159">
        <v>91</v>
      </c>
      <c r="F21" s="160">
        <v>91</v>
      </c>
      <c r="G21" s="160">
        <v>91</v>
      </c>
      <c r="H21" s="160">
        <v>91</v>
      </c>
      <c r="I21" s="160">
        <v>91</v>
      </c>
      <c r="J21" s="160">
        <v>91</v>
      </c>
      <c r="K21" s="160"/>
      <c r="L21" s="160"/>
      <c r="M21" s="160"/>
      <c r="N21" s="159"/>
      <c r="O21" s="159"/>
      <c r="P21" s="159"/>
      <c r="Q21" s="159"/>
      <c r="R21" s="160"/>
      <c r="S21" s="160">
        <v>91</v>
      </c>
      <c r="T21" s="159"/>
      <c r="U21" s="354">
        <f t="shared" si="4"/>
        <v>91</v>
      </c>
      <c r="V21" s="355" t="str">
        <f>IF(U21&gt;KKM!$G$10,"A",IF(U21&gt;KKM!$H$10,"B",IF(U21&gt;=KKM!$I$10,"C","D")))</f>
        <v>A</v>
      </c>
      <c r="W21" s="356">
        <f t="shared" si="0"/>
        <v>91</v>
      </c>
      <c r="X21" s="361" t="str">
        <f>IF(W21&gt;KKM!$G$10," sangat baik ",IF(W21&gt;KKM!$H$10," baik ",IF(W21&gt;=KKM!$I$10," cukup baik "," perlu bimbingan ")))</f>
        <v xml:space="preserve"> sangat baik </v>
      </c>
      <c r="Y21" s="357">
        <f t="shared" si="1"/>
        <v>91</v>
      </c>
      <c r="Z21" s="361" t="str">
        <f>IF(Y21&gt;KKM!$G$10," sangat baik ",IF(Y21&gt;KKM!$H$10," baik ",IF(Y21&gt;=KKM!$I$10," cukup baik "," perlu bimbingan ")))</f>
        <v xml:space="preserve"> sangat baik </v>
      </c>
      <c r="AA21" s="353" t="str">
        <f t="shared" si="5"/>
        <v>MALLA sangat baik  dalam memahami langkah-langkah pengawasan kelestarian lingkungan hidup</v>
      </c>
      <c r="AB21" s="256"/>
      <c r="AC21" s="257" t="str">
        <f t="shared" si="2"/>
        <v xml:space="preserve"> sangat baik  dalam memahami langkah-langkah pengawasan kelestarian lingkungan hidup</v>
      </c>
      <c r="AD21" s="257" t="str">
        <f t="shared" si="3"/>
        <v xml:space="preserve"> sangat baik  dalam memahami langkah-langkah pengawasan kelestarian lingkungan hidup</v>
      </c>
      <c r="AE21" s="257" t="str">
        <f t="shared" si="6"/>
        <v xml:space="preserve"> sangat baik  dalam memahami langkah-langkah pengawasan kelestarian lingkungan hidup, dan  sangat baik  dalam memahami langkah-langkah pengawasan kelestarian lingkungan hidup</v>
      </c>
      <c r="AF21" s="257" t="str">
        <f t="shared" si="7"/>
        <v xml:space="preserve"> sangat baik  dalam memahami langkah-langkah pengawasan kelestarian lingkungan hidup</v>
      </c>
      <c r="AG21" s="258" t="str">
        <f t="shared" si="8"/>
        <v xml:space="preserve"> sangat baik  dalam memahami langkah-langkah pengawasan kelestarian lingkungan hidup</v>
      </c>
      <c r="AH21" s="252" t="str">
        <f t="shared" si="9"/>
        <v>MALLA sangat baik  dalam memahami langkah-langkah pengawasan kelestarian lingkungan hidup</v>
      </c>
      <c r="AI21" s="153"/>
    </row>
    <row r="22" spans="2:35" ht="63" customHeight="1">
      <c r="B22" s="142">
        <v>18</v>
      </c>
      <c r="C22" s="143" t="str">
        <f>SISWA!B23</f>
        <v>1718250040322</v>
      </c>
      <c r="D22" s="144" t="str">
        <f>SISWA!E23</f>
        <v>INTAN</v>
      </c>
      <c r="E22" s="159">
        <v>91</v>
      </c>
      <c r="F22" s="160">
        <v>91</v>
      </c>
      <c r="G22" s="160">
        <v>91</v>
      </c>
      <c r="H22" s="160">
        <v>91</v>
      </c>
      <c r="I22" s="160">
        <v>91</v>
      </c>
      <c r="J22" s="160">
        <v>91</v>
      </c>
      <c r="K22" s="160"/>
      <c r="L22" s="160"/>
      <c r="M22" s="160"/>
      <c r="N22" s="159"/>
      <c r="O22" s="159"/>
      <c r="P22" s="159"/>
      <c r="Q22" s="159"/>
      <c r="R22" s="160"/>
      <c r="S22" s="160">
        <v>91</v>
      </c>
      <c r="T22" s="159"/>
      <c r="U22" s="354">
        <f t="shared" si="4"/>
        <v>91</v>
      </c>
      <c r="V22" s="355" t="str">
        <f>IF(U22&gt;KKM!$G$10,"A",IF(U22&gt;KKM!$H$10,"B",IF(U22&gt;=KKM!$I$10,"C","D")))</f>
        <v>A</v>
      </c>
      <c r="W22" s="356">
        <f t="shared" si="0"/>
        <v>91</v>
      </c>
      <c r="X22" s="361" t="str">
        <f>IF(W22&gt;KKM!$G$10," sangat baik ",IF(W22&gt;KKM!$H$10," baik ",IF(W22&gt;=KKM!$I$10," cukup baik "," perlu bimbingan ")))</f>
        <v xml:space="preserve"> sangat baik </v>
      </c>
      <c r="Y22" s="357">
        <f t="shared" si="1"/>
        <v>91</v>
      </c>
      <c r="Z22" s="361" t="str">
        <f>IF(Y22&gt;KKM!$G$10," sangat baik ",IF(Y22&gt;KKM!$H$10," baik ",IF(Y22&gt;=KKM!$I$10," cukup baik "," perlu bimbingan ")))</f>
        <v xml:space="preserve"> sangat baik </v>
      </c>
      <c r="AA22" s="353" t="str">
        <f t="shared" si="5"/>
        <v>INTAN sangat baik  dalam memahami langkah-langkah pengawasan kelestarian lingkungan hidup</v>
      </c>
      <c r="AB22" s="256"/>
      <c r="AC22" s="257" t="str">
        <f t="shared" si="2"/>
        <v xml:space="preserve"> sangat baik  dalam memahami langkah-langkah pengawasan kelestarian lingkungan hidup</v>
      </c>
      <c r="AD22" s="257" t="str">
        <f t="shared" si="3"/>
        <v xml:space="preserve"> sangat baik  dalam memahami langkah-langkah pengawasan kelestarian lingkungan hidup</v>
      </c>
      <c r="AE22" s="257" t="str">
        <f t="shared" si="6"/>
        <v xml:space="preserve"> sangat baik  dalam memahami langkah-langkah pengawasan kelestarian lingkungan hidup, dan  sangat baik  dalam memahami langkah-langkah pengawasan kelestarian lingkungan hidup</v>
      </c>
      <c r="AF22" s="257" t="str">
        <f t="shared" si="7"/>
        <v xml:space="preserve"> sangat baik  dalam memahami langkah-langkah pengawasan kelestarian lingkungan hidup</v>
      </c>
      <c r="AG22" s="258" t="str">
        <f t="shared" si="8"/>
        <v xml:space="preserve"> sangat baik  dalam memahami langkah-langkah pengawasan kelestarian lingkungan hidup</v>
      </c>
      <c r="AH22" s="252" t="str">
        <f t="shared" si="9"/>
        <v>INTAN sangat baik  dalam memahami langkah-langkah pengawasan kelestarian lingkungan hidup</v>
      </c>
      <c r="AI22" s="153"/>
    </row>
    <row r="23" spans="2:35" ht="63" customHeight="1">
      <c r="B23" s="142">
        <v>19</v>
      </c>
      <c r="C23" s="143" t="str">
        <f>SISWA!B24</f>
        <v>1718250040323</v>
      </c>
      <c r="D23" s="144" t="str">
        <f>SISWA!E24</f>
        <v>JORDY</v>
      </c>
      <c r="E23" s="159">
        <v>88</v>
      </c>
      <c r="F23" s="160">
        <v>88</v>
      </c>
      <c r="G23" s="160">
        <v>88</v>
      </c>
      <c r="H23" s="160">
        <v>88</v>
      </c>
      <c r="I23" s="160">
        <v>88</v>
      </c>
      <c r="J23" s="160">
        <v>88</v>
      </c>
      <c r="K23" s="160"/>
      <c r="L23" s="160"/>
      <c r="M23" s="160"/>
      <c r="N23" s="159"/>
      <c r="O23" s="159"/>
      <c r="P23" s="159"/>
      <c r="Q23" s="159"/>
      <c r="R23" s="160"/>
      <c r="S23" s="160">
        <v>88</v>
      </c>
      <c r="T23" s="159"/>
      <c r="U23" s="354">
        <f t="shared" si="4"/>
        <v>88</v>
      </c>
      <c r="V23" s="355" t="str">
        <f>IF(U23&gt;KKM!$G$10,"A",IF(U23&gt;KKM!$H$10,"B",IF(U23&gt;=KKM!$I$10,"C","D")))</f>
        <v>A</v>
      </c>
      <c r="W23" s="356">
        <f t="shared" si="0"/>
        <v>88</v>
      </c>
      <c r="X23" s="361" t="str">
        <f>IF(W23&gt;KKM!$G$10," sangat baik ",IF(W23&gt;KKM!$H$10," baik ",IF(W23&gt;=KKM!$I$10," cukup baik "," perlu bimbingan ")))</f>
        <v xml:space="preserve"> sangat baik </v>
      </c>
      <c r="Y23" s="357">
        <f t="shared" si="1"/>
        <v>88</v>
      </c>
      <c r="Z23" s="361" t="str">
        <f>IF(Y23&gt;KKM!$G$10," sangat baik ",IF(Y23&gt;KKM!$H$10," baik ",IF(Y23&gt;=KKM!$I$10," cukup baik "," perlu bimbingan ")))</f>
        <v xml:space="preserve"> sangat baik </v>
      </c>
      <c r="AA23" s="353" t="str">
        <f t="shared" si="5"/>
        <v>JORDY sangat baik  dalam memahami langkah-langkah pengawasan kelestarian lingkungan hidup</v>
      </c>
      <c r="AB23" s="256"/>
      <c r="AC23" s="257" t="str">
        <f t="shared" si="2"/>
        <v xml:space="preserve"> sangat baik  dalam memahami langkah-langkah pengawasan kelestarian lingkungan hidup</v>
      </c>
      <c r="AD23" s="257" t="str">
        <f t="shared" si="3"/>
        <v xml:space="preserve"> sangat baik  dalam memahami langkah-langkah pengawasan kelestarian lingkungan hidup</v>
      </c>
      <c r="AE23" s="257" t="str">
        <f t="shared" si="6"/>
        <v xml:space="preserve"> sangat baik  dalam memahami langkah-langkah pengawasan kelestarian lingkungan hidup, dan  sangat baik  dalam memahami langkah-langkah pengawasan kelestarian lingkungan hidup</v>
      </c>
      <c r="AF23" s="257" t="str">
        <f t="shared" si="7"/>
        <v xml:space="preserve"> sangat baik  dalam memahami langkah-langkah pengawasan kelestarian lingkungan hidup</v>
      </c>
      <c r="AG23" s="258" t="str">
        <f t="shared" si="8"/>
        <v xml:space="preserve"> sangat baik  dalam memahami langkah-langkah pengawasan kelestarian lingkungan hidup</v>
      </c>
      <c r="AH23" s="252" t="str">
        <f t="shared" si="9"/>
        <v>JORDY sangat baik  dalam memahami langkah-langkah pengawasan kelestarian lingkungan hidup</v>
      </c>
      <c r="AI23" s="153"/>
    </row>
    <row r="24" spans="2:35" ht="63" customHeight="1">
      <c r="B24" s="142">
        <v>20</v>
      </c>
      <c r="C24" s="143" t="str">
        <f>SISWA!B25</f>
        <v>1718250040324</v>
      </c>
      <c r="D24" s="144" t="str">
        <f>SISWA!E25</f>
        <v>KURNIA</v>
      </c>
      <c r="E24" s="159">
        <v>85</v>
      </c>
      <c r="F24" s="160">
        <v>85</v>
      </c>
      <c r="G24" s="160">
        <v>85</v>
      </c>
      <c r="H24" s="160">
        <v>85</v>
      </c>
      <c r="I24" s="160">
        <v>85</v>
      </c>
      <c r="J24" s="160">
        <v>85</v>
      </c>
      <c r="K24" s="160"/>
      <c r="L24" s="160"/>
      <c r="M24" s="160"/>
      <c r="N24" s="159"/>
      <c r="O24" s="159"/>
      <c r="P24" s="159"/>
      <c r="Q24" s="159"/>
      <c r="R24" s="160"/>
      <c r="S24" s="160">
        <v>85</v>
      </c>
      <c r="T24" s="159"/>
      <c r="U24" s="354">
        <f t="shared" si="4"/>
        <v>85</v>
      </c>
      <c r="V24" s="355" t="str">
        <f>IF(U24&gt;KKM!$G$10,"A",IF(U24&gt;KKM!$H$10,"B",IF(U24&gt;=KKM!$I$10,"C","D")))</f>
        <v>B</v>
      </c>
      <c r="W24" s="356">
        <f t="shared" si="0"/>
        <v>85</v>
      </c>
      <c r="X24" s="361" t="str">
        <f>IF(W24&gt;KKM!$G$10," sangat baik ",IF(W24&gt;KKM!$H$10," baik ",IF(W24&gt;=KKM!$I$10," cukup baik "," perlu bimbingan ")))</f>
        <v xml:space="preserve"> baik </v>
      </c>
      <c r="Y24" s="357">
        <f t="shared" si="1"/>
        <v>85</v>
      </c>
      <c r="Z24" s="361" t="str">
        <f>IF(Y24&gt;KKM!$G$10," sangat baik ",IF(Y24&gt;KKM!$H$10," baik ",IF(Y24&gt;=KKM!$I$10," cukup baik "," perlu bimbingan ")))</f>
        <v xml:space="preserve"> baik </v>
      </c>
      <c r="AA24" s="353" t="str">
        <f t="shared" si="5"/>
        <v>KURNIA baik  dalam memahami langkah-langkah pengawasan kelestarian lingkungan hidup</v>
      </c>
      <c r="AB24" s="256"/>
      <c r="AC24" s="257" t="str">
        <f t="shared" si="2"/>
        <v xml:space="preserve"> baik  dalam memahami langkah-langkah pengawasan kelestarian lingkungan hidup</v>
      </c>
      <c r="AD24" s="257" t="str">
        <f t="shared" si="3"/>
        <v xml:space="preserve"> baik  dalam memahami langkah-langkah pengawasan kelestarian lingkungan hidup</v>
      </c>
      <c r="AE24" s="257" t="str">
        <f t="shared" si="6"/>
        <v xml:space="preserve"> baik  dalam memahami langkah-langkah pengawasan kelestarian lingkungan hidup, dan  baik  dalam memahami langkah-langkah pengawasan kelestarian lingkungan hidup</v>
      </c>
      <c r="AF24" s="257" t="str">
        <f t="shared" si="7"/>
        <v xml:space="preserve"> baik  dalam memahami langkah-langkah pengawasan kelestarian lingkungan hidup</v>
      </c>
      <c r="AG24" s="258" t="str">
        <f t="shared" si="8"/>
        <v xml:space="preserve"> baik  dalam memahami langkah-langkah pengawasan kelestarian lingkungan hidup</v>
      </c>
      <c r="AH24" s="252" t="str">
        <f t="shared" si="9"/>
        <v>KURNIA baik  dalam memahami langkah-langkah pengawasan kelestarian lingkungan hidup</v>
      </c>
      <c r="AI24" s="153"/>
    </row>
    <row r="25" spans="2:35" ht="63" customHeight="1">
      <c r="B25" s="142">
        <v>21</v>
      </c>
      <c r="C25" s="143" t="str">
        <f>SISWA!B26</f>
        <v>1718250040325</v>
      </c>
      <c r="D25" s="144" t="str">
        <f>SISWA!E26</f>
        <v>LATIZA</v>
      </c>
      <c r="E25" s="159">
        <v>100</v>
      </c>
      <c r="F25" s="160">
        <v>100</v>
      </c>
      <c r="G25" s="160">
        <v>100</v>
      </c>
      <c r="H25" s="160">
        <v>100</v>
      </c>
      <c r="I25" s="160">
        <v>100</v>
      </c>
      <c r="J25" s="160">
        <v>100</v>
      </c>
      <c r="K25" s="160"/>
      <c r="L25" s="160"/>
      <c r="M25" s="160"/>
      <c r="N25" s="159"/>
      <c r="O25" s="159"/>
      <c r="P25" s="159"/>
      <c r="Q25" s="159"/>
      <c r="R25" s="160"/>
      <c r="S25" s="160">
        <v>100</v>
      </c>
      <c r="T25" s="159"/>
      <c r="U25" s="354">
        <f t="shared" si="4"/>
        <v>100</v>
      </c>
      <c r="V25" s="355" t="str">
        <f>IF(U25&gt;KKM!$G$10,"A",IF(U25&gt;KKM!$H$10,"B",IF(U25&gt;=KKM!$I$10,"C","D")))</f>
        <v>A</v>
      </c>
      <c r="W25" s="356">
        <f t="shared" si="0"/>
        <v>100</v>
      </c>
      <c r="X25" s="361" t="str">
        <f>IF(W25&gt;KKM!$G$10," sangat baik ",IF(W25&gt;KKM!$H$10," baik ",IF(W25&gt;=KKM!$I$10," cukup baik "," perlu bimbingan ")))</f>
        <v xml:space="preserve"> sangat baik </v>
      </c>
      <c r="Y25" s="357">
        <f t="shared" si="1"/>
        <v>100</v>
      </c>
      <c r="Z25" s="361" t="str">
        <f>IF(Y25&gt;KKM!$G$10," sangat baik ",IF(Y25&gt;KKM!$H$10," baik ",IF(Y25&gt;=KKM!$I$10," cukup baik "," perlu bimbingan ")))</f>
        <v xml:space="preserve"> sangat baik </v>
      </c>
      <c r="AA25" s="353" t="str">
        <f t="shared" si="5"/>
        <v>LATIZA sangat baik  dalam memahami langkah-langkah pengawasan kelestarian lingkungan hidup</v>
      </c>
      <c r="AB25" s="256"/>
      <c r="AC25" s="257" t="str">
        <f t="shared" si="2"/>
        <v xml:space="preserve"> sangat baik  dalam memahami langkah-langkah pengawasan kelestarian lingkungan hidup</v>
      </c>
      <c r="AD25" s="257" t="str">
        <f t="shared" si="3"/>
        <v xml:space="preserve"> sangat baik  dalam memahami langkah-langkah pengawasan kelestarian lingkungan hidup</v>
      </c>
      <c r="AE25" s="257" t="str">
        <f t="shared" si="6"/>
        <v xml:space="preserve"> sangat baik  dalam memahami langkah-langkah pengawasan kelestarian lingkungan hidup, dan  sangat baik  dalam memahami langkah-langkah pengawasan kelestarian lingkungan hidup</v>
      </c>
      <c r="AF25" s="257" t="str">
        <f t="shared" si="7"/>
        <v xml:space="preserve"> sangat baik  dalam memahami langkah-langkah pengawasan kelestarian lingkungan hidup</v>
      </c>
      <c r="AG25" s="258" t="str">
        <f t="shared" si="8"/>
        <v xml:space="preserve"> sangat baik  dalam memahami langkah-langkah pengawasan kelestarian lingkungan hidup</v>
      </c>
      <c r="AH25" s="252" t="str">
        <f t="shared" si="9"/>
        <v>LATIZA sangat baik  dalam memahami langkah-langkah pengawasan kelestarian lingkungan hidup</v>
      </c>
      <c r="AI25" s="153"/>
    </row>
    <row r="26" spans="2:35" ht="63" customHeight="1">
      <c r="B26" s="142">
        <v>22</v>
      </c>
      <c r="C26" s="143" t="str">
        <f>SISWA!B27</f>
        <v>1718250040326</v>
      </c>
      <c r="D26" s="144" t="str">
        <f>SISWA!E27</f>
        <v>RIZKY</v>
      </c>
      <c r="E26" s="159">
        <v>91</v>
      </c>
      <c r="F26" s="160">
        <v>91</v>
      </c>
      <c r="G26" s="160">
        <v>91</v>
      </c>
      <c r="H26" s="160">
        <v>91</v>
      </c>
      <c r="I26" s="160">
        <v>91</v>
      </c>
      <c r="J26" s="160">
        <v>91</v>
      </c>
      <c r="K26" s="160"/>
      <c r="L26" s="160"/>
      <c r="M26" s="160"/>
      <c r="N26" s="159"/>
      <c r="O26" s="159"/>
      <c r="P26" s="159"/>
      <c r="Q26" s="159"/>
      <c r="R26" s="160"/>
      <c r="S26" s="160">
        <v>91</v>
      </c>
      <c r="T26" s="159"/>
      <c r="U26" s="354">
        <f t="shared" si="4"/>
        <v>91</v>
      </c>
      <c r="V26" s="355" t="str">
        <f>IF(U26&gt;KKM!$G$10,"A",IF(U26&gt;KKM!$H$10,"B",IF(U26&gt;=KKM!$I$10,"C","D")))</f>
        <v>A</v>
      </c>
      <c r="W26" s="356">
        <f t="shared" si="0"/>
        <v>91</v>
      </c>
      <c r="X26" s="361" t="str">
        <f>IF(W26&gt;KKM!$G$10," sangat baik ",IF(W26&gt;KKM!$H$10," baik ",IF(W26&gt;=KKM!$I$10," cukup baik "," perlu bimbingan ")))</f>
        <v xml:space="preserve"> sangat baik </v>
      </c>
      <c r="Y26" s="357">
        <f t="shared" si="1"/>
        <v>91</v>
      </c>
      <c r="Z26" s="361" t="str">
        <f>IF(Y26&gt;KKM!$G$10," sangat baik ",IF(Y26&gt;KKM!$H$10," baik ",IF(Y26&gt;=KKM!$I$10," cukup baik "," perlu bimbingan ")))</f>
        <v xml:space="preserve"> sangat baik </v>
      </c>
      <c r="AA26" s="353" t="str">
        <f t="shared" si="5"/>
        <v>RIZKY sangat baik  dalam memahami langkah-langkah pengawasan kelestarian lingkungan hidup</v>
      </c>
      <c r="AB26" s="256"/>
      <c r="AC26" s="257" t="str">
        <f t="shared" si="2"/>
        <v xml:space="preserve"> sangat baik  dalam memahami langkah-langkah pengawasan kelestarian lingkungan hidup</v>
      </c>
      <c r="AD26" s="257" t="str">
        <f t="shared" si="3"/>
        <v xml:space="preserve"> sangat baik  dalam memahami langkah-langkah pengawasan kelestarian lingkungan hidup</v>
      </c>
      <c r="AE26" s="257" t="str">
        <f t="shared" si="6"/>
        <v xml:space="preserve"> sangat baik  dalam memahami langkah-langkah pengawasan kelestarian lingkungan hidup, dan  sangat baik  dalam memahami langkah-langkah pengawasan kelestarian lingkungan hidup</v>
      </c>
      <c r="AF26" s="257" t="str">
        <f t="shared" si="7"/>
        <v xml:space="preserve"> sangat baik  dalam memahami langkah-langkah pengawasan kelestarian lingkungan hidup</v>
      </c>
      <c r="AG26" s="258" t="str">
        <f t="shared" si="8"/>
        <v xml:space="preserve"> sangat baik  dalam memahami langkah-langkah pengawasan kelestarian lingkungan hidup</v>
      </c>
      <c r="AH26" s="252" t="str">
        <f t="shared" si="9"/>
        <v>RIZKY sangat baik  dalam memahami langkah-langkah pengawasan kelestarian lingkungan hidup</v>
      </c>
      <c r="AI26" s="153"/>
    </row>
    <row r="27" spans="2:35" ht="63" customHeight="1">
      <c r="B27" s="142">
        <v>23</v>
      </c>
      <c r="C27" s="143" t="str">
        <f>SISWA!B28</f>
        <v>1718250040327</v>
      </c>
      <c r="D27" s="144" t="str">
        <f>SISWA!E28</f>
        <v>RAMADHANDANI</v>
      </c>
      <c r="E27" s="159">
        <v>91</v>
      </c>
      <c r="F27" s="160">
        <v>91</v>
      </c>
      <c r="G27" s="160">
        <v>91</v>
      </c>
      <c r="H27" s="160">
        <v>91</v>
      </c>
      <c r="I27" s="160">
        <v>91</v>
      </c>
      <c r="J27" s="160">
        <v>91</v>
      </c>
      <c r="K27" s="160"/>
      <c r="L27" s="160"/>
      <c r="M27" s="160"/>
      <c r="N27" s="159"/>
      <c r="O27" s="159"/>
      <c r="P27" s="159"/>
      <c r="Q27" s="159"/>
      <c r="R27" s="160"/>
      <c r="S27" s="160">
        <v>91</v>
      </c>
      <c r="T27" s="159"/>
      <c r="U27" s="354">
        <f t="shared" si="4"/>
        <v>91</v>
      </c>
      <c r="V27" s="355" t="str">
        <f>IF(U27&gt;KKM!$G$10,"A",IF(U27&gt;KKM!$H$10,"B",IF(U27&gt;=KKM!$I$10,"C","D")))</f>
        <v>A</v>
      </c>
      <c r="W27" s="356">
        <f t="shared" si="0"/>
        <v>91</v>
      </c>
      <c r="X27" s="361" t="str">
        <f>IF(W27&gt;KKM!$G$10," sangat baik ",IF(W27&gt;KKM!$H$10," baik ",IF(W27&gt;=KKM!$I$10," cukup baik "," perlu bimbingan ")))</f>
        <v xml:space="preserve"> sangat baik </v>
      </c>
      <c r="Y27" s="357">
        <f t="shared" si="1"/>
        <v>91</v>
      </c>
      <c r="Z27" s="361" t="str">
        <f>IF(Y27&gt;KKM!$G$10," sangat baik ",IF(Y27&gt;KKM!$H$10," baik ",IF(Y27&gt;=KKM!$I$10," cukup baik "," perlu bimbingan ")))</f>
        <v xml:space="preserve"> sangat baik </v>
      </c>
      <c r="AA27" s="353" t="str">
        <f t="shared" si="5"/>
        <v>RAMADHANDANI sangat baik  dalam memahami langkah-langkah pengawasan kelestarian lingkungan hidup</v>
      </c>
      <c r="AB27" s="256"/>
      <c r="AC27" s="257" t="str">
        <f t="shared" si="2"/>
        <v xml:space="preserve"> sangat baik  dalam memahami langkah-langkah pengawasan kelestarian lingkungan hidup</v>
      </c>
      <c r="AD27" s="257" t="str">
        <f t="shared" si="3"/>
        <v xml:space="preserve"> sangat baik  dalam memahami langkah-langkah pengawasan kelestarian lingkungan hidup</v>
      </c>
      <c r="AE27" s="257" t="str">
        <f t="shared" si="6"/>
        <v xml:space="preserve"> sangat baik  dalam memahami langkah-langkah pengawasan kelestarian lingkungan hidup, dan  sangat baik  dalam memahami langkah-langkah pengawasan kelestarian lingkungan hidup</v>
      </c>
      <c r="AF27" s="257" t="str">
        <f t="shared" si="7"/>
        <v xml:space="preserve"> sangat baik  dalam memahami langkah-langkah pengawasan kelestarian lingkungan hidup</v>
      </c>
      <c r="AG27" s="258" t="str">
        <f t="shared" si="8"/>
        <v xml:space="preserve"> sangat baik  dalam memahami langkah-langkah pengawasan kelestarian lingkungan hidup</v>
      </c>
      <c r="AH27" s="252" t="str">
        <f t="shared" si="9"/>
        <v>RAMADHANDANI sangat baik  dalam memahami langkah-langkah pengawasan kelestarian lingkungan hidup</v>
      </c>
      <c r="AI27" s="153"/>
    </row>
    <row r="28" spans="2:35" ht="63" customHeight="1">
      <c r="B28" s="142">
        <v>24</v>
      </c>
      <c r="C28" s="143" t="str">
        <f>SISWA!B29</f>
        <v>1718250040328</v>
      </c>
      <c r="D28" s="144" t="str">
        <f>SISWA!E29</f>
        <v>SYAEPUL</v>
      </c>
      <c r="E28" s="159">
        <v>91</v>
      </c>
      <c r="F28" s="160">
        <v>91</v>
      </c>
      <c r="G28" s="160">
        <v>91</v>
      </c>
      <c r="H28" s="160">
        <v>91</v>
      </c>
      <c r="I28" s="160">
        <v>91</v>
      </c>
      <c r="J28" s="160">
        <v>91</v>
      </c>
      <c r="K28" s="160"/>
      <c r="L28" s="160"/>
      <c r="M28" s="160"/>
      <c r="N28" s="159"/>
      <c r="O28" s="159"/>
      <c r="P28" s="159"/>
      <c r="Q28" s="159"/>
      <c r="R28" s="160"/>
      <c r="S28" s="160">
        <v>91</v>
      </c>
      <c r="T28" s="159"/>
      <c r="U28" s="354">
        <f t="shared" si="4"/>
        <v>91</v>
      </c>
      <c r="V28" s="355" t="str">
        <f>IF(U28&gt;KKM!$G$10,"A",IF(U28&gt;KKM!$H$10,"B",IF(U28&gt;=KKM!$I$10,"C","D")))</f>
        <v>A</v>
      </c>
      <c r="W28" s="356">
        <f t="shared" si="0"/>
        <v>91</v>
      </c>
      <c r="X28" s="361" t="str">
        <f>IF(W28&gt;KKM!$G$10," sangat baik ",IF(W28&gt;KKM!$H$10," baik ",IF(W28&gt;=KKM!$I$10," cukup baik "," perlu bimbingan ")))</f>
        <v xml:space="preserve"> sangat baik </v>
      </c>
      <c r="Y28" s="357">
        <f t="shared" si="1"/>
        <v>91</v>
      </c>
      <c r="Z28" s="361" t="str">
        <f>IF(Y28&gt;KKM!$G$10," sangat baik ",IF(Y28&gt;KKM!$H$10," baik ",IF(Y28&gt;=KKM!$I$10," cukup baik "," perlu bimbingan ")))</f>
        <v xml:space="preserve"> sangat baik </v>
      </c>
      <c r="AA28" s="353" t="str">
        <f t="shared" si="5"/>
        <v>SYAEPUL sangat baik  dalam memahami langkah-langkah pengawasan kelestarian lingkungan hidup</v>
      </c>
      <c r="AB28" s="256"/>
      <c r="AC28" s="257" t="str">
        <f t="shared" si="2"/>
        <v xml:space="preserve"> sangat baik  dalam memahami langkah-langkah pengawasan kelestarian lingkungan hidup</v>
      </c>
      <c r="AD28" s="257" t="str">
        <f t="shared" si="3"/>
        <v xml:space="preserve"> sangat baik  dalam memahami langkah-langkah pengawasan kelestarian lingkungan hidup</v>
      </c>
      <c r="AE28" s="257" t="str">
        <f t="shared" si="6"/>
        <v xml:space="preserve"> sangat baik  dalam memahami langkah-langkah pengawasan kelestarian lingkungan hidup, dan  sangat baik  dalam memahami langkah-langkah pengawasan kelestarian lingkungan hidup</v>
      </c>
      <c r="AF28" s="257" t="str">
        <f t="shared" si="7"/>
        <v xml:space="preserve"> sangat baik  dalam memahami langkah-langkah pengawasan kelestarian lingkungan hidup</v>
      </c>
      <c r="AG28" s="258" t="str">
        <f t="shared" si="8"/>
        <v xml:space="preserve"> sangat baik  dalam memahami langkah-langkah pengawasan kelestarian lingkungan hidup</v>
      </c>
      <c r="AH28" s="252" t="str">
        <f t="shared" si="9"/>
        <v>SYAEPUL sangat baik  dalam memahami langkah-langkah pengawasan kelestarian lingkungan hidup</v>
      </c>
      <c r="AI28" s="153"/>
    </row>
    <row r="29" spans="2:35" ht="63" customHeight="1">
      <c r="B29" s="142">
        <v>25</v>
      </c>
      <c r="C29" s="143" t="str">
        <f>SISWA!B30</f>
        <v>1718250040329</v>
      </c>
      <c r="D29" s="144" t="str">
        <f>SISWA!E30</f>
        <v>ALIF</v>
      </c>
      <c r="E29" s="159">
        <v>94</v>
      </c>
      <c r="F29" s="160">
        <v>94</v>
      </c>
      <c r="G29" s="160">
        <v>94</v>
      </c>
      <c r="H29" s="160">
        <v>94</v>
      </c>
      <c r="I29" s="160">
        <v>94</v>
      </c>
      <c r="J29" s="160">
        <v>94</v>
      </c>
      <c r="K29" s="160"/>
      <c r="L29" s="160"/>
      <c r="M29" s="160"/>
      <c r="N29" s="159"/>
      <c r="O29" s="159"/>
      <c r="P29" s="159"/>
      <c r="Q29" s="159"/>
      <c r="R29" s="160"/>
      <c r="S29" s="160">
        <v>94</v>
      </c>
      <c r="T29" s="159"/>
      <c r="U29" s="354">
        <f t="shared" si="4"/>
        <v>94</v>
      </c>
      <c r="V29" s="355" t="str">
        <f>IF(U29&gt;KKM!$G$10,"A",IF(U29&gt;KKM!$H$10,"B",IF(U29&gt;=KKM!$I$10,"C","D")))</f>
        <v>A</v>
      </c>
      <c r="W29" s="356">
        <f t="shared" si="0"/>
        <v>94</v>
      </c>
      <c r="X29" s="361" t="str">
        <f>IF(W29&gt;KKM!$G$10," sangat baik ",IF(W29&gt;KKM!$H$10," baik ",IF(W29&gt;=KKM!$I$10," cukup baik "," perlu bimbingan ")))</f>
        <v xml:space="preserve"> sangat baik </v>
      </c>
      <c r="Y29" s="357">
        <f t="shared" si="1"/>
        <v>94</v>
      </c>
      <c r="Z29" s="361" t="str">
        <f>IF(Y29&gt;KKM!$G$10," sangat baik ",IF(Y29&gt;KKM!$H$10," baik ",IF(Y29&gt;=KKM!$I$10," cukup baik "," perlu bimbingan ")))</f>
        <v xml:space="preserve"> sangat baik </v>
      </c>
      <c r="AA29" s="353" t="str">
        <f t="shared" si="5"/>
        <v>ALIF sangat baik  dalam memahami langkah-langkah pengawasan kelestarian lingkungan hidup</v>
      </c>
      <c r="AB29" s="256"/>
      <c r="AC29" s="257" t="str">
        <f t="shared" si="2"/>
        <v xml:space="preserve"> sangat baik  dalam memahami langkah-langkah pengawasan kelestarian lingkungan hidup</v>
      </c>
      <c r="AD29" s="257" t="str">
        <f t="shared" si="3"/>
        <v xml:space="preserve"> sangat baik  dalam memahami langkah-langkah pengawasan kelestarian lingkungan hidup</v>
      </c>
      <c r="AE29" s="257" t="str">
        <f t="shared" si="6"/>
        <v xml:space="preserve"> sangat baik  dalam memahami langkah-langkah pengawasan kelestarian lingkungan hidup, dan  sangat baik  dalam memahami langkah-langkah pengawasan kelestarian lingkungan hidup</v>
      </c>
      <c r="AF29" s="257" t="str">
        <f t="shared" si="7"/>
        <v xml:space="preserve"> sangat baik  dalam memahami langkah-langkah pengawasan kelestarian lingkungan hidup</v>
      </c>
      <c r="AG29" s="258" t="str">
        <f t="shared" si="8"/>
        <v xml:space="preserve"> sangat baik  dalam memahami langkah-langkah pengawasan kelestarian lingkungan hidup</v>
      </c>
      <c r="AH29" s="252" t="str">
        <f t="shared" si="9"/>
        <v>ALIF sangat baik  dalam memahami langkah-langkah pengawasan kelestarian lingkungan hidup</v>
      </c>
      <c r="AI29" s="153"/>
    </row>
    <row r="30" spans="2:35" ht="63" customHeight="1">
      <c r="B30" s="142">
        <v>26</v>
      </c>
      <c r="C30" s="143" t="str">
        <f>SISWA!B31</f>
        <v>1718250040330</v>
      </c>
      <c r="D30" s="144" t="str">
        <f>SISWA!E31</f>
        <v>HIZKIEL</v>
      </c>
      <c r="E30" s="159">
        <v>91</v>
      </c>
      <c r="F30" s="160">
        <v>91</v>
      </c>
      <c r="G30" s="160">
        <v>91</v>
      </c>
      <c r="H30" s="160">
        <v>91</v>
      </c>
      <c r="I30" s="160">
        <v>91</v>
      </c>
      <c r="J30" s="160">
        <v>91</v>
      </c>
      <c r="K30" s="160"/>
      <c r="L30" s="160"/>
      <c r="M30" s="160"/>
      <c r="N30" s="159"/>
      <c r="O30" s="159"/>
      <c r="P30" s="159"/>
      <c r="Q30" s="159"/>
      <c r="R30" s="160"/>
      <c r="S30" s="160">
        <v>91</v>
      </c>
      <c r="T30" s="159"/>
      <c r="U30" s="354">
        <f t="shared" si="4"/>
        <v>91</v>
      </c>
      <c r="V30" s="355" t="str">
        <f>IF(U30&gt;KKM!$G$10,"A",IF(U30&gt;KKM!$H$10,"B",IF(U30&gt;=KKM!$I$10,"C","D")))</f>
        <v>A</v>
      </c>
      <c r="W30" s="356">
        <f t="shared" si="0"/>
        <v>91</v>
      </c>
      <c r="X30" s="361" t="str">
        <f>IF(W30&gt;KKM!$G$10," sangat baik ",IF(W30&gt;KKM!$H$10," baik ",IF(W30&gt;=KKM!$I$10," cukup baik "," perlu bimbingan ")))</f>
        <v xml:space="preserve"> sangat baik </v>
      </c>
      <c r="Y30" s="357">
        <f t="shared" si="1"/>
        <v>91</v>
      </c>
      <c r="Z30" s="361" t="str">
        <f>IF(Y30&gt;KKM!$G$10," sangat baik ",IF(Y30&gt;KKM!$H$10," baik ",IF(Y30&gt;=KKM!$I$10," cukup baik "," perlu bimbingan ")))</f>
        <v xml:space="preserve"> sangat baik </v>
      </c>
      <c r="AA30" s="353" t="str">
        <f t="shared" si="5"/>
        <v>HIZKIEL sangat baik  dalam memahami langkah-langkah pengawasan kelestarian lingkungan hidup</v>
      </c>
      <c r="AB30" s="256"/>
      <c r="AC30" s="257" t="str">
        <f t="shared" si="2"/>
        <v xml:space="preserve"> sangat baik  dalam memahami langkah-langkah pengawasan kelestarian lingkungan hidup</v>
      </c>
      <c r="AD30" s="257" t="str">
        <f t="shared" si="3"/>
        <v xml:space="preserve"> sangat baik  dalam memahami langkah-langkah pengawasan kelestarian lingkungan hidup</v>
      </c>
      <c r="AE30" s="257" t="str">
        <f t="shared" si="6"/>
        <v xml:space="preserve"> sangat baik  dalam memahami langkah-langkah pengawasan kelestarian lingkungan hidup, dan  sangat baik  dalam memahami langkah-langkah pengawasan kelestarian lingkungan hidup</v>
      </c>
      <c r="AF30" s="257" t="str">
        <f t="shared" si="7"/>
        <v xml:space="preserve"> sangat baik  dalam memahami langkah-langkah pengawasan kelestarian lingkungan hidup</v>
      </c>
      <c r="AG30" s="258" t="str">
        <f t="shared" si="8"/>
        <v xml:space="preserve"> sangat baik  dalam memahami langkah-langkah pengawasan kelestarian lingkungan hidup</v>
      </c>
      <c r="AH30" s="252" t="str">
        <f t="shared" si="9"/>
        <v>HIZKIEL sangat baik  dalam memahami langkah-langkah pengawasan kelestarian lingkungan hidup</v>
      </c>
      <c r="AI30" s="153"/>
    </row>
    <row r="31" spans="2:35" ht="63" customHeight="1">
      <c r="B31" s="142">
        <v>27</v>
      </c>
      <c r="C31" s="143" t="str">
        <f>SISWA!B32</f>
        <v>1718250040331</v>
      </c>
      <c r="D31" s="144" t="str">
        <f>SISWA!E32</f>
        <v>LAEL</v>
      </c>
      <c r="E31" s="159">
        <v>97</v>
      </c>
      <c r="F31" s="160">
        <v>97</v>
      </c>
      <c r="G31" s="160">
        <v>97</v>
      </c>
      <c r="H31" s="160">
        <v>97</v>
      </c>
      <c r="I31" s="160">
        <v>97</v>
      </c>
      <c r="J31" s="160">
        <v>97</v>
      </c>
      <c r="K31" s="160"/>
      <c r="L31" s="160"/>
      <c r="M31" s="160"/>
      <c r="N31" s="159"/>
      <c r="O31" s="159"/>
      <c r="P31" s="159"/>
      <c r="Q31" s="159"/>
      <c r="R31" s="160"/>
      <c r="S31" s="160">
        <v>97</v>
      </c>
      <c r="T31" s="159"/>
      <c r="U31" s="354">
        <f t="shared" si="4"/>
        <v>97</v>
      </c>
      <c r="V31" s="355" t="str">
        <f>IF(U31&gt;KKM!$G$10,"A",IF(U31&gt;KKM!$H$10,"B",IF(U31&gt;=KKM!$I$10,"C","D")))</f>
        <v>A</v>
      </c>
      <c r="W31" s="356">
        <f t="shared" si="0"/>
        <v>97</v>
      </c>
      <c r="X31" s="361" t="str">
        <f>IF(W31&gt;KKM!$G$10," sangat baik ",IF(W31&gt;KKM!$H$10," baik ",IF(W31&gt;=KKM!$I$10," cukup baik "," perlu bimbingan ")))</f>
        <v xml:space="preserve"> sangat baik </v>
      </c>
      <c r="Y31" s="357">
        <f t="shared" si="1"/>
        <v>97</v>
      </c>
      <c r="Z31" s="361" t="str">
        <f>IF(Y31&gt;KKM!$G$10," sangat baik ",IF(Y31&gt;KKM!$H$10," baik ",IF(Y31&gt;=KKM!$I$10," cukup baik "," perlu bimbingan ")))</f>
        <v xml:space="preserve"> sangat baik </v>
      </c>
      <c r="AA31" s="353" t="str">
        <f t="shared" si="5"/>
        <v>LAEL sangat baik  dalam memahami langkah-langkah pengawasan kelestarian lingkungan hidup</v>
      </c>
      <c r="AB31" s="256"/>
      <c r="AC31" s="257" t="str">
        <f t="shared" si="2"/>
        <v xml:space="preserve"> sangat baik  dalam memahami langkah-langkah pengawasan kelestarian lingkungan hidup</v>
      </c>
      <c r="AD31" s="257" t="str">
        <f t="shared" si="3"/>
        <v xml:space="preserve"> sangat baik  dalam memahami langkah-langkah pengawasan kelestarian lingkungan hidup</v>
      </c>
      <c r="AE31" s="257" t="str">
        <f t="shared" si="6"/>
        <v xml:space="preserve"> sangat baik  dalam memahami langkah-langkah pengawasan kelestarian lingkungan hidup, dan  sangat baik  dalam memahami langkah-langkah pengawasan kelestarian lingkungan hidup</v>
      </c>
      <c r="AF31" s="257" t="str">
        <f t="shared" si="7"/>
        <v xml:space="preserve"> sangat baik  dalam memahami langkah-langkah pengawasan kelestarian lingkungan hidup</v>
      </c>
      <c r="AG31" s="258" t="str">
        <f t="shared" si="8"/>
        <v xml:space="preserve"> sangat baik  dalam memahami langkah-langkah pengawasan kelestarian lingkungan hidup</v>
      </c>
      <c r="AH31" s="252" t="str">
        <f t="shared" si="9"/>
        <v>LAEL sangat baik  dalam memahami langkah-langkah pengawasan kelestarian lingkungan hidup</v>
      </c>
      <c r="AI31" s="153"/>
    </row>
    <row r="32" spans="2:35" ht="63" customHeight="1">
      <c r="B32" s="142">
        <v>28</v>
      </c>
      <c r="C32" s="143" t="str">
        <f>SISWA!B33</f>
        <v>1718250040332</v>
      </c>
      <c r="D32" s="144" t="str">
        <f>SISWA!E33</f>
        <v>NABIL</v>
      </c>
      <c r="E32" s="159">
        <v>88</v>
      </c>
      <c r="F32" s="160">
        <v>88</v>
      </c>
      <c r="G32" s="160">
        <v>88</v>
      </c>
      <c r="H32" s="160">
        <v>88</v>
      </c>
      <c r="I32" s="160">
        <v>88</v>
      </c>
      <c r="J32" s="160">
        <v>88</v>
      </c>
      <c r="K32" s="160"/>
      <c r="L32" s="160"/>
      <c r="M32" s="160"/>
      <c r="N32" s="159"/>
      <c r="O32" s="159"/>
      <c r="P32" s="159"/>
      <c r="Q32" s="159"/>
      <c r="R32" s="160"/>
      <c r="S32" s="160">
        <v>88</v>
      </c>
      <c r="T32" s="159"/>
      <c r="U32" s="354">
        <f t="shared" si="4"/>
        <v>88</v>
      </c>
      <c r="V32" s="355" t="str">
        <f>IF(U32&gt;KKM!$G$10,"A",IF(U32&gt;KKM!$H$10,"B",IF(U32&gt;=KKM!$I$10,"C","D")))</f>
        <v>A</v>
      </c>
      <c r="W32" s="356">
        <f t="shared" si="0"/>
        <v>88</v>
      </c>
      <c r="X32" s="361" t="str">
        <f>IF(W32&gt;KKM!$G$10," sangat baik ",IF(W32&gt;KKM!$H$10," baik ",IF(W32&gt;=KKM!$I$10," cukup baik "," perlu bimbingan ")))</f>
        <v xml:space="preserve"> sangat baik </v>
      </c>
      <c r="Y32" s="357">
        <f t="shared" si="1"/>
        <v>88</v>
      </c>
      <c r="Z32" s="361" t="str">
        <f>IF(Y32&gt;KKM!$G$10," sangat baik ",IF(Y32&gt;KKM!$H$10," baik ",IF(Y32&gt;=KKM!$I$10," cukup baik "," perlu bimbingan ")))</f>
        <v xml:space="preserve"> sangat baik </v>
      </c>
      <c r="AA32" s="353" t="str">
        <f t="shared" si="5"/>
        <v>NABIL sangat baik  dalam memahami langkah-langkah pengawasan kelestarian lingkungan hidup</v>
      </c>
      <c r="AB32" s="256"/>
      <c r="AC32" s="257" t="str">
        <f t="shared" si="2"/>
        <v xml:space="preserve"> sangat baik  dalam memahami langkah-langkah pengawasan kelestarian lingkungan hidup</v>
      </c>
      <c r="AD32" s="257" t="str">
        <f t="shared" si="3"/>
        <v xml:space="preserve"> sangat baik  dalam memahami langkah-langkah pengawasan kelestarian lingkungan hidup</v>
      </c>
      <c r="AE32" s="257" t="str">
        <f t="shared" si="6"/>
        <v xml:space="preserve"> sangat baik  dalam memahami langkah-langkah pengawasan kelestarian lingkungan hidup, dan  sangat baik  dalam memahami langkah-langkah pengawasan kelestarian lingkungan hidup</v>
      </c>
      <c r="AF32" s="257" t="str">
        <f t="shared" si="7"/>
        <v xml:space="preserve"> sangat baik  dalam memahami langkah-langkah pengawasan kelestarian lingkungan hidup</v>
      </c>
      <c r="AG32" s="258" t="str">
        <f t="shared" si="8"/>
        <v xml:space="preserve"> sangat baik  dalam memahami langkah-langkah pengawasan kelestarian lingkungan hidup</v>
      </c>
      <c r="AH32" s="252" t="str">
        <f t="shared" si="9"/>
        <v>NABIL sangat baik  dalam memahami langkah-langkah pengawasan kelestarian lingkungan hidup</v>
      </c>
      <c r="AI32" s="153"/>
    </row>
    <row r="33" spans="2:35" ht="63" customHeight="1">
      <c r="B33" s="142">
        <v>29</v>
      </c>
      <c r="C33" s="143" t="str">
        <f>SISWA!B34</f>
        <v>1718250040333</v>
      </c>
      <c r="D33" s="144" t="str">
        <f>SISWA!E34</f>
        <v>RASYA</v>
      </c>
      <c r="E33" s="159">
        <v>91</v>
      </c>
      <c r="F33" s="160">
        <v>91</v>
      </c>
      <c r="G33" s="160">
        <v>91</v>
      </c>
      <c r="H33" s="160">
        <v>91</v>
      </c>
      <c r="I33" s="160">
        <v>91</v>
      </c>
      <c r="J33" s="160">
        <v>91</v>
      </c>
      <c r="K33" s="160"/>
      <c r="L33" s="160"/>
      <c r="M33" s="160"/>
      <c r="N33" s="159"/>
      <c r="O33" s="159"/>
      <c r="P33" s="159"/>
      <c r="Q33" s="159"/>
      <c r="R33" s="160"/>
      <c r="S33" s="160">
        <v>91</v>
      </c>
      <c r="T33" s="159"/>
      <c r="U33" s="354">
        <f t="shared" si="4"/>
        <v>91</v>
      </c>
      <c r="V33" s="355" t="str">
        <f>IF(U33&gt;KKM!$G$10,"A",IF(U33&gt;KKM!$H$10,"B",IF(U33&gt;=KKM!$I$10,"C","D")))</f>
        <v>A</v>
      </c>
      <c r="W33" s="356">
        <f t="shared" si="0"/>
        <v>91</v>
      </c>
      <c r="X33" s="361" t="str">
        <f>IF(W33&gt;KKM!$G$10," sangat baik ",IF(W33&gt;KKM!$H$10," baik ",IF(W33&gt;=KKM!$I$10," cukup baik "," perlu bimbingan ")))</f>
        <v xml:space="preserve"> sangat baik </v>
      </c>
      <c r="Y33" s="357">
        <f t="shared" si="1"/>
        <v>91</v>
      </c>
      <c r="Z33" s="361" t="str">
        <f>IF(Y33&gt;KKM!$G$10," sangat baik ",IF(Y33&gt;KKM!$H$10," baik ",IF(Y33&gt;=KKM!$I$10," cukup baik "," perlu bimbingan ")))</f>
        <v xml:space="preserve"> sangat baik </v>
      </c>
      <c r="AA33" s="353" t="str">
        <f t="shared" si="5"/>
        <v>RASYA sangat baik  dalam memahami langkah-langkah pengawasan kelestarian lingkungan hidup</v>
      </c>
      <c r="AB33" s="256"/>
      <c r="AC33" s="257" t="str">
        <f t="shared" si="2"/>
        <v xml:space="preserve"> sangat baik  dalam memahami langkah-langkah pengawasan kelestarian lingkungan hidup</v>
      </c>
      <c r="AD33" s="257" t="str">
        <f t="shared" si="3"/>
        <v xml:space="preserve"> sangat baik  dalam memahami langkah-langkah pengawasan kelestarian lingkungan hidup</v>
      </c>
      <c r="AE33" s="257" t="str">
        <f t="shared" si="6"/>
        <v xml:space="preserve"> sangat baik  dalam memahami langkah-langkah pengawasan kelestarian lingkungan hidup, dan  sangat baik  dalam memahami langkah-langkah pengawasan kelestarian lingkungan hidup</v>
      </c>
      <c r="AF33" s="257" t="str">
        <f t="shared" si="7"/>
        <v xml:space="preserve"> sangat baik  dalam memahami langkah-langkah pengawasan kelestarian lingkungan hidup</v>
      </c>
      <c r="AG33" s="258" t="str">
        <f t="shared" si="8"/>
        <v xml:space="preserve"> sangat baik  dalam memahami langkah-langkah pengawasan kelestarian lingkungan hidup</v>
      </c>
      <c r="AH33" s="252" t="str">
        <f t="shared" si="9"/>
        <v>RASYA sangat baik  dalam memahami langkah-langkah pengawasan kelestarian lingkungan hidup</v>
      </c>
      <c r="AI33" s="153"/>
    </row>
    <row r="34" spans="2:35" ht="63" customHeight="1">
      <c r="B34" s="142">
        <v>30</v>
      </c>
      <c r="C34" s="143" t="str">
        <f>SISWA!B35</f>
        <v>1718250040334</v>
      </c>
      <c r="D34" s="144" t="str">
        <f>SISWA!E35</f>
        <v>RIZKI</v>
      </c>
      <c r="E34" s="159">
        <v>97</v>
      </c>
      <c r="F34" s="160">
        <v>97</v>
      </c>
      <c r="G34" s="160">
        <v>97</v>
      </c>
      <c r="H34" s="160">
        <v>97</v>
      </c>
      <c r="I34" s="160">
        <v>97</v>
      </c>
      <c r="J34" s="160">
        <v>97</v>
      </c>
      <c r="K34" s="160"/>
      <c r="L34" s="160"/>
      <c r="M34" s="160"/>
      <c r="N34" s="159"/>
      <c r="O34" s="159"/>
      <c r="P34" s="159"/>
      <c r="Q34" s="159"/>
      <c r="R34" s="160"/>
      <c r="S34" s="160">
        <v>97</v>
      </c>
      <c r="T34" s="159"/>
      <c r="U34" s="354">
        <f t="shared" si="4"/>
        <v>97</v>
      </c>
      <c r="V34" s="355" t="str">
        <f>IF(U34&gt;KKM!$G$10,"A",IF(U34&gt;KKM!$H$10,"B",IF(U34&gt;=KKM!$I$10,"C","D")))</f>
        <v>A</v>
      </c>
      <c r="W34" s="356">
        <f t="shared" si="0"/>
        <v>97</v>
      </c>
      <c r="X34" s="361" t="str">
        <f>IF(W34&gt;KKM!$G$10," sangat baik ",IF(W34&gt;KKM!$H$10," baik ",IF(W34&gt;=KKM!$I$10," cukup baik "," perlu bimbingan ")))</f>
        <v xml:space="preserve"> sangat baik </v>
      </c>
      <c r="Y34" s="357">
        <f t="shared" si="1"/>
        <v>97</v>
      </c>
      <c r="Z34" s="361" t="str">
        <f>IF(Y34&gt;KKM!$G$10," sangat baik ",IF(Y34&gt;KKM!$H$10," baik ",IF(Y34&gt;=KKM!$I$10," cukup baik "," perlu bimbingan ")))</f>
        <v xml:space="preserve"> sangat baik </v>
      </c>
      <c r="AA34" s="353" t="str">
        <f t="shared" si="5"/>
        <v>RIZKI sangat baik  dalam memahami langkah-langkah pengawasan kelestarian lingkungan hidup</v>
      </c>
      <c r="AB34" s="256"/>
      <c r="AC34" s="257" t="str">
        <f t="shared" si="2"/>
        <v xml:space="preserve"> sangat baik  dalam memahami langkah-langkah pengawasan kelestarian lingkungan hidup</v>
      </c>
      <c r="AD34" s="257" t="str">
        <f t="shared" si="3"/>
        <v xml:space="preserve"> sangat baik  dalam memahami langkah-langkah pengawasan kelestarian lingkungan hidup</v>
      </c>
      <c r="AE34" s="257" t="str">
        <f t="shared" si="6"/>
        <v xml:space="preserve"> sangat baik  dalam memahami langkah-langkah pengawasan kelestarian lingkungan hidup, dan  sangat baik  dalam memahami langkah-langkah pengawasan kelestarian lingkungan hidup</v>
      </c>
      <c r="AF34" s="257" t="str">
        <f t="shared" si="7"/>
        <v xml:space="preserve"> sangat baik  dalam memahami langkah-langkah pengawasan kelestarian lingkungan hidup</v>
      </c>
      <c r="AG34" s="258" t="str">
        <f t="shared" si="8"/>
        <v xml:space="preserve"> sangat baik  dalam memahami langkah-langkah pengawasan kelestarian lingkungan hidup</v>
      </c>
      <c r="AH34" s="252" t="str">
        <f t="shared" si="9"/>
        <v>RIZKI sangat baik  dalam memahami langkah-langkah pengawasan kelestarian lingkungan hidup</v>
      </c>
      <c r="AI34" s="153"/>
    </row>
    <row r="35" spans="2:35" ht="63" customHeight="1">
      <c r="B35" s="142">
        <v>31</v>
      </c>
      <c r="C35" s="143" t="str">
        <f>SISWA!B36</f>
        <v>1718250040335</v>
      </c>
      <c r="D35" s="144" t="str">
        <f>SISWA!E36</f>
        <v>SATRIA</v>
      </c>
      <c r="E35" s="159">
        <v>100</v>
      </c>
      <c r="F35" s="160">
        <v>100</v>
      </c>
      <c r="G35" s="160">
        <v>100</v>
      </c>
      <c r="H35" s="160">
        <v>100</v>
      </c>
      <c r="I35" s="160">
        <v>100</v>
      </c>
      <c r="J35" s="160">
        <v>100</v>
      </c>
      <c r="K35" s="160"/>
      <c r="L35" s="160"/>
      <c r="M35" s="160"/>
      <c r="N35" s="159"/>
      <c r="O35" s="159"/>
      <c r="P35" s="159"/>
      <c r="Q35" s="159"/>
      <c r="R35" s="160"/>
      <c r="S35" s="160">
        <v>100</v>
      </c>
      <c r="T35" s="159"/>
      <c r="U35" s="354">
        <f t="shared" si="4"/>
        <v>100</v>
      </c>
      <c r="V35" s="355" t="str">
        <f>IF(U35&gt;KKM!$G$10,"A",IF(U35&gt;KKM!$H$10,"B",IF(U35&gt;=KKM!$I$10,"C","D")))</f>
        <v>A</v>
      </c>
      <c r="W35" s="356">
        <f t="shared" si="0"/>
        <v>100</v>
      </c>
      <c r="X35" s="361" t="str">
        <f>IF(W35&gt;KKM!$G$10," sangat baik ",IF(W35&gt;KKM!$H$10," baik ",IF(W35&gt;=KKM!$I$10," cukup baik "," perlu bimbingan ")))</f>
        <v xml:space="preserve"> sangat baik </v>
      </c>
      <c r="Y35" s="357">
        <f t="shared" si="1"/>
        <v>100</v>
      </c>
      <c r="Z35" s="361" t="str">
        <f>IF(Y35&gt;KKM!$G$10," sangat baik ",IF(Y35&gt;KKM!$H$10," baik ",IF(Y35&gt;=KKM!$I$10," cukup baik "," perlu bimbingan ")))</f>
        <v xml:space="preserve"> sangat baik </v>
      </c>
      <c r="AA35" s="353" t="str">
        <f t="shared" si="5"/>
        <v>SATRIA sangat baik  dalam memahami langkah-langkah pengawasan kelestarian lingkungan hidup</v>
      </c>
      <c r="AB35" s="256"/>
      <c r="AC35" s="257" t="str">
        <f t="shared" si="2"/>
        <v xml:space="preserve"> sangat baik  dalam memahami langkah-langkah pengawasan kelestarian lingkungan hidup</v>
      </c>
      <c r="AD35" s="257" t="str">
        <f t="shared" si="3"/>
        <v xml:space="preserve"> sangat baik  dalam memahami langkah-langkah pengawasan kelestarian lingkungan hidup</v>
      </c>
      <c r="AE35" s="257" t="str">
        <f t="shared" si="6"/>
        <v xml:space="preserve"> sangat baik  dalam memahami langkah-langkah pengawasan kelestarian lingkungan hidup, dan  sangat baik  dalam memahami langkah-langkah pengawasan kelestarian lingkungan hidup</v>
      </c>
      <c r="AF35" s="257" t="str">
        <f t="shared" si="7"/>
        <v xml:space="preserve"> sangat baik  dalam memahami langkah-langkah pengawasan kelestarian lingkungan hidup</v>
      </c>
      <c r="AG35" s="258" t="str">
        <f t="shared" si="8"/>
        <v xml:space="preserve"> sangat baik  dalam memahami langkah-langkah pengawasan kelestarian lingkungan hidup</v>
      </c>
      <c r="AH35" s="252" t="str">
        <f t="shared" si="9"/>
        <v>SATRIA sangat baik  dalam memahami langkah-langkah pengawasan kelestarian lingkungan hidup</v>
      </c>
      <c r="AI35" s="153"/>
    </row>
    <row r="36" spans="2:35" ht="63" customHeight="1">
      <c r="B36" s="142">
        <v>32</v>
      </c>
      <c r="C36" s="143" t="str">
        <f>SISWA!B37</f>
        <v>1718250040336</v>
      </c>
      <c r="D36" s="144" t="str">
        <f>SISWA!E37</f>
        <v>NADIA</v>
      </c>
      <c r="E36" s="159">
        <v>97</v>
      </c>
      <c r="F36" s="160">
        <v>97</v>
      </c>
      <c r="G36" s="160">
        <v>97</v>
      </c>
      <c r="H36" s="160">
        <v>97</v>
      </c>
      <c r="I36" s="160">
        <v>97</v>
      </c>
      <c r="J36" s="160">
        <v>97</v>
      </c>
      <c r="K36" s="160"/>
      <c r="L36" s="160"/>
      <c r="M36" s="160"/>
      <c r="N36" s="159"/>
      <c r="O36" s="159"/>
      <c r="P36" s="159"/>
      <c r="Q36" s="159"/>
      <c r="R36" s="160"/>
      <c r="S36" s="160">
        <v>97</v>
      </c>
      <c r="T36" s="159"/>
      <c r="U36" s="354">
        <f t="shared" si="4"/>
        <v>97</v>
      </c>
      <c r="V36" s="355" t="str">
        <f>IF(U36&gt;KKM!$G$10,"A",IF(U36&gt;KKM!$H$10,"B",IF(U36&gt;=KKM!$I$10,"C","D")))</f>
        <v>A</v>
      </c>
      <c r="W36" s="356">
        <f t="shared" si="0"/>
        <v>97</v>
      </c>
      <c r="X36" s="361" t="str">
        <f>IF(W36&gt;KKM!$G$10," sangat baik ",IF(W36&gt;KKM!$H$10," baik ",IF(W36&gt;=KKM!$I$10," cukup baik "," perlu bimbingan ")))</f>
        <v xml:space="preserve"> sangat baik </v>
      </c>
      <c r="Y36" s="357">
        <f t="shared" si="1"/>
        <v>97</v>
      </c>
      <c r="Z36" s="361" t="str">
        <f>IF(Y36&gt;KKM!$G$10," sangat baik ",IF(Y36&gt;KKM!$H$10," baik ",IF(Y36&gt;=KKM!$I$10," cukup baik "," perlu bimbingan ")))</f>
        <v xml:space="preserve"> sangat baik </v>
      </c>
      <c r="AA36" s="353" t="str">
        <f t="shared" si="5"/>
        <v>NADIA sangat baik  dalam memahami langkah-langkah pengawasan kelestarian lingkungan hidup</v>
      </c>
      <c r="AB36" s="256"/>
      <c r="AC36" s="257" t="str">
        <f t="shared" si="2"/>
        <v xml:space="preserve"> sangat baik  dalam memahami langkah-langkah pengawasan kelestarian lingkungan hidup</v>
      </c>
      <c r="AD36" s="257" t="str">
        <f t="shared" si="3"/>
        <v xml:space="preserve"> sangat baik  dalam memahami langkah-langkah pengawasan kelestarian lingkungan hidup</v>
      </c>
      <c r="AE36" s="257" t="str">
        <f t="shared" si="6"/>
        <v xml:space="preserve"> sangat baik  dalam memahami langkah-langkah pengawasan kelestarian lingkungan hidup, dan  sangat baik  dalam memahami langkah-langkah pengawasan kelestarian lingkungan hidup</v>
      </c>
      <c r="AF36" s="257" t="str">
        <f t="shared" si="7"/>
        <v xml:space="preserve"> sangat baik  dalam memahami langkah-langkah pengawasan kelestarian lingkungan hidup</v>
      </c>
      <c r="AG36" s="258" t="str">
        <f t="shared" si="8"/>
        <v xml:space="preserve"> sangat baik  dalam memahami langkah-langkah pengawasan kelestarian lingkungan hidup</v>
      </c>
      <c r="AH36" s="252" t="str">
        <f t="shared" si="9"/>
        <v>NADIA sangat baik  dalam memahami langkah-langkah pengawasan kelestarian lingkungan hidup</v>
      </c>
      <c r="AI36" s="153"/>
    </row>
    <row r="37" spans="2:35" ht="63" customHeight="1">
      <c r="B37" s="142">
        <v>33</v>
      </c>
      <c r="C37" s="143" t="str">
        <f>SISWA!B38</f>
        <v>1718250040337</v>
      </c>
      <c r="D37" s="144" t="str">
        <f>SISWA!E38</f>
        <v>NAFILA</v>
      </c>
      <c r="E37" s="159">
        <v>85</v>
      </c>
      <c r="F37" s="160">
        <v>85</v>
      </c>
      <c r="G37" s="160">
        <v>85</v>
      </c>
      <c r="H37" s="160">
        <v>85</v>
      </c>
      <c r="I37" s="160">
        <v>85</v>
      </c>
      <c r="J37" s="160">
        <v>85</v>
      </c>
      <c r="K37" s="160"/>
      <c r="L37" s="160"/>
      <c r="M37" s="160"/>
      <c r="N37" s="159"/>
      <c r="O37" s="159"/>
      <c r="P37" s="159"/>
      <c r="Q37" s="159"/>
      <c r="R37" s="160"/>
      <c r="S37" s="160">
        <v>85</v>
      </c>
      <c r="T37" s="159"/>
      <c r="U37" s="354">
        <f t="shared" si="4"/>
        <v>85</v>
      </c>
      <c r="V37" s="355" t="str">
        <f>IF(U37&gt;KKM!$G$10,"A",IF(U37&gt;KKM!$H$10,"B",IF(U37&gt;=KKM!$I$10,"C","D")))</f>
        <v>B</v>
      </c>
      <c r="W37" s="356">
        <f t="shared" si="0"/>
        <v>85</v>
      </c>
      <c r="X37" s="361" t="str">
        <f>IF(W37&gt;KKM!$G$10," sangat baik ",IF(W37&gt;KKM!$H$10," baik ",IF(W37&gt;=KKM!$I$10," cukup baik "," perlu bimbingan ")))</f>
        <v xml:space="preserve"> baik </v>
      </c>
      <c r="Y37" s="357">
        <f t="shared" si="1"/>
        <v>85</v>
      </c>
      <c r="Z37" s="361" t="str">
        <f>IF(Y37&gt;KKM!$G$10," sangat baik ",IF(Y37&gt;KKM!$H$10," baik ",IF(Y37&gt;=KKM!$I$10," cukup baik "," perlu bimbingan ")))</f>
        <v xml:space="preserve"> baik </v>
      </c>
      <c r="AA37" s="353" t="str">
        <f t="shared" si="5"/>
        <v>NAFILA baik  dalam memahami langkah-langkah pengawasan kelestarian lingkungan hidup</v>
      </c>
      <c r="AB37" s="256"/>
      <c r="AC37" s="257" t="str">
        <f t="shared" si="2"/>
        <v xml:space="preserve"> baik  dalam memahami langkah-langkah pengawasan kelestarian lingkungan hidup</v>
      </c>
      <c r="AD37" s="257" t="str">
        <f t="shared" si="3"/>
        <v xml:space="preserve"> baik  dalam memahami langkah-langkah pengawasan kelestarian lingkungan hidup</v>
      </c>
      <c r="AE37" s="257" t="str">
        <f t="shared" si="6"/>
        <v xml:space="preserve"> baik  dalam memahami langkah-langkah pengawasan kelestarian lingkungan hidup, dan  baik  dalam memahami langkah-langkah pengawasan kelestarian lingkungan hidup</v>
      </c>
      <c r="AF37" s="257" t="str">
        <f t="shared" si="7"/>
        <v xml:space="preserve"> baik  dalam memahami langkah-langkah pengawasan kelestarian lingkungan hidup</v>
      </c>
      <c r="AG37" s="258" t="str">
        <f t="shared" si="8"/>
        <v xml:space="preserve"> baik  dalam memahami langkah-langkah pengawasan kelestarian lingkungan hidup</v>
      </c>
      <c r="AH37" s="252" t="str">
        <f t="shared" si="9"/>
        <v>NAFILA baik  dalam memahami langkah-langkah pengawasan kelestarian lingkungan hidup</v>
      </c>
      <c r="AI37" s="153"/>
    </row>
    <row r="38" spans="2:35" ht="63" customHeight="1">
      <c r="B38" s="142">
        <v>34</v>
      </c>
      <c r="C38" s="143" t="str">
        <f>SISWA!B39</f>
        <v>1718250040338</v>
      </c>
      <c r="D38" s="144" t="str">
        <f>SISWA!E39</f>
        <v>NAZZALA</v>
      </c>
      <c r="E38" s="159">
        <v>97</v>
      </c>
      <c r="F38" s="160">
        <v>97</v>
      </c>
      <c r="G38" s="160">
        <v>97</v>
      </c>
      <c r="H38" s="160">
        <v>97</v>
      </c>
      <c r="I38" s="160">
        <v>97</v>
      </c>
      <c r="J38" s="160">
        <v>97</v>
      </c>
      <c r="K38" s="160"/>
      <c r="L38" s="160"/>
      <c r="M38" s="160"/>
      <c r="N38" s="159"/>
      <c r="O38" s="159"/>
      <c r="P38" s="159"/>
      <c r="Q38" s="159"/>
      <c r="R38" s="160"/>
      <c r="S38" s="160">
        <v>97</v>
      </c>
      <c r="T38" s="159"/>
      <c r="U38" s="354">
        <f t="shared" si="4"/>
        <v>97</v>
      </c>
      <c r="V38" s="355" t="str">
        <f>IF(U38&gt;KKM!$G$10,"A",IF(U38&gt;KKM!$H$10,"B",IF(U38&gt;=KKM!$I$10,"C","D")))</f>
        <v>A</v>
      </c>
      <c r="W38" s="356">
        <f t="shared" si="0"/>
        <v>97</v>
      </c>
      <c r="X38" s="361" t="str">
        <f>IF(W38&gt;KKM!$G$10," sangat baik ",IF(W38&gt;KKM!$H$10," baik ",IF(W38&gt;=KKM!$I$10," cukup baik "," perlu bimbingan ")))</f>
        <v xml:space="preserve"> sangat baik </v>
      </c>
      <c r="Y38" s="357">
        <f t="shared" si="1"/>
        <v>97</v>
      </c>
      <c r="Z38" s="361" t="str">
        <f>IF(Y38&gt;KKM!$G$10," sangat baik ",IF(Y38&gt;KKM!$H$10," baik ",IF(Y38&gt;=KKM!$I$10," cukup baik "," perlu bimbingan ")))</f>
        <v xml:space="preserve"> sangat baik </v>
      </c>
      <c r="AA38" s="353" t="str">
        <f t="shared" si="5"/>
        <v>NAZZALA sangat baik  dalam memahami langkah-langkah pengawasan kelestarian lingkungan hidup</v>
      </c>
      <c r="AB38" s="256"/>
      <c r="AC38" s="257" t="str">
        <f t="shared" si="2"/>
        <v xml:space="preserve"> sangat baik  dalam memahami langkah-langkah pengawasan kelestarian lingkungan hidup</v>
      </c>
      <c r="AD38" s="257" t="str">
        <f t="shared" si="3"/>
        <v xml:space="preserve"> sangat baik  dalam memahami langkah-langkah pengawasan kelestarian lingkungan hidup</v>
      </c>
      <c r="AE38" s="257" t="str">
        <f t="shared" si="6"/>
        <v xml:space="preserve"> sangat baik  dalam memahami langkah-langkah pengawasan kelestarian lingkungan hidup, dan  sangat baik  dalam memahami langkah-langkah pengawasan kelestarian lingkungan hidup</v>
      </c>
      <c r="AF38" s="257" t="str">
        <f t="shared" si="7"/>
        <v xml:space="preserve"> sangat baik  dalam memahami langkah-langkah pengawasan kelestarian lingkungan hidup</v>
      </c>
      <c r="AG38" s="258" t="str">
        <f t="shared" si="8"/>
        <v xml:space="preserve"> sangat baik  dalam memahami langkah-langkah pengawasan kelestarian lingkungan hidup</v>
      </c>
      <c r="AH38" s="252" t="str">
        <f t="shared" si="9"/>
        <v>NAZZALA sangat baik  dalam memahami langkah-langkah pengawasan kelestarian lingkungan hidup</v>
      </c>
      <c r="AI38" s="153"/>
    </row>
    <row r="39" spans="2:35" ht="63" customHeight="1">
      <c r="B39" s="142">
        <v>35</v>
      </c>
      <c r="C39" s="143" t="str">
        <f>SISWA!B40</f>
        <v>1718250040339</v>
      </c>
      <c r="D39" s="144" t="str">
        <f>SISWA!E40</f>
        <v>RAFAREL</v>
      </c>
      <c r="E39" s="159">
        <v>97</v>
      </c>
      <c r="F39" s="160">
        <v>97</v>
      </c>
      <c r="G39" s="160">
        <v>97</v>
      </c>
      <c r="H39" s="160">
        <v>97</v>
      </c>
      <c r="I39" s="160">
        <v>97</v>
      </c>
      <c r="J39" s="160">
        <v>97</v>
      </c>
      <c r="K39" s="160"/>
      <c r="L39" s="160"/>
      <c r="M39" s="160"/>
      <c r="N39" s="159"/>
      <c r="O39" s="159"/>
      <c r="P39" s="159"/>
      <c r="Q39" s="159"/>
      <c r="R39" s="160"/>
      <c r="S39" s="160">
        <v>97</v>
      </c>
      <c r="T39" s="159"/>
      <c r="U39" s="354">
        <f t="shared" si="4"/>
        <v>97</v>
      </c>
      <c r="V39" s="355" t="str">
        <f>IF(U39&gt;KKM!$G$10,"A",IF(U39&gt;KKM!$H$10,"B",IF(U39&gt;=KKM!$I$10,"C","D")))</f>
        <v>A</v>
      </c>
      <c r="W39" s="356">
        <f t="shared" si="0"/>
        <v>97</v>
      </c>
      <c r="X39" s="361" t="str">
        <f>IF(W39&gt;KKM!$G$10," sangat baik ",IF(W39&gt;KKM!$H$10," baik ",IF(W39&gt;=KKM!$I$10," cukup baik "," perlu bimbingan ")))</f>
        <v xml:space="preserve"> sangat baik </v>
      </c>
      <c r="Y39" s="357">
        <f t="shared" si="1"/>
        <v>97</v>
      </c>
      <c r="Z39" s="361" t="str">
        <f>IF(Y39&gt;KKM!$G$10," sangat baik ",IF(Y39&gt;KKM!$H$10," baik ",IF(Y39&gt;=KKM!$I$10," cukup baik "," perlu bimbingan ")))</f>
        <v xml:space="preserve"> sangat baik </v>
      </c>
      <c r="AA39" s="353" t="str">
        <f t="shared" si="5"/>
        <v>RAFAREL sangat baik  dalam memahami langkah-langkah pengawasan kelestarian lingkungan hidup</v>
      </c>
      <c r="AB39" s="256"/>
      <c r="AC39" s="257" t="str">
        <f t="shared" si="2"/>
        <v xml:space="preserve"> sangat baik  dalam memahami langkah-langkah pengawasan kelestarian lingkungan hidup</v>
      </c>
      <c r="AD39" s="257" t="str">
        <f t="shared" si="3"/>
        <v xml:space="preserve"> sangat baik  dalam memahami langkah-langkah pengawasan kelestarian lingkungan hidup</v>
      </c>
      <c r="AE39" s="257" t="str">
        <f t="shared" si="6"/>
        <v xml:space="preserve"> sangat baik  dalam memahami langkah-langkah pengawasan kelestarian lingkungan hidup, dan  sangat baik  dalam memahami langkah-langkah pengawasan kelestarian lingkungan hidup</v>
      </c>
      <c r="AF39" s="257" t="str">
        <f t="shared" si="7"/>
        <v xml:space="preserve"> sangat baik  dalam memahami langkah-langkah pengawasan kelestarian lingkungan hidup</v>
      </c>
      <c r="AG39" s="258" t="str">
        <f t="shared" si="8"/>
        <v xml:space="preserve"> sangat baik  dalam memahami langkah-langkah pengawasan kelestarian lingkungan hidup</v>
      </c>
      <c r="AH39" s="252" t="str">
        <f t="shared" si="9"/>
        <v>RAFAREL sangat baik  dalam memahami langkah-langkah pengawasan kelestarian lingkungan hidup</v>
      </c>
      <c r="AI39" s="153"/>
    </row>
    <row r="40" spans="2:35" ht="63" customHeight="1">
      <c r="B40" s="142">
        <v>36</v>
      </c>
      <c r="C40" s="143" t="str">
        <f>SISWA!B41</f>
        <v>1718250040340</v>
      </c>
      <c r="D40" s="144" t="str">
        <f>SISWA!E41</f>
        <v>RAKHA</v>
      </c>
      <c r="E40" s="159">
        <v>94</v>
      </c>
      <c r="F40" s="160">
        <v>94</v>
      </c>
      <c r="G40" s="160">
        <v>94</v>
      </c>
      <c r="H40" s="160">
        <v>94</v>
      </c>
      <c r="I40" s="160">
        <v>94</v>
      </c>
      <c r="J40" s="160">
        <v>94</v>
      </c>
      <c r="K40" s="160"/>
      <c r="L40" s="160"/>
      <c r="M40" s="160"/>
      <c r="N40" s="159"/>
      <c r="O40" s="159"/>
      <c r="P40" s="159"/>
      <c r="Q40" s="159"/>
      <c r="R40" s="160"/>
      <c r="S40" s="160">
        <v>94</v>
      </c>
      <c r="T40" s="159"/>
      <c r="U40" s="354">
        <f t="shared" si="4"/>
        <v>94</v>
      </c>
      <c r="V40" s="355" t="str">
        <f>IF(U40&gt;KKM!$G$10,"A",IF(U40&gt;KKM!$H$10,"B",IF(U40&gt;=KKM!$I$10,"C","D")))</f>
        <v>A</v>
      </c>
      <c r="W40" s="356">
        <f t="shared" si="0"/>
        <v>94</v>
      </c>
      <c r="X40" s="361" t="str">
        <f>IF(W40&gt;KKM!$G$10," sangat baik ",IF(W40&gt;KKM!$H$10," baik ",IF(W40&gt;=KKM!$I$10," cukup baik "," perlu bimbingan ")))</f>
        <v xml:space="preserve"> sangat baik </v>
      </c>
      <c r="Y40" s="357">
        <f t="shared" si="1"/>
        <v>94</v>
      </c>
      <c r="Z40" s="361" t="str">
        <f>IF(Y40&gt;KKM!$G$10," sangat baik ",IF(Y40&gt;KKM!$H$10," baik ",IF(Y40&gt;=KKM!$I$10," cukup baik "," perlu bimbingan ")))</f>
        <v xml:space="preserve"> sangat baik </v>
      </c>
      <c r="AA40" s="353" t="str">
        <f t="shared" si="5"/>
        <v>RAKHA sangat baik  dalam memahami langkah-langkah pengawasan kelestarian lingkungan hidup</v>
      </c>
      <c r="AB40" s="256"/>
      <c r="AC40" s="257" t="str">
        <f t="shared" si="2"/>
        <v xml:space="preserve"> sangat baik  dalam memahami langkah-langkah pengawasan kelestarian lingkungan hidup</v>
      </c>
      <c r="AD40" s="257" t="str">
        <f t="shared" si="3"/>
        <v xml:space="preserve"> sangat baik  dalam memahami langkah-langkah pengawasan kelestarian lingkungan hidup</v>
      </c>
      <c r="AE40" s="257" t="str">
        <f t="shared" si="6"/>
        <v xml:space="preserve"> sangat baik  dalam memahami langkah-langkah pengawasan kelestarian lingkungan hidup, dan  sangat baik  dalam memahami langkah-langkah pengawasan kelestarian lingkungan hidup</v>
      </c>
      <c r="AF40" s="257" t="str">
        <f t="shared" si="7"/>
        <v xml:space="preserve"> sangat baik  dalam memahami langkah-langkah pengawasan kelestarian lingkungan hidup</v>
      </c>
      <c r="AG40" s="258" t="str">
        <f t="shared" si="8"/>
        <v xml:space="preserve"> sangat baik  dalam memahami langkah-langkah pengawasan kelestarian lingkungan hidup</v>
      </c>
      <c r="AH40" s="252" t="str">
        <f t="shared" si="9"/>
        <v>RAKHA sangat baik  dalam memahami langkah-langkah pengawasan kelestarian lingkungan hidup</v>
      </c>
      <c r="AI40" s="153"/>
    </row>
    <row r="41" spans="2:35" ht="63" customHeight="1">
      <c r="B41" s="142">
        <v>37</v>
      </c>
      <c r="C41" s="143" t="str">
        <f>SISWA!B42</f>
        <v>1718250040341</v>
      </c>
      <c r="D41" s="144" t="str">
        <f>SISWA!E42</f>
        <v>RYU</v>
      </c>
      <c r="E41" s="159">
        <v>85</v>
      </c>
      <c r="F41" s="160">
        <v>85</v>
      </c>
      <c r="G41" s="160">
        <v>85</v>
      </c>
      <c r="H41" s="160">
        <v>85</v>
      </c>
      <c r="I41" s="160">
        <v>85</v>
      </c>
      <c r="J41" s="160">
        <v>85</v>
      </c>
      <c r="K41" s="160"/>
      <c r="L41" s="160"/>
      <c r="M41" s="160"/>
      <c r="N41" s="159"/>
      <c r="O41" s="159"/>
      <c r="P41" s="159"/>
      <c r="Q41" s="159"/>
      <c r="R41" s="160"/>
      <c r="S41" s="160">
        <v>85</v>
      </c>
      <c r="T41" s="159"/>
      <c r="U41" s="354">
        <f t="shared" si="4"/>
        <v>85</v>
      </c>
      <c r="V41" s="355" t="str">
        <f>IF(U41&gt;KKM!$G$10,"A",IF(U41&gt;KKM!$H$10,"B",IF(U41&gt;=KKM!$I$10,"C","D")))</f>
        <v>B</v>
      </c>
      <c r="W41" s="356">
        <f t="shared" si="0"/>
        <v>85</v>
      </c>
      <c r="X41" s="361" t="str">
        <f>IF(W41&gt;KKM!$G$10," sangat baik ",IF(W41&gt;KKM!$H$10," baik ",IF(W41&gt;=KKM!$I$10," cukup baik "," perlu bimbingan ")))</f>
        <v xml:space="preserve"> baik </v>
      </c>
      <c r="Y41" s="357">
        <f t="shared" si="1"/>
        <v>85</v>
      </c>
      <c r="Z41" s="361" t="str">
        <f>IF(Y41&gt;KKM!$G$10," sangat baik ",IF(Y41&gt;KKM!$H$10," baik ",IF(Y41&gt;=KKM!$I$10," cukup baik "," perlu bimbingan ")))</f>
        <v xml:space="preserve"> baik </v>
      </c>
      <c r="AA41" s="353" t="str">
        <f t="shared" si="5"/>
        <v>RYU baik  dalam memahami langkah-langkah pengawasan kelestarian lingkungan hidup</v>
      </c>
      <c r="AB41" s="256"/>
      <c r="AC41" s="257" t="str">
        <f t="shared" si="2"/>
        <v xml:space="preserve"> baik  dalam memahami langkah-langkah pengawasan kelestarian lingkungan hidup</v>
      </c>
      <c r="AD41" s="257" t="str">
        <f t="shared" si="3"/>
        <v xml:space="preserve"> baik  dalam memahami langkah-langkah pengawasan kelestarian lingkungan hidup</v>
      </c>
      <c r="AE41" s="257" t="str">
        <f t="shared" si="6"/>
        <v xml:space="preserve"> baik  dalam memahami langkah-langkah pengawasan kelestarian lingkungan hidup, dan  baik  dalam memahami langkah-langkah pengawasan kelestarian lingkungan hidup</v>
      </c>
      <c r="AF41" s="257" t="str">
        <f t="shared" si="7"/>
        <v xml:space="preserve"> baik  dalam memahami langkah-langkah pengawasan kelestarian lingkungan hidup</v>
      </c>
      <c r="AG41" s="258" t="str">
        <f t="shared" si="8"/>
        <v xml:space="preserve"> baik  dalam memahami langkah-langkah pengawasan kelestarian lingkungan hidup</v>
      </c>
      <c r="AH41" s="252" t="str">
        <f t="shared" si="9"/>
        <v>RYU baik  dalam memahami langkah-langkah pengawasan kelestarian lingkungan hidup</v>
      </c>
      <c r="AI41" s="153"/>
    </row>
    <row r="42" spans="2:35" ht="63" customHeight="1">
      <c r="B42" s="142">
        <v>38</v>
      </c>
      <c r="C42" s="143" t="str">
        <f>SISWA!B43</f>
        <v>1718250040342</v>
      </c>
      <c r="D42" s="144" t="str">
        <f>SISWA!E43</f>
        <v>SAEPUL</v>
      </c>
      <c r="E42" s="159">
        <v>91</v>
      </c>
      <c r="F42" s="160">
        <v>91</v>
      </c>
      <c r="G42" s="160">
        <v>91</v>
      </c>
      <c r="H42" s="160">
        <v>91</v>
      </c>
      <c r="I42" s="160">
        <v>91</v>
      </c>
      <c r="J42" s="160">
        <v>91</v>
      </c>
      <c r="K42" s="160"/>
      <c r="L42" s="160"/>
      <c r="M42" s="160"/>
      <c r="N42" s="159"/>
      <c r="O42" s="159"/>
      <c r="P42" s="159"/>
      <c r="Q42" s="159"/>
      <c r="R42" s="160"/>
      <c r="S42" s="160">
        <v>91</v>
      </c>
      <c r="T42" s="159"/>
      <c r="U42" s="354">
        <f t="shared" si="4"/>
        <v>91</v>
      </c>
      <c r="V42" s="355" t="str">
        <f>IF(U42&gt;KKM!$G$10,"A",IF(U42&gt;KKM!$H$10,"B",IF(U42&gt;=KKM!$I$10,"C","D")))</f>
        <v>A</v>
      </c>
      <c r="W42" s="356">
        <f t="shared" si="0"/>
        <v>91</v>
      </c>
      <c r="X42" s="361" t="str">
        <f>IF(W42&gt;KKM!$G$10," sangat baik ",IF(W42&gt;KKM!$H$10," baik ",IF(W42&gt;=KKM!$I$10," cukup baik "," perlu bimbingan ")))</f>
        <v xml:space="preserve"> sangat baik </v>
      </c>
      <c r="Y42" s="357">
        <f t="shared" si="1"/>
        <v>91</v>
      </c>
      <c r="Z42" s="361" t="str">
        <f>IF(Y42&gt;KKM!$G$10," sangat baik ",IF(Y42&gt;KKM!$H$10," baik ",IF(Y42&gt;=KKM!$I$10," cukup baik "," perlu bimbingan ")))</f>
        <v xml:space="preserve"> sangat baik </v>
      </c>
      <c r="AA42" s="353" t="str">
        <f t="shared" si="5"/>
        <v>SAEPUL sangat baik  dalam memahami langkah-langkah pengawasan kelestarian lingkungan hidup</v>
      </c>
      <c r="AB42" s="256"/>
      <c r="AC42" s="257" t="str">
        <f t="shared" si="2"/>
        <v xml:space="preserve"> sangat baik  dalam memahami langkah-langkah pengawasan kelestarian lingkungan hidup</v>
      </c>
      <c r="AD42" s="257" t="str">
        <f t="shared" si="3"/>
        <v xml:space="preserve"> sangat baik  dalam memahami langkah-langkah pengawasan kelestarian lingkungan hidup</v>
      </c>
      <c r="AE42" s="257" t="str">
        <f t="shared" si="6"/>
        <v xml:space="preserve"> sangat baik  dalam memahami langkah-langkah pengawasan kelestarian lingkungan hidup, dan  sangat baik  dalam memahami langkah-langkah pengawasan kelestarian lingkungan hidup</v>
      </c>
      <c r="AF42" s="257" t="str">
        <f t="shared" si="7"/>
        <v xml:space="preserve"> sangat baik  dalam memahami langkah-langkah pengawasan kelestarian lingkungan hidup</v>
      </c>
      <c r="AG42" s="258" t="str">
        <f t="shared" si="8"/>
        <v xml:space="preserve"> sangat baik  dalam memahami langkah-langkah pengawasan kelestarian lingkungan hidup</v>
      </c>
      <c r="AH42" s="252" t="str">
        <f t="shared" si="9"/>
        <v>SAEPUL sangat baik  dalam memahami langkah-langkah pengawasan kelestarian lingkungan hidup</v>
      </c>
      <c r="AI42" s="153"/>
    </row>
    <row r="43" spans="2:35" ht="63" customHeight="1">
      <c r="B43" s="142">
        <v>39</v>
      </c>
      <c r="C43" s="143" t="str">
        <f>SISWA!B44</f>
        <v>1718250040343</v>
      </c>
      <c r="D43" s="144" t="str">
        <f>SISWA!E44</f>
        <v>SALMA</v>
      </c>
      <c r="E43" s="159">
        <v>91</v>
      </c>
      <c r="F43" s="160">
        <v>91</v>
      </c>
      <c r="G43" s="160">
        <v>91</v>
      </c>
      <c r="H43" s="160">
        <v>91</v>
      </c>
      <c r="I43" s="160">
        <v>91</v>
      </c>
      <c r="J43" s="160">
        <v>91</v>
      </c>
      <c r="K43" s="160"/>
      <c r="L43" s="160"/>
      <c r="M43" s="160"/>
      <c r="N43" s="159"/>
      <c r="O43" s="159"/>
      <c r="P43" s="159"/>
      <c r="Q43" s="159"/>
      <c r="R43" s="160"/>
      <c r="S43" s="160">
        <v>91</v>
      </c>
      <c r="T43" s="159"/>
      <c r="U43" s="354">
        <f t="shared" si="4"/>
        <v>91</v>
      </c>
      <c r="V43" s="355" t="str">
        <f>IF(U43&gt;KKM!$G$10,"A",IF(U43&gt;KKM!$H$10,"B",IF(U43&gt;=KKM!$I$10,"C","D")))</f>
        <v>A</v>
      </c>
      <c r="W43" s="356">
        <f t="shared" si="0"/>
        <v>91</v>
      </c>
      <c r="X43" s="361" t="str">
        <f>IF(W43&gt;KKM!$G$10," sangat baik ",IF(W43&gt;KKM!$H$10," baik ",IF(W43&gt;=KKM!$I$10," cukup baik "," perlu bimbingan ")))</f>
        <v xml:space="preserve"> sangat baik </v>
      </c>
      <c r="Y43" s="357">
        <f t="shared" si="1"/>
        <v>91</v>
      </c>
      <c r="Z43" s="361" t="str">
        <f>IF(Y43&gt;KKM!$G$10," sangat baik ",IF(Y43&gt;KKM!$H$10," baik ",IF(Y43&gt;=KKM!$I$10," cukup baik "," perlu bimbingan ")))</f>
        <v xml:space="preserve"> sangat baik </v>
      </c>
      <c r="AA43" s="353" t="str">
        <f t="shared" si="5"/>
        <v>SALMA sangat baik  dalam memahami langkah-langkah pengawasan kelestarian lingkungan hidup</v>
      </c>
      <c r="AB43" s="256"/>
      <c r="AC43" s="257" t="str">
        <f t="shared" si="2"/>
        <v xml:space="preserve"> sangat baik  dalam memahami langkah-langkah pengawasan kelestarian lingkungan hidup</v>
      </c>
      <c r="AD43" s="257" t="str">
        <f t="shared" si="3"/>
        <v xml:space="preserve"> sangat baik  dalam memahami langkah-langkah pengawasan kelestarian lingkungan hidup</v>
      </c>
      <c r="AE43" s="257" t="str">
        <f t="shared" si="6"/>
        <v xml:space="preserve"> sangat baik  dalam memahami langkah-langkah pengawasan kelestarian lingkungan hidup, dan  sangat baik  dalam memahami langkah-langkah pengawasan kelestarian lingkungan hidup</v>
      </c>
      <c r="AF43" s="257" t="str">
        <f t="shared" si="7"/>
        <v xml:space="preserve"> sangat baik  dalam memahami langkah-langkah pengawasan kelestarian lingkungan hidup</v>
      </c>
      <c r="AG43" s="258" t="str">
        <f t="shared" si="8"/>
        <v xml:space="preserve"> sangat baik  dalam memahami langkah-langkah pengawasan kelestarian lingkungan hidup</v>
      </c>
      <c r="AH43" s="252" t="str">
        <f t="shared" si="9"/>
        <v>SALMA sangat baik  dalam memahami langkah-langkah pengawasan kelestarian lingkungan hidup</v>
      </c>
      <c r="AI43" s="153"/>
    </row>
    <row r="44" spans="2:35" ht="63" customHeight="1">
      <c r="B44" s="142">
        <v>40</v>
      </c>
      <c r="C44" s="143" t="str">
        <f>SISWA!B45</f>
        <v>1718250040344</v>
      </c>
      <c r="D44" s="144" t="str">
        <f>SISWA!E45</f>
        <v>SYAKILA</v>
      </c>
      <c r="E44" s="159">
        <v>97</v>
      </c>
      <c r="F44" s="160">
        <v>97</v>
      </c>
      <c r="G44" s="160">
        <v>97</v>
      </c>
      <c r="H44" s="160">
        <v>97</v>
      </c>
      <c r="I44" s="160">
        <v>97</v>
      </c>
      <c r="J44" s="160">
        <v>97</v>
      </c>
      <c r="K44" s="160"/>
      <c r="L44" s="160"/>
      <c r="M44" s="160"/>
      <c r="N44" s="159"/>
      <c r="O44" s="159"/>
      <c r="P44" s="159"/>
      <c r="Q44" s="159"/>
      <c r="R44" s="160"/>
      <c r="S44" s="160">
        <v>97</v>
      </c>
      <c r="T44" s="159"/>
      <c r="U44" s="354">
        <f t="shared" si="4"/>
        <v>97</v>
      </c>
      <c r="V44" s="355" t="str">
        <f>IF(U44&gt;KKM!$G$10,"A",IF(U44&gt;KKM!$H$10,"B",IF(U44&gt;=KKM!$I$10,"C","D")))</f>
        <v>A</v>
      </c>
      <c r="W44" s="356">
        <f t="shared" si="0"/>
        <v>97</v>
      </c>
      <c r="X44" s="361" t="str">
        <f>IF(W44&gt;KKM!$G$10," sangat baik ",IF(W44&gt;KKM!$H$10," baik ",IF(W44&gt;=KKM!$I$10," cukup baik "," perlu bimbingan ")))</f>
        <v xml:space="preserve"> sangat baik </v>
      </c>
      <c r="Y44" s="357">
        <f t="shared" si="1"/>
        <v>97</v>
      </c>
      <c r="Z44" s="361" t="str">
        <f>IF(Y44&gt;KKM!$G$10," sangat baik ",IF(Y44&gt;KKM!$H$10," baik ",IF(Y44&gt;=KKM!$I$10," cukup baik "," perlu bimbingan ")))</f>
        <v xml:space="preserve"> sangat baik </v>
      </c>
      <c r="AA44" s="353" t="str">
        <f t="shared" si="5"/>
        <v>SYAKILA sangat baik  dalam memahami langkah-langkah pengawasan kelestarian lingkungan hidup</v>
      </c>
      <c r="AB44" s="256"/>
      <c r="AC44" s="257" t="str">
        <f t="shared" si="2"/>
        <v xml:space="preserve"> sangat baik  dalam memahami langkah-langkah pengawasan kelestarian lingkungan hidup</v>
      </c>
      <c r="AD44" s="257" t="str">
        <f t="shared" si="3"/>
        <v xml:space="preserve"> sangat baik  dalam memahami langkah-langkah pengawasan kelestarian lingkungan hidup</v>
      </c>
      <c r="AE44" s="257" t="str">
        <f t="shared" si="6"/>
        <v xml:space="preserve"> sangat baik  dalam memahami langkah-langkah pengawasan kelestarian lingkungan hidup, dan  sangat baik  dalam memahami langkah-langkah pengawasan kelestarian lingkungan hidup</v>
      </c>
      <c r="AF44" s="257" t="str">
        <f t="shared" si="7"/>
        <v xml:space="preserve"> sangat baik  dalam memahami langkah-langkah pengawasan kelestarian lingkungan hidup</v>
      </c>
      <c r="AG44" s="258" t="str">
        <f t="shared" si="8"/>
        <v xml:space="preserve"> sangat baik  dalam memahami langkah-langkah pengawasan kelestarian lingkungan hidup</v>
      </c>
      <c r="AH44" s="252" t="str">
        <f t="shared" si="9"/>
        <v>SYAKILA sangat baik  dalam memahami langkah-langkah pengawasan kelestarian lingkungan hidup</v>
      </c>
      <c r="AI44" s="153"/>
    </row>
    <row r="45" spans="2:35" ht="63" customHeight="1">
      <c r="B45" s="142">
        <v>41</v>
      </c>
      <c r="C45" s="143" t="str">
        <f>SISWA!B46</f>
        <v>1718250040345</v>
      </c>
      <c r="D45" s="144" t="str">
        <f>SISWA!E46</f>
        <v>SYIFA</v>
      </c>
      <c r="E45" s="159">
        <v>85</v>
      </c>
      <c r="F45" s="160">
        <v>85</v>
      </c>
      <c r="G45" s="160">
        <v>85</v>
      </c>
      <c r="H45" s="160">
        <v>85</v>
      </c>
      <c r="I45" s="160">
        <v>85</v>
      </c>
      <c r="J45" s="160">
        <v>85</v>
      </c>
      <c r="K45" s="160"/>
      <c r="L45" s="160"/>
      <c r="M45" s="160"/>
      <c r="N45" s="159"/>
      <c r="O45" s="159"/>
      <c r="P45" s="159"/>
      <c r="Q45" s="159"/>
      <c r="R45" s="160"/>
      <c r="S45" s="160">
        <v>85</v>
      </c>
      <c r="T45" s="159"/>
      <c r="U45" s="354">
        <f t="shared" si="4"/>
        <v>85</v>
      </c>
      <c r="V45" s="355" t="str">
        <f>IF(U45&gt;KKM!$G$10,"A",IF(U45&gt;KKM!$H$10,"B",IF(U45&gt;=KKM!$I$10,"C","D")))</f>
        <v>B</v>
      </c>
      <c r="W45" s="356">
        <f t="shared" si="0"/>
        <v>85</v>
      </c>
      <c r="X45" s="361" t="str">
        <f>IF(W45&gt;KKM!$G$10," sangat baik ",IF(W45&gt;KKM!$H$10," baik ",IF(W45&gt;=KKM!$I$10," cukup baik "," perlu bimbingan ")))</f>
        <v xml:space="preserve"> baik </v>
      </c>
      <c r="Y45" s="357">
        <f t="shared" si="1"/>
        <v>85</v>
      </c>
      <c r="Z45" s="361" t="str">
        <f>IF(Y45&gt;KKM!$G$10," sangat baik ",IF(Y45&gt;KKM!$H$10," baik ",IF(Y45&gt;=KKM!$I$10," cukup baik "," perlu bimbingan ")))</f>
        <v xml:space="preserve"> baik </v>
      </c>
      <c r="AA45" s="353" t="str">
        <f t="shared" si="5"/>
        <v>SYIFA baik  dalam memahami langkah-langkah pengawasan kelestarian lingkungan hidup</v>
      </c>
      <c r="AB45" s="256"/>
      <c r="AC45" s="257" t="str">
        <f t="shared" si="2"/>
        <v xml:space="preserve"> baik  dalam memahami langkah-langkah pengawasan kelestarian lingkungan hidup</v>
      </c>
      <c r="AD45" s="257" t="str">
        <f t="shared" si="3"/>
        <v xml:space="preserve"> baik  dalam memahami langkah-langkah pengawasan kelestarian lingkungan hidup</v>
      </c>
      <c r="AE45" s="257" t="str">
        <f t="shared" si="6"/>
        <v xml:space="preserve"> baik  dalam memahami langkah-langkah pengawasan kelestarian lingkungan hidup, dan  baik  dalam memahami langkah-langkah pengawasan kelestarian lingkungan hidup</v>
      </c>
      <c r="AF45" s="257" t="str">
        <f t="shared" si="7"/>
        <v xml:space="preserve"> baik  dalam memahami langkah-langkah pengawasan kelestarian lingkungan hidup</v>
      </c>
      <c r="AG45" s="258" t="str">
        <f t="shared" si="8"/>
        <v xml:space="preserve"> baik  dalam memahami langkah-langkah pengawasan kelestarian lingkungan hidup</v>
      </c>
      <c r="AH45" s="252" t="str">
        <f t="shared" si="9"/>
        <v>SYIFA baik  dalam memahami langkah-langkah pengawasan kelestarian lingkungan hidup</v>
      </c>
      <c r="AI45" s="153"/>
    </row>
    <row r="46" spans="2:35" ht="63" customHeight="1">
      <c r="B46" s="142">
        <v>42</v>
      </c>
      <c r="C46" s="143" t="str">
        <f>SISWA!B47</f>
        <v>1718250040346</v>
      </c>
      <c r="D46" s="144" t="str">
        <f>SISWA!E47</f>
        <v>WAFDAN</v>
      </c>
      <c r="E46" s="159">
        <v>100</v>
      </c>
      <c r="F46" s="160">
        <v>100</v>
      </c>
      <c r="G46" s="160">
        <v>100</v>
      </c>
      <c r="H46" s="160">
        <v>100</v>
      </c>
      <c r="I46" s="160">
        <v>100</v>
      </c>
      <c r="J46" s="160">
        <v>100</v>
      </c>
      <c r="K46" s="160"/>
      <c r="L46" s="160"/>
      <c r="M46" s="160"/>
      <c r="N46" s="159"/>
      <c r="O46" s="159"/>
      <c r="P46" s="159"/>
      <c r="Q46" s="159"/>
      <c r="R46" s="160"/>
      <c r="S46" s="160">
        <v>100</v>
      </c>
      <c r="T46" s="159"/>
      <c r="U46" s="354">
        <f t="shared" si="4"/>
        <v>100</v>
      </c>
      <c r="V46" s="355" t="str">
        <f>IF(U46&gt;KKM!$G$10,"A",IF(U46&gt;KKM!$H$10,"B",IF(U46&gt;=KKM!$I$10,"C","D")))</f>
        <v>A</v>
      </c>
      <c r="W46" s="356">
        <f t="shared" si="0"/>
        <v>100</v>
      </c>
      <c r="X46" s="361" t="str">
        <f>IF(W46&gt;KKM!$G$10," sangat baik ",IF(W46&gt;KKM!$H$10," baik ",IF(W46&gt;=KKM!$I$10," cukup baik "," perlu bimbingan ")))</f>
        <v xml:space="preserve"> sangat baik </v>
      </c>
      <c r="Y46" s="357">
        <f t="shared" si="1"/>
        <v>100</v>
      </c>
      <c r="Z46" s="361" t="str">
        <f>IF(Y46&gt;KKM!$G$10," sangat baik ",IF(Y46&gt;KKM!$H$10," baik ",IF(Y46&gt;=KKM!$I$10," cukup baik "," perlu bimbingan ")))</f>
        <v xml:space="preserve"> sangat baik </v>
      </c>
      <c r="AA46" s="353" t="str">
        <f t="shared" si="5"/>
        <v>WAFDAN sangat baik  dalam memahami langkah-langkah pengawasan kelestarian lingkungan hidup</v>
      </c>
      <c r="AB46" s="256"/>
      <c r="AC46" s="257" t="str">
        <f t="shared" si="2"/>
        <v xml:space="preserve"> sangat baik  dalam memahami langkah-langkah pengawasan kelestarian lingkungan hidup</v>
      </c>
      <c r="AD46" s="257" t="str">
        <f t="shared" si="3"/>
        <v xml:space="preserve"> sangat baik  dalam memahami langkah-langkah pengawasan kelestarian lingkungan hidup</v>
      </c>
      <c r="AE46" s="257" t="str">
        <f t="shared" si="6"/>
        <v xml:space="preserve"> sangat baik  dalam memahami langkah-langkah pengawasan kelestarian lingkungan hidup, dan  sangat baik  dalam memahami langkah-langkah pengawasan kelestarian lingkungan hidup</v>
      </c>
      <c r="AF46" s="257" t="str">
        <f t="shared" si="7"/>
        <v xml:space="preserve"> sangat baik  dalam memahami langkah-langkah pengawasan kelestarian lingkungan hidup</v>
      </c>
      <c r="AG46" s="258" t="str">
        <f t="shared" si="8"/>
        <v xml:space="preserve"> sangat baik  dalam memahami langkah-langkah pengawasan kelestarian lingkungan hidup</v>
      </c>
      <c r="AH46" s="252" t="str">
        <f t="shared" si="9"/>
        <v>WAFDAN sangat baik  dalam memahami langkah-langkah pengawasan kelestarian lingkungan hidup</v>
      </c>
      <c r="AI46" s="153"/>
    </row>
    <row r="47" spans="2:35" ht="63" customHeight="1">
      <c r="B47" s="142">
        <v>43</v>
      </c>
      <c r="C47" s="143" t="str">
        <f>SISWA!B48</f>
        <v>1718250040347</v>
      </c>
      <c r="D47" s="144" t="str">
        <f>SISWA!E48</f>
        <v>ZEVA</v>
      </c>
      <c r="E47" s="159">
        <v>94</v>
      </c>
      <c r="F47" s="160">
        <v>94</v>
      </c>
      <c r="G47" s="160">
        <v>94</v>
      </c>
      <c r="H47" s="160">
        <v>94</v>
      </c>
      <c r="I47" s="160">
        <v>94</v>
      </c>
      <c r="J47" s="160">
        <v>94</v>
      </c>
      <c r="K47" s="160"/>
      <c r="L47" s="160"/>
      <c r="M47" s="160"/>
      <c r="N47" s="159"/>
      <c r="O47" s="159"/>
      <c r="P47" s="159"/>
      <c r="Q47" s="159"/>
      <c r="R47" s="160"/>
      <c r="S47" s="160">
        <v>94</v>
      </c>
      <c r="T47" s="159"/>
      <c r="U47" s="354">
        <f t="shared" si="4"/>
        <v>94</v>
      </c>
      <c r="V47" s="355" t="str">
        <f>IF(U47&gt;KKM!$G$10,"A",IF(U47&gt;KKM!$H$10,"B",IF(U47&gt;=KKM!$I$10,"C","D")))</f>
        <v>A</v>
      </c>
      <c r="W47" s="356">
        <f t="shared" si="0"/>
        <v>94</v>
      </c>
      <c r="X47" s="361" t="str">
        <f>IF(W47&gt;KKM!$G$10," sangat baik ",IF(W47&gt;KKM!$H$10," baik ",IF(W47&gt;=KKM!$I$10," cukup baik "," perlu bimbingan ")))</f>
        <v xml:space="preserve"> sangat baik </v>
      </c>
      <c r="Y47" s="357">
        <f t="shared" si="1"/>
        <v>94</v>
      </c>
      <c r="Z47" s="361" t="str">
        <f>IF(Y47&gt;KKM!$G$10," sangat baik ",IF(Y47&gt;KKM!$H$10," baik ",IF(Y47&gt;=KKM!$I$10," cukup baik "," perlu bimbingan ")))</f>
        <v xml:space="preserve"> sangat baik </v>
      </c>
      <c r="AA47" s="353" t="str">
        <f t="shared" si="5"/>
        <v>ZEVA sangat baik  dalam memahami langkah-langkah pengawasan kelestarian lingkungan hidup</v>
      </c>
      <c r="AB47" s="256"/>
      <c r="AC47" s="257" t="str">
        <f t="shared" si="2"/>
        <v xml:space="preserve"> sangat baik  dalam memahami langkah-langkah pengawasan kelestarian lingkungan hidup</v>
      </c>
      <c r="AD47" s="257" t="str">
        <f t="shared" si="3"/>
        <v xml:space="preserve"> sangat baik  dalam memahami langkah-langkah pengawasan kelestarian lingkungan hidup</v>
      </c>
      <c r="AE47" s="257" t="str">
        <f t="shared" si="6"/>
        <v xml:space="preserve"> sangat baik  dalam memahami langkah-langkah pengawasan kelestarian lingkungan hidup, dan  sangat baik  dalam memahami langkah-langkah pengawasan kelestarian lingkungan hidup</v>
      </c>
      <c r="AF47" s="257" t="str">
        <f t="shared" si="7"/>
        <v xml:space="preserve"> sangat baik  dalam memahami langkah-langkah pengawasan kelestarian lingkungan hidup</v>
      </c>
      <c r="AG47" s="258" t="str">
        <f t="shared" si="8"/>
        <v xml:space="preserve"> sangat baik  dalam memahami langkah-langkah pengawasan kelestarian lingkungan hidup</v>
      </c>
      <c r="AH47" s="252" t="str">
        <f t="shared" si="9"/>
        <v>ZEVA sangat baik  dalam memahami langkah-langkah pengawasan kelestarian lingkungan hidup</v>
      </c>
      <c r="AI47" s="153"/>
    </row>
    <row r="48" spans="2:35" ht="63" customHeight="1">
      <c r="B48" s="142">
        <v>44</v>
      </c>
      <c r="C48" s="143">
        <f>SISWA!B49</f>
        <v>0</v>
      </c>
      <c r="D48" s="144">
        <f>SISWA!E49</f>
        <v>0</v>
      </c>
      <c r="E48" s="159"/>
      <c r="F48" s="160"/>
      <c r="G48" s="160"/>
      <c r="H48" s="160"/>
      <c r="I48" s="160"/>
      <c r="J48" s="160"/>
      <c r="K48" s="160"/>
      <c r="L48" s="160"/>
      <c r="M48" s="160"/>
      <c r="N48" s="159"/>
      <c r="O48" s="159"/>
      <c r="P48" s="159"/>
      <c r="Q48" s="159"/>
      <c r="R48" s="160"/>
      <c r="S48" s="160"/>
      <c r="T48" s="159"/>
      <c r="U48" s="354" t="e">
        <f t="shared" si="4"/>
        <v>#DIV/0!</v>
      </c>
      <c r="V48" s="355" t="e">
        <f>IF(U48&gt;KKM!$G$10,"A",IF(U48&gt;KKM!$H$10,"B",IF(U48&gt;=KKM!$I$10,"C","D")))</f>
        <v>#DIV/0!</v>
      </c>
      <c r="W48" s="356">
        <f t="shared" si="0"/>
        <v>0</v>
      </c>
      <c r="X48" s="361" t="str">
        <f>IF(W48&gt;KKM!$G$10," sangat baik ",IF(W48&gt;KKM!$H$10," baik ",IF(W48&gt;=KKM!$I$10," cukup baik "," perlu bimbingan ")))</f>
        <v xml:space="preserve"> perlu bimbingan </v>
      </c>
      <c r="Y48" s="357">
        <f t="shared" si="1"/>
        <v>0</v>
      </c>
      <c r="Z48" s="361" t="str">
        <f>IF(Y48&gt;KKM!$G$10," sangat baik ",IF(Y48&gt;KKM!$H$10," baik ",IF(Y48&gt;=KKM!$I$10," cukup baik "," perlu bimbingan ")))</f>
        <v xml:space="preserve"> perlu bimbingan </v>
      </c>
      <c r="AA48" s="353" t="str">
        <f t="shared" si="5"/>
        <v xml:space="preserve"> </v>
      </c>
      <c r="AB48" s="256"/>
      <c r="AC48" s="257" t="e">
        <f t="shared" si="2"/>
        <v>#N/A</v>
      </c>
      <c r="AD48" s="257" t="e">
        <f t="shared" si="3"/>
        <v>#N/A</v>
      </c>
      <c r="AE48" s="257" t="e">
        <f t="shared" si="6"/>
        <v>#N/A</v>
      </c>
      <c r="AF48" s="257" t="e">
        <f t="shared" si="7"/>
        <v>#N/A</v>
      </c>
      <c r="AG48" s="258" t="e">
        <f t="shared" si="8"/>
        <v>#N/A</v>
      </c>
      <c r="AH48" s="252" t="e">
        <f t="shared" si="9"/>
        <v>#N/A</v>
      </c>
      <c r="AI48" s="153"/>
    </row>
    <row r="49" spans="2:35" ht="63" customHeight="1">
      <c r="B49" s="142">
        <v>45</v>
      </c>
      <c r="C49" s="143">
        <f>SISWA!B50</f>
        <v>0</v>
      </c>
      <c r="D49" s="144">
        <f>SISWA!E50</f>
        <v>0</v>
      </c>
      <c r="E49" s="159"/>
      <c r="F49" s="160"/>
      <c r="G49" s="160"/>
      <c r="H49" s="160"/>
      <c r="I49" s="160"/>
      <c r="J49" s="160"/>
      <c r="K49" s="160"/>
      <c r="L49" s="160"/>
      <c r="M49" s="160"/>
      <c r="N49" s="159"/>
      <c r="O49" s="159"/>
      <c r="P49" s="159"/>
      <c r="Q49" s="159"/>
      <c r="R49" s="160"/>
      <c r="S49" s="160"/>
      <c r="T49" s="159"/>
      <c r="U49" s="354" t="e">
        <f t="shared" si="4"/>
        <v>#DIV/0!</v>
      </c>
      <c r="V49" s="355" t="e">
        <f>IF(U49&gt;KKM!$G$10,"A",IF(U49&gt;KKM!$H$10,"B",IF(U49&gt;=KKM!$I$10,"C","D")))</f>
        <v>#DIV/0!</v>
      </c>
      <c r="W49" s="356">
        <f t="shared" si="0"/>
        <v>0</v>
      </c>
      <c r="X49" s="361" t="str">
        <f>IF(W49&gt;KKM!$G$10," sangat baik ",IF(W49&gt;KKM!$H$10," baik ",IF(W49&gt;=KKM!$I$10," cukup baik "," perlu bimbingan ")))</f>
        <v xml:space="preserve"> perlu bimbingan </v>
      </c>
      <c r="Y49" s="357">
        <f t="shared" si="1"/>
        <v>0</v>
      </c>
      <c r="Z49" s="361" t="str">
        <f>IF(Y49&gt;KKM!$G$10," sangat baik ",IF(Y49&gt;KKM!$H$10," baik ",IF(Y49&gt;=KKM!$I$10," cukup baik "," perlu bimbingan ")))</f>
        <v xml:space="preserve"> perlu bimbingan </v>
      </c>
      <c r="AA49" s="353" t="str">
        <f t="shared" si="5"/>
        <v xml:space="preserve"> </v>
      </c>
      <c r="AB49" s="256"/>
      <c r="AC49" s="257" t="e">
        <f t="shared" si="2"/>
        <v>#N/A</v>
      </c>
      <c r="AD49" s="257" t="e">
        <f t="shared" si="3"/>
        <v>#N/A</v>
      </c>
      <c r="AE49" s="257" t="e">
        <f t="shared" si="6"/>
        <v>#N/A</v>
      </c>
      <c r="AF49" s="257" t="e">
        <f t="shared" si="7"/>
        <v>#N/A</v>
      </c>
      <c r="AG49" s="258" t="e">
        <f t="shared" si="8"/>
        <v>#N/A</v>
      </c>
      <c r="AH49" s="252" t="e">
        <f t="shared" si="9"/>
        <v>#N/A</v>
      </c>
      <c r="AI49" s="153"/>
    </row>
    <row r="50" spans="2:35" ht="63" customHeight="1">
      <c r="B50" s="142">
        <v>46</v>
      </c>
      <c r="C50" s="143">
        <f>SISWA!B51</f>
        <v>0</v>
      </c>
      <c r="D50" s="144">
        <f>SISWA!E51</f>
        <v>0</v>
      </c>
      <c r="E50" s="159"/>
      <c r="F50" s="160"/>
      <c r="G50" s="160"/>
      <c r="H50" s="160"/>
      <c r="I50" s="160"/>
      <c r="J50" s="160"/>
      <c r="K50" s="160"/>
      <c r="L50" s="160"/>
      <c r="M50" s="160"/>
      <c r="N50" s="159"/>
      <c r="O50" s="159"/>
      <c r="P50" s="159"/>
      <c r="Q50" s="159"/>
      <c r="R50" s="160"/>
      <c r="S50" s="160"/>
      <c r="T50" s="159"/>
      <c r="U50" s="354" t="e">
        <f t="shared" si="4"/>
        <v>#DIV/0!</v>
      </c>
      <c r="V50" s="355" t="e">
        <f>IF(U50&gt;KKM!$G$10,"A",IF(U50&gt;KKM!$H$10,"B",IF(U50&gt;=KKM!$I$10,"C","D")))</f>
        <v>#DIV/0!</v>
      </c>
      <c r="W50" s="356">
        <f t="shared" si="0"/>
        <v>0</v>
      </c>
      <c r="X50" s="361" t="str">
        <f>IF(W50&gt;KKM!$G$10," sangat baik ",IF(W50&gt;KKM!$H$10," baik ",IF(W50&gt;=KKM!$I$10," cukup baik "," perlu bimbingan ")))</f>
        <v xml:space="preserve"> perlu bimbingan </v>
      </c>
      <c r="Y50" s="357">
        <f t="shared" si="1"/>
        <v>0</v>
      </c>
      <c r="Z50" s="361" t="str">
        <f>IF(Y50&gt;KKM!$G$10," sangat baik ",IF(Y50&gt;KKM!$H$10," baik ",IF(Y50&gt;=KKM!$I$10," cukup baik "," perlu bimbingan ")))</f>
        <v xml:space="preserve"> perlu bimbingan </v>
      </c>
      <c r="AA50" s="353" t="str">
        <f t="shared" si="5"/>
        <v xml:space="preserve"> </v>
      </c>
      <c r="AB50" s="256"/>
      <c r="AC50" s="257" t="e">
        <f t="shared" si="2"/>
        <v>#N/A</v>
      </c>
      <c r="AD50" s="257" t="e">
        <f t="shared" si="3"/>
        <v>#N/A</v>
      </c>
      <c r="AE50" s="257" t="e">
        <f t="shared" si="6"/>
        <v>#N/A</v>
      </c>
      <c r="AF50" s="257" t="e">
        <f t="shared" si="7"/>
        <v>#N/A</v>
      </c>
      <c r="AG50" s="258" t="e">
        <f t="shared" si="8"/>
        <v>#N/A</v>
      </c>
      <c r="AH50" s="252" t="e">
        <f t="shared" si="9"/>
        <v>#N/A</v>
      </c>
      <c r="AI50" s="153"/>
    </row>
    <row r="51" spans="2:35" ht="63" customHeight="1">
      <c r="B51" s="142">
        <v>47</v>
      </c>
      <c r="C51" s="143">
        <f>SISWA!B52</f>
        <v>0</v>
      </c>
      <c r="D51" s="144">
        <f>SISWA!E52</f>
        <v>0</v>
      </c>
      <c r="E51" s="159"/>
      <c r="F51" s="160"/>
      <c r="G51" s="160"/>
      <c r="H51" s="160"/>
      <c r="I51" s="160"/>
      <c r="J51" s="160"/>
      <c r="K51" s="160"/>
      <c r="L51" s="160"/>
      <c r="M51" s="160"/>
      <c r="N51" s="159"/>
      <c r="O51" s="159"/>
      <c r="P51" s="159"/>
      <c r="Q51" s="159"/>
      <c r="R51" s="160"/>
      <c r="S51" s="160"/>
      <c r="T51" s="159"/>
      <c r="U51" s="354" t="e">
        <f t="shared" si="4"/>
        <v>#DIV/0!</v>
      </c>
      <c r="V51" s="355" t="e">
        <f>IF(U51&gt;KKM!$G$10,"A",IF(U51&gt;KKM!$H$10,"B",IF(U51&gt;=KKM!$I$10,"C","D")))</f>
        <v>#DIV/0!</v>
      </c>
      <c r="W51" s="356">
        <f t="shared" si="0"/>
        <v>0</v>
      </c>
      <c r="X51" s="361" t="str">
        <f>IF(W51&gt;KKM!$G$10," sangat baik ",IF(W51&gt;KKM!$H$10," baik ",IF(W51&gt;=KKM!$I$10," cukup baik "," perlu bimbingan ")))</f>
        <v xml:space="preserve"> perlu bimbingan </v>
      </c>
      <c r="Y51" s="357">
        <f t="shared" si="1"/>
        <v>0</v>
      </c>
      <c r="Z51" s="361" t="str">
        <f>IF(Y51&gt;KKM!$G$10," sangat baik ",IF(Y51&gt;KKM!$H$10," baik ",IF(Y51&gt;=KKM!$I$10," cukup baik "," perlu bimbingan ")))</f>
        <v xml:space="preserve"> perlu bimbingan </v>
      </c>
      <c r="AA51" s="353" t="str">
        <f t="shared" si="5"/>
        <v xml:space="preserve"> </v>
      </c>
      <c r="AB51" s="256"/>
      <c r="AC51" s="257" t="e">
        <f t="shared" si="2"/>
        <v>#N/A</v>
      </c>
      <c r="AD51" s="257" t="e">
        <f t="shared" si="3"/>
        <v>#N/A</v>
      </c>
      <c r="AE51" s="257" t="e">
        <f t="shared" si="6"/>
        <v>#N/A</v>
      </c>
      <c r="AF51" s="257" t="e">
        <f t="shared" si="7"/>
        <v>#N/A</v>
      </c>
      <c r="AG51" s="258" t="e">
        <f t="shared" si="8"/>
        <v>#N/A</v>
      </c>
      <c r="AH51" s="252" t="e">
        <f t="shared" si="9"/>
        <v>#N/A</v>
      </c>
      <c r="AI51" s="153"/>
    </row>
    <row r="52" spans="2:35" ht="63" customHeight="1">
      <c r="B52" s="142">
        <v>48</v>
      </c>
      <c r="C52" s="143">
        <f>SISWA!B53</f>
        <v>0</v>
      </c>
      <c r="D52" s="144">
        <f>SISWA!E53</f>
        <v>0</v>
      </c>
      <c r="E52" s="159"/>
      <c r="F52" s="160"/>
      <c r="G52" s="160"/>
      <c r="H52" s="160"/>
      <c r="I52" s="160"/>
      <c r="J52" s="160"/>
      <c r="K52" s="160"/>
      <c r="L52" s="160"/>
      <c r="M52" s="160"/>
      <c r="N52" s="159"/>
      <c r="O52" s="159"/>
      <c r="P52" s="159"/>
      <c r="Q52" s="159"/>
      <c r="R52" s="160"/>
      <c r="S52" s="160"/>
      <c r="T52" s="159"/>
      <c r="U52" s="354" t="e">
        <f t="shared" si="4"/>
        <v>#DIV/0!</v>
      </c>
      <c r="V52" s="355" t="e">
        <f>IF(U52&gt;KKM!$G$10,"A",IF(U52&gt;KKM!$H$10,"B",IF(U52&gt;=KKM!$I$10,"C","D")))</f>
        <v>#DIV/0!</v>
      </c>
      <c r="W52" s="356">
        <f t="shared" si="0"/>
        <v>0</v>
      </c>
      <c r="X52" s="361" t="str">
        <f>IF(W52&gt;KKM!$G$10," sangat baik ",IF(W52&gt;KKM!$H$10," baik ",IF(W52&gt;=KKM!$I$10," cukup baik "," perlu bimbingan ")))</f>
        <v xml:space="preserve"> perlu bimbingan </v>
      </c>
      <c r="Y52" s="357">
        <f t="shared" si="1"/>
        <v>0</v>
      </c>
      <c r="Z52" s="361" t="str">
        <f>IF(Y52&gt;KKM!$G$10," sangat baik ",IF(Y52&gt;KKM!$H$10," baik ",IF(Y52&gt;=KKM!$I$10," cukup baik "," perlu bimbingan ")))</f>
        <v xml:space="preserve"> perlu bimbingan </v>
      </c>
      <c r="AA52" s="353" t="str">
        <f t="shared" si="5"/>
        <v xml:space="preserve"> </v>
      </c>
      <c r="AB52" s="256"/>
      <c r="AC52" s="257" t="e">
        <f t="shared" si="2"/>
        <v>#N/A</v>
      </c>
      <c r="AD52" s="257" t="e">
        <f t="shared" si="3"/>
        <v>#N/A</v>
      </c>
      <c r="AE52" s="257" t="e">
        <f t="shared" si="6"/>
        <v>#N/A</v>
      </c>
      <c r="AF52" s="257" t="e">
        <f t="shared" si="7"/>
        <v>#N/A</v>
      </c>
      <c r="AG52" s="258" t="e">
        <f t="shared" si="8"/>
        <v>#N/A</v>
      </c>
      <c r="AH52" s="252" t="e">
        <f t="shared" si="9"/>
        <v>#N/A</v>
      </c>
      <c r="AI52" s="153"/>
    </row>
    <row r="53" spans="2:35" ht="63" customHeight="1">
      <c r="B53" s="142">
        <v>49</v>
      </c>
      <c r="C53" s="143">
        <f>SISWA!B54</f>
        <v>0</v>
      </c>
      <c r="D53" s="144">
        <f>SISWA!E54</f>
        <v>0</v>
      </c>
      <c r="E53" s="159"/>
      <c r="F53" s="160"/>
      <c r="G53" s="160"/>
      <c r="H53" s="160"/>
      <c r="I53" s="160"/>
      <c r="J53" s="160"/>
      <c r="K53" s="160"/>
      <c r="L53" s="160"/>
      <c r="M53" s="160"/>
      <c r="N53" s="159"/>
      <c r="O53" s="159"/>
      <c r="P53" s="159"/>
      <c r="Q53" s="159"/>
      <c r="R53" s="160"/>
      <c r="S53" s="160"/>
      <c r="T53" s="159"/>
      <c r="U53" s="354" t="e">
        <f t="shared" si="4"/>
        <v>#DIV/0!</v>
      </c>
      <c r="V53" s="355" t="e">
        <f>IF(U53&gt;KKM!$G$10,"A",IF(U53&gt;KKM!$H$10,"B",IF(U53&gt;=KKM!$I$10,"C","D")))</f>
        <v>#DIV/0!</v>
      </c>
      <c r="W53" s="356">
        <f t="shared" si="0"/>
        <v>0</v>
      </c>
      <c r="X53" s="361" t="str">
        <f>IF(W53&gt;KKM!$G$10," sangat baik ",IF(W53&gt;KKM!$H$10," baik ",IF(W53&gt;=KKM!$I$10," cukup baik "," perlu bimbingan ")))</f>
        <v xml:space="preserve"> perlu bimbingan </v>
      </c>
      <c r="Y53" s="357">
        <f t="shared" si="1"/>
        <v>0</v>
      </c>
      <c r="Z53" s="361" t="str">
        <f>IF(Y53&gt;KKM!$G$10," sangat baik ",IF(Y53&gt;KKM!$H$10," baik ",IF(Y53&gt;=KKM!$I$10," cukup baik "," perlu bimbingan ")))</f>
        <v xml:space="preserve"> perlu bimbingan </v>
      </c>
      <c r="AA53" s="353" t="str">
        <f t="shared" si="5"/>
        <v xml:space="preserve"> </v>
      </c>
      <c r="AB53" s="256"/>
      <c r="AC53" s="257" t="e">
        <f t="shared" si="2"/>
        <v>#N/A</v>
      </c>
      <c r="AD53" s="257" t="e">
        <f t="shared" si="3"/>
        <v>#N/A</v>
      </c>
      <c r="AE53" s="257" t="e">
        <f t="shared" si="6"/>
        <v>#N/A</v>
      </c>
      <c r="AF53" s="257" t="e">
        <f t="shared" si="7"/>
        <v>#N/A</v>
      </c>
      <c r="AG53" s="258" t="e">
        <f t="shared" si="8"/>
        <v>#N/A</v>
      </c>
      <c r="AH53" s="252" t="e">
        <f t="shared" si="9"/>
        <v>#N/A</v>
      </c>
      <c r="AI53" s="153"/>
    </row>
    <row r="54" spans="2:35" ht="63" customHeight="1">
      <c r="B54" s="142">
        <v>50</v>
      </c>
      <c r="C54" s="143">
        <f>SISWA!B55</f>
        <v>0</v>
      </c>
      <c r="D54" s="144">
        <f>SISWA!E55</f>
        <v>0</v>
      </c>
      <c r="E54" s="159"/>
      <c r="F54" s="160"/>
      <c r="G54" s="160"/>
      <c r="H54" s="160"/>
      <c r="I54" s="160"/>
      <c r="J54" s="160"/>
      <c r="K54" s="160"/>
      <c r="L54" s="160"/>
      <c r="M54" s="160"/>
      <c r="N54" s="159"/>
      <c r="O54" s="159"/>
      <c r="P54" s="159"/>
      <c r="Q54" s="159"/>
      <c r="R54" s="160"/>
      <c r="S54" s="160"/>
      <c r="T54" s="159"/>
      <c r="U54" s="354" t="e">
        <f t="shared" si="4"/>
        <v>#DIV/0!</v>
      </c>
      <c r="V54" s="355" t="e">
        <f>IF(U54&gt;KKM!$G$10,"A",IF(U54&gt;KKM!$H$10,"B",IF(U54&gt;=KKM!$I$10,"C","D")))</f>
        <v>#DIV/0!</v>
      </c>
      <c r="W54" s="356">
        <f t="shared" si="0"/>
        <v>0</v>
      </c>
      <c r="X54" s="361" t="str">
        <f>IF(W54&gt;KKM!$G$10," sangat baik ",IF(W54&gt;KKM!$H$10," baik ",IF(W54&gt;=KKM!$I$10," cukup baik "," perlu bimbingan ")))</f>
        <v xml:space="preserve"> perlu bimbingan </v>
      </c>
      <c r="Y54" s="357">
        <f t="shared" si="1"/>
        <v>0</v>
      </c>
      <c r="Z54" s="361" t="str">
        <f>IF(Y54&gt;KKM!$G$10," sangat baik ",IF(Y54&gt;KKM!$H$10," baik ",IF(Y54&gt;=KKM!$I$10," cukup baik "," perlu bimbingan ")))</f>
        <v xml:space="preserve"> perlu bimbingan </v>
      </c>
      <c r="AA54" s="353" t="str">
        <f t="shared" si="5"/>
        <v xml:space="preserve"> </v>
      </c>
      <c r="AB54" s="256"/>
      <c r="AC54" s="257" t="e">
        <f t="shared" si="2"/>
        <v>#N/A</v>
      </c>
      <c r="AD54" s="257" t="e">
        <f t="shared" si="3"/>
        <v>#N/A</v>
      </c>
      <c r="AE54" s="257" t="e">
        <f t="shared" si="6"/>
        <v>#N/A</v>
      </c>
      <c r="AF54" s="257" t="e">
        <f t="shared" si="7"/>
        <v>#N/A</v>
      </c>
      <c r="AG54" s="258" t="e">
        <f t="shared" si="8"/>
        <v>#N/A</v>
      </c>
      <c r="AH54" s="252" t="e">
        <f t="shared" si="9"/>
        <v>#N/A</v>
      </c>
      <c r="AI54" s="153"/>
    </row>
    <row r="55" spans="2:35" ht="63" customHeight="1">
      <c r="B55" s="154"/>
      <c r="C55" s="154"/>
      <c r="D55" s="154"/>
      <c r="E55" s="159"/>
      <c r="F55" s="160"/>
      <c r="G55" s="160"/>
      <c r="H55" s="160"/>
      <c r="I55" s="160"/>
      <c r="J55" s="160"/>
      <c r="K55" s="160"/>
      <c r="L55" s="160"/>
      <c r="M55" s="160"/>
      <c r="N55" s="159"/>
      <c r="O55" s="159"/>
      <c r="P55" s="159"/>
      <c r="Q55" s="159"/>
      <c r="R55" s="160"/>
      <c r="S55" s="160"/>
      <c r="T55" s="159"/>
      <c r="U55" s="147"/>
      <c r="V55" s="148"/>
      <c r="W55" s="149"/>
      <c r="X55" s="149"/>
      <c r="Y55" s="149"/>
      <c r="Z55" s="149"/>
      <c r="AA55" s="150"/>
      <c r="AB55" s="151"/>
      <c r="AC55" s="152"/>
      <c r="AD55" s="155"/>
      <c r="AE55" s="155"/>
      <c r="AF55" s="155"/>
      <c r="AG55" s="155"/>
      <c r="AH55" s="155"/>
      <c r="AI55" s="153"/>
    </row>
  </sheetData>
  <mergeCells count="10">
    <mergeCell ref="V2:V4"/>
    <mergeCell ref="W2:Z2"/>
    <mergeCell ref="AA2:AA4"/>
    <mergeCell ref="W3:X3"/>
    <mergeCell ref="Y3:Z3"/>
    <mergeCell ref="B2:B4"/>
    <mergeCell ref="C2:C4"/>
    <mergeCell ref="D2:D4"/>
    <mergeCell ref="E2:T2"/>
    <mergeCell ref="U2:U4"/>
  </mergeCell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BT55"/>
  <sheetViews>
    <sheetView zoomScale="80" zoomScaleNormal="80" workbookViewId="0">
      <pane xSplit="4" ySplit="4" topLeftCell="E5" activePane="bottomRight" state="frozen"/>
      <selection pane="topRight" activeCell="E1" sqref="E1"/>
      <selection pane="bottomLeft" activeCell="A5" sqref="A5"/>
      <selection pane="bottomRight"/>
    </sheetView>
  </sheetViews>
  <sheetFormatPr defaultColWidth="0" defaultRowHeight="15"/>
  <cols>
    <col min="1" max="1" width="23.5703125" style="171" customWidth="1"/>
    <col min="2" max="2" width="4.42578125" style="137" customWidth="1"/>
    <col min="3" max="3" width="6.42578125" style="137" customWidth="1"/>
    <col min="4" max="4" width="28.7109375" style="137" customWidth="1"/>
    <col min="5" max="9" width="5.28515625" style="137" customWidth="1"/>
    <col min="10" max="18" width="5.28515625" style="137" hidden="1" customWidth="1"/>
    <col min="19" max="27" width="5.28515625" style="137" customWidth="1"/>
    <col min="28" max="28" width="10.5703125" style="137" customWidth="1"/>
    <col min="29" max="29" width="5.28515625" style="137" customWidth="1"/>
    <col min="30" max="30" width="12.28515625" style="137" customWidth="1"/>
    <col min="31" max="31" width="103.28515625" style="137" customWidth="1"/>
    <col min="32" max="32" width="36.5703125" style="137" customWidth="1"/>
    <col min="33" max="33" width="5" style="137" hidden="1" customWidth="1"/>
    <col min="34" max="34" width="4.7109375" style="137" hidden="1" customWidth="1"/>
    <col min="35" max="35" width="5.140625" style="137" hidden="1" customWidth="1"/>
    <col min="36" max="39" width="5" style="137" hidden="1" customWidth="1"/>
    <col min="40" max="41" width="5" style="137" customWidth="1"/>
    <col min="42" max="42" width="4.85546875" style="137" customWidth="1"/>
    <col min="43" max="43" width="5" style="137" customWidth="1"/>
    <col min="44" max="56" width="5" style="137" hidden="1" customWidth="1"/>
    <col min="57" max="57" width="84.42578125" style="137" hidden="1" customWidth="1"/>
    <col min="58" max="58" width="29.85546875" style="137" hidden="1" customWidth="1"/>
    <col min="59" max="72" width="10.7109375" style="137" hidden="1" customWidth="1"/>
    <col min="73" max="16384" width="9.140625" style="137" hidden="1"/>
  </cols>
  <sheetData>
    <row r="1" spans="1:56" s="512" customFormat="1" ht="45.75" customHeight="1">
      <c r="B1" s="513" t="str">
        <f>KKM!X9&amp;" (KETRAMPILAN)"</f>
        <v>BAHASA INGGRIS (KETRAMPILAN)</v>
      </c>
      <c r="C1" s="513"/>
      <c r="D1" s="513"/>
      <c r="E1" s="513"/>
      <c r="F1" s="513"/>
      <c r="G1" s="513"/>
      <c r="H1" s="513"/>
      <c r="I1" s="513"/>
      <c r="J1" s="513"/>
      <c r="K1" s="513"/>
      <c r="L1" s="513"/>
      <c r="M1" s="513"/>
      <c r="N1" s="513"/>
      <c r="O1" s="513"/>
      <c r="P1" s="513"/>
      <c r="Q1" s="513"/>
      <c r="R1" s="513"/>
      <c r="S1" s="513"/>
      <c r="T1" s="513"/>
      <c r="U1" s="513"/>
      <c r="V1" s="513"/>
      <c r="W1" s="513"/>
      <c r="X1" s="513"/>
      <c r="Y1" s="513"/>
      <c r="Z1" s="513"/>
      <c r="AA1" s="513"/>
      <c r="AB1" s="513"/>
      <c r="AC1" s="513"/>
      <c r="AD1" s="513"/>
      <c r="AE1" s="513"/>
      <c r="AF1" s="513"/>
      <c r="AG1" s="513"/>
      <c r="AH1" s="513"/>
      <c r="AI1" s="513"/>
      <c r="AJ1" s="513"/>
      <c r="AK1" s="513"/>
      <c r="AL1" s="513"/>
      <c r="AM1" s="513"/>
      <c r="AN1" s="513"/>
      <c r="AO1" s="513"/>
      <c r="AP1" s="513"/>
      <c r="AQ1" s="513"/>
      <c r="AR1" s="513"/>
      <c r="AS1" s="513"/>
      <c r="AT1" s="513"/>
      <c r="AU1" s="513"/>
      <c r="AV1" s="513"/>
      <c r="AW1" s="513"/>
      <c r="AX1" s="513"/>
      <c r="AY1" s="513"/>
      <c r="AZ1" s="513"/>
      <c r="BA1" s="513"/>
      <c r="BB1" s="513"/>
      <c r="BC1" s="513"/>
      <c r="BD1" s="513"/>
    </row>
    <row r="2" spans="1:56" ht="23.25" customHeight="1">
      <c r="B2" s="716" t="s">
        <v>4</v>
      </c>
      <c r="C2" s="717" t="s">
        <v>5</v>
      </c>
      <c r="D2" s="718" t="s">
        <v>52</v>
      </c>
      <c r="E2" s="719" t="s">
        <v>0</v>
      </c>
      <c r="F2" s="719"/>
      <c r="G2" s="719"/>
      <c r="H2" s="719"/>
      <c r="I2" s="719"/>
      <c r="J2" s="719"/>
      <c r="K2" s="719"/>
      <c r="L2" s="719"/>
      <c r="M2" s="719"/>
      <c r="N2" s="719"/>
      <c r="O2" s="719"/>
      <c r="P2" s="719"/>
      <c r="Q2" s="719"/>
      <c r="R2" s="719"/>
      <c r="S2" s="719"/>
      <c r="T2" s="719"/>
      <c r="U2" s="719"/>
      <c r="V2" s="719"/>
      <c r="W2" s="719"/>
      <c r="X2" s="719"/>
      <c r="Y2" s="720" t="s">
        <v>13</v>
      </c>
      <c r="Z2" s="721" t="s">
        <v>14</v>
      </c>
      <c r="AA2" s="722" t="s">
        <v>266</v>
      </c>
      <c r="AB2" s="723"/>
      <c r="AC2" s="723"/>
      <c r="AD2" s="723"/>
      <c r="AE2" s="678" t="s">
        <v>3</v>
      </c>
      <c r="AF2" s="2"/>
      <c r="AG2" s="2"/>
      <c r="AH2" s="2"/>
      <c r="AI2" s="2"/>
      <c r="AJ2" s="2"/>
      <c r="AK2" s="2"/>
      <c r="AL2" s="253"/>
    </row>
    <row r="3" spans="1:56" ht="94.5" customHeight="1">
      <c r="B3" s="716"/>
      <c r="C3" s="717"/>
      <c r="D3" s="718"/>
      <c r="E3" s="408" t="str">
        <f>'KI-KD'!$F137</f>
        <v xml:space="preserve">merespon instruksi sangat sederhana dengan tindakan secara berterima dalam konteks sekolah  </v>
      </c>
      <c r="F3" s="408" t="str">
        <f>'KI-KD'!$F138</f>
        <v xml:space="preserve">merespon instruksi sangat sederhana secara verbal </v>
      </c>
      <c r="G3" s="408" t="str">
        <f>'KI-KD'!$F139</f>
        <v xml:space="preserve">bercakap-cakap untuk menyertai tindakan secara berterima yang melibatkan tindak tutur: memberi contoh melakukan sesuatu, memberi aba-aba, dan memberi petunjuk 
</v>
      </c>
      <c r="H3" s="408" t="str">
        <f>'KI-KD'!$F140</f>
        <v xml:space="preserve">bercakap-cakap untuk meminta/memberi jasa/barang secara berterima yang melibatkan tindak tutur: meminta bantuan, memberi bantuan, meminta barang, dan memberi barang 
</v>
      </c>
      <c r="I3" s="408" t="str">
        <f>'KI-KD'!$F141</f>
        <v xml:space="preserve">bercakap-cakap untuk meminta/memberi informasi secara berterima yang melibatkan tindak tutur: memberi informasi, memberi pendapat, dan meminta kejelasan 
</v>
      </c>
      <c r="J3" s="408" t="str">
        <f>'KI-KD'!$F140</f>
        <v xml:space="preserve">bercakap-cakap untuk meminta/memberi jasa/barang secara berterima yang melibatkan tindak tutur: meminta bantuan, memberi bantuan, meminta barang, dan memberi barang 
</v>
      </c>
      <c r="K3" s="408" t="str">
        <f>'KI-KD'!$F140</f>
        <v xml:space="preserve">bercakap-cakap untuk meminta/memberi jasa/barang secara berterima yang melibatkan tindak tutur: meminta bantuan, memberi bantuan, meminta barang, dan memberi barang 
</v>
      </c>
      <c r="L3" s="408" t="str">
        <f>'KI-KD'!$F140</f>
        <v xml:space="preserve">bercakap-cakap untuk meminta/memberi jasa/barang secara berterima yang melibatkan tindak tutur: meminta bantuan, memberi bantuan, meminta barang, dan memberi barang 
</v>
      </c>
      <c r="M3" s="408" t="str">
        <f>'KI-KD'!$F140</f>
        <v xml:space="preserve">bercakap-cakap untuk meminta/memberi jasa/barang secara berterima yang melibatkan tindak tutur: meminta bantuan, memberi bantuan, meminta barang, dan memberi barang 
</v>
      </c>
      <c r="N3" s="408" t="str">
        <f>'KI-KD'!$F140</f>
        <v xml:space="preserve">bercakap-cakap untuk meminta/memberi jasa/barang secara berterima yang melibatkan tindak tutur: meminta bantuan, memberi bantuan, meminta barang, dan memberi barang 
</v>
      </c>
      <c r="O3" s="408" t="str">
        <f>'KI-KD'!$F140</f>
        <v xml:space="preserve">bercakap-cakap untuk meminta/memberi jasa/barang secara berterima yang melibatkan tindak tutur: meminta bantuan, memberi bantuan, meminta barang, dan memberi barang 
</v>
      </c>
      <c r="P3" s="408" t="str">
        <f>'KI-KD'!$F140</f>
        <v xml:space="preserve">bercakap-cakap untuk meminta/memberi jasa/barang secara berterima yang melibatkan tindak tutur: meminta bantuan, memberi bantuan, meminta barang, dan memberi barang 
</v>
      </c>
      <c r="Q3" s="408" t="str">
        <f>'KI-KD'!$F140</f>
        <v xml:space="preserve">bercakap-cakap untuk meminta/memberi jasa/barang secara berterima yang melibatkan tindak tutur: meminta bantuan, memberi bantuan, meminta barang, dan memberi barang 
</v>
      </c>
      <c r="R3" s="408" t="str">
        <f>'KI-KD'!$F140</f>
        <v xml:space="preserve">bercakap-cakap untuk meminta/memberi jasa/barang secara berterima yang melibatkan tindak tutur: meminta bantuan, memberi bantuan, meminta barang, dan memberi barang 
</v>
      </c>
      <c r="S3" s="408" t="str">
        <f>'KI-KD'!$F142</f>
        <v xml:space="preserve">mengungkapkan kesantunan secara berterima yang melibatkan ungkapan: Do you mind... dan Shall we... </v>
      </c>
      <c r="T3" s="408" t="str">
        <f>'KI-KD'!$F143</f>
        <v xml:space="preserve">membaca nyaring dengan ucapan, tekanan, dan intonasi secara tepat dan berterima yang melibatkan: kata, frasa, kalimat sangat sederhana, dan teks sangat sederhana 
</v>
      </c>
      <c r="U3" s="408" t="str">
        <f>'KI-KD'!$F144</f>
        <v xml:space="preserve">memahami kalimat, pesan tertulis, dan teks dekriptif bergambar sangat sederhana secara tepat dan berterima </v>
      </c>
      <c r="V3" s="408" t="str">
        <f>'KI-KD'!$F145</f>
        <v xml:space="preserve">mengeja kalimat sangat sederhana secara tepat dan berterima </v>
      </c>
      <c r="W3" s="408" t="str">
        <f>'KI-KD'!$F146</f>
        <v>menyalin dan menulis kalimat sangat sederhana secara tepat dan berterima seperti: ucapan selamat, ucapan terima kasih, dan ucapan simpati</v>
      </c>
      <c r="X3" s="408">
        <f>'KI-KD'!$F147</f>
        <v>0</v>
      </c>
      <c r="Y3" s="720"/>
      <c r="Z3" s="721"/>
      <c r="AA3" s="712" t="s">
        <v>267</v>
      </c>
      <c r="AB3" s="713"/>
      <c r="AC3" s="714" t="s">
        <v>268</v>
      </c>
      <c r="AD3" s="715"/>
      <c r="AE3" s="679"/>
      <c r="AF3" s="2"/>
      <c r="AG3" s="2"/>
      <c r="AH3" s="2"/>
      <c r="AI3" s="2"/>
      <c r="AJ3" s="2"/>
      <c r="AK3" s="2"/>
      <c r="AL3" s="253"/>
    </row>
    <row r="4" spans="1:56" s="141" customFormat="1" ht="25.5" customHeight="1">
      <c r="A4" s="514"/>
      <c r="B4" s="716"/>
      <c r="C4" s="717"/>
      <c r="D4" s="718"/>
      <c r="E4" s="140" t="str">
        <f>'KI-KD'!$E137</f>
        <v>5.1</v>
      </c>
      <c r="F4" s="140" t="str">
        <f>'KI-KD'!$E138</f>
        <v>5.2</v>
      </c>
      <c r="G4" s="140" t="str">
        <f>'KI-KD'!$E139</f>
        <v>6.1</v>
      </c>
      <c r="H4" s="140" t="str">
        <f>'KI-KD'!$E140</f>
        <v>6.2</v>
      </c>
      <c r="I4" s="140" t="str">
        <f>'KI-KD'!$E141</f>
        <v>6.3</v>
      </c>
      <c r="J4" s="140" t="str">
        <f>'KI-KD'!$E140</f>
        <v>6.2</v>
      </c>
      <c r="K4" s="140" t="str">
        <f>'KI-KD'!$E140</f>
        <v>6.2</v>
      </c>
      <c r="L4" s="140" t="str">
        <f>'KI-KD'!$E140</f>
        <v>6.2</v>
      </c>
      <c r="M4" s="140" t="str">
        <f>'KI-KD'!$E140</f>
        <v>6.2</v>
      </c>
      <c r="N4" s="140" t="str">
        <f>'KI-KD'!$E140</f>
        <v>6.2</v>
      </c>
      <c r="O4" s="140" t="str">
        <f>'KI-KD'!$E140</f>
        <v>6.2</v>
      </c>
      <c r="P4" s="140" t="str">
        <f>'KI-KD'!$E140</f>
        <v>6.2</v>
      </c>
      <c r="Q4" s="140" t="str">
        <f>'KI-KD'!$E140</f>
        <v>6.2</v>
      </c>
      <c r="R4" s="140" t="str">
        <f>'KI-KD'!$E140</f>
        <v>6.2</v>
      </c>
      <c r="S4" s="140" t="str">
        <f>'KI-KD'!$E142</f>
        <v>6.4</v>
      </c>
      <c r="T4" s="140" t="str">
        <f>'KI-KD'!$E143</f>
        <v>7.1</v>
      </c>
      <c r="U4" s="140" t="str">
        <f>'KI-KD'!$E144</f>
        <v>7.2</v>
      </c>
      <c r="V4" s="140" t="str">
        <f>'KI-KD'!$E145</f>
        <v>8.1</v>
      </c>
      <c r="W4" s="140" t="str">
        <f>'KI-KD'!$E146</f>
        <v>8.2</v>
      </c>
      <c r="X4" s="140">
        <f>'KI-KD'!$E147</f>
        <v>0</v>
      </c>
      <c r="Y4" s="720"/>
      <c r="Z4" s="721"/>
      <c r="AA4" s="248" t="s">
        <v>269</v>
      </c>
      <c r="AB4" s="249" t="s">
        <v>3</v>
      </c>
      <c r="AC4" s="250" t="s">
        <v>269</v>
      </c>
      <c r="AD4" s="251" t="s">
        <v>3</v>
      </c>
      <c r="AE4" s="680"/>
      <c r="AF4" s="2"/>
      <c r="AG4" s="254" t="s">
        <v>270</v>
      </c>
      <c r="AH4" s="254" t="s">
        <v>271</v>
      </c>
      <c r="AI4" s="254" t="s">
        <v>272</v>
      </c>
      <c r="AJ4" s="254" t="s">
        <v>273</v>
      </c>
      <c r="AK4" s="255" t="s">
        <v>266</v>
      </c>
      <c r="AL4" s="252"/>
    </row>
    <row r="5" spans="1:56" ht="61.5" customHeight="1">
      <c r="B5" s="142">
        <v>1</v>
      </c>
      <c r="C5" s="143" t="str">
        <f>SISWA!B6</f>
        <v>1718250040305</v>
      </c>
      <c r="D5" s="144" t="str">
        <f>SISWA!E6</f>
        <v>YAHYA</v>
      </c>
      <c r="E5" s="159">
        <v>95</v>
      </c>
      <c r="F5" s="159">
        <v>95</v>
      </c>
      <c r="G5" s="160">
        <v>95</v>
      </c>
      <c r="H5" s="159">
        <v>95</v>
      </c>
      <c r="I5" s="160">
        <v>95</v>
      </c>
      <c r="J5" s="159"/>
      <c r="K5" s="159"/>
      <c r="L5" s="159"/>
      <c r="M5" s="159"/>
      <c r="N5" s="159"/>
      <c r="O5" s="159"/>
      <c r="P5" s="159"/>
      <c r="Q5" s="159"/>
      <c r="R5" s="160"/>
      <c r="S5" s="160">
        <v>95</v>
      </c>
      <c r="T5" s="160">
        <v>95</v>
      </c>
      <c r="U5" s="160">
        <v>95</v>
      </c>
      <c r="V5" s="160">
        <v>95</v>
      </c>
      <c r="W5" s="160">
        <v>95</v>
      </c>
      <c r="X5" s="159" t="s">
        <v>766</v>
      </c>
      <c r="Y5" s="354">
        <f>ROUND((AVERAGE(E5:X5)),0)</f>
        <v>95</v>
      </c>
      <c r="Z5" s="355" t="str">
        <f>IF(Y5&gt;KKM!$G$10,"A",IF(Y5&gt;KKM!$H$10,"B",IF(Y5&gt;=KKM!$I$10,"C","D")))</f>
        <v>A</v>
      </c>
      <c r="AA5" s="356">
        <f t="shared" ref="AA5:AA54" si="0">MAX(E5:X5)</f>
        <v>95</v>
      </c>
      <c r="AB5" s="361" t="str">
        <f>IF(AA5&gt;KKM!$G$10," sangat baik ",IF(AA5&gt;KKM!$H$10," baik ",IF(AA5&gt;=KKM!$I$10," cukup baik "," perlu bimbingan ")))</f>
        <v xml:space="preserve"> sangat baik </v>
      </c>
      <c r="AC5" s="357">
        <f t="shared" ref="AC5:AC54" si="1">MIN(E5:X5)</f>
        <v>95</v>
      </c>
      <c r="AD5" s="361" t="str">
        <f>IF(AC5&gt;KKM!$G$10," sangat baik ",IF(AC5&gt;KKM!$H$10," baik ",IF(AC5&gt;=KKM!$I$10," cukup baik "," perlu bimbingan ")))</f>
        <v xml:space="preserve"> sangat baik </v>
      </c>
      <c r="AE5" s="353" t="str">
        <f>IFERROR(AL5," ")</f>
        <v xml:space="preserve">YAHYA sangat baik  dalam merespon instruksi sangat sederhana dengan tindakan secara berterima dalam konteks sekolah  </v>
      </c>
      <c r="AF5" s="256"/>
      <c r="AG5" s="257" t="str">
        <f t="shared" ref="AG5:AG54" si="2">AB5&amp;" dalam "&amp;INDEX($E$3:$X$3,MATCH(AA5,$E5:$X5,0))</f>
        <v xml:space="preserve"> sangat baik  dalam merespon instruksi sangat sederhana dengan tindakan secara berterima dalam konteks sekolah  </v>
      </c>
      <c r="AH5" s="257" t="str">
        <f t="shared" ref="AH5:AH54" si="3">AD5&amp;" dalam "&amp;INDEX($E$3:$X$3,MATCH(AC5,$E5:$X5,0))</f>
        <v xml:space="preserve"> sangat baik  dalam merespon instruksi sangat sederhana dengan tindakan secara berterima dalam konteks sekolah  </v>
      </c>
      <c r="AI5" s="257" t="str">
        <f>AG5&amp;", dan "&amp;AH5</f>
        <v xml:space="preserve"> sangat baik  dalam merespon instruksi sangat sederhana dengan tindakan secara berterima dalam konteks sekolah  , dan  sangat baik  dalam merespon instruksi sangat sederhana dengan tindakan secara berterima dalam konteks sekolah  </v>
      </c>
      <c r="AJ5" s="257" t="str">
        <f>IF(AG5=AH5,AG5," ")</f>
        <v xml:space="preserve"> sangat baik  dalam merespon instruksi sangat sederhana dengan tindakan secara berterima dalam konteks sekolah  </v>
      </c>
      <c r="AK5" s="258" t="str">
        <f>IF(AJ5=" ",AI5,AJ5)</f>
        <v xml:space="preserve"> sangat baik  dalam merespon instruksi sangat sederhana dengan tindakan secara berterima dalam konteks sekolah  </v>
      </c>
      <c r="AL5" s="252" t="str">
        <f>CONCATENATE(D5,AK5)</f>
        <v xml:space="preserve">YAHYA sangat baik  dalam merespon instruksi sangat sederhana dengan tindakan secara berterima dalam konteks sekolah  </v>
      </c>
      <c r="AM5" s="153"/>
    </row>
    <row r="6" spans="1:56" ht="61.5" customHeight="1">
      <c r="B6" s="142">
        <v>2</v>
      </c>
      <c r="C6" s="143" t="str">
        <f>SISWA!B7</f>
        <v>1718250040306</v>
      </c>
      <c r="D6" s="144" t="str">
        <f>SISWA!E7</f>
        <v>ADHWA</v>
      </c>
      <c r="E6" s="159">
        <v>90</v>
      </c>
      <c r="F6" s="160">
        <v>90</v>
      </c>
      <c r="G6" s="160">
        <v>90</v>
      </c>
      <c r="H6" s="160">
        <v>90</v>
      </c>
      <c r="I6" s="160">
        <v>90</v>
      </c>
      <c r="J6" s="159"/>
      <c r="K6" s="159"/>
      <c r="L6" s="159"/>
      <c r="M6" s="159"/>
      <c r="N6" s="159"/>
      <c r="O6" s="159"/>
      <c r="P6" s="159"/>
      <c r="Q6" s="159"/>
      <c r="R6" s="160"/>
      <c r="S6" s="160">
        <v>90</v>
      </c>
      <c r="T6" s="160">
        <v>90</v>
      </c>
      <c r="U6" s="160">
        <v>90</v>
      </c>
      <c r="V6" s="160">
        <v>90</v>
      </c>
      <c r="W6" s="160">
        <v>90</v>
      </c>
      <c r="X6" s="159"/>
      <c r="Y6" s="354">
        <f t="shared" ref="Y6:Y54" si="4">ROUND((AVERAGE(E6:X6)),0)</f>
        <v>90</v>
      </c>
      <c r="Z6" s="355" t="str">
        <f>IF(Y6&gt;KKM!$G$10,"A",IF(Y6&gt;KKM!$H$10,"B",IF(Y6&gt;=KKM!$I$10,"C","D")))</f>
        <v>A</v>
      </c>
      <c r="AA6" s="356">
        <f t="shared" si="0"/>
        <v>90</v>
      </c>
      <c r="AB6" s="361" t="str">
        <f>IF(AA6&gt;KKM!$G$10," sangat baik ",IF(AA6&gt;KKM!$H$10," baik ",IF(AA6&gt;=KKM!$I$10," cukup baik "," perlu bimbingan ")))</f>
        <v xml:space="preserve"> sangat baik </v>
      </c>
      <c r="AC6" s="357">
        <f t="shared" si="1"/>
        <v>90</v>
      </c>
      <c r="AD6" s="361" t="str">
        <f>IF(AC6&gt;KKM!$G$10," sangat baik ",IF(AC6&gt;KKM!$H$10," baik ",IF(AC6&gt;=KKM!$I$10," cukup baik "," perlu bimbingan ")))</f>
        <v xml:space="preserve"> sangat baik </v>
      </c>
      <c r="AE6" s="353" t="str">
        <f t="shared" ref="AE6:AE54" si="5">IFERROR(AL6," ")</f>
        <v xml:space="preserve">ADHWA sangat baik  dalam merespon instruksi sangat sederhana dengan tindakan secara berterima dalam konteks sekolah  </v>
      </c>
      <c r="AF6" s="256"/>
      <c r="AG6" s="257" t="str">
        <f t="shared" si="2"/>
        <v xml:space="preserve"> sangat baik  dalam merespon instruksi sangat sederhana dengan tindakan secara berterima dalam konteks sekolah  </v>
      </c>
      <c r="AH6" s="257" t="str">
        <f t="shared" si="3"/>
        <v xml:space="preserve"> sangat baik  dalam merespon instruksi sangat sederhana dengan tindakan secara berterima dalam konteks sekolah  </v>
      </c>
      <c r="AI6" s="257" t="str">
        <f t="shared" ref="AI6:AI54" si="6">AG6&amp;", dan "&amp;AH6</f>
        <v xml:space="preserve"> sangat baik  dalam merespon instruksi sangat sederhana dengan tindakan secara berterima dalam konteks sekolah  , dan  sangat baik  dalam merespon instruksi sangat sederhana dengan tindakan secara berterima dalam konteks sekolah  </v>
      </c>
      <c r="AJ6" s="257" t="str">
        <f t="shared" ref="AJ6:AJ54" si="7">IF(AG6=AH6,AG6," ")</f>
        <v xml:space="preserve"> sangat baik  dalam merespon instruksi sangat sederhana dengan tindakan secara berterima dalam konteks sekolah  </v>
      </c>
      <c r="AK6" s="258" t="str">
        <f t="shared" ref="AK6:AK54" si="8">IF(AJ6=" ",AI6,AJ6)</f>
        <v xml:space="preserve"> sangat baik  dalam merespon instruksi sangat sederhana dengan tindakan secara berterima dalam konteks sekolah  </v>
      </c>
      <c r="AL6" s="252" t="str">
        <f t="shared" ref="AL6:AL54" si="9">CONCATENATE(D6,AK6)</f>
        <v xml:space="preserve">ADHWA sangat baik  dalam merespon instruksi sangat sederhana dengan tindakan secara berterima dalam konteks sekolah  </v>
      </c>
      <c r="AM6" s="153"/>
    </row>
    <row r="7" spans="1:56" ht="61.5" customHeight="1">
      <c r="B7" s="142">
        <v>3</v>
      </c>
      <c r="C7" s="143" t="str">
        <f>SISWA!B8</f>
        <v xml:space="preserve"> 1718250040307</v>
      </c>
      <c r="D7" s="144" t="str">
        <f>SISWA!E8</f>
        <v>ANDHIKA</v>
      </c>
      <c r="E7" s="159">
        <v>90</v>
      </c>
      <c r="F7" s="160">
        <v>90</v>
      </c>
      <c r="G7" s="160">
        <v>90</v>
      </c>
      <c r="H7" s="160">
        <v>90</v>
      </c>
      <c r="I7" s="160">
        <v>90</v>
      </c>
      <c r="J7" s="159"/>
      <c r="K7" s="159"/>
      <c r="L7" s="159"/>
      <c r="M7" s="159"/>
      <c r="N7" s="159"/>
      <c r="O7" s="159"/>
      <c r="P7" s="159"/>
      <c r="Q7" s="159"/>
      <c r="R7" s="160"/>
      <c r="S7" s="160">
        <v>90</v>
      </c>
      <c r="T7" s="160">
        <v>90</v>
      </c>
      <c r="U7" s="160">
        <v>90</v>
      </c>
      <c r="V7" s="160">
        <v>90</v>
      </c>
      <c r="W7" s="160">
        <v>90</v>
      </c>
      <c r="X7" s="159"/>
      <c r="Y7" s="354">
        <f t="shared" si="4"/>
        <v>90</v>
      </c>
      <c r="Z7" s="355" t="str">
        <f>IF(Y7&gt;KKM!$G$10,"A",IF(Y7&gt;KKM!$H$10,"B",IF(Y7&gt;=KKM!$I$10,"C","D")))</f>
        <v>A</v>
      </c>
      <c r="AA7" s="356">
        <f t="shared" si="0"/>
        <v>90</v>
      </c>
      <c r="AB7" s="361" t="str">
        <f>IF(AA7&gt;KKM!$G$10," sangat baik ",IF(AA7&gt;KKM!$H$10," baik ",IF(AA7&gt;=KKM!$I$10," cukup baik "," perlu bimbingan ")))</f>
        <v xml:space="preserve"> sangat baik </v>
      </c>
      <c r="AC7" s="357">
        <f t="shared" si="1"/>
        <v>90</v>
      </c>
      <c r="AD7" s="361" t="str">
        <f>IF(AC7&gt;KKM!$G$10," sangat baik ",IF(AC7&gt;KKM!$H$10," baik ",IF(AC7&gt;=KKM!$I$10," cukup baik "," perlu bimbingan ")))</f>
        <v xml:space="preserve"> sangat baik </v>
      </c>
      <c r="AE7" s="353" t="str">
        <f t="shared" si="5"/>
        <v xml:space="preserve">ANDHIKA sangat baik  dalam merespon instruksi sangat sederhana dengan tindakan secara berterima dalam konteks sekolah  </v>
      </c>
      <c r="AF7" s="256"/>
      <c r="AG7" s="257" t="str">
        <f t="shared" si="2"/>
        <v xml:space="preserve"> sangat baik  dalam merespon instruksi sangat sederhana dengan tindakan secara berterima dalam konteks sekolah  </v>
      </c>
      <c r="AH7" s="257" t="str">
        <f t="shared" si="3"/>
        <v xml:space="preserve"> sangat baik  dalam merespon instruksi sangat sederhana dengan tindakan secara berterima dalam konteks sekolah  </v>
      </c>
      <c r="AI7" s="257" t="str">
        <f t="shared" si="6"/>
        <v xml:space="preserve"> sangat baik  dalam merespon instruksi sangat sederhana dengan tindakan secara berterima dalam konteks sekolah  , dan  sangat baik  dalam merespon instruksi sangat sederhana dengan tindakan secara berterima dalam konteks sekolah  </v>
      </c>
      <c r="AJ7" s="257" t="str">
        <f t="shared" si="7"/>
        <v xml:space="preserve"> sangat baik  dalam merespon instruksi sangat sederhana dengan tindakan secara berterima dalam konteks sekolah  </v>
      </c>
      <c r="AK7" s="258" t="str">
        <f t="shared" si="8"/>
        <v xml:space="preserve"> sangat baik  dalam merespon instruksi sangat sederhana dengan tindakan secara berterima dalam konteks sekolah  </v>
      </c>
      <c r="AL7" s="252" t="str">
        <f t="shared" si="9"/>
        <v xml:space="preserve">ANDHIKA sangat baik  dalam merespon instruksi sangat sederhana dengan tindakan secara berterima dalam konteks sekolah  </v>
      </c>
      <c r="AM7" s="153"/>
    </row>
    <row r="8" spans="1:56" ht="61.5" customHeight="1">
      <c r="B8" s="142">
        <v>4</v>
      </c>
      <c r="C8" s="143" t="str">
        <f>SISWA!B9</f>
        <v xml:space="preserve"> 1718250040308</v>
      </c>
      <c r="D8" s="144" t="str">
        <f>SISWA!E9</f>
        <v>ANGGARA</v>
      </c>
      <c r="E8" s="159">
        <v>77</v>
      </c>
      <c r="F8" s="160">
        <v>77</v>
      </c>
      <c r="G8" s="160">
        <v>77</v>
      </c>
      <c r="H8" s="160">
        <v>77</v>
      </c>
      <c r="I8" s="160">
        <v>77</v>
      </c>
      <c r="J8" s="159"/>
      <c r="K8" s="159"/>
      <c r="L8" s="159"/>
      <c r="M8" s="159"/>
      <c r="N8" s="159"/>
      <c r="O8" s="159"/>
      <c r="P8" s="159"/>
      <c r="Q8" s="159"/>
      <c r="R8" s="160"/>
      <c r="S8" s="160">
        <v>77</v>
      </c>
      <c r="T8" s="160">
        <v>77</v>
      </c>
      <c r="U8" s="160">
        <v>77</v>
      </c>
      <c r="V8" s="160">
        <v>77</v>
      </c>
      <c r="W8" s="160">
        <v>77</v>
      </c>
      <c r="X8" s="159"/>
      <c r="Y8" s="354">
        <f t="shared" si="4"/>
        <v>77</v>
      </c>
      <c r="Z8" s="355" t="str">
        <f>IF(Y8&gt;KKM!$G$10,"A",IF(Y8&gt;KKM!$H$10,"B",IF(Y8&gt;=KKM!$I$10,"C","D")))</f>
        <v>B</v>
      </c>
      <c r="AA8" s="356">
        <f t="shared" si="0"/>
        <v>77</v>
      </c>
      <c r="AB8" s="361" t="str">
        <f>IF(AA8&gt;KKM!$G$10," sangat baik ",IF(AA8&gt;KKM!$H$10," baik ",IF(AA8&gt;=KKM!$I$10," cukup baik "," perlu bimbingan ")))</f>
        <v xml:space="preserve"> baik </v>
      </c>
      <c r="AC8" s="357">
        <f t="shared" si="1"/>
        <v>77</v>
      </c>
      <c r="AD8" s="361" t="str">
        <f>IF(AC8&gt;KKM!$G$10," sangat baik ",IF(AC8&gt;KKM!$H$10," baik ",IF(AC8&gt;=KKM!$I$10," cukup baik "," perlu bimbingan ")))</f>
        <v xml:space="preserve"> baik </v>
      </c>
      <c r="AE8" s="353" t="str">
        <f t="shared" si="5"/>
        <v xml:space="preserve">ANGGARA baik  dalam merespon instruksi sangat sederhana dengan tindakan secara berterima dalam konteks sekolah  </v>
      </c>
      <c r="AF8" s="256"/>
      <c r="AG8" s="257" t="str">
        <f t="shared" si="2"/>
        <v xml:space="preserve"> baik  dalam merespon instruksi sangat sederhana dengan tindakan secara berterima dalam konteks sekolah  </v>
      </c>
      <c r="AH8" s="257" t="str">
        <f t="shared" si="3"/>
        <v xml:space="preserve"> baik  dalam merespon instruksi sangat sederhana dengan tindakan secara berterima dalam konteks sekolah  </v>
      </c>
      <c r="AI8" s="257" t="str">
        <f t="shared" si="6"/>
        <v xml:space="preserve"> baik  dalam merespon instruksi sangat sederhana dengan tindakan secara berterima dalam konteks sekolah  , dan  baik  dalam merespon instruksi sangat sederhana dengan tindakan secara berterima dalam konteks sekolah  </v>
      </c>
      <c r="AJ8" s="257" t="str">
        <f t="shared" si="7"/>
        <v xml:space="preserve"> baik  dalam merespon instruksi sangat sederhana dengan tindakan secara berterima dalam konteks sekolah  </v>
      </c>
      <c r="AK8" s="258" t="str">
        <f t="shared" si="8"/>
        <v xml:space="preserve"> baik  dalam merespon instruksi sangat sederhana dengan tindakan secara berterima dalam konteks sekolah  </v>
      </c>
      <c r="AL8" s="252" t="str">
        <f t="shared" si="9"/>
        <v xml:space="preserve">ANGGARA baik  dalam merespon instruksi sangat sederhana dengan tindakan secara berterima dalam konteks sekolah  </v>
      </c>
      <c r="AM8" s="153"/>
    </row>
    <row r="9" spans="1:56" ht="61.5" customHeight="1">
      <c r="B9" s="142">
        <v>5</v>
      </c>
      <c r="C9" s="143" t="str">
        <f>SISWA!B10</f>
        <v>1718250040309</v>
      </c>
      <c r="D9" s="144" t="str">
        <f>SISWA!E10</f>
        <v>ARIA</v>
      </c>
      <c r="E9" s="159">
        <v>76</v>
      </c>
      <c r="F9" s="160">
        <v>76</v>
      </c>
      <c r="G9" s="160">
        <v>76</v>
      </c>
      <c r="H9" s="160">
        <v>76</v>
      </c>
      <c r="I9" s="160">
        <v>76</v>
      </c>
      <c r="J9" s="159"/>
      <c r="K9" s="159"/>
      <c r="L9" s="159"/>
      <c r="M9" s="159"/>
      <c r="N9" s="159"/>
      <c r="O9" s="159"/>
      <c r="P9" s="159"/>
      <c r="Q9" s="159"/>
      <c r="R9" s="160"/>
      <c r="S9" s="160">
        <v>76</v>
      </c>
      <c r="T9" s="160">
        <v>76</v>
      </c>
      <c r="U9" s="160">
        <v>76</v>
      </c>
      <c r="V9" s="160">
        <v>76</v>
      </c>
      <c r="W9" s="160">
        <v>76</v>
      </c>
      <c r="X9" s="159"/>
      <c r="Y9" s="354">
        <f t="shared" si="4"/>
        <v>76</v>
      </c>
      <c r="Z9" s="355" t="str">
        <f>IF(Y9&gt;KKM!$G$10,"A",IF(Y9&gt;KKM!$H$10,"B",IF(Y9&gt;=KKM!$I$10,"C","D")))</f>
        <v>C</v>
      </c>
      <c r="AA9" s="356">
        <f t="shared" si="0"/>
        <v>76</v>
      </c>
      <c r="AB9" s="361" t="str">
        <f>IF(AA9&gt;KKM!$G$10," sangat baik ",IF(AA9&gt;KKM!$H$10," baik ",IF(AA9&gt;=KKM!$I$10," cukup baik "," perlu bimbingan ")))</f>
        <v xml:space="preserve"> cukup baik </v>
      </c>
      <c r="AC9" s="357">
        <f t="shared" si="1"/>
        <v>76</v>
      </c>
      <c r="AD9" s="361" t="str">
        <f>IF(AC9&gt;KKM!$G$10," sangat baik ",IF(AC9&gt;KKM!$H$10," baik ",IF(AC9&gt;=KKM!$I$10," cukup baik "," perlu bimbingan ")))</f>
        <v xml:space="preserve"> cukup baik </v>
      </c>
      <c r="AE9" s="353" t="str">
        <f t="shared" si="5"/>
        <v xml:space="preserve">ARIA cukup baik  dalam merespon instruksi sangat sederhana dengan tindakan secara berterima dalam konteks sekolah  </v>
      </c>
      <c r="AF9" s="256"/>
      <c r="AG9" s="257" t="str">
        <f t="shared" si="2"/>
        <v xml:space="preserve"> cukup baik  dalam merespon instruksi sangat sederhana dengan tindakan secara berterima dalam konteks sekolah  </v>
      </c>
      <c r="AH9" s="257" t="str">
        <f t="shared" si="3"/>
        <v xml:space="preserve"> cukup baik  dalam merespon instruksi sangat sederhana dengan tindakan secara berterima dalam konteks sekolah  </v>
      </c>
      <c r="AI9" s="257" t="str">
        <f t="shared" si="6"/>
        <v xml:space="preserve"> cukup baik  dalam merespon instruksi sangat sederhana dengan tindakan secara berterima dalam konteks sekolah  , dan  cukup baik  dalam merespon instruksi sangat sederhana dengan tindakan secara berterima dalam konteks sekolah  </v>
      </c>
      <c r="AJ9" s="257" t="str">
        <f t="shared" si="7"/>
        <v xml:space="preserve"> cukup baik  dalam merespon instruksi sangat sederhana dengan tindakan secara berterima dalam konteks sekolah  </v>
      </c>
      <c r="AK9" s="258" t="str">
        <f t="shared" si="8"/>
        <v xml:space="preserve"> cukup baik  dalam merespon instruksi sangat sederhana dengan tindakan secara berterima dalam konteks sekolah  </v>
      </c>
      <c r="AL9" s="252" t="str">
        <f t="shared" si="9"/>
        <v xml:space="preserve">ARIA cukup baik  dalam merespon instruksi sangat sederhana dengan tindakan secara berterima dalam konteks sekolah  </v>
      </c>
      <c r="AM9" s="153"/>
    </row>
    <row r="10" spans="1:56" ht="61.5" customHeight="1">
      <c r="B10" s="142">
        <v>6</v>
      </c>
      <c r="C10" s="143" t="str">
        <f>SISWA!B11</f>
        <v>1718250040310</v>
      </c>
      <c r="D10" s="144" t="str">
        <f>SISWA!E11</f>
        <v>CAHAYA</v>
      </c>
      <c r="E10" s="159">
        <v>85</v>
      </c>
      <c r="F10" s="160">
        <v>85</v>
      </c>
      <c r="G10" s="160">
        <v>85</v>
      </c>
      <c r="H10" s="160">
        <v>85</v>
      </c>
      <c r="I10" s="160">
        <v>85</v>
      </c>
      <c r="J10" s="159"/>
      <c r="K10" s="159"/>
      <c r="L10" s="159"/>
      <c r="M10" s="159"/>
      <c r="N10" s="159"/>
      <c r="O10" s="159"/>
      <c r="P10" s="159"/>
      <c r="Q10" s="159"/>
      <c r="R10" s="160"/>
      <c r="S10" s="160">
        <v>85</v>
      </c>
      <c r="T10" s="160">
        <v>85</v>
      </c>
      <c r="U10" s="160">
        <v>85</v>
      </c>
      <c r="V10" s="160">
        <v>85</v>
      </c>
      <c r="W10" s="160">
        <v>85</v>
      </c>
      <c r="X10" s="159"/>
      <c r="Y10" s="354">
        <f t="shared" si="4"/>
        <v>85</v>
      </c>
      <c r="Z10" s="355" t="str">
        <f>IF(Y10&gt;KKM!$G$10,"A",IF(Y10&gt;KKM!$H$10,"B",IF(Y10&gt;=KKM!$I$10,"C","D")))</f>
        <v>B</v>
      </c>
      <c r="AA10" s="356">
        <f t="shared" si="0"/>
        <v>85</v>
      </c>
      <c r="AB10" s="361" t="str">
        <f>IF(AA10&gt;KKM!$G$10," sangat baik ",IF(AA10&gt;KKM!$H$10," baik ",IF(AA10&gt;=KKM!$I$10," cukup baik "," perlu bimbingan ")))</f>
        <v xml:space="preserve"> baik </v>
      </c>
      <c r="AC10" s="357">
        <f t="shared" si="1"/>
        <v>85</v>
      </c>
      <c r="AD10" s="361" t="str">
        <f>IF(AC10&gt;KKM!$G$10," sangat baik ",IF(AC10&gt;KKM!$H$10," baik ",IF(AC10&gt;=KKM!$I$10," cukup baik "," perlu bimbingan ")))</f>
        <v xml:space="preserve"> baik </v>
      </c>
      <c r="AE10" s="353" t="str">
        <f t="shared" si="5"/>
        <v xml:space="preserve">CAHAYA baik  dalam merespon instruksi sangat sederhana dengan tindakan secara berterima dalam konteks sekolah  </v>
      </c>
      <c r="AF10" s="256"/>
      <c r="AG10" s="257" t="str">
        <f t="shared" si="2"/>
        <v xml:space="preserve"> baik  dalam merespon instruksi sangat sederhana dengan tindakan secara berterima dalam konteks sekolah  </v>
      </c>
      <c r="AH10" s="257" t="str">
        <f t="shared" si="3"/>
        <v xml:space="preserve"> baik  dalam merespon instruksi sangat sederhana dengan tindakan secara berterima dalam konteks sekolah  </v>
      </c>
      <c r="AI10" s="257" t="str">
        <f t="shared" si="6"/>
        <v xml:space="preserve"> baik  dalam merespon instruksi sangat sederhana dengan tindakan secara berterima dalam konteks sekolah  , dan  baik  dalam merespon instruksi sangat sederhana dengan tindakan secara berterima dalam konteks sekolah  </v>
      </c>
      <c r="AJ10" s="257" t="str">
        <f t="shared" si="7"/>
        <v xml:space="preserve"> baik  dalam merespon instruksi sangat sederhana dengan tindakan secara berterima dalam konteks sekolah  </v>
      </c>
      <c r="AK10" s="258" t="str">
        <f t="shared" si="8"/>
        <v xml:space="preserve"> baik  dalam merespon instruksi sangat sederhana dengan tindakan secara berterima dalam konteks sekolah  </v>
      </c>
      <c r="AL10" s="252" t="str">
        <f t="shared" si="9"/>
        <v xml:space="preserve">CAHAYA baik  dalam merespon instruksi sangat sederhana dengan tindakan secara berterima dalam konteks sekolah  </v>
      </c>
      <c r="AM10" s="153"/>
    </row>
    <row r="11" spans="1:56" ht="61.5" customHeight="1">
      <c r="B11" s="142">
        <v>7</v>
      </c>
      <c r="C11" s="143" t="str">
        <f>SISWA!B12</f>
        <v>1718250040311</v>
      </c>
      <c r="D11" s="144" t="str">
        <f>SISWA!E12</f>
        <v>CALISTA</v>
      </c>
      <c r="E11" s="159">
        <v>70</v>
      </c>
      <c r="F11" s="160">
        <v>70</v>
      </c>
      <c r="G11" s="160">
        <v>70</v>
      </c>
      <c r="H11" s="160">
        <v>70</v>
      </c>
      <c r="I11" s="160">
        <v>70</v>
      </c>
      <c r="J11" s="159"/>
      <c r="K11" s="159"/>
      <c r="L11" s="159"/>
      <c r="M11" s="159"/>
      <c r="N11" s="159"/>
      <c r="O11" s="159"/>
      <c r="P11" s="159"/>
      <c r="Q11" s="159"/>
      <c r="R11" s="160"/>
      <c r="S11" s="160">
        <v>70</v>
      </c>
      <c r="T11" s="160">
        <v>70</v>
      </c>
      <c r="U11" s="160">
        <v>70</v>
      </c>
      <c r="V11" s="160">
        <v>70</v>
      </c>
      <c r="W11" s="160">
        <v>70</v>
      </c>
      <c r="X11" s="159"/>
      <c r="Y11" s="354">
        <f t="shared" si="4"/>
        <v>70</v>
      </c>
      <c r="Z11" s="355" t="str">
        <f>IF(Y11&gt;KKM!$G$10,"A",IF(Y11&gt;KKM!$H$10,"B",IF(Y11&gt;=KKM!$I$10,"C","D")))</f>
        <v>C</v>
      </c>
      <c r="AA11" s="356">
        <f t="shared" si="0"/>
        <v>70</v>
      </c>
      <c r="AB11" s="361" t="str">
        <f>IF(AA11&gt;KKM!$G$10," sangat baik ",IF(AA11&gt;KKM!$H$10," baik ",IF(AA11&gt;=KKM!$I$10," cukup baik "," perlu bimbingan ")))</f>
        <v xml:space="preserve"> cukup baik </v>
      </c>
      <c r="AC11" s="357">
        <f t="shared" si="1"/>
        <v>70</v>
      </c>
      <c r="AD11" s="361" t="str">
        <f>IF(AC11&gt;KKM!$G$10," sangat baik ",IF(AC11&gt;KKM!$H$10," baik ",IF(AC11&gt;=KKM!$I$10," cukup baik "," perlu bimbingan ")))</f>
        <v xml:space="preserve"> cukup baik </v>
      </c>
      <c r="AE11" s="353" t="str">
        <f t="shared" si="5"/>
        <v xml:space="preserve">CALISTA cukup baik  dalam merespon instruksi sangat sederhana dengan tindakan secara berterima dalam konteks sekolah  </v>
      </c>
      <c r="AF11" s="256"/>
      <c r="AG11" s="257" t="str">
        <f t="shared" si="2"/>
        <v xml:space="preserve"> cukup baik  dalam merespon instruksi sangat sederhana dengan tindakan secara berterima dalam konteks sekolah  </v>
      </c>
      <c r="AH11" s="257" t="str">
        <f t="shared" si="3"/>
        <v xml:space="preserve"> cukup baik  dalam merespon instruksi sangat sederhana dengan tindakan secara berterima dalam konteks sekolah  </v>
      </c>
      <c r="AI11" s="257" t="str">
        <f t="shared" si="6"/>
        <v xml:space="preserve"> cukup baik  dalam merespon instruksi sangat sederhana dengan tindakan secara berterima dalam konteks sekolah  , dan  cukup baik  dalam merespon instruksi sangat sederhana dengan tindakan secara berterima dalam konteks sekolah  </v>
      </c>
      <c r="AJ11" s="257" t="str">
        <f t="shared" si="7"/>
        <v xml:space="preserve"> cukup baik  dalam merespon instruksi sangat sederhana dengan tindakan secara berterima dalam konteks sekolah  </v>
      </c>
      <c r="AK11" s="258" t="str">
        <f t="shared" si="8"/>
        <v xml:space="preserve"> cukup baik  dalam merespon instruksi sangat sederhana dengan tindakan secara berterima dalam konteks sekolah  </v>
      </c>
      <c r="AL11" s="252" t="str">
        <f t="shared" si="9"/>
        <v xml:space="preserve">CALISTA cukup baik  dalam merespon instruksi sangat sederhana dengan tindakan secara berterima dalam konteks sekolah  </v>
      </c>
      <c r="AM11" s="153"/>
    </row>
    <row r="12" spans="1:56" ht="61.5" customHeight="1">
      <c r="B12" s="142">
        <v>8</v>
      </c>
      <c r="C12" s="143" t="str">
        <f>SISWA!B13</f>
        <v>1718250040312</v>
      </c>
      <c r="D12" s="144" t="str">
        <f>SISWA!E13</f>
        <v>CARISSA</v>
      </c>
      <c r="E12" s="159">
        <v>90</v>
      </c>
      <c r="F12" s="160">
        <v>90</v>
      </c>
      <c r="G12" s="160">
        <v>90</v>
      </c>
      <c r="H12" s="160">
        <v>90</v>
      </c>
      <c r="I12" s="160">
        <v>90</v>
      </c>
      <c r="J12" s="159"/>
      <c r="K12" s="159"/>
      <c r="L12" s="159"/>
      <c r="M12" s="159"/>
      <c r="N12" s="159"/>
      <c r="O12" s="159"/>
      <c r="P12" s="159"/>
      <c r="Q12" s="159"/>
      <c r="R12" s="160"/>
      <c r="S12" s="160">
        <v>90</v>
      </c>
      <c r="T12" s="160">
        <v>90</v>
      </c>
      <c r="U12" s="160">
        <v>90</v>
      </c>
      <c r="V12" s="160">
        <v>90</v>
      </c>
      <c r="W12" s="160">
        <v>90</v>
      </c>
      <c r="X12" s="159"/>
      <c r="Y12" s="354">
        <f t="shared" si="4"/>
        <v>90</v>
      </c>
      <c r="Z12" s="355" t="str">
        <f>IF(Y12&gt;KKM!$G$10,"A",IF(Y12&gt;KKM!$H$10,"B",IF(Y12&gt;=KKM!$I$10,"C","D")))</f>
        <v>A</v>
      </c>
      <c r="AA12" s="356">
        <f t="shared" si="0"/>
        <v>90</v>
      </c>
      <c r="AB12" s="361" t="str">
        <f>IF(AA12&gt;KKM!$G$10," sangat baik ",IF(AA12&gt;KKM!$H$10," baik ",IF(AA12&gt;=KKM!$I$10," cukup baik "," perlu bimbingan ")))</f>
        <v xml:space="preserve"> sangat baik </v>
      </c>
      <c r="AC12" s="357">
        <f t="shared" si="1"/>
        <v>90</v>
      </c>
      <c r="AD12" s="361" t="str">
        <f>IF(AC12&gt;KKM!$G$10," sangat baik ",IF(AC12&gt;KKM!$H$10," baik ",IF(AC12&gt;=KKM!$I$10," cukup baik "," perlu bimbingan ")))</f>
        <v xml:space="preserve"> sangat baik </v>
      </c>
      <c r="AE12" s="353" t="str">
        <f t="shared" si="5"/>
        <v xml:space="preserve">CARISSA sangat baik  dalam merespon instruksi sangat sederhana dengan tindakan secara berterima dalam konteks sekolah  </v>
      </c>
      <c r="AF12" s="256"/>
      <c r="AG12" s="257" t="str">
        <f t="shared" si="2"/>
        <v xml:space="preserve"> sangat baik  dalam merespon instruksi sangat sederhana dengan tindakan secara berterima dalam konteks sekolah  </v>
      </c>
      <c r="AH12" s="257" t="str">
        <f t="shared" si="3"/>
        <v xml:space="preserve"> sangat baik  dalam merespon instruksi sangat sederhana dengan tindakan secara berterima dalam konteks sekolah  </v>
      </c>
      <c r="AI12" s="257" t="str">
        <f t="shared" si="6"/>
        <v xml:space="preserve"> sangat baik  dalam merespon instruksi sangat sederhana dengan tindakan secara berterima dalam konteks sekolah  , dan  sangat baik  dalam merespon instruksi sangat sederhana dengan tindakan secara berterima dalam konteks sekolah  </v>
      </c>
      <c r="AJ12" s="257" t="str">
        <f t="shared" si="7"/>
        <v xml:space="preserve"> sangat baik  dalam merespon instruksi sangat sederhana dengan tindakan secara berterima dalam konteks sekolah  </v>
      </c>
      <c r="AK12" s="258" t="str">
        <f t="shared" si="8"/>
        <v xml:space="preserve"> sangat baik  dalam merespon instruksi sangat sederhana dengan tindakan secara berterima dalam konteks sekolah  </v>
      </c>
      <c r="AL12" s="252" t="str">
        <f t="shared" si="9"/>
        <v xml:space="preserve">CARISSA sangat baik  dalam merespon instruksi sangat sederhana dengan tindakan secara berterima dalam konteks sekolah  </v>
      </c>
      <c r="AM12" s="153"/>
    </row>
    <row r="13" spans="1:56" ht="61.5" customHeight="1">
      <c r="B13" s="142">
        <v>9</v>
      </c>
      <c r="C13" s="143" t="str">
        <f>SISWA!B14</f>
        <v>1718250040313</v>
      </c>
      <c r="D13" s="144" t="str">
        <f>SISWA!E14</f>
        <v>CHAIDAR</v>
      </c>
      <c r="E13" s="159">
        <v>85</v>
      </c>
      <c r="F13" s="160">
        <v>85</v>
      </c>
      <c r="G13" s="160">
        <v>85</v>
      </c>
      <c r="H13" s="160">
        <v>85</v>
      </c>
      <c r="I13" s="160">
        <v>85</v>
      </c>
      <c r="J13" s="159"/>
      <c r="K13" s="159"/>
      <c r="L13" s="159"/>
      <c r="M13" s="159"/>
      <c r="N13" s="159"/>
      <c r="O13" s="159"/>
      <c r="P13" s="159"/>
      <c r="Q13" s="159"/>
      <c r="R13" s="160"/>
      <c r="S13" s="160">
        <v>85</v>
      </c>
      <c r="T13" s="160">
        <v>85</v>
      </c>
      <c r="U13" s="160">
        <v>85</v>
      </c>
      <c r="V13" s="160">
        <v>85</v>
      </c>
      <c r="W13" s="160">
        <v>85</v>
      </c>
      <c r="X13" s="159"/>
      <c r="Y13" s="354">
        <f t="shared" si="4"/>
        <v>85</v>
      </c>
      <c r="Z13" s="355" t="str">
        <f>IF(Y13&gt;KKM!$G$10,"A",IF(Y13&gt;KKM!$H$10,"B",IF(Y13&gt;=KKM!$I$10,"C","D")))</f>
        <v>B</v>
      </c>
      <c r="AA13" s="356">
        <f t="shared" si="0"/>
        <v>85</v>
      </c>
      <c r="AB13" s="361" t="str">
        <f>IF(AA13&gt;KKM!$G$10," sangat baik ",IF(AA13&gt;KKM!$H$10," baik ",IF(AA13&gt;=KKM!$I$10," cukup baik "," perlu bimbingan ")))</f>
        <v xml:space="preserve"> baik </v>
      </c>
      <c r="AC13" s="357">
        <f t="shared" si="1"/>
        <v>85</v>
      </c>
      <c r="AD13" s="361" t="str">
        <f>IF(AC13&gt;KKM!$G$10," sangat baik ",IF(AC13&gt;KKM!$H$10," baik ",IF(AC13&gt;=KKM!$I$10," cukup baik "," perlu bimbingan ")))</f>
        <v xml:space="preserve"> baik </v>
      </c>
      <c r="AE13" s="353" t="str">
        <f t="shared" si="5"/>
        <v xml:space="preserve">CHAIDAR baik  dalam merespon instruksi sangat sederhana dengan tindakan secara berterima dalam konteks sekolah  </v>
      </c>
      <c r="AF13" s="256"/>
      <c r="AG13" s="257" t="str">
        <f t="shared" si="2"/>
        <v xml:space="preserve"> baik  dalam merespon instruksi sangat sederhana dengan tindakan secara berterima dalam konteks sekolah  </v>
      </c>
      <c r="AH13" s="257" t="str">
        <f t="shared" si="3"/>
        <v xml:space="preserve"> baik  dalam merespon instruksi sangat sederhana dengan tindakan secara berterima dalam konteks sekolah  </v>
      </c>
      <c r="AI13" s="257" t="str">
        <f t="shared" si="6"/>
        <v xml:space="preserve"> baik  dalam merespon instruksi sangat sederhana dengan tindakan secara berterima dalam konteks sekolah  , dan  baik  dalam merespon instruksi sangat sederhana dengan tindakan secara berterima dalam konteks sekolah  </v>
      </c>
      <c r="AJ13" s="257" t="str">
        <f t="shared" si="7"/>
        <v xml:space="preserve"> baik  dalam merespon instruksi sangat sederhana dengan tindakan secara berterima dalam konteks sekolah  </v>
      </c>
      <c r="AK13" s="258" t="str">
        <f t="shared" si="8"/>
        <v xml:space="preserve"> baik  dalam merespon instruksi sangat sederhana dengan tindakan secara berterima dalam konteks sekolah  </v>
      </c>
      <c r="AL13" s="252" t="str">
        <f t="shared" si="9"/>
        <v xml:space="preserve">CHAIDAR baik  dalam merespon instruksi sangat sederhana dengan tindakan secara berterima dalam konteks sekolah  </v>
      </c>
      <c r="AM13" s="153"/>
    </row>
    <row r="14" spans="1:56" ht="61.5" customHeight="1">
      <c r="B14" s="142">
        <v>10</v>
      </c>
      <c r="C14" s="143" t="str">
        <f>SISWA!B15</f>
        <v>1718250040314</v>
      </c>
      <c r="D14" s="144" t="str">
        <f>SISWA!E15</f>
        <v>DAVKA</v>
      </c>
      <c r="E14" s="159">
        <v>90</v>
      </c>
      <c r="F14" s="160">
        <v>90</v>
      </c>
      <c r="G14" s="160">
        <v>90</v>
      </c>
      <c r="H14" s="160">
        <v>90</v>
      </c>
      <c r="I14" s="160">
        <v>90</v>
      </c>
      <c r="J14" s="159"/>
      <c r="K14" s="159"/>
      <c r="L14" s="159"/>
      <c r="M14" s="159"/>
      <c r="N14" s="159"/>
      <c r="O14" s="159"/>
      <c r="P14" s="159"/>
      <c r="Q14" s="159"/>
      <c r="R14" s="160"/>
      <c r="S14" s="160">
        <v>90</v>
      </c>
      <c r="T14" s="160">
        <v>90</v>
      </c>
      <c r="U14" s="160">
        <v>90</v>
      </c>
      <c r="V14" s="160">
        <v>90</v>
      </c>
      <c r="W14" s="160">
        <v>90</v>
      </c>
      <c r="X14" s="159"/>
      <c r="Y14" s="354">
        <f t="shared" si="4"/>
        <v>90</v>
      </c>
      <c r="Z14" s="355" t="str">
        <f>IF(Y14&gt;KKM!$G$10,"A",IF(Y14&gt;KKM!$H$10,"B",IF(Y14&gt;=KKM!$I$10,"C","D")))</f>
        <v>A</v>
      </c>
      <c r="AA14" s="356">
        <f t="shared" si="0"/>
        <v>90</v>
      </c>
      <c r="AB14" s="361" t="str">
        <f>IF(AA14&gt;KKM!$G$10," sangat baik ",IF(AA14&gt;KKM!$H$10," baik ",IF(AA14&gt;=KKM!$I$10," cukup baik "," perlu bimbingan ")))</f>
        <v xml:space="preserve"> sangat baik </v>
      </c>
      <c r="AC14" s="357">
        <f t="shared" si="1"/>
        <v>90</v>
      </c>
      <c r="AD14" s="361" t="str">
        <f>IF(AC14&gt;KKM!$G$10," sangat baik ",IF(AC14&gt;KKM!$H$10," baik ",IF(AC14&gt;=KKM!$I$10," cukup baik "," perlu bimbingan ")))</f>
        <v xml:space="preserve"> sangat baik </v>
      </c>
      <c r="AE14" s="353" t="str">
        <f t="shared" si="5"/>
        <v xml:space="preserve">DAVKA sangat baik  dalam merespon instruksi sangat sederhana dengan tindakan secara berterima dalam konteks sekolah  </v>
      </c>
      <c r="AF14" s="256"/>
      <c r="AG14" s="257" t="str">
        <f t="shared" si="2"/>
        <v xml:space="preserve"> sangat baik  dalam merespon instruksi sangat sederhana dengan tindakan secara berterima dalam konteks sekolah  </v>
      </c>
      <c r="AH14" s="257" t="str">
        <f t="shared" si="3"/>
        <v xml:space="preserve"> sangat baik  dalam merespon instruksi sangat sederhana dengan tindakan secara berterima dalam konteks sekolah  </v>
      </c>
      <c r="AI14" s="257" t="str">
        <f t="shared" si="6"/>
        <v xml:space="preserve"> sangat baik  dalam merespon instruksi sangat sederhana dengan tindakan secara berterima dalam konteks sekolah  , dan  sangat baik  dalam merespon instruksi sangat sederhana dengan tindakan secara berterima dalam konteks sekolah  </v>
      </c>
      <c r="AJ14" s="257" t="str">
        <f t="shared" si="7"/>
        <v xml:space="preserve"> sangat baik  dalam merespon instruksi sangat sederhana dengan tindakan secara berterima dalam konteks sekolah  </v>
      </c>
      <c r="AK14" s="258" t="str">
        <f t="shared" si="8"/>
        <v xml:space="preserve"> sangat baik  dalam merespon instruksi sangat sederhana dengan tindakan secara berterima dalam konteks sekolah  </v>
      </c>
      <c r="AL14" s="252" t="str">
        <f t="shared" si="9"/>
        <v xml:space="preserve">DAVKA sangat baik  dalam merespon instruksi sangat sederhana dengan tindakan secara berterima dalam konteks sekolah  </v>
      </c>
      <c r="AM14" s="153"/>
    </row>
    <row r="15" spans="1:56" ht="61.5" customHeight="1">
      <c r="B15" s="142">
        <v>11</v>
      </c>
      <c r="C15" s="143" t="str">
        <f>SISWA!B16</f>
        <v>1718250040315</v>
      </c>
      <c r="D15" s="144" t="str">
        <f>SISWA!E16</f>
        <v>DZIBRIL</v>
      </c>
      <c r="E15" s="159">
        <v>74</v>
      </c>
      <c r="F15" s="160">
        <v>74</v>
      </c>
      <c r="G15" s="160">
        <v>74</v>
      </c>
      <c r="H15" s="160">
        <v>74</v>
      </c>
      <c r="I15" s="160">
        <v>74</v>
      </c>
      <c r="J15" s="159"/>
      <c r="K15" s="159"/>
      <c r="L15" s="159"/>
      <c r="M15" s="159"/>
      <c r="N15" s="159"/>
      <c r="O15" s="159"/>
      <c r="P15" s="159"/>
      <c r="Q15" s="159"/>
      <c r="R15" s="160"/>
      <c r="S15" s="160">
        <v>74</v>
      </c>
      <c r="T15" s="160">
        <v>74</v>
      </c>
      <c r="U15" s="160">
        <v>74</v>
      </c>
      <c r="V15" s="160">
        <v>74</v>
      </c>
      <c r="W15" s="160">
        <v>74</v>
      </c>
      <c r="X15" s="159"/>
      <c r="Y15" s="354">
        <f t="shared" si="4"/>
        <v>74</v>
      </c>
      <c r="Z15" s="355" t="str">
        <f>IF(Y15&gt;KKM!$G$10,"A",IF(Y15&gt;KKM!$H$10,"B",IF(Y15&gt;=KKM!$I$10,"C","D")))</f>
        <v>C</v>
      </c>
      <c r="AA15" s="356">
        <f t="shared" si="0"/>
        <v>74</v>
      </c>
      <c r="AB15" s="361" t="str">
        <f>IF(AA15&gt;KKM!$G$10," sangat baik ",IF(AA15&gt;KKM!$H$10," baik ",IF(AA15&gt;=KKM!$I$10," cukup baik "," perlu bimbingan ")))</f>
        <v xml:space="preserve"> cukup baik </v>
      </c>
      <c r="AC15" s="357">
        <f t="shared" si="1"/>
        <v>74</v>
      </c>
      <c r="AD15" s="361" t="str">
        <f>IF(AC15&gt;KKM!$G$10," sangat baik ",IF(AC15&gt;KKM!$H$10," baik ",IF(AC15&gt;=KKM!$I$10," cukup baik "," perlu bimbingan ")))</f>
        <v xml:space="preserve"> cukup baik </v>
      </c>
      <c r="AE15" s="353" t="str">
        <f t="shared" si="5"/>
        <v xml:space="preserve">DZIBRIL cukup baik  dalam merespon instruksi sangat sederhana dengan tindakan secara berterima dalam konteks sekolah  </v>
      </c>
      <c r="AF15" s="256"/>
      <c r="AG15" s="257" t="str">
        <f t="shared" si="2"/>
        <v xml:space="preserve"> cukup baik  dalam merespon instruksi sangat sederhana dengan tindakan secara berterima dalam konteks sekolah  </v>
      </c>
      <c r="AH15" s="257" t="str">
        <f t="shared" si="3"/>
        <v xml:space="preserve"> cukup baik  dalam merespon instruksi sangat sederhana dengan tindakan secara berterima dalam konteks sekolah  </v>
      </c>
      <c r="AI15" s="257" t="str">
        <f t="shared" si="6"/>
        <v xml:space="preserve"> cukup baik  dalam merespon instruksi sangat sederhana dengan tindakan secara berterima dalam konteks sekolah  , dan  cukup baik  dalam merespon instruksi sangat sederhana dengan tindakan secara berterima dalam konteks sekolah  </v>
      </c>
      <c r="AJ15" s="257" t="str">
        <f t="shared" si="7"/>
        <v xml:space="preserve"> cukup baik  dalam merespon instruksi sangat sederhana dengan tindakan secara berterima dalam konteks sekolah  </v>
      </c>
      <c r="AK15" s="258" t="str">
        <f t="shared" si="8"/>
        <v xml:space="preserve"> cukup baik  dalam merespon instruksi sangat sederhana dengan tindakan secara berterima dalam konteks sekolah  </v>
      </c>
      <c r="AL15" s="252" t="str">
        <f t="shared" si="9"/>
        <v xml:space="preserve">DZIBRIL cukup baik  dalam merespon instruksi sangat sederhana dengan tindakan secara berterima dalam konteks sekolah  </v>
      </c>
      <c r="AM15" s="153"/>
    </row>
    <row r="16" spans="1:56" ht="61.5" customHeight="1">
      <c r="B16" s="142">
        <v>12</v>
      </c>
      <c r="C16" s="143" t="str">
        <f>SISWA!B17</f>
        <v>1718250040316</v>
      </c>
      <c r="D16" s="144" t="str">
        <f>SISWA!E17</f>
        <v>ERICHA</v>
      </c>
      <c r="E16" s="159">
        <v>86</v>
      </c>
      <c r="F16" s="160">
        <v>86</v>
      </c>
      <c r="G16" s="160">
        <v>86</v>
      </c>
      <c r="H16" s="160">
        <v>86</v>
      </c>
      <c r="I16" s="160">
        <v>86</v>
      </c>
      <c r="J16" s="159"/>
      <c r="K16" s="159"/>
      <c r="L16" s="159"/>
      <c r="M16" s="159"/>
      <c r="N16" s="159"/>
      <c r="O16" s="159"/>
      <c r="P16" s="159"/>
      <c r="Q16" s="159"/>
      <c r="R16" s="160"/>
      <c r="S16" s="160">
        <v>86</v>
      </c>
      <c r="T16" s="160">
        <v>86</v>
      </c>
      <c r="U16" s="160">
        <v>86</v>
      </c>
      <c r="V16" s="160">
        <v>86</v>
      </c>
      <c r="W16" s="160">
        <v>86</v>
      </c>
      <c r="X16" s="159"/>
      <c r="Y16" s="354">
        <f t="shared" si="4"/>
        <v>86</v>
      </c>
      <c r="Z16" s="355" t="str">
        <f>IF(Y16&gt;KKM!$G$10,"A",IF(Y16&gt;KKM!$H$10,"B",IF(Y16&gt;=KKM!$I$10,"C","D")))</f>
        <v>B</v>
      </c>
      <c r="AA16" s="356">
        <f t="shared" si="0"/>
        <v>86</v>
      </c>
      <c r="AB16" s="361" t="str">
        <f>IF(AA16&gt;KKM!$G$10," sangat baik ",IF(AA16&gt;KKM!$H$10," baik ",IF(AA16&gt;=KKM!$I$10," cukup baik "," perlu bimbingan ")))</f>
        <v xml:space="preserve"> baik </v>
      </c>
      <c r="AC16" s="357">
        <f t="shared" si="1"/>
        <v>86</v>
      </c>
      <c r="AD16" s="361" t="str">
        <f>IF(AC16&gt;KKM!$G$10," sangat baik ",IF(AC16&gt;KKM!$H$10," baik ",IF(AC16&gt;=KKM!$I$10," cukup baik "," perlu bimbingan ")))</f>
        <v xml:space="preserve"> baik </v>
      </c>
      <c r="AE16" s="353" t="str">
        <f t="shared" si="5"/>
        <v xml:space="preserve">ERICHA baik  dalam merespon instruksi sangat sederhana dengan tindakan secara berterima dalam konteks sekolah  </v>
      </c>
      <c r="AF16" s="256"/>
      <c r="AG16" s="257" t="str">
        <f t="shared" si="2"/>
        <v xml:space="preserve"> baik  dalam merespon instruksi sangat sederhana dengan tindakan secara berterima dalam konteks sekolah  </v>
      </c>
      <c r="AH16" s="257" t="str">
        <f t="shared" si="3"/>
        <v xml:space="preserve"> baik  dalam merespon instruksi sangat sederhana dengan tindakan secara berterima dalam konteks sekolah  </v>
      </c>
      <c r="AI16" s="257" t="str">
        <f t="shared" si="6"/>
        <v xml:space="preserve"> baik  dalam merespon instruksi sangat sederhana dengan tindakan secara berterima dalam konteks sekolah  , dan  baik  dalam merespon instruksi sangat sederhana dengan tindakan secara berterima dalam konteks sekolah  </v>
      </c>
      <c r="AJ16" s="257" t="str">
        <f t="shared" si="7"/>
        <v xml:space="preserve"> baik  dalam merespon instruksi sangat sederhana dengan tindakan secara berterima dalam konteks sekolah  </v>
      </c>
      <c r="AK16" s="258" t="str">
        <f t="shared" si="8"/>
        <v xml:space="preserve"> baik  dalam merespon instruksi sangat sederhana dengan tindakan secara berterima dalam konteks sekolah  </v>
      </c>
      <c r="AL16" s="252" t="str">
        <f t="shared" si="9"/>
        <v xml:space="preserve">ERICHA baik  dalam merespon instruksi sangat sederhana dengan tindakan secara berterima dalam konteks sekolah  </v>
      </c>
      <c r="AM16" s="153"/>
    </row>
    <row r="17" spans="2:39" ht="61.5" customHeight="1">
      <c r="B17" s="142">
        <v>13</v>
      </c>
      <c r="C17" s="143" t="str">
        <f>SISWA!B18</f>
        <v>1718250040317</v>
      </c>
      <c r="D17" s="144" t="str">
        <f>SISWA!E18</f>
        <v>HISYAM</v>
      </c>
      <c r="E17" s="159">
        <v>86</v>
      </c>
      <c r="F17" s="160">
        <v>86</v>
      </c>
      <c r="G17" s="160">
        <v>86</v>
      </c>
      <c r="H17" s="160">
        <v>86</v>
      </c>
      <c r="I17" s="160">
        <v>86</v>
      </c>
      <c r="J17" s="159"/>
      <c r="K17" s="159"/>
      <c r="L17" s="159"/>
      <c r="M17" s="159"/>
      <c r="N17" s="159"/>
      <c r="O17" s="159"/>
      <c r="P17" s="159"/>
      <c r="Q17" s="159"/>
      <c r="R17" s="160"/>
      <c r="S17" s="160">
        <v>86</v>
      </c>
      <c r="T17" s="160">
        <v>86</v>
      </c>
      <c r="U17" s="160">
        <v>86</v>
      </c>
      <c r="V17" s="160">
        <v>86</v>
      </c>
      <c r="W17" s="160">
        <v>86</v>
      </c>
      <c r="X17" s="159"/>
      <c r="Y17" s="354">
        <f t="shared" si="4"/>
        <v>86</v>
      </c>
      <c r="Z17" s="355" t="str">
        <f>IF(Y17&gt;KKM!$G$10,"A",IF(Y17&gt;KKM!$H$10,"B",IF(Y17&gt;=KKM!$I$10,"C","D")))</f>
        <v>B</v>
      </c>
      <c r="AA17" s="356">
        <f t="shared" si="0"/>
        <v>86</v>
      </c>
      <c r="AB17" s="361" t="str">
        <f>IF(AA17&gt;KKM!$G$10," sangat baik ",IF(AA17&gt;KKM!$H$10," baik ",IF(AA17&gt;=KKM!$I$10," cukup baik "," perlu bimbingan ")))</f>
        <v xml:space="preserve"> baik </v>
      </c>
      <c r="AC17" s="357">
        <f t="shared" si="1"/>
        <v>86</v>
      </c>
      <c r="AD17" s="361" t="str">
        <f>IF(AC17&gt;KKM!$G$10," sangat baik ",IF(AC17&gt;KKM!$H$10," baik ",IF(AC17&gt;=KKM!$I$10," cukup baik "," perlu bimbingan ")))</f>
        <v xml:space="preserve"> baik </v>
      </c>
      <c r="AE17" s="353" t="str">
        <f t="shared" si="5"/>
        <v xml:space="preserve">HISYAM baik  dalam merespon instruksi sangat sederhana dengan tindakan secara berterima dalam konteks sekolah  </v>
      </c>
      <c r="AF17" s="256"/>
      <c r="AG17" s="257" t="str">
        <f t="shared" si="2"/>
        <v xml:space="preserve"> baik  dalam merespon instruksi sangat sederhana dengan tindakan secara berterima dalam konteks sekolah  </v>
      </c>
      <c r="AH17" s="257" t="str">
        <f t="shared" si="3"/>
        <v xml:space="preserve"> baik  dalam merespon instruksi sangat sederhana dengan tindakan secara berterima dalam konteks sekolah  </v>
      </c>
      <c r="AI17" s="257" t="str">
        <f t="shared" si="6"/>
        <v xml:space="preserve"> baik  dalam merespon instruksi sangat sederhana dengan tindakan secara berterima dalam konteks sekolah  , dan  baik  dalam merespon instruksi sangat sederhana dengan tindakan secara berterima dalam konteks sekolah  </v>
      </c>
      <c r="AJ17" s="257" t="str">
        <f t="shared" si="7"/>
        <v xml:space="preserve"> baik  dalam merespon instruksi sangat sederhana dengan tindakan secara berterima dalam konteks sekolah  </v>
      </c>
      <c r="AK17" s="258" t="str">
        <f t="shared" si="8"/>
        <v xml:space="preserve"> baik  dalam merespon instruksi sangat sederhana dengan tindakan secara berterima dalam konteks sekolah  </v>
      </c>
      <c r="AL17" s="252" t="str">
        <f t="shared" si="9"/>
        <v xml:space="preserve">HISYAM baik  dalam merespon instruksi sangat sederhana dengan tindakan secara berterima dalam konteks sekolah  </v>
      </c>
      <c r="AM17" s="153"/>
    </row>
    <row r="18" spans="2:39" ht="61.5" customHeight="1">
      <c r="B18" s="142">
        <v>14</v>
      </c>
      <c r="C18" s="143" t="str">
        <f>SISWA!B19</f>
        <v>1718250040318</v>
      </c>
      <c r="D18" s="144" t="str">
        <f>SISWA!E19</f>
        <v>FAUZI</v>
      </c>
      <c r="E18" s="159">
        <v>75</v>
      </c>
      <c r="F18" s="160">
        <v>75</v>
      </c>
      <c r="G18" s="160">
        <v>75</v>
      </c>
      <c r="H18" s="160">
        <v>75</v>
      </c>
      <c r="I18" s="160">
        <v>75</v>
      </c>
      <c r="J18" s="159"/>
      <c r="K18" s="159"/>
      <c r="L18" s="159"/>
      <c r="M18" s="159"/>
      <c r="N18" s="159"/>
      <c r="O18" s="159"/>
      <c r="P18" s="159"/>
      <c r="Q18" s="159"/>
      <c r="R18" s="160"/>
      <c r="S18" s="160">
        <v>75</v>
      </c>
      <c r="T18" s="160">
        <v>75</v>
      </c>
      <c r="U18" s="160">
        <v>75</v>
      </c>
      <c r="V18" s="160">
        <v>75</v>
      </c>
      <c r="W18" s="160">
        <v>75</v>
      </c>
      <c r="X18" s="159"/>
      <c r="Y18" s="354">
        <f t="shared" si="4"/>
        <v>75</v>
      </c>
      <c r="Z18" s="355" t="str">
        <f>IF(Y18&gt;KKM!$G$10,"A",IF(Y18&gt;KKM!$H$10,"B",IF(Y18&gt;=KKM!$I$10,"C","D")))</f>
        <v>C</v>
      </c>
      <c r="AA18" s="356">
        <f t="shared" si="0"/>
        <v>75</v>
      </c>
      <c r="AB18" s="361" t="str">
        <f>IF(AA18&gt;KKM!$G$10," sangat baik ",IF(AA18&gt;KKM!$H$10," baik ",IF(AA18&gt;=KKM!$I$10," cukup baik "," perlu bimbingan ")))</f>
        <v xml:space="preserve"> cukup baik </v>
      </c>
      <c r="AC18" s="357">
        <f t="shared" si="1"/>
        <v>75</v>
      </c>
      <c r="AD18" s="361" t="str">
        <f>IF(AC18&gt;KKM!$G$10," sangat baik ",IF(AC18&gt;KKM!$H$10," baik ",IF(AC18&gt;=KKM!$I$10," cukup baik "," perlu bimbingan ")))</f>
        <v xml:space="preserve"> cukup baik </v>
      </c>
      <c r="AE18" s="353" t="str">
        <f t="shared" si="5"/>
        <v xml:space="preserve">FAUZI cukup baik  dalam merespon instruksi sangat sederhana dengan tindakan secara berterima dalam konteks sekolah  </v>
      </c>
      <c r="AF18" s="256"/>
      <c r="AG18" s="257" t="str">
        <f t="shared" si="2"/>
        <v xml:space="preserve"> cukup baik  dalam merespon instruksi sangat sederhana dengan tindakan secara berterima dalam konteks sekolah  </v>
      </c>
      <c r="AH18" s="257" t="str">
        <f t="shared" si="3"/>
        <v xml:space="preserve"> cukup baik  dalam merespon instruksi sangat sederhana dengan tindakan secara berterima dalam konteks sekolah  </v>
      </c>
      <c r="AI18" s="257" t="str">
        <f t="shared" si="6"/>
        <v xml:space="preserve"> cukup baik  dalam merespon instruksi sangat sederhana dengan tindakan secara berterima dalam konteks sekolah  , dan  cukup baik  dalam merespon instruksi sangat sederhana dengan tindakan secara berterima dalam konteks sekolah  </v>
      </c>
      <c r="AJ18" s="257" t="str">
        <f t="shared" si="7"/>
        <v xml:space="preserve"> cukup baik  dalam merespon instruksi sangat sederhana dengan tindakan secara berterima dalam konteks sekolah  </v>
      </c>
      <c r="AK18" s="258" t="str">
        <f t="shared" si="8"/>
        <v xml:space="preserve"> cukup baik  dalam merespon instruksi sangat sederhana dengan tindakan secara berterima dalam konteks sekolah  </v>
      </c>
      <c r="AL18" s="252" t="str">
        <f t="shared" si="9"/>
        <v xml:space="preserve">FAUZI cukup baik  dalam merespon instruksi sangat sederhana dengan tindakan secara berterima dalam konteks sekolah  </v>
      </c>
      <c r="AM18" s="153"/>
    </row>
    <row r="19" spans="2:39" ht="61.5" customHeight="1">
      <c r="B19" s="142">
        <v>15</v>
      </c>
      <c r="C19" s="143" t="str">
        <f>SISWA!B20</f>
        <v>1718250040319</v>
      </c>
      <c r="D19" s="144" t="str">
        <f>SISWA!E20</f>
        <v>FIRLY</v>
      </c>
      <c r="E19" s="159">
        <v>90</v>
      </c>
      <c r="F19" s="160">
        <v>90</v>
      </c>
      <c r="G19" s="160">
        <v>90</v>
      </c>
      <c r="H19" s="160">
        <v>90</v>
      </c>
      <c r="I19" s="160">
        <v>90</v>
      </c>
      <c r="J19" s="159"/>
      <c r="K19" s="159"/>
      <c r="L19" s="159"/>
      <c r="M19" s="159"/>
      <c r="N19" s="159"/>
      <c r="O19" s="159"/>
      <c r="P19" s="159"/>
      <c r="Q19" s="159"/>
      <c r="R19" s="160"/>
      <c r="S19" s="160">
        <v>90</v>
      </c>
      <c r="T19" s="160">
        <v>90</v>
      </c>
      <c r="U19" s="160">
        <v>90</v>
      </c>
      <c r="V19" s="160">
        <v>90</v>
      </c>
      <c r="W19" s="160">
        <v>90</v>
      </c>
      <c r="X19" s="159"/>
      <c r="Y19" s="354">
        <f t="shared" si="4"/>
        <v>90</v>
      </c>
      <c r="Z19" s="355" t="str">
        <f>IF(Y19&gt;KKM!$G$10,"A",IF(Y19&gt;KKM!$H$10,"B",IF(Y19&gt;=KKM!$I$10,"C","D")))</f>
        <v>A</v>
      </c>
      <c r="AA19" s="356">
        <f t="shared" si="0"/>
        <v>90</v>
      </c>
      <c r="AB19" s="361" t="str">
        <f>IF(AA19&gt;KKM!$G$10," sangat baik ",IF(AA19&gt;KKM!$H$10," baik ",IF(AA19&gt;=KKM!$I$10," cukup baik "," perlu bimbingan ")))</f>
        <v xml:space="preserve"> sangat baik </v>
      </c>
      <c r="AC19" s="357">
        <f t="shared" si="1"/>
        <v>90</v>
      </c>
      <c r="AD19" s="361" t="str">
        <f>IF(AC19&gt;KKM!$G$10," sangat baik ",IF(AC19&gt;KKM!$H$10," baik ",IF(AC19&gt;=KKM!$I$10," cukup baik "," perlu bimbingan ")))</f>
        <v xml:space="preserve"> sangat baik </v>
      </c>
      <c r="AE19" s="353" t="str">
        <f t="shared" si="5"/>
        <v xml:space="preserve">FIRLY sangat baik  dalam merespon instruksi sangat sederhana dengan tindakan secara berterima dalam konteks sekolah  </v>
      </c>
      <c r="AF19" s="256"/>
      <c r="AG19" s="257" t="str">
        <f t="shared" si="2"/>
        <v xml:space="preserve"> sangat baik  dalam merespon instruksi sangat sederhana dengan tindakan secara berterima dalam konteks sekolah  </v>
      </c>
      <c r="AH19" s="257" t="str">
        <f t="shared" si="3"/>
        <v xml:space="preserve"> sangat baik  dalam merespon instruksi sangat sederhana dengan tindakan secara berterima dalam konteks sekolah  </v>
      </c>
      <c r="AI19" s="257" t="str">
        <f t="shared" si="6"/>
        <v xml:space="preserve"> sangat baik  dalam merespon instruksi sangat sederhana dengan tindakan secara berterima dalam konteks sekolah  , dan  sangat baik  dalam merespon instruksi sangat sederhana dengan tindakan secara berterima dalam konteks sekolah  </v>
      </c>
      <c r="AJ19" s="257" t="str">
        <f t="shared" si="7"/>
        <v xml:space="preserve"> sangat baik  dalam merespon instruksi sangat sederhana dengan tindakan secara berterima dalam konteks sekolah  </v>
      </c>
      <c r="AK19" s="258" t="str">
        <f t="shared" si="8"/>
        <v xml:space="preserve"> sangat baik  dalam merespon instruksi sangat sederhana dengan tindakan secara berterima dalam konteks sekolah  </v>
      </c>
      <c r="AL19" s="252" t="str">
        <f t="shared" si="9"/>
        <v xml:space="preserve">FIRLY sangat baik  dalam merespon instruksi sangat sederhana dengan tindakan secara berterima dalam konteks sekolah  </v>
      </c>
      <c r="AM19" s="153"/>
    </row>
    <row r="20" spans="2:39" ht="61.5" customHeight="1">
      <c r="B20" s="142">
        <v>16</v>
      </c>
      <c r="C20" s="143" t="str">
        <f>SISWA!B21</f>
        <v>1718250040320</v>
      </c>
      <c r="D20" s="144" t="str">
        <f>SISWA!E21</f>
        <v>HANA</v>
      </c>
      <c r="E20" s="159">
        <v>75</v>
      </c>
      <c r="F20" s="160">
        <v>75</v>
      </c>
      <c r="G20" s="160">
        <v>75</v>
      </c>
      <c r="H20" s="160">
        <v>75</v>
      </c>
      <c r="I20" s="160">
        <v>75</v>
      </c>
      <c r="J20" s="159"/>
      <c r="K20" s="159"/>
      <c r="L20" s="159"/>
      <c r="M20" s="159"/>
      <c r="N20" s="159"/>
      <c r="O20" s="159"/>
      <c r="P20" s="159"/>
      <c r="Q20" s="159"/>
      <c r="R20" s="160"/>
      <c r="S20" s="160">
        <v>75</v>
      </c>
      <c r="T20" s="160">
        <v>75</v>
      </c>
      <c r="U20" s="160">
        <v>75</v>
      </c>
      <c r="V20" s="160">
        <v>75</v>
      </c>
      <c r="W20" s="160">
        <v>75</v>
      </c>
      <c r="X20" s="159"/>
      <c r="Y20" s="354">
        <f t="shared" si="4"/>
        <v>75</v>
      </c>
      <c r="Z20" s="355" t="str">
        <f>IF(Y20&gt;KKM!$G$10,"A",IF(Y20&gt;KKM!$H$10,"B",IF(Y20&gt;=KKM!$I$10,"C","D")))</f>
        <v>C</v>
      </c>
      <c r="AA20" s="356">
        <f t="shared" si="0"/>
        <v>75</v>
      </c>
      <c r="AB20" s="361" t="str">
        <f>IF(AA20&gt;KKM!$G$10," sangat baik ",IF(AA20&gt;KKM!$H$10," baik ",IF(AA20&gt;=KKM!$I$10," cukup baik "," perlu bimbingan ")))</f>
        <v xml:space="preserve"> cukup baik </v>
      </c>
      <c r="AC20" s="357">
        <f t="shared" si="1"/>
        <v>75</v>
      </c>
      <c r="AD20" s="361" t="str">
        <f>IF(AC20&gt;KKM!$G$10," sangat baik ",IF(AC20&gt;KKM!$H$10," baik ",IF(AC20&gt;=KKM!$I$10," cukup baik "," perlu bimbingan ")))</f>
        <v xml:space="preserve"> cukup baik </v>
      </c>
      <c r="AE20" s="353" t="str">
        <f t="shared" si="5"/>
        <v xml:space="preserve">HANA cukup baik  dalam merespon instruksi sangat sederhana dengan tindakan secara berterima dalam konteks sekolah  </v>
      </c>
      <c r="AF20" s="256"/>
      <c r="AG20" s="257" t="str">
        <f t="shared" si="2"/>
        <v xml:space="preserve"> cukup baik  dalam merespon instruksi sangat sederhana dengan tindakan secara berterima dalam konteks sekolah  </v>
      </c>
      <c r="AH20" s="257" t="str">
        <f t="shared" si="3"/>
        <v xml:space="preserve"> cukup baik  dalam merespon instruksi sangat sederhana dengan tindakan secara berterima dalam konteks sekolah  </v>
      </c>
      <c r="AI20" s="257" t="str">
        <f t="shared" si="6"/>
        <v xml:space="preserve"> cukup baik  dalam merespon instruksi sangat sederhana dengan tindakan secara berterima dalam konteks sekolah  , dan  cukup baik  dalam merespon instruksi sangat sederhana dengan tindakan secara berterima dalam konteks sekolah  </v>
      </c>
      <c r="AJ20" s="257" t="str">
        <f t="shared" si="7"/>
        <v xml:space="preserve"> cukup baik  dalam merespon instruksi sangat sederhana dengan tindakan secara berterima dalam konteks sekolah  </v>
      </c>
      <c r="AK20" s="258" t="str">
        <f t="shared" si="8"/>
        <v xml:space="preserve"> cukup baik  dalam merespon instruksi sangat sederhana dengan tindakan secara berterima dalam konteks sekolah  </v>
      </c>
      <c r="AL20" s="252" t="str">
        <f t="shared" si="9"/>
        <v xml:space="preserve">HANA cukup baik  dalam merespon instruksi sangat sederhana dengan tindakan secara berterima dalam konteks sekolah  </v>
      </c>
      <c r="AM20" s="153"/>
    </row>
    <row r="21" spans="2:39" ht="61.5" customHeight="1">
      <c r="B21" s="142">
        <v>17</v>
      </c>
      <c r="C21" s="143" t="str">
        <f>SISWA!B22</f>
        <v>1718250040321</v>
      </c>
      <c r="D21" s="144" t="str">
        <f>SISWA!E22</f>
        <v>MALLA</v>
      </c>
      <c r="E21" s="159">
        <v>90</v>
      </c>
      <c r="F21" s="160">
        <v>90</v>
      </c>
      <c r="G21" s="160">
        <v>90</v>
      </c>
      <c r="H21" s="160">
        <v>90</v>
      </c>
      <c r="I21" s="160">
        <v>90</v>
      </c>
      <c r="J21" s="159"/>
      <c r="K21" s="159"/>
      <c r="L21" s="159"/>
      <c r="M21" s="159"/>
      <c r="N21" s="159"/>
      <c r="O21" s="159"/>
      <c r="P21" s="159"/>
      <c r="Q21" s="159"/>
      <c r="R21" s="160"/>
      <c r="S21" s="160">
        <v>90</v>
      </c>
      <c r="T21" s="160">
        <v>90</v>
      </c>
      <c r="U21" s="160">
        <v>90</v>
      </c>
      <c r="V21" s="160">
        <v>90</v>
      </c>
      <c r="W21" s="160">
        <v>90</v>
      </c>
      <c r="X21" s="159"/>
      <c r="Y21" s="354">
        <f t="shared" si="4"/>
        <v>90</v>
      </c>
      <c r="Z21" s="355" t="str">
        <f>IF(Y21&gt;KKM!$G$10,"A",IF(Y21&gt;KKM!$H$10,"B",IF(Y21&gt;=KKM!$I$10,"C","D")))</f>
        <v>A</v>
      </c>
      <c r="AA21" s="356">
        <f t="shared" si="0"/>
        <v>90</v>
      </c>
      <c r="AB21" s="361" t="str">
        <f>IF(AA21&gt;KKM!$G$10," sangat baik ",IF(AA21&gt;KKM!$H$10," baik ",IF(AA21&gt;=KKM!$I$10," cukup baik "," perlu bimbingan ")))</f>
        <v xml:space="preserve"> sangat baik </v>
      </c>
      <c r="AC21" s="357">
        <f t="shared" si="1"/>
        <v>90</v>
      </c>
      <c r="AD21" s="361" t="str">
        <f>IF(AC21&gt;KKM!$G$10," sangat baik ",IF(AC21&gt;KKM!$H$10," baik ",IF(AC21&gt;=KKM!$I$10," cukup baik "," perlu bimbingan ")))</f>
        <v xml:space="preserve"> sangat baik </v>
      </c>
      <c r="AE21" s="353" t="str">
        <f t="shared" si="5"/>
        <v xml:space="preserve">MALLA sangat baik  dalam merespon instruksi sangat sederhana dengan tindakan secara berterima dalam konteks sekolah  </v>
      </c>
      <c r="AF21" s="256"/>
      <c r="AG21" s="257" t="str">
        <f t="shared" si="2"/>
        <v xml:space="preserve"> sangat baik  dalam merespon instruksi sangat sederhana dengan tindakan secara berterima dalam konteks sekolah  </v>
      </c>
      <c r="AH21" s="257" t="str">
        <f t="shared" si="3"/>
        <v xml:space="preserve"> sangat baik  dalam merespon instruksi sangat sederhana dengan tindakan secara berterima dalam konteks sekolah  </v>
      </c>
      <c r="AI21" s="257" t="str">
        <f t="shared" si="6"/>
        <v xml:space="preserve"> sangat baik  dalam merespon instruksi sangat sederhana dengan tindakan secara berterima dalam konteks sekolah  , dan  sangat baik  dalam merespon instruksi sangat sederhana dengan tindakan secara berterima dalam konteks sekolah  </v>
      </c>
      <c r="AJ21" s="257" t="str">
        <f t="shared" si="7"/>
        <v xml:space="preserve"> sangat baik  dalam merespon instruksi sangat sederhana dengan tindakan secara berterima dalam konteks sekolah  </v>
      </c>
      <c r="AK21" s="258" t="str">
        <f t="shared" si="8"/>
        <v xml:space="preserve"> sangat baik  dalam merespon instruksi sangat sederhana dengan tindakan secara berterima dalam konteks sekolah  </v>
      </c>
      <c r="AL21" s="252" t="str">
        <f t="shared" si="9"/>
        <v xml:space="preserve">MALLA sangat baik  dalam merespon instruksi sangat sederhana dengan tindakan secara berterima dalam konteks sekolah  </v>
      </c>
      <c r="AM21" s="153"/>
    </row>
    <row r="22" spans="2:39" ht="61.5" customHeight="1">
      <c r="B22" s="142">
        <v>18</v>
      </c>
      <c r="C22" s="143" t="str">
        <f>SISWA!B23</f>
        <v>1718250040322</v>
      </c>
      <c r="D22" s="144" t="str">
        <f>SISWA!E23</f>
        <v>INTAN</v>
      </c>
      <c r="E22" s="159">
        <v>75</v>
      </c>
      <c r="F22" s="160">
        <v>75</v>
      </c>
      <c r="G22" s="160">
        <v>75</v>
      </c>
      <c r="H22" s="160">
        <v>75</v>
      </c>
      <c r="I22" s="160">
        <v>75</v>
      </c>
      <c r="J22" s="159"/>
      <c r="K22" s="159"/>
      <c r="L22" s="159"/>
      <c r="M22" s="159"/>
      <c r="N22" s="159"/>
      <c r="O22" s="159"/>
      <c r="P22" s="159"/>
      <c r="Q22" s="159"/>
      <c r="R22" s="160"/>
      <c r="S22" s="160">
        <v>75</v>
      </c>
      <c r="T22" s="160">
        <v>75</v>
      </c>
      <c r="U22" s="160">
        <v>75</v>
      </c>
      <c r="V22" s="160">
        <v>75</v>
      </c>
      <c r="W22" s="160">
        <v>75</v>
      </c>
      <c r="X22" s="159"/>
      <c r="Y22" s="354">
        <f t="shared" si="4"/>
        <v>75</v>
      </c>
      <c r="Z22" s="355" t="str">
        <f>IF(Y22&gt;KKM!$G$10,"A",IF(Y22&gt;KKM!$H$10,"B",IF(Y22&gt;=KKM!$I$10,"C","D")))</f>
        <v>C</v>
      </c>
      <c r="AA22" s="356">
        <f t="shared" si="0"/>
        <v>75</v>
      </c>
      <c r="AB22" s="361" t="str">
        <f>IF(AA22&gt;KKM!$G$10," sangat baik ",IF(AA22&gt;KKM!$H$10," baik ",IF(AA22&gt;=KKM!$I$10," cukup baik "," perlu bimbingan ")))</f>
        <v xml:space="preserve"> cukup baik </v>
      </c>
      <c r="AC22" s="357">
        <f t="shared" si="1"/>
        <v>75</v>
      </c>
      <c r="AD22" s="361" t="str">
        <f>IF(AC22&gt;KKM!$G$10," sangat baik ",IF(AC22&gt;KKM!$H$10," baik ",IF(AC22&gt;=KKM!$I$10," cukup baik "," perlu bimbingan ")))</f>
        <v xml:space="preserve"> cukup baik </v>
      </c>
      <c r="AE22" s="353" t="str">
        <f t="shared" si="5"/>
        <v xml:space="preserve">INTAN cukup baik  dalam merespon instruksi sangat sederhana dengan tindakan secara berterima dalam konteks sekolah  </v>
      </c>
      <c r="AF22" s="256"/>
      <c r="AG22" s="257" t="str">
        <f t="shared" si="2"/>
        <v xml:space="preserve"> cukup baik  dalam merespon instruksi sangat sederhana dengan tindakan secara berterima dalam konteks sekolah  </v>
      </c>
      <c r="AH22" s="257" t="str">
        <f t="shared" si="3"/>
        <v xml:space="preserve"> cukup baik  dalam merespon instruksi sangat sederhana dengan tindakan secara berterima dalam konteks sekolah  </v>
      </c>
      <c r="AI22" s="257" t="str">
        <f t="shared" si="6"/>
        <v xml:space="preserve"> cukup baik  dalam merespon instruksi sangat sederhana dengan tindakan secara berterima dalam konteks sekolah  , dan  cukup baik  dalam merespon instruksi sangat sederhana dengan tindakan secara berterima dalam konteks sekolah  </v>
      </c>
      <c r="AJ22" s="257" t="str">
        <f t="shared" si="7"/>
        <v xml:space="preserve"> cukup baik  dalam merespon instruksi sangat sederhana dengan tindakan secara berterima dalam konteks sekolah  </v>
      </c>
      <c r="AK22" s="258" t="str">
        <f t="shared" si="8"/>
        <v xml:space="preserve"> cukup baik  dalam merespon instruksi sangat sederhana dengan tindakan secara berterima dalam konteks sekolah  </v>
      </c>
      <c r="AL22" s="252" t="str">
        <f t="shared" si="9"/>
        <v xml:space="preserve">INTAN cukup baik  dalam merespon instruksi sangat sederhana dengan tindakan secara berterima dalam konteks sekolah  </v>
      </c>
      <c r="AM22" s="153"/>
    </row>
    <row r="23" spans="2:39" ht="61.5" customHeight="1">
      <c r="B23" s="142">
        <v>19</v>
      </c>
      <c r="C23" s="143" t="str">
        <f>SISWA!B24</f>
        <v>1718250040323</v>
      </c>
      <c r="D23" s="144" t="str">
        <f>SISWA!E24</f>
        <v>JORDY</v>
      </c>
      <c r="E23" s="159">
        <v>78</v>
      </c>
      <c r="F23" s="160">
        <v>78</v>
      </c>
      <c r="G23" s="160">
        <v>78</v>
      </c>
      <c r="H23" s="160">
        <v>78</v>
      </c>
      <c r="I23" s="160">
        <v>78</v>
      </c>
      <c r="J23" s="159"/>
      <c r="K23" s="159"/>
      <c r="L23" s="159"/>
      <c r="M23" s="159"/>
      <c r="N23" s="159"/>
      <c r="O23" s="159"/>
      <c r="P23" s="159"/>
      <c r="Q23" s="159"/>
      <c r="R23" s="160"/>
      <c r="S23" s="160">
        <v>78</v>
      </c>
      <c r="T23" s="160">
        <v>78</v>
      </c>
      <c r="U23" s="160">
        <v>78</v>
      </c>
      <c r="V23" s="160">
        <v>78</v>
      </c>
      <c r="W23" s="160">
        <v>78</v>
      </c>
      <c r="X23" s="159"/>
      <c r="Y23" s="354">
        <f t="shared" si="4"/>
        <v>78</v>
      </c>
      <c r="Z23" s="355" t="str">
        <f>IF(Y23&gt;KKM!$G$10,"A",IF(Y23&gt;KKM!$H$10,"B",IF(Y23&gt;=KKM!$I$10,"C","D")))</f>
        <v>B</v>
      </c>
      <c r="AA23" s="356">
        <f t="shared" si="0"/>
        <v>78</v>
      </c>
      <c r="AB23" s="361" t="str">
        <f>IF(AA23&gt;KKM!$G$10," sangat baik ",IF(AA23&gt;KKM!$H$10," baik ",IF(AA23&gt;=KKM!$I$10," cukup baik "," perlu bimbingan ")))</f>
        <v xml:space="preserve"> baik </v>
      </c>
      <c r="AC23" s="357">
        <f t="shared" si="1"/>
        <v>78</v>
      </c>
      <c r="AD23" s="361" t="str">
        <f>IF(AC23&gt;KKM!$G$10," sangat baik ",IF(AC23&gt;KKM!$H$10," baik ",IF(AC23&gt;=KKM!$I$10," cukup baik "," perlu bimbingan ")))</f>
        <v xml:space="preserve"> baik </v>
      </c>
      <c r="AE23" s="353" t="str">
        <f t="shared" si="5"/>
        <v xml:space="preserve">JORDY baik  dalam merespon instruksi sangat sederhana dengan tindakan secara berterima dalam konteks sekolah  </v>
      </c>
      <c r="AF23" s="256"/>
      <c r="AG23" s="257" t="str">
        <f t="shared" si="2"/>
        <v xml:space="preserve"> baik  dalam merespon instruksi sangat sederhana dengan tindakan secara berterima dalam konteks sekolah  </v>
      </c>
      <c r="AH23" s="257" t="str">
        <f t="shared" si="3"/>
        <v xml:space="preserve"> baik  dalam merespon instruksi sangat sederhana dengan tindakan secara berterima dalam konteks sekolah  </v>
      </c>
      <c r="AI23" s="257" t="str">
        <f t="shared" si="6"/>
        <v xml:space="preserve"> baik  dalam merespon instruksi sangat sederhana dengan tindakan secara berterima dalam konteks sekolah  , dan  baik  dalam merespon instruksi sangat sederhana dengan tindakan secara berterima dalam konteks sekolah  </v>
      </c>
      <c r="AJ23" s="257" t="str">
        <f t="shared" si="7"/>
        <v xml:space="preserve"> baik  dalam merespon instruksi sangat sederhana dengan tindakan secara berterima dalam konteks sekolah  </v>
      </c>
      <c r="AK23" s="258" t="str">
        <f t="shared" si="8"/>
        <v xml:space="preserve"> baik  dalam merespon instruksi sangat sederhana dengan tindakan secara berterima dalam konteks sekolah  </v>
      </c>
      <c r="AL23" s="252" t="str">
        <f t="shared" si="9"/>
        <v xml:space="preserve">JORDY baik  dalam merespon instruksi sangat sederhana dengan tindakan secara berterima dalam konteks sekolah  </v>
      </c>
      <c r="AM23" s="153"/>
    </row>
    <row r="24" spans="2:39" ht="61.5" customHeight="1">
      <c r="B24" s="142">
        <v>20</v>
      </c>
      <c r="C24" s="143" t="str">
        <f>SISWA!B25</f>
        <v>1718250040324</v>
      </c>
      <c r="D24" s="144" t="str">
        <f>SISWA!E25</f>
        <v>KURNIA</v>
      </c>
      <c r="E24" s="159">
        <v>70</v>
      </c>
      <c r="F24" s="160">
        <v>70</v>
      </c>
      <c r="G24" s="160">
        <v>70</v>
      </c>
      <c r="H24" s="160">
        <v>70</v>
      </c>
      <c r="I24" s="160">
        <v>70</v>
      </c>
      <c r="J24" s="159"/>
      <c r="K24" s="159"/>
      <c r="L24" s="159"/>
      <c r="M24" s="159"/>
      <c r="N24" s="159"/>
      <c r="O24" s="159"/>
      <c r="P24" s="159"/>
      <c r="Q24" s="159"/>
      <c r="R24" s="160"/>
      <c r="S24" s="160">
        <v>70</v>
      </c>
      <c r="T24" s="160">
        <v>70</v>
      </c>
      <c r="U24" s="160">
        <v>70</v>
      </c>
      <c r="V24" s="160">
        <v>70</v>
      </c>
      <c r="W24" s="160">
        <v>70</v>
      </c>
      <c r="X24" s="159"/>
      <c r="Y24" s="354">
        <f t="shared" si="4"/>
        <v>70</v>
      </c>
      <c r="Z24" s="355" t="str">
        <f>IF(Y24&gt;KKM!$G$10,"A",IF(Y24&gt;KKM!$H$10,"B",IF(Y24&gt;=KKM!$I$10,"C","D")))</f>
        <v>C</v>
      </c>
      <c r="AA24" s="356">
        <f t="shared" si="0"/>
        <v>70</v>
      </c>
      <c r="AB24" s="361" t="str">
        <f>IF(AA24&gt;KKM!$G$10," sangat baik ",IF(AA24&gt;KKM!$H$10," baik ",IF(AA24&gt;=KKM!$I$10," cukup baik "," perlu bimbingan ")))</f>
        <v xml:space="preserve"> cukup baik </v>
      </c>
      <c r="AC24" s="357">
        <f t="shared" si="1"/>
        <v>70</v>
      </c>
      <c r="AD24" s="361" t="str">
        <f>IF(AC24&gt;KKM!$G$10," sangat baik ",IF(AC24&gt;KKM!$H$10," baik ",IF(AC24&gt;=KKM!$I$10," cukup baik "," perlu bimbingan ")))</f>
        <v xml:space="preserve"> cukup baik </v>
      </c>
      <c r="AE24" s="353" t="str">
        <f t="shared" si="5"/>
        <v xml:space="preserve">KURNIA cukup baik  dalam merespon instruksi sangat sederhana dengan tindakan secara berterima dalam konteks sekolah  </v>
      </c>
      <c r="AF24" s="256"/>
      <c r="AG24" s="257" t="str">
        <f t="shared" si="2"/>
        <v xml:space="preserve"> cukup baik  dalam merespon instruksi sangat sederhana dengan tindakan secara berterima dalam konteks sekolah  </v>
      </c>
      <c r="AH24" s="257" t="str">
        <f t="shared" si="3"/>
        <v xml:space="preserve"> cukup baik  dalam merespon instruksi sangat sederhana dengan tindakan secara berterima dalam konteks sekolah  </v>
      </c>
      <c r="AI24" s="257" t="str">
        <f t="shared" si="6"/>
        <v xml:space="preserve"> cukup baik  dalam merespon instruksi sangat sederhana dengan tindakan secara berterima dalam konteks sekolah  , dan  cukup baik  dalam merespon instruksi sangat sederhana dengan tindakan secara berterima dalam konteks sekolah  </v>
      </c>
      <c r="AJ24" s="257" t="str">
        <f t="shared" si="7"/>
        <v xml:space="preserve"> cukup baik  dalam merespon instruksi sangat sederhana dengan tindakan secara berterima dalam konteks sekolah  </v>
      </c>
      <c r="AK24" s="258" t="str">
        <f t="shared" si="8"/>
        <v xml:space="preserve"> cukup baik  dalam merespon instruksi sangat sederhana dengan tindakan secara berterima dalam konteks sekolah  </v>
      </c>
      <c r="AL24" s="252" t="str">
        <f t="shared" si="9"/>
        <v xml:space="preserve">KURNIA cukup baik  dalam merespon instruksi sangat sederhana dengan tindakan secara berterima dalam konteks sekolah  </v>
      </c>
      <c r="AM24" s="153"/>
    </row>
    <row r="25" spans="2:39" ht="61.5" customHeight="1">
      <c r="B25" s="142">
        <v>21</v>
      </c>
      <c r="C25" s="143" t="str">
        <f>SISWA!B26</f>
        <v>1718250040325</v>
      </c>
      <c r="D25" s="144" t="str">
        <f>SISWA!E26</f>
        <v>LATIZA</v>
      </c>
      <c r="E25" s="159">
        <v>95</v>
      </c>
      <c r="F25" s="160">
        <v>95</v>
      </c>
      <c r="G25" s="160">
        <v>95</v>
      </c>
      <c r="H25" s="160">
        <v>95</v>
      </c>
      <c r="I25" s="160">
        <v>95</v>
      </c>
      <c r="J25" s="159"/>
      <c r="K25" s="159"/>
      <c r="L25" s="159"/>
      <c r="M25" s="159"/>
      <c r="N25" s="159"/>
      <c r="O25" s="159"/>
      <c r="P25" s="159"/>
      <c r="Q25" s="159"/>
      <c r="R25" s="160"/>
      <c r="S25" s="160">
        <v>95</v>
      </c>
      <c r="T25" s="160">
        <v>95</v>
      </c>
      <c r="U25" s="160">
        <v>95</v>
      </c>
      <c r="V25" s="160">
        <v>95</v>
      </c>
      <c r="W25" s="160">
        <v>95</v>
      </c>
      <c r="X25" s="159"/>
      <c r="Y25" s="354">
        <f t="shared" si="4"/>
        <v>95</v>
      </c>
      <c r="Z25" s="355" t="str">
        <f>IF(Y25&gt;KKM!$G$10,"A",IF(Y25&gt;KKM!$H$10,"B",IF(Y25&gt;=KKM!$I$10,"C","D")))</f>
        <v>A</v>
      </c>
      <c r="AA25" s="356">
        <f t="shared" si="0"/>
        <v>95</v>
      </c>
      <c r="AB25" s="361" t="str">
        <f>IF(AA25&gt;KKM!$G$10," sangat baik ",IF(AA25&gt;KKM!$H$10," baik ",IF(AA25&gt;=KKM!$I$10," cukup baik "," perlu bimbingan ")))</f>
        <v xml:space="preserve"> sangat baik </v>
      </c>
      <c r="AC25" s="357">
        <f t="shared" si="1"/>
        <v>95</v>
      </c>
      <c r="AD25" s="361" t="str">
        <f>IF(AC25&gt;KKM!$G$10," sangat baik ",IF(AC25&gt;KKM!$H$10," baik ",IF(AC25&gt;=KKM!$I$10," cukup baik "," perlu bimbingan ")))</f>
        <v xml:space="preserve"> sangat baik </v>
      </c>
      <c r="AE25" s="353" t="str">
        <f t="shared" si="5"/>
        <v xml:space="preserve">LATIZA sangat baik  dalam merespon instruksi sangat sederhana dengan tindakan secara berterima dalam konteks sekolah  </v>
      </c>
      <c r="AF25" s="256"/>
      <c r="AG25" s="257" t="str">
        <f t="shared" si="2"/>
        <v xml:space="preserve"> sangat baik  dalam merespon instruksi sangat sederhana dengan tindakan secara berterima dalam konteks sekolah  </v>
      </c>
      <c r="AH25" s="257" t="str">
        <f t="shared" si="3"/>
        <v xml:space="preserve"> sangat baik  dalam merespon instruksi sangat sederhana dengan tindakan secara berterima dalam konteks sekolah  </v>
      </c>
      <c r="AI25" s="257" t="str">
        <f t="shared" si="6"/>
        <v xml:space="preserve"> sangat baik  dalam merespon instruksi sangat sederhana dengan tindakan secara berterima dalam konteks sekolah  , dan  sangat baik  dalam merespon instruksi sangat sederhana dengan tindakan secara berterima dalam konteks sekolah  </v>
      </c>
      <c r="AJ25" s="257" t="str">
        <f t="shared" si="7"/>
        <v xml:space="preserve"> sangat baik  dalam merespon instruksi sangat sederhana dengan tindakan secara berterima dalam konteks sekolah  </v>
      </c>
      <c r="AK25" s="258" t="str">
        <f t="shared" si="8"/>
        <v xml:space="preserve"> sangat baik  dalam merespon instruksi sangat sederhana dengan tindakan secara berterima dalam konteks sekolah  </v>
      </c>
      <c r="AL25" s="252" t="str">
        <f t="shared" si="9"/>
        <v xml:space="preserve">LATIZA sangat baik  dalam merespon instruksi sangat sederhana dengan tindakan secara berterima dalam konteks sekolah  </v>
      </c>
      <c r="AM25" s="153"/>
    </row>
    <row r="26" spans="2:39" ht="61.5" customHeight="1">
      <c r="B26" s="142">
        <v>22</v>
      </c>
      <c r="C26" s="143" t="str">
        <f>SISWA!B27</f>
        <v>1718250040326</v>
      </c>
      <c r="D26" s="144" t="str">
        <f>SISWA!E27</f>
        <v>RIZKY</v>
      </c>
      <c r="E26" s="159">
        <v>80</v>
      </c>
      <c r="F26" s="160">
        <v>80</v>
      </c>
      <c r="G26" s="160">
        <v>80</v>
      </c>
      <c r="H26" s="160">
        <v>80</v>
      </c>
      <c r="I26" s="160">
        <v>80</v>
      </c>
      <c r="J26" s="159"/>
      <c r="K26" s="159"/>
      <c r="L26" s="159"/>
      <c r="M26" s="159"/>
      <c r="N26" s="159"/>
      <c r="O26" s="159"/>
      <c r="P26" s="159"/>
      <c r="Q26" s="159"/>
      <c r="R26" s="160"/>
      <c r="S26" s="160">
        <v>80</v>
      </c>
      <c r="T26" s="160">
        <v>80</v>
      </c>
      <c r="U26" s="160">
        <v>80</v>
      </c>
      <c r="V26" s="160">
        <v>80</v>
      </c>
      <c r="W26" s="160">
        <v>80</v>
      </c>
      <c r="X26" s="159"/>
      <c r="Y26" s="354">
        <f t="shared" si="4"/>
        <v>80</v>
      </c>
      <c r="Z26" s="355" t="str">
        <f>IF(Y26&gt;KKM!$G$10,"A",IF(Y26&gt;KKM!$H$10,"B",IF(Y26&gt;=KKM!$I$10,"C","D")))</f>
        <v>B</v>
      </c>
      <c r="AA26" s="356">
        <f t="shared" si="0"/>
        <v>80</v>
      </c>
      <c r="AB26" s="361" t="str">
        <f>IF(AA26&gt;KKM!$G$10," sangat baik ",IF(AA26&gt;KKM!$H$10," baik ",IF(AA26&gt;=KKM!$I$10," cukup baik "," perlu bimbingan ")))</f>
        <v xml:space="preserve"> baik </v>
      </c>
      <c r="AC26" s="357">
        <f t="shared" si="1"/>
        <v>80</v>
      </c>
      <c r="AD26" s="361" t="str">
        <f>IF(AC26&gt;KKM!$G$10," sangat baik ",IF(AC26&gt;KKM!$H$10," baik ",IF(AC26&gt;=KKM!$I$10," cukup baik "," perlu bimbingan ")))</f>
        <v xml:space="preserve"> baik </v>
      </c>
      <c r="AE26" s="353" t="str">
        <f t="shared" si="5"/>
        <v xml:space="preserve">RIZKY baik  dalam merespon instruksi sangat sederhana dengan tindakan secara berterima dalam konteks sekolah  </v>
      </c>
      <c r="AF26" s="256"/>
      <c r="AG26" s="257" t="str">
        <f t="shared" si="2"/>
        <v xml:space="preserve"> baik  dalam merespon instruksi sangat sederhana dengan tindakan secara berterima dalam konteks sekolah  </v>
      </c>
      <c r="AH26" s="257" t="str">
        <f t="shared" si="3"/>
        <v xml:space="preserve"> baik  dalam merespon instruksi sangat sederhana dengan tindakan secara berterima dalam konteks sekolah  </v>
      </c>
      <c r="AI26" s="257" t="str">
        <f t="shared" si="6"/>
        <v xml:space="preserve"> baik  dalam merespon instruksi sangat sederhana dengan tindakan secara berterima dalam konteks sekolah  , dan  baik  dalam merespon instruksi sangat sederhana dengan tindakan secara berterima dalam konteks sekolah  </v>
      </c>
      <c r="AJ26" s="257" t="str">
        <f t="shared" si="7"/>
        <v xml:space="preserve"> baik  dalam merespon instruksi sangat sederhana dengan tindakan secara berterima dalam konteks sekolah  </v>
      </c>
      <c r="AK26" s="258" t="str">
        <f t="shared" si="8"/>
        <v xml:space="preserve"> baik  dalam merespon instruksi sangat sederhana dengan tindakan secara berterima dalam konteks sekolah  </v>
      </c>
      <c r="AL26" s="252" t="str">
        <f t="shared" si="9"/>
        <v xml:space="preserve">RIZKY baik  dalam merespon instruksi sangat sederhana dengan tindakan secara berterima dalam konteks sekolah  </v>
      </c>
      <c r="AM26" s="153"/>
    </row>
    <row r="27" spans="2:39" ht="61.5" customHeight="1">
      <c r="B27" s="142">
        <v>23</v>
      </c>
      <c r="C27" s="143" t="str">
        <f>SISWA!B28</f>
        <v>1718250040327</v>
      </c>
      <c r="D27" s="144" t="str">
        <f>SISWA!E28</f>
        <v>RAMADHANDANI</v>
      </c>
      <c r="E27" s="159">
        <v>75</v>
      </c>
      <c r="F27" s="160">
        <v>75</v>
      </c>
      <c r="G27" s="160">
        <v>75</v>
      </c>
      <c r="H27" s="160">
        <v>75</v>
      </c>
      <c r="I27" s="160">
        <v>75</v>
      </c>
      <c r="J27" s="159"/>
      <c r="K27" s="159"/>
      <c r="L27" s="159"/>
      <c r="M27" s="159"/>
      <c r="N27" s="159"/>
      <c r="O27" s="159"/>
      <c r="P27" s="159"/>
      <c r="Q27" s="159"/>
      <c r="R27" s="160"/>
      <c r="S27" s="160">
        <v>75</v>
      </c>
      <c r="T27" s="160">
        <v>75</v>
      </c>
      <c r="U27" s="160">
        <v>75</v>
      </c>
      <c r="V27" s="160">
        <v>75</v>
      </c>
      <c r="W27" s="160">
        <v>75</v>
      </c>
      <c r="X27" s="159"/>
      <c r="Y27" s="354">
        <f t="shared" si="4"/>
        <v>75</v>
      </c>
      <c r="Z27" s="355" t="str">
        <f>IF(Y27&gt;KKM!$G$10,"A",IF(Y27&gt;KKM!$H$10,"B",IF(Y27&gt;=KKM!$I$10,"C","D")))</f>
        <v>C</v>
      </c>
      <c r="AA27" s="356">
        <f t="shared" si="0"/>
        <v>75</v>
      </c>
      <c r="AB27" s="361" t="str">
        <f>IF(AA27&gt;KKM!$G$10," sangat baik ",IF(AA27&gt;KKM!$H$10," baik ",IF(AA27&gt;=KKM!$I$10," cukup baik "," perlu bimbingan ")))</f>
        <v xml:space="preserve"> cukup baik </v>
      </c>
      <c r="AC27" s="357">
        <f t="shared" si="1"/>
        <v>75</v>
      </c>
      <c r="AD27" s="361" t="str">
        <f>IF(AC27&gt;KKM!$G$10," sangat baik ",IF(AC27&gt;KKM!$H$10," baik ",IF(AC27&gt;=KKM!$I$10," cukup baik "," perlu bimbingan ")))</f>
        <v xml:space="preserve"> cukup baik </v>
      </c>
      <c r="AE27" s="353" t="str">
        <f t="shared" si="5"/>
        <v xml:space="preserve">RAMADHANDANI cukup baik  dalam merespon instruksi sangat sederhana dengan tindakan secara berterima dalam konteks sekolah  </v>
      </c>
      <c r="AF27" s="256"/>
      <c r="AG27" s="257" t="str">
        <f t="shared" si="2"/>
        <v xml:space="preserve"> cukup baik  dalam merespon instruksi sangat sederhana dengan tindakan secara berterima dalam konteks sekolah  </v>
      </c>
      <c r="AH27" s="257" t="str">
        <f t="shared" si="3"/>
        <v xml:space="preserve"> cukup baik  dalam merespon instruksi sangat sederhana dengan tindakan secara berterima dalam konteks sekolah  </v>
      </c>
      <c r="AI27" s="257" t="str">
        <f t="shared" si="6"/>
        <v xml:space="preserve"> cukup baik  dalam merespon instruksi sangat sederhana dengan tindakan secara berterima dalam konteks sekolah  , dan  cukup baik  dalam merespon instruksi sangat sederhana dengan tindakan secara berterima dalam konteks sekolah  </v>
      </c>
      <c r="AJ27" s="257" t="str">
        <f t="shared" si="7"/>
        <v xml:space="preserve"> cukup baik  dalam merespon instruksi sangat sederhana dengan tindakan secara berterima dalam konteks sekolah  </v>
      </c>
      <c r="AK27" s="258" t="str">
        <f t="shared" si="8"/>
        <v xml:space="preserve"> cukup baik  dalam merespon instruksi sangat sederhana dengan tindakan secara berterima dalam konteks sekolah  </v>
      </c>
      <c r="AL27" s="252" t="str">
        <f t="shared" si="9"/>
        <v xml:space="preserve">RAMADHANDANI cukup baik  dalam merespon instruksi sangat sederhana dengan tindakan secara berterima dalam konteks sekolah  </v>
      </c>
      <c r="AM27" s="153"/>
    </row>
    <row r="28" spans="2:39" ht="61.5" customHeight="1">
      <c r="B28" s="142">
        <v>24</v>
      </c>
      <c r="C28" s="143" t="str">
        <f>SISWA!B29</f>
        <v>1718250040328</v>
      </c>
      <c r="D28" s="144" t="str">
        <f>SISWA!E29</f>
        <v>SYAEPUL</v>
      </c>
      <c r="E28" s="159">
        <v>74</v>
      </c>
      <c r="F28" s="160">
        <v>74</v>
      </c>
      <c r="G28" s="160">
        <v>74</v>
      </c>
      <c r="H28" s="160">
        <v>74</v>
      </c>
      <c r="I28" s="160">
        <v>74</v>
      </c>
      <c r="J28" s="159"/>
      <c r="K28" s="159"/>
      <c r="L28" s="159"/>
      <c r="M28" s="159"/>
      <c r="N28" s="159"/>
      <c r="O28" s="159"/>
      <c r="P28" s="159"/>
      <c r="Q28" s="159"/>
      <c r="R28" s="160"/>
      <c r="S28" s="160">
        <v>74</v>
      </c>
      <c r="T28" s="160">
        <v>74</v>
      </c>
      <c r="U28" s="160">
        <v>74</v>
      </c>
      <c r="V28" s="160">
        <v>74</v>
      </c>
      <c r="W28" s="160">
        <v>74</v>
      </c>
      <c r="X28" s="159"/>
      <c r="Y28" s="354">
        <f t="shared" si="4"/>
        <v>74</v>
      </c>
      <c r="Z28" s="355" t="str">
        <f>IF(Y28&gt;KKM!$G$10,"A",IF(Y28&gt;KKM!$H$10,"B",IF(Y28&gt;=KKM!$I$10,"C","D")))</f>
        <v>C</v>
      </c>
      <c r="AA28" s="356">
        <f t="shared" si="0"/>
        <v>74</v>
      </c>
      <c r="AB28" s="361" t="str">
        <f>IF(AA28&gt;KKM!$G$10," sangat baik ",IF(AA28&gt;KKM!$H$10," baik ",IF(AA28&gt;=KKM!$I$10," cukup baik "," perlu bimbingan ")))</f>
        <v xml:space="preserve"> cukup baik </v>
      </c>
      <c r="AC28" s="357">
        <f t="shared" si="1"/>
        <v>74</v>
      </c>
      <c r="AD28" s="361" t="str">
        <f>IF(AC28&gt;KKM!$G$10," sangat baik ",IF(AC28&gt;KKM!$H$10," baik ",IF(AC28&gt;=KKM!$I$10," cukup baik "," perlu bimbingan ")))</f>
        <v xml:space="preserve"> cukup baik </v>
      </c>
      <c r="AE28" s="353" t="str">
        <f t="shared" si="5"/>
        <v xml:space="preserve">SYAEPUL cukup baik  dalam merespon instruksi sangat sederhana dengan tindakan secara berterima dalam konteks sekolah  </v>
      </c>
      <c r="AF28" s="256"/>
      <c r="AG28" s="257" t="str">
        <f t="shared" si="2"/>
        <v xml:space="preserve"> cukup baik  dalam merespon instruksi sangat sederhana dengan tindakan secara berterima dalam konteks sekolah  </v>
      </c>
      <c r="AH28" s="257" t="str">
        <f t="shared" si="3"/>
        <v xml:space="preserve"> cukup baik  dalam merespon instruksi sangat sederhana dengan tindakan secara berterima dalam konteks sekolah  </v>
      </c>
      <c r="AI28" s="257" t="str">
        <f t="shared" si="6"/>
        <v xml:space="preserve"> cukup baik  dalam merespon instruksi sangat sederhana dengan tindakan secara berterima dalam konteks sekolah  , dan  cukup baik  dalam merespon instruksi sangat sederhana dengan tindakan secara berterima dalam konteks sekolah  </v>
      </c>
      <c r="AJ28" s="257" t="str">
        <f t="shared" si="7"/>
        <v xml:space="preserve"> cukup baik  dalam merespon instruksi sangat sederhana dengan tindakan secara berterima dalam konteks sekolah  </v>
      </c>
      <c r="AK28" s="258" t="str">
        <f t="shared" si="8"/>
        <v xml:space="preserve"> cukup baik  dalam merespon instruksi sangat sederhana dengan tindakan secara berterima dalam konteks sekolah  </v>
      </c>
      <c r="AL28" s="252" t="str">
        <f t="shared" si="9"/>
        <v xml:space="preserve">SYAEPUL cukup baik  dalam merespon instruksi sangat sederhana dengan tindakan secara berterima dalam konteks sekolah  </v>
      </c>
      <c r="AM28" s="153"/>
    </row>
    <row r="29" spans="2:39" ht="61.5" customHeight="1">
      <c r="B29" s="142">
        <v>25</v>
      </c>
      <c r="C29" s="143" t="str">
        <f>SISWA!B30</f>
        <v>1718250040329</v>
      </c>
      <c r="D29" s="144" t="str">
        <f>SISWA!E30</f>
        <v>ALIF</v>
      </c>
      <c r="E29" s="159">
        <v>70</v>
      </c>
      <c r="F29" s="160">
        <v>70</v>
      </c>
      <c r="G29" s="160">
        <v>70</v>
      </c>
      <c r="H29" s="160">
        <v>70</v>
      </c>
      <c r="I29" s="160">
        <v>70</v>
      </c>
      <c r="J29" s="159"/>
      <c r="K29" s="159"/>
      <c r="L29" s="159"/>
      <c r="M29" s="159"/>
      <c r="N29" s="159"/>
      <c r="O29" s="159"/>
      <c r="P29" s="159"/>
      <c r="Q29" s="159"/>
      <c r="R29" s="160"/>
      <c r="S29" s="160">
        <v>70</v>
      </c>
      <c r="T29" s="160">
        <v>70</v>
      </c>
      <c r="U29" s="160">
        <v>70</v>
      </c>
      <c r="V29" s="160">
        <v>70</v>
      </c>
      <c r="W29" s="160">
        <v>70</v>
      </c>
      <c r="X29" s="159"/>
      <c r="Y29" s="354">
        <f t="shared" si="4"/>
        <v>70</v>
      </c>
      <c r="Z29" s="355" t="str">
        <f>IF(Y29&gt;KKM!$G$10,"A",IF(Y29&gt;KKM!$H$10,"B",IF(Y29&gt;=KKM!$I$10,"C","D")))</f>
        <v>C</v>
      </c>
      <c r="AA29" s="356">
        <f t="shared" si="0"/>
        <v>70</v>
      </c>
      <c r="AB29" s="361" t="str">
        <f>IF(AA29&gt;KKM!$G$10," sangat baik ",IF(AA29&gt;KKM!$H$10," baik ",IF(AA29&gt;=KKM!$I$10," cukup baik "," perlu bimbingan ")))</f>
        <v xml:space="preserve"> cukup baik </v>
      </c>
      <c r="AC29" s="357">
        <f t="shared" si="1"/>
        <v>70</v>
      </c>
      <c r="AD29" s="361" t="str">
        <f>IF(AC29&gt;KKM!$G$10," sangat baik ",IF(AC29&gt;KKM!$H$10," baik ",IF(AC29&gt;=KKM!$I$10," cukup baik "," perlu bimbingan ")))</f>
        <v xml:space="preserve"> cukup baik </v>
      </c>
      <c r="AE29" s="353" t="str">
        <f t="shared" si="5"/>
        <v xml:space="preserve">ALIF cukup baik  dalam merespon instruksi sangat sederhana dengan tindakan secara berterima dalam konteks sekolah  </v>
      </c>
      <c r="AF29" s="256"/>
      <c r="AG29" s="257" t="str">
        <f t="shared" si="2"/>
        <v xml:space="preserve"> cukup baik  dalam merespon instruksi sangat sederhana dengan tindakan secara berterima dalam konteks sekolah  </v>
      </c>
      <c r="AH29" s="257" t="str">
        <f t="shared" si="3"/>
        <v xml:space="preserve"> cukup baik  dalam merespon instruksi sangat sederhana dengan tindakan secara berterima dalam konteks sekolah  </v>
      </c>
      <c r="AI29" s="257" t="str">
        <f t="shared" si="6"/>
        <v xml:space="preserve"> cukup baik  dalam merespon instruksi sangat sederhana dengan tindakan secara berterima dalam konteks sekolah  , dan  cukup baik  dalam merespon instruksi sangat sederhana dengan tindakan secara berterima dalam konteks sekolah  </v>
      </c>
      <c r="AJ29" s="257" t="str">
        <f t="shared" si="7"/>
        <v xml:space="preserve"> cukup baik  dalam merespon instruksi sangat sederhana dengan tindakan secara berterima dalam konteks sekolah  </v>
      </c>
      <c r="AK29" s="258" t="str">
        <f t="shared" si="8"/>
        <v xml:space="preserve"> cukup baik  dalam merespon instruksi sangat sederhana dengan tindakan secara berterima dalam konteks sekolah  </v>
      </c>
      <c r="AL29" s="252" t="str">
        <f t="shared" si="9"/>
        <v xml:space="preserve">ALIF cukup baik  dalam merespon instruksi sangat sederhana dengan tindakan secara berterima dalam konteks sekolah  </v>
      </c>
      <c r="AM29" s="153"/>
    </row>
    <row r="30" spans="2:39" ht="61.5" customHeight="1">
      <c r="B30" s="142">
        <v>26</v>
      </c>
      <c r="C30" s="143" t="str">
        <f>SISWA!B31</f>
        <v>1718250040330</v>
      </c>
      <c r="D30" s="144" t="str">
        <f>SISWA!E31</f>
        <v>HIZKIEL</v>
      </c>
      <c r="E30" s="159">
        <v>70</v>
      </c>
      <c r="F30" s="160">
        <v>70</v>
      </c>
      <c r="G30" s="160">
        <v>70</v>
      </c>
      <c r="H30" s="160">
        <v>70</v>
      </c>
      <c r="I30" s="160">
        <v>70</v>
      </c>
      <c r="J30" s="159"/>
      <c r="K30" s="159"/>
      <c r="L30" s="159"/>
      <c r="M30" s="159"/>
      <c r="N30" s="159"/>
      <c r="O30" s="159"/>
      <c r="P30" s="159"/>
      <c r="Q30" s="159"/>
      <c r="R30" s="160"/>
      <c r="S30" s="160">
        <v>70</v>
      </c>
      <c r="T30" s="160">
        <v>70</v>
      </c>
      <c r="U30" s="160">
        <v>70</v>
      </c>
      <c r="V30" s="160">
        <v>70</v>
      </c>
      <c r="W30" s="160">
        <v>70</v>
      </c>
      <c r="X30" s="159"/>
      <c r="Y30" s="354">
        <f t="shared" si="4"/>
        <v>70</v>
      </c>
      <c r="Z30" s="355" t="str">
        <f>IF(Y30&gt;KKM!$G$10,"A",IF(Y30&gt;KKM!$H$10,"B",IF(Y30&gt;=KKM!$I$10,"C","D")))</f>
        <v>C</v>
      </c>
      <c r="AA30" s="356">
        <f t="shared" si="0"/>
        <v>70</v>
      </c>
      <c r="AB30" s="361" t="str">
        <f>IF(AA30&gt;KKM!$G$10," sangat baik ",IF(AA30&gt;KKM!$H$10," baik ",IF(AA30&gt;=KKM!$I$10," cukup baik "," perlu bimbingan ")))</f>
        <v xml:space="preserve"> cukup baik </v>
      </c>
      <c r="AC30" s="357">
        <f t="shared" si="1"/>
        <v>70</v>
      </c>
      <c r="AD30" s="361" t="str">
        <f>IF(AC30&gt;KKM!$G$10," sangat baik ",IF(AC30&gt;KKM!$H$10," baik ",IF(AC30&gt;=KKM!$I$10," cukup baik "," perlu bimbingan ")))</f>
        <v xml:space="preserve"> cukup baik </v>
      </c>
      <c r="AE30" s="353" t="str">
        <f t="shared" si="5"/>
        <v xml:space="preserve">HIZKIEL cukup baik  dalam merespon instruksi sangat sederhana dengan tindakan secara berterima dalam konteks sekolah  </v>
      </c>
      <c r="AF30" s="256"/>
      <c r="AG30" s="257" t="str">
        <f t="shared" si="2"/>
        <v xml:space="preserve"> cukup baik  dalam merespon instruksi sangat sederhana dengan tindakan secara berterima dalam konteks sekolah  </v>
      </c>
      <c r="AH30" s="257" t="str">
        <f t="shared" si="3"/>
        <v xml:space="preserve"> cukup baik  dalam merespon instruksi sangat sederhana dengan tindakan secara berterima dalam konteks sekolah  </v>
      </c>
      <c r="AI30" s="257" t="str">
        <f t="shared" si="6"/>
        <v xml:space="preserve"> cukup baik  dalam merespon instruksi sangat sederhana dengan tindakan secara berterima dalam konteks sekolah  , dan  cukup baik  dalam merespon instruksi sangat sederhana dengan tindakan secara berterima dalam konteks sekolah  </v>
      </c>
      <c r="AJ30" s="257" t="str">
        <f t="shared" si="7"/>
        <v xml:space="preserve"> cukup baik  dalam merespon instruksi sangat sederhana dengan tindakan secara berterima dalam konteks sekolah  </v>
      </c>
      <c r="AK30" s="258" t="str">
        <f t="shared" si="8"/>
        <v xml:space="preserve"> cukup baik  dalam merespon instruksi sangat sederhana dengan tindakan secara berterima dalam konteks sekolah  </v>
      </c>
      <c r="AL30" s="252" t="str">
        <f t="shared" si="9"/>
        <v xml:space="preserve">HIZKIEL cukup baik  dalam merespon instruksi sangat sederhana dengan tindakan secara berterima dalam konteks sekolah  </v>
      </c>
      <c r="AM30" s="153"/>
    </row>
    <row r="31" spans="2:39" ht="61.5" customHeight="1">
      <c r="B31" s="142">
        <v>27</v>
      </c>
      <c r="C31" s="143" t="str">
        <f>SISWA!B32</f>
        <v>1718250040331</v>
      </c>
      <c r="D31" s="144" t="str">
        <f>SISWA!E32</f>
        <v>LAEL</v>
      </c>
      <c r="E31" s="159">
        <v>95</v>
      </c>
      <c r="F31" s="160">
        <v>95</v>
      </c>
      <c r="G31" s="160">
        <v>95</v>
      </c>
      <c r="H31" s="160">
        <v>95</v>
      </c>
      <c r="I31" s="160">
        <v>95</v>
      </c>
      <c r="J31" s="159"/>
      <c r="K31" s="159"/>
      <c r="L31" s="159"/>
      <c r="M31" s="159"/>
      <c r="N31" s="159"/>
      <c r="O31" s="159"/>
      <c r="P31" s="159"/>
      <c r="Q31" s="159"/>
      <c r="R31" s="160"/>
      <c r="S31" s="160">
        <v>95</v>
      </c>
      <c r="T31" s="160">
        <v>95</v>
      </c>
      <c r="U31" s="160">
        <v>95</v>
      </c>
      <c r="V31" s="160">
        <v>95</v>
      </c>
      <c r="W31" s="160">
        <v>95</v>
      </c>
      <c r="X31" s="159"/>
      <c r="Y31" s="354">
        <f t="shared" si="4"/>
        <v>95</v>
      </c>
      <c r="Z31" s="355" t="str">
        <f>IF(Y31&gt;KKM!$G$10,"A",IF(Y31&gt;KKM!$H$10,"B",IF(Y31&gt;=KKM!$I$10,"C","D")))</f>
        <v>A</v>
      </c>
      <c r="AA31" s="356">
        <f t="shared" si="0"/>
        <v>95</v>
      </c>
      <c r="AB31" s="361" t="str">
        <f>IF(AA31&gt;KKM!$G$10," sangat baik ",IF(AA31&gt;KKM!$H$10," baik ",IF(AA31&gt;=KKM!$I$10," cukup baik "," perlu bimbingan ")))</f>
        <v xml:space="preserve"> sangat baik </v>
      </c>
      <c r="AC31" s="357">
        <f t="shared" si="1"/>
        <v>95</v>
      </c>
      <c r="AD31" s="361" t="str">
        <f>IF(AC31&gt;KKM!$G$10," sangat baik ",IF(AC31&gt;KKM!$H$10," baik ",IF(AC31&gt;=KKM!$I$10," cukup baik "," perlu bimbingan ")))</f>
        <v xml:space="preserve"> sangat baik </v>
      </c>
      <c r="AE31" s="353" t="str">
        <f t="shared" si="5"/>
        <v xml:space="preserve">LAEL sangat baik  dalam merespon instruksi sangat sederhana dengan tindakan secara berterima dalam konteks sekolah  </v>
      </c>
      <c r="AF31" s="256"/>
      <c r="AG31" s="257" t="str">
        <f t="shared" si="2"/>
        <v xml:space="preserve"> sangat baik  dalam merespon instruksi sangat sederhana dengan tindakan secara berterima dalam konteks sekolah  </v>
      </c>
      <c r="AH31" s="257" t="str">
        <f t="shared" si="3"/>
        <v xml:space="preserve"> sangat baik  dalam merespon instruksi sangat sederhana dengan tindakan secara berterima dalam konteks sekolah  </v>
      </c>
      <c r="AI31" s="257" t="str">
        <f t="shared" si="6"/>
        <v xml:space="preserve"> sangat baik  dalam merespon instruksi sangat sederhana dengan tindakan secara berterima dalam konteks sekolah  , dan  sangat baik  dalam merespon instruksi sangat sederhana dengan tindakan secara berterima dalam konteks sekolah  </v>
      </c>
      <c r="AJ31" s="257" t="str">
        <f t="shared" si="7"/>
        <v xml:space="preserve"> sangat baik  dalam merespon instruksi sangat sederhana dengan tindakan secara berterima dalam konteks sekolah  </v>
      </c>
      <c r="AK31" s="258" t="str">
        <f t="shared" si="8"/>
        <v xml:space="preserve"> sangat baik  dalam merespon instruksi sangat sederhana dengan tindakan secara berterima dalam konteks sekolah  </v>
      </c>
      <c r="AL31" s="252" t="str">
        <f t="shared" si="9"/>
        <v xml:space="preserve">LAEL sangat baik  dalam merespon instruksi sangat sederhana dengan tindakan secara berterima dalam konteks sekolah  </v>
      </c>
      <c r="AM31" s="153"/>
    </row>
    <row r="32" spans="2:39" ht="61.5" customHeight="1">
      <c r="B32" s="142">
        <v>28</v>
      </c>
      <c r="C32" s="143" t="str">
        <f>SISWA!B33</f>
        <v>1718250040332</v>
      </c>
      <c r="D32" s="144" t="str">
        <f>SISWA!E33</f>
        <v>NABIL</v>
      </c>
      <c r="E32" s="159">
        <v>70</v>
      </c>
      <c r="F32" s="160">
        <v>70</v>
      </c>
      <c r="G32" s="160">
        <v>70</v>
      </c>
      <c r="H32" s="160">
        <v>70</v>
      </c>
      <c r="I32" s="160">
        <v>70</v>
      </c>
      <c r="J32" s="159"/>
      <c r="K32" s="159"/>
      <c r="L32" s="159"/>
      <c r="M32" s="159"/>
      <c r="N32" s="159"/>
      <c r="O32" s="159"/>
      <c r="P32" s="159"/>
      <c r="Q32" s="159"/>
      <c r="R32" s="160"/>
      <c r="S32" s="160">
        <v>70</v>
      </c>
      <c r="T32" s="160">
        <v>70</v>
      </c>
      <c r="U32" s="160">
        <v>70</v>
      </c>
      <c r="V32" s="160">
        <v>70</v>
      </c>
      <c r="W32" s="160">
        <v>70</v>
      </c>
      <c r="X32" s="159"/>
      <c r="Y32" s="354">
        <f t="shared" si="4"/>
        <v>70</v>
      </c>
      <c r="Z32" s="355" t="str">
        <f>IF(Y32&gt;KKM!$G$10,"A",IF(Y32&gt;KKM!$H$10,"B",IF(Y32&gt;=KKM!$I$10,"C","D")))</f>
        <v>C</v>
      </c>
      <c r="AA32" s="356">
        <f t="shared" si="0"/>
        <v>70</v>
      </c>
      <c r="AB32" s="361" t="str">
        <f>IF(AA32&gt;KKM!$G$10," sangat baik ",IF(AA32&gt;KKM!$H$10," baik ",IF(AA32&gt;=KKM!$I$10," cukup baik "," perlu bimbingan ")))</f>
        <v xml:space="preserve"> cukup baik </v>
      </c>
      <c r="AC32" s="357">
        <f t="shared" si="1"/>
        <v>70</v>
      </c>
      <c r="AD32" s="361" t="str">
        <f>IF(AC32&gt;KKM!$G$10," sangat baik ",IF(AC32&gt;KKM!$H$10," baik ",IF(AC32&gt;=KKM!$I$10," cukup baik "," perlu bimbingan ")))</f>
        <v xml:space="preserve"> cukup baik </v>
      </c>
      <c r="AE32" s="353" t="str">
        <f t="shared" si="5"/>
        <v xml:space="preserve">NABIL cukup baik  dalam merespon instruksi sangat sederhana dengan tindakan secara berterima dalam konteks sekolah  </v>
      </c>
      <c r="AF32" s="256"/>
      <c r="AG32" s="257" t="str">
        <f t="shared" si="2"/>
        <v xml:space="preserve"> cukup baik  dalam merespon instruksi sangat sederhana dengan tindakan secara berterima dalam konteks sekolah  </v>
      </c>
      <c r="AH32" s="257" t="str">
        <f t="shared" si="3"/>
        <v xml:space="preserve"> cukup baik  dalam merespon instruksi sangat sederhana dengan tindakan secara berterima dalam konteks sekolah  </v>
      </c>
      <c r="AI32" s="257" t="str">
        <f t="shared" si="6"/>
        <v xml:space="preserve"> cukup baik  dalam merespon instruksi sangat sederhana dengan tindakan secara berterima dalam konteks sekolah  , dan  cukup baik  dalam merespon instruksi sangat sederhana dengan tindakan secara berterima dalam konteks sekolah  </v>
      </c>
      <c r="AJ32" s="257" t="str">
        <f t="shared" si="7"/>
        <v xml:space="preserve"> cukup baik  dalam merespon instruksi sangat sederhana dengan tindakan secara berterima dalam konteks sekolah  </v>
      </c>
      <c r="AK32" s="258" t="str">
        <f t="shared" si="8"/>
        <v xml:space="preserve"> cukup baik  dalam merespon instruksi sangat sederhana dengan tindakan secara berterima dalam konteks sekolah  </v>
      </c>
      <c r="AL32" s="252" t="str">
        <f t="shared" si="9"/>
        <v xml:space="preserve">NABIL cukup baik  dalam merespon instruksi sangat sederhana dengan tindakan secara berterima dalam konteks sekolah  </v>
      </c>
      <c r="AM32" s="153"/>
    </row>
    <row r="33" spans="2:39" ht="61.5" customHeight="1">
      <c r="B33" s="142">
        <v>29</v>
      </c>
      <c r="C33" s="143" t="str">
        <f>SISWA!B34</f>
        <v>1718250040333</v>
      </c>
      <c r="D33" s="144" t="str">
        <f>SISWA!E34</f>
        <v>RASYA</v>
      </c>
      <c r="E33" s="159">
        <v>75</v>
      </c>
      <c r="F33" s="160">
        <v>75</v>
      </c>
      <c r="G33" s="160">
        <v>75</v>
      </c>
      <c r="H33" s="160">
        <v>75</v>
      </c>
      <c r="I33" s="160">
        <v>75</v>
      </c>
      <c r="J33" s="159"/>
      <c r="K33" s="159"/>
      <c r="L33" s="159"/>
      <c r="M33" s="159"/>
      <c r="N33" s="159"/>
      <c r="O33" s="159"/>
      <c r="P33" s="159"/>
      <c r="Q33" s="159"/>
      <c r="R33" s="160"/>
      <c r="S33" s="160">
        <v>75</v>
      </c>
      <c r="T33" s="160">
        <v>75</v>
      </c>
      <c r="U33" s="160">
        <v>75</v>
      </c>
      <c r="V33" s="160">
        <v>75</v>
      </c>
      <c r="W33" s="160">
        <v>75</v>
      </c>
      <c r="X33" s="159"/>
      <c r="Y33" s="354">
        <f t="shared" si="4"/>
        <v>75</v>
      </c>
      <c r="Z33" s="355" t="str">
        <f>IF(Y33&gt;KKM!$G$10,"A",IF(Y33&gt;KKM!$H$10,"B",IF(Y33&gt;=KKM!$I$10,"C","D")))</f>
        <v>C</v>
      </c>
      <c r="AA33" s="356">
        <f t="shared" si="0"/>
        <v>75</v>
      </c>
      <c r="AB33" s="361" t="str">
        <f>IF(AA33&gt;KKM!$G$10," sangat baik ",IF(AA33&gt;KKM!$H$10," baik ",IF(AA33&gt;=KKM!$I$10," cukup baik "," perlu bimbingan ")))</f>
        <v xml:space="preserve"> cukup baik </v>
      </c>
      <c r="AC33" s="357">
        <f t="shared" si="1"/>
        <v>75</v>
      </c>
      <c r="AD33" s="361" t="str">
        <f>IF(AC33&gt;KKM!$G$10," sangat baik ",IF(AC33&gt;KKM!$H$10," baik ",IF(AC33&gt;=KKM!$I$10," cukup baik "," perlu bimbingan ")))</f>
        <v xml:space="preserve"> cukup baik </v>
      </c>
      <c r="AE33" s="353" t="str">
        <f t="shared" si="5"/>
        <v xml:space="preserve">RASYA cukup baik  dalam merespon instruksi sangat sederhana dengan tindakan secara berterima dalam konteks sekolah  </v>
      </c>
      <c r="AF33" s="256"/>
      <c r="AG33" s="257" t="str">
        <f t="shared" si="2"/>
        <v xml:space="preserve"> cukup baik  dalam merespon instruksi sangat sederhana dengan tindakan secara berterima dalam konteks sekolah  </v>
      </c>
      <c r="AH33" s="257" t="str">
        <f t="shared" si="3"/>
        <v xml:space="preserve"> cukup baik  dalam merespon instruksi sangat sederhana dengan tindakan secara berterima dalam konteks sekolah  </v>
      </c>
      <c r="AI33" s="257" t="str">
        <f t="shared" si="6"/>
        <v xml:space="preserve"> cukup baik  dalam merespon instruksi sangat sederhana dengan tindakan secara berterima dalam konteks sekolah  , dan  cukup baik  dalam merespon instruksi sangat sederhana dengan tindakan secara berterima dalam konteks sekolah  </v>
      </c>
      <c r="AJ33" s="257" t="str">
        <f t="shared" si="7"/>
        <v xml:space="preserve"> cukup baik  dalam merespon instruksi sangat sederhana dengan tindakan secara berterima dalam konteks sekolah  </v>
      </c>
      <c r="AK33" s="258" t="str">
        <f t="shared" si="8"/>
        <v xml:space="preserve"> cukup baik  dalam merespon instruksi sangat sederhana dengan tindakan secara berterima dalam konteks sekolah  </v>
      </c>
      <c r="AL33" s="252" t="str">
        <f t="shared" si="9"/>
        <v xml:space="preserve">RASYA cukup baik  dalam merespon instruksi sangat sederhana dengan tindakan secara berterima dalam konteks sekolah  </v>
      </c>
      <c r="AM33" s="153"/>
    </row>
    <row r="34" spans="2:39" ht="61.5" customHeight="1">
      <c r="B34" s="142">
        <v>30</v>
      </c>
      <c r="C34" s="143" t="str">
        <f>SISWA!B35</f>
        <v>1718250040334</v>
      </c>
      <c r="D34" s="144" t="str">
        <f>SISWA!E35</f>
        <v>RIZKI</v>
      </c>
      <c r="E34" s="159">
        <v>84</v>
      </c>
      <c r="F34" s="160">
        <v>84</v>
      </c>
      <c r="G34" s="160">
        <v>84</v>
      </c>
      <c r="H34" s="160">
        <v>84</v>
      </c>
      <c r="I34" s="160">
        <v>84</v>
      </c>
      <c r="J34" s="159"/>
      <c r="K34" s="159"/>
      <c r="L34" s="159"/>
      <c r="M34" s="159"/>
      <c r="N34" s="159"/>
      <c r="O34" s="159"/>
      <c r="P34" s="159"/>
      <c r="Q34" s="159"/>
      <c r="R34" s="160"/>
      <c r="S34" s="160">
        <v>84</v>
      </c>
      <c r="T34" s="160">
        <v>84</v>
      </c>
      <c r="U34" s="160">
        <v>84</v>
      </c>
      <c r="V34" s="160">
        <v>84</v>
      </c>
      <c r="W34" s="160">
        <v>84</v>
      </c>
      <c r="X34" s="159"/>
      <c r="Y34" s="354">
        <f t="shared" si="4"/>
        <v>84</v>
      </c>
      <c r="Z34" s="355" t="str">
        <f>IF(Y34&gt;KKM!$G$10,"A",IF(Y34&gt;KKM!$H$10,"B",IF(Y34&gt;=KKM!$I$10,"C","D")))</f>
        <v>B</v>
      </c>
      <c r="AA34" s="356">
        <f t="shared" si="0"/>
        <v>84</v>
      </c>
      <c r="AB34" s="361" t="str">
        <f>IF(AA34&gt;KKM!$G$10," sangat baik ",IF(AA34&gt;KKM!$H$10," baik ",IF(AA34&gt;=KKM!$I$10," cukup baik "," perlu bimbingan ")))</f>
        <v xml:space="preserve"> baik </v>
      </c>
      <c r="AC34" s="357">
        <f t="shared" si="1"/>
        <v>84</v>
      </c>
      <c r="AD34" s="361" t="str">
        <f>IF(AC34&gt;KKM!$G$10," sangat baik ",IF(AC34&gt;KKM!$H$10," baik ",IF(AC34&gt;=KKM!$I$10," cukup baik "," perlu bimbingan ")))</f>
        <v xml:space="preserve"> baik </v>
      </c>
      <c r="AE34" s="353" t="str">
        <f t="shared" si="5"/>
        <v xml:space="preserve">RIZKI baik  dalam merespon instruksi sangat sederhana dengan tindakan secara berterima dalam konteks sekolah  </v>
      </c>
      <c r="AF34" s="256"/>
      <c r="AG34" s="257" t="str">
        <f t="shared" si="2"/>
        <v xml:space="preserve"> baik  dalam merespon instruksi sangat sederhana dengan tindakan secara berterima dalam konteks sekolah  </v>
      </c>
      <c r="AH34" s="257" t="str">
        <f t="shared" si="3"/>
        <v xml:space="preserve"> baik  dalam merespon instruksi sangat sederhana dengan tindakan secara berterima dalam konteks sekolah  </v>
      </c>
      <c r="AI34" s="257" t="str">
        <f t="shared" si="6"/>
        <v xml:space="preserve"> baik  dalam merespon instruksi sangat sederhana dengan tindakan secara berterima dalam konteks sekolah  , dan  baik  dalam merespon instruksi sangat sederhana dengan tindakan secara berterima dalam konteks sekolah  </v>
      </c>
      <c r="AJ34" s="257" t="str">
        <f t="shared" si="7"/>
        <v xml:space="preserve"> baik  dalam merespon instruksi sangat sederhana dengan tindakan secara berterima dalam konteks sekolah  </v>
      </c>
      <c r="AK34" s="258" t="str">
        <f t="shared" si="8"/>
        <v xml:space="preserve"> baik  dalam merespon instruksi sangat sederhana dengan tindakan secara berterima dalam konteks sekolah  </v>
      </c>
      <c r="AL34" s="252" t="str">
        <f t="shared" si="9"/>
        <v xml:space="preserve">RIZKI baik  dalam merespon instruksi sangat sederhana dengan tindakan secara berterima dalam konteks sekolah  </v>
      </c>
      <c r="AM34" s="153"/>
    </row>
    <row r="35" spans="2:39" ht="61.5" customHeight="1">
      <c r="B35" s="142">
        <v>31</v>
      </c>
      <c r="C35" s="143" t="str">
        <f>SISWA!B36</f>
        <v>1718250040335</v>
      </c>
      <c r="D35" s="144" t="str">
        <f>SISWA!E36</f>
        <v>SATRIA</v>
      </c>
      <c r="E35" s="159">
        <v>75</v>
      </c>
      <c r="F35" s="160">
        <v>75</v>
      </c>
      <c r="G35" s="160">
        <v>75</v>
      </c>
      <c r="H35" s="160">
        <v>75</v>
      </c>
      <c r="I35" s="160">
        <v>75</v>
      </c>
      <c r="J35" s="159"/>
      <c r="K35" s="159"/>
      <c r="L35" s="159"/>
      <c r="M35" s="159"/>
      <c r="N35" s="159"/>
      <c r="O35" s="159"/>
      <c r="P35" s="159"/>
      <c r="Q35" s="159"/>
      <c r="R35" s="160"/>
      <c r="S35" s="160">
        <v>75</v>
      </c>
      <c r="T35" s="160">
        <v>75</v>
      </c>
      <c r="U35" s="160">
        <v>75</v>
      </c>
      <c r="V35" s="160">
        <v>75</v>
      </c>
      <c r="W35" s="160">
        <v>75</v>
      </c>
      <c r="X35" s="159"/>
      <c r="Y35" s="354">
        <f t="shared" si="4"/>
        <v>75</v>
      </c>
      <c r="Z35" s="355" t="str">
        <f>IF(Y35&gt;KKM!$G$10,"A",IF(Y35&gt;KKM!$H$10,"B",IF(Y35&gt;=KKM!$I$10,"C","D")))</f>
        <v>C</v>
      </c>
      <c r="AA35" s="356">
        <f t="shared" si="0"/>
        <v>75</v>
      </c>
      <c r="AB35" s="361" t="str">
        <f>IF(AA35&gt;KKM!$G$10," sangat baik ",IF(AA35&gt;KKM!$H$10," baik ",IF(AA35&gt;=KKM!$I$10," cukup baik "," perlu bimbingan ")))</f>
        <v xml:space="preserve"> cukup baik </v>
      </c>
      <c r="AC35" s="357">
        <f t="shared" si="1"/>
        <v>75</v>
      </c>
      <c r="AD35" s="361" t="str">
        <f>IF(AC35&gt;KKM!$G$10," sangat baik ",IF(AC35&gt;KKM!$H$10," baik ",IF(AC35&gt;=KKM!$I$10," cukup baik "," perlu bimbingan ")))</f>
        <v xml:space="preserve"> cukup baik </v>
      </c>
      <c r="AE35" s="353" t="str">
        <f t="shared" si="5"/>
        <v xml:space="preserve">SATRIA cukup baik  dalam merespon instruksi sangat sederhana dengan tindakan secara berterima dalam konteks sekolah  </v>
      </c>
      <c r="AF35" s="256"/>
      <c r="AG35" s="257" t="str">
        <f t="shared" si="2"/>
        <v xml:space="preserve"> cukup baik  dalam merespon instruksi sangat sederhana dengan tindakan secara berterima dalam konteks sekolah  </v>
      </c>
      <c r="AH35" s="257" t="str">
        <f t="shared" si="3"/>
        <v xml:space="preserve"> cukup baik  dalam merespon instruksi sangat sederhana dengan tindakan secara berterima dalam konteks sekolah  </v>
      </c>
      <c r="AI35" s="257" t="str">
        <f t="shared" si="6"/>
        <v xml:space="preserve"> cukup baik  dalam merespon instruksi sangat sederhana dengan tindakan secara berterima dalam konteks sekolah  , dan  cukup baik  dalam merespon instruksi sangat sederhana dengan tindakan secara berterima dalam konteks sekolah  </v>
      </c>
      <c r="AJ35" s="257" t="str">
        <f t="shared" si="7"/>
        <v xml:space="preserve"> cukup baik  dalam merespon instruksi sangat sederhana dengan tindakan secara berterima dalam konteks sekolah  </v>
      </c>
      <c r="AK35" s="258" t="str">
        <f t="shared" si="8"/>
        <v xml:space="preserve"> cukup baik  dalam merespon instruksi sangat sederhana dengan tindakan secara berterima dalam konteks sekolah  </v>
      </c>
      <c r="AL35" s="252" t="str">
        <f t="shared" si="9"/>
        <v xml:space="preserve">SATRIA cukup baik  dalam merespon instruksi sangat sederhana dengan tindakan secara berterima dalam konteks sekolah  </v>
      </c>
      <c r="AM35" s="153"/>
    </row>
    <row r="36" spans="2:39" ht="61.5" customHeight="1">
      <c r="B36" s="142">
        <v>32</v>
      </c>
      <c r="C36" s="143" t="str">
        <f>SISWA!B37</f>
        <v>1718250040336</v>
      </c>
      <c r="D36" s="144" t="str">
        <f>SISWA!E37</f>
        <v>NADIA</v>
      </c>
      <c r="E36" s="159">
        <v>95</v>
      </c>
      <c r="F36" s="160">
        <v>95</v>
      </c>
      <c r="G36" s="160">
        <v>95</v>
      </c>
      <c r="H36" s="160">
        <v>95</v>
      </c>
      <c r="I36" s="160">
        <v>95</v>
      </c>
      <c r="J36" s="159"/>
      <c r="K36" s="159"/>
      <c r="L36" s="159"/>
      <c r="M36" s="159"/>
      <c r="N36" s="159"/>
      <c r="O36" s="159"/>
      <c r="P36" s="159"/>
      <c r="Q36" s="159"/>
      <c r="R36" s="160"/>
      <c r="S36" s="160">
        <v>95</v>
      </c>
      <c r="T36" s="160">
        <v>95</v>
      </c>
      <c r="U36" s="160">
        <v>95</v>
      </c>
      <c r="V36" s="160">
        <v>95</v>
      </c>
      <c r="W36" s="160">
        <v>95</v>
      </c>
      <c r="X36" s="159"/>
      <c r="Y36" s="354">
        <f t="shared" si="4"/>
        <v>95</v>
      </c>
      <c r="Z36" s="355" t="str">
        <f>IF(Y36&gt;KKM!$G$10,"A",IF(Y36&gt;KKM!$H$10,"B",IF(Y36&gt;=KKM!$I$10,"C","D")))</f>
        <v>A</v>
      </c>
      <c r="AA36" s="356">
        <f t="shared" si="0"/>
        <v>95</v>
      </c>
      <c r="AB36" s="361" t="str">
        <f>IF(AA36&gt;KKM!$G$10," sangat baik ",IF(AA36&gt;KKM!$H$10," baik ",IF(AA36&gt;=KKM!$I$10," cukup baik "," perlu bimbingan ")))</f>
        <v xml:space="preserve"> sangat baik </v>
      </c>
      <c r="AC36" s="357">
        <f t="shared" si="1"/>
        <v>95</v>
      </c>
      <c r="AD36" s="361" t="str">
        <f>IF(AC36&gt;KKM!$G$10," sangat baik ",IF(AC36&gt;KKM!$H$10," baik ",IF(AC36&gt;=KKM!$I$10," cukup baik "," perlu bimbingan ")))</f>
        <v xml:space="preserve"> sangat baik </v>
      </c>
      <c r="AE36" s="353" t="str">
        <f t="shared" si="5"/>
        <v xml:space="preserve">NADIA sangat baik  dalam merespon instruksi sangat sederhana dengan tindakan secara berterima dalam konteks sekolah  </v>
      </c>
      <c r="AF36" s="256"/>
      <c r="AG36" s="257" t="str">
        <f t="shared" si="2"/>
        <v xml:space="preserve"> sangat baik  dalam merespon instruksi sangat sederhana dengan tindakan secara berterima dalam konteks sekolah  </v>
      </c>
      <c r="AH36" s="257" t="str">
        <f t="shared" si="3"/>
        <v xml:space="preserve"> sangat baik  dalam merespon instruksi sangat sederhana dengan tindakan secara berterima dalam konteks sekolah  </v>
      </c>
      <c r="AI36" s="257" t="str">
        <f t="shared" si="6"/>
        <v xml:space="preserve"> sangat baik  dalam merespon instruksi sangat sederhana dengan tindakan secara berterima dalam konteks sekolah  , dan  sangat baik  dalam merespon instruksi sangat sederhana dengan tindakan secara berterima dalam konteks sekolah  </v>
      </c>
      <c r="AJ36" s="257" t="str">
        <f t="shared" si="7"/>
        <v xml:space="preserve"> sangat baik  dalam merespon instruksi sangat sederhana dengan tindakan secara berterima dalam konteks sekolah  </v>
      </c>
      <c r="AK36" s="258" t="str">
        <f t="shared" si="8"/>
        <v xml:space="preserve"> sangat baik  dalam merespon instruksi sangat sederhana dengan tindakan secara berterima dalam konteks sekolah  </v>
      </c>
      <c r="AL36" s="252" t="str">
        <f t="shared" si="9"/>
        <v xml:space="preserve">NADIA sangat baik  dalam merespon instruksi sangat sederhana dengan tindakan secara berterima dalam konteks sekolah  </v>
      </c>
      <c r="AM36" s="153"/>
    </row>
    <row r="37" spans="2:39" ht="61.5" customHeight="1">
      <c r="B37" s="142">
        <v>33</v>
      </c>
      <c r="C37" s="143" t="str">
        <f>SISWA!B38</f>
        <v>1718250040337</v>
      </c>
      <c r="D37" s="144" t="str">
        <f>SISWA!E38</f>
        <v>NAFILA</v>
      </c>
      <c r="E37" s="159">
        <v>80</v>
      </c>
      <c r="F37" s="160">
        <v>80</v>
      </c>
      <c r="G37" s="160">
        <v>80</v>
      </c>
      <c r="H37" s="160">
        <v>80</v>
      </c>
      <c r="I37" s="160">
        <v>80</v>
      </c>
      <c r="J37" s="159"/>
      <c r="K37" s="159"/>
      <c r="L37" s="159"/>
      <c r="M37" s="159"/>
      <c r="N37" s="159"/>
      <c r="O37" s="159"/>
      <c r="P37" s="159"/>
      <c r="Q37" s="159"/>
      <c r="R37" s="160"/>
      <c r="S37" s="160">
        <v>80</v>
      </c>
      <c r="T37" s="160">
        <v>80</v>
      </c>
      <c r="U37" s="160">
        <v>80</v>
      </c>
      <c r="V37" s="160">
        <v>80</v>
      </c>
      <c r="W37" s="160">
        <v>80</v>
      </c>
      <c r="X37" s="159"/>
      <c r="Y37" s="354">
        <f t="shared" si="4"/>
        <v>80</v>
      </c>
      <c r="Z37" s="355" t="str">
        <f>IF(Y37&gt;KKM!$G$10,"A",IF(Y37&gt;KKM!$H$10,"B",IF(Y37&gt;=KKM!$I$10,"C","D")))</f>
        <v>B</v>
      </c>
      <c r="AA37" s="356">
        <f t="shared" si="0"/>
        <v>80</v>
      </c>
      <c r="AB37" s="361" t="str">
        <f>IF(AA37&gt;KKM!$G$10," sangat baik ",IF(AA37&gt;KKM!$H$10," baik ",IF(AA37&gt;=KKM!$I$10," cukup baik "," perlu bimbingan ")))</f>
        <v xml:space="preserve"> baik </v>
      </c>
      <c r="AC37" s="357">
        <f t="shared" si="1"/>
        <v>80</v>
      </c>
      <c r="AD37" s="361" t="str">
        <f>IF(AC37&gt;KKM!$G$10," sangat baik ",IF(AC37&gt;KKM!$H$10," baik ",IF(AC37&gt;=KKM!$I$10," cukup baik "," perlu bimbingan ")))</f>
        <v xml:space="preserve"> baik </v>
      </c>
      <c r="AE37" s="353" t="str">
        <f t="shared" si="5"/>
        <v xml:space="preserve">NAFILA baik  dalam merespon instruksi sangat sederhana dengan tindakan secara berterima dalam konteks sekolah  </v>
      </c>
      <c r="AF37" s="256"/>
      <c r="AG37" s="257" t="str">
        <f t="shared" si="2"/>
        <v xml:space="preserve"> baik  dalam merespon instruksi sangat sederhana dengan tindakan secara berterima dalam konteks sekolah  </v>
      </c>
      <c r="AH37" s="257" t="str">
        <f t="shared" si="3"/>
        <v xml:space="preserve"> baik  dalam merespon instruksi sangat sederhana dengan tindakan secara berterima dalam konteks sekolah  </v>
      </c>
      <c r="AI37" s="257" t="str">
        <f t="shared" si="6"/>
        <v xml:space="preserve"> baik  dalam merespon instruksi sangat sederhana dengan tindakan secara berterima dalam konteks sekolah  , dan  baik  dalam merespon instruksi sangat sederhana dengan tindakan secara berterima dalam konteks sekolah  </v>
      </c>
      <c r="AJ37" s="257" t="str">
        <f t="shared" si="7"/>
        <v xml:space="preserve"> baik  dalam merespon instruksi sangat sederhana dengan tindakan secara berterima dalam konteks sekolah  </v>
      </c>
      <c r="AK37" s="258" t="str">
        <f t="shared" si="8"/>
        <v xml:space="preserve"> baik  dalam merespon instruksi sangat sederhana dengan tindakan secara berterima dalam konteks sekolah  </v>
      </c>
      <c r="AL37" s="252" t="str">
        <f t="shared" si="9"/>
        <v xml:space="preserve">NAFILA baik  dalam merespon instruksi sangat sederhana dengan tindakan secara berterima dalam konteks sekolah  </v>
      </c>
      <c r="AM37" s="153"/>
    </row>
    <row r="38" spans="2:39" ht="61.5" customHeight="1">
      <c r="B38" s="142">
        <v>34</v>
      </c>
      <c r="C38" s="143" t="str">
        <f>SISWA!B39</f>
        <v>1718250040338</v>
      </c>
      <c r="D38" s="144" t="str">
        <f>SISWA!E39</f>
        <v>NAZZALA</v>
      </c>
      <c r="E38" s="159">
        <v>88</v>
      </c>
      <c r="F38" s="160">
        <v>88</v>
      </c>
      <c r="G38" s="160">
        <v>88</v>
      </c>
      <c r="H38" s="160">
        <v>88</v>
      </c>
      <c r="I38" s="160">
        <v>88</v>
      </c>
      <c r="J38" s="159"/>
      <c r="K38" s="159"/>
      <c r="L38" s="159"/>
      <c r="M38" s="159"/>
      <c r="N38" s="159"/>
      <c r="O38" s="159"/>
      <c r="P38" s="159"/>
      <c r="Q38" s="159"/>
      <c r="R38" s="160"/>
      <c r="S38" s="160">
        <v>88</v>
      </c>
      <c r="T38" s="160">
        <v>88</v>
      </c>
      <c r="U38" s="160">
        <v>88</v>
      </c>
      <c r="V38" s="160">
        <v>88</v>
      </c>
      <c r="W38" s="160">
        <v>88</v>
      </c>
      <c r="X38" s="159"/>
      <c r="Y38" s="354">
        <f t="shared" si="4"/>
        <v>88</v>
      </c>
      <c r="Z38" s="355" t="str">
        <f>IF(Y38&gt;KKM!$G$10,"A",IF(Y38&gt;KKM!$H$10,"B",IF(Y38&gt;=KKM!$I$10,"C","D")))</f>
        <v>A</v>
      </c>
      <c r="AA38" s="356">
        <f t="shared" si="0"/>
        <v>88</v>
      </c>
      <c r="AB38" s="361" t="str">
        <f>IF(AA38&gt;KKM!$G$10," sangat baik ",IF(AA38&gt;KKM!$H$10," baik ",IF(AA38&gt;=KKM!$I$10," cukup baik "," perlu bimbingan ")))</f>
        <v xml:space="preserve"> sangat baik </v>
      </c>
      <c r="AC38" s="357">
        <f t="shared" si="1"/>
        <v>88</v>
      </c>
      <c r="AD38" s="361" t="str">
        <f>IF(AC38&gt;KKM!$G$10," sangat baik ",IF(AC38&gt;KKM!$H$10," baik ",IF(AC38&gt;=KKM!$I$10," cukup baik "," perlu bimbingan ")))</f>
        <v xml:space="preserve"> sangat baik </v>
      </c>
      <c r="AE38" s="353" t="str">
        <f t="shared" si="5"/>
        <v xml:space="preserve">NAZZALA sangat baik  dalam merespon instruksi sangat sederhana dengan tindakan secara berterima dalam konteks sekolah  </v>
      </c>
      <c r="AF38" s="256"/>
      <c r="AG38" s="257" t="str">
        <f t="shared" si="2"/>
        <v xml:space="preserve"> sangat baik  dalam merespon instruksi sangat sederhana dengan tindakan secara berterima dalam konteks sekolah  </v>
      </c>
      <c r="AH38" s="257" t="str">
        <f t="shared" si="3"/>
        <v xml:space="preserve"> sangat baik  dalam merespon instruksi sangat sederhana dengan tindakan secara berterima dalam konteks sekolah  </v>
      </c>
      <c r="AI38" s="257" t="str">
        <f t="shared" si="6"/>
        <v xml:space="preserve"> sangat baik  dalam merespon instruksi sangat sederhana dengan tindakan secara berterima dalam konteks sekolah  , dan  sangat baik  dalam merespon instruksi sangat sederhana dengan tindakan secara berterima dalam konteks sekolah  </v>
      </c>
      <c r="AJ38" s="257" t="str">
        <f t="shared" si="7"/>
        <v xml:space="preserve"> sangat baik  dalam merespon instruksi sangat sederhana dengan tindakan secara berterima dalam konteks sekolah  </v>
      </c>
      <c r="AK38" s="258" t="str">
        <f t="shared" si="8"/>
        <v xml:space="preserve"> sangat baik  dalam merespon instruksi sangat sederhana dengan tindakan secara berterima dalam konteks sekolah  </v>
      </c>
      <c r="AL38" s="252" t="str">
        <f t="shared" si="9"/>
        <v xml:space="preserve">NAZZALA sangat baik  dalam merespon instruksi sangat sederhana dengan tindakan secara berterima dalam konteks sekolah  </v>
      </c>
      <c r="AM38" s="153"/>
    </row>
    <row r="39" spans="2:39" ht="61.5" customHeight="1">
      <c r="B39" s="142">
        <v>35</v>
      </c>
      <c r="C39" s="143" t="str">
        <f>SISWA!B40</f>
        <v>1718250040339</v>
      </c>
      <c r="D39" s="144" t="str">
        <f>SISWA!E40</f>
        <v>RAFAREL</v>
      </c>
      <c r="E39" s="159">
        <v>70</v>
      </c>
      <c r="F39" s="160">
        <v>70</v>
      </c>
      <c r="G39" s="160">
        <v>70</v>
      </c>
      <c r="H39" s="160">
        <v>70</v>
      </c>
      <c r="I39" s="160">
        <v>70</v>
      </c>
      <c r="J39" s="159"/>
      <c r="K39" s="159"/>
      <c r="L39" s="159"/>
      <c r="M39" s="159"/>
      <c r="N39" s="159"/>
      <c r="O39" s="159"/>
      <c r="P39" s="159"/>
      <c r="Q39" s="159"/>
      <c r="R39" s="160"/>
      <c r="S39" s="160">
        <v>70</v>
      </c>
      <c r="T39" s="160">
        <v>70</v>
      </c>
      <c r="U39" s="160">
        <v>70</v>
      </c>
      <c r="V39" s="160">
        <v>70</v>
      </c>
      <c r="W39" s="160">
        <v>70</v>
      </c>
      <c r="X39" s="159"/>
      <c r="Y39" s="354">
        <f t="shared" si="4"/>
        <v>70</v>
      </c>
      <c r="Z39" s="355" t="str">
        <f>IF(Y39&gt;KKM!$G$10,"A",IF(Y39&gt;KKM!$H$10,"B",IF(Y39&gt;=KKM!$I$10,"C","D")))</f>
        <v>C</v>
      </c>
      <c r="AA39" s="356">
        <f t="shared" si="0"/>
        <v>70</v>
      </c>
      <c r="AB39" s="361" t="str">
        <f>IF(AA39&gt;KKM!$G$10," sangat baik ",IF(AA39&gt;KKM!$H$10," baik ",IF(AA39&gt;=KKM!$I$10," cukup baik "," perlu bimbingan ")))</f>
        <v xml:space="preserve"> cukup baik </v>
      </c>
      <c r="AC39" s="357">
        <f t="shared" si="1"/>
        <v>70</v>
      </c>
      <c r="AD39" s="361" t="str">
        <f>IF(AC39&gt;KKM!$G$10," sangat baik ",IF(AC39&gt;KKM!$H$10," baik ",IF(AC39&gt;=KKM!$I$10," cukup baik "," perlu bimbingan ")))</f>
        <v xml:space="preserve"> cukup baik </v>
      </c>
      <c r="AE39" s="353" t="str">
        <f t="shared" si="5"/>
        <v xml:space="preserve">RAFAREL cukup baik  dalam merespon instruksi sangat sederhana dengan tindakan secara berterima dalam konteks sekolah  </v>
      </c>
      <c r="AF39" s="256"/>
      <c r="AG39" s="257" t="str">
        <f t="shared" si="2"/>
        <v xml:space="preserve"> cukup baik  dalam merespon instruksi sangat sederhana dengan tindakan secara berterima dalam konteks sekolah  </v>
      </c>
      <c r="AH39" s="257" t="str">
        <f t="shared" si="3"/>
        <v xml:space="preserve"> cukup baik  dalam merespon instruksi sangat sederhana dengan tindakan secara berterima dalam konteks sekolah  </v>
      </c>
      <c r="AI39" s="257" t="str">
        <f t="shared" si="6"/>
        <v xml:space="preserve"> cukup baik  dalam merespon instruksi sangat sederhana dengan tindakan secara berterima dalam konteks sekolah  , dan  cukup baik  dalam merespon instruksi sangat sederhana dengan tindakan secara berterima dalam konteks sekolah  </v>
      </c>
      <c r="AJ39" s="257" t="str">
        <f t="shared" si="7"/>
        <v xml:space="preserve"> cukup baik  dalam merespon instruksi sangat sederhana dengan tindakan secara berterima dalam konteks sekolah  </v>
      </c>
      <c r="AK39" s="258" t="str">
        <f t="shared" si="8"/>
        <v xml:space="preserve"> cukup baik  dalam merespon instruksi sangat sederhana dengan tindakan secara berterima dalam konteks sekolah  </v>
      </c>
      <c r="AL39" s="252" t="str">
        <f t="shared" si="9"/>
        <v xml:space="preserve">RAFAREL cukup baik  dalam merespon instruksi sangat sederhana dengan tindakan secara berterima dalam konteks sekolah  </v>
      </c>
      <c r="AM39" s="153"/>
    </row>
    <row r="40" spans="2:39" ht="61.5" customHeight="1">
      <c r="B40" s="142">
        <v>36</v>
      </c>
      <c r="C40" s="143" t="str">
        <f>SISWA!B41</f>
        <v>1718250040340</v>
      </c>
      <c r="D40" s="144" t="str">
        <f>SISWA!E41</f>
        <v>RAKHA</v>
      </c>
      <c r="E40" s="159">
        <v>90</v>
      </c>
      <c r="F40" s="160">
        <v>90</v>
      </c>
      <c r="G40" s="160">
        <v>90</v>
      </c>
      <c r="H40" s="160">
        <v>90</v>
      </c>
      <c r="I40" s="160">
        <v>90</v>
      </c>
      <c r="J40" s="159"/>
      <c r="K40" s="159"/>
      <c r="L40" s="159"/>
      <c r="M40" s="159"/>
      <c r="N40" s="159"/>
      <c r="O40" s="159"/>
      <c r="P40" s="159"/>
      <c r="Q40" s="159"/>
      <c r="R40" s="160"/>
      <c r="S40" s="160">
        <v>90</v>
      </c>
      <c r="T40" s="160">
        <v>90</v>
      </c>
      <c r="U40" s="160">
        <v>90</v>
      </c>
      <c r="V40" s="160">
        <v>90</v>
      </c>
      <c r="W40" s="160">
        <v>90</v>
      </c>
      <c r="X40" s="159"/>
      <c r="Y40" s="354">
        <f t="shared" si="4"/>
        <v>90</v>
      </c>
      <c r="Z40" s="355" t="str">
        <f>IF(Y40&gt;KKM!$G$10,"A",IF(Y40&gt;KKM!$H$10,"B",IF(Y40&gt;=KKM!$I$10,"C","D")))</f>
        <v>A</v>
      </c>
      <c r="AA40" s="356">
        <f t="shared" si="0"/>
        <v>90</v>
      </c>
      <c r="AB40" s="361" t="str">
        <f>IF(AA40&gt;KKM!$G$10," sangat baik ",IF(AA40&gt;KKM!$H$10," baik ",IF(AA40&gt;=KKM!$I$10," cukup baik "," perlu bimbingan ")))</f>
        <v xml:space="preserve"> sangat baik </v>
      </c>
      <c r="AC40" s="357">
        <f t="shared" si="1"/>
        <v>90</v>
      </c>
      <c r="AD40" s="361" t="str">
        <f>IF(AC40&gt;KKM!$G$10," sangat baik ",IF(AC40&gt;KKM!$H$10," baik ",IF(AC40&gt;=KKM!$I$10," cukup baik "," perlu bimbingan ")))</f>
        <v xml:space="preserve"> sangat baik </v>
      </c>
      <c r="AE40" s="353" t="str">
        <f t="shared" si="5"/>
        <v xml:space="preserve">RAKHA sangat baik  dalam merespon instruksi sangat sederhana dengan tindakan secara berterima dalam konteks sekolah  </v>
      </c>
      <c r="AF40" s="256"/>
      <c r="AG40" s="257" t="str">
        <f t="shared" si="2"/>
        <v xml:space="preserve"> sangat baik  dalam merespon instruksi sangat sederhana dengan tindakan secara berterima dalam konteks sekolah  </v>
      </c>
      <c r="AH40" s="257" t="str">
        <f t="shared" si="3"/>
        <v xml:space="preserve"> sangat baik  dalam merespon instruksi sangat sederhana dengan tindakan secara berterima dalam konteks sekolah  </v>
      </c>
      <c r="AI40" s="257" t="str">
        <f t="shared" si="6"/>
        <v xml:space="preserve"> sangat baik  dalam merespon instruksi sangat sederhana dengan tindakan secara berterima dalam konteks sekolah  , dan  sangat baik  dalam merespon instruksi sangat sederhana dengan tindakan secara berterima dalam konteks sekolah  </v>
      </c>
      <c r="AJ40" s="257" t="str">
        <f t="shared" si="7"/>
        <v xml:space="preserve"> sangat baik  dalam merespon instruksi sangat sederhana dengan tindakan secara berterima dalam konteks sekolah  </v>
      </c>
      <c r="AK40" s="258" t="str">
        <f t="shared" si="8"/>
        <v xml:space="preserve"> sangat baik  dalam merespon instruksi sangat sederhana dengan tindakan secara berterima dalam konteks sekolah  </v>
      </c>
      <c r="AL40" s="252" t="str">
        <f t="shared" si="9"/>
        <v xml:space="preserve">RAKHA sangat baik  dalam merespon instruksi sangat sederhana dengan tindakan secara berterima dalam konteks sekolah  </v>
      </c>
      <c r="AM40" s="153"/>
    </row>
    <row r="41" spans="2:39" ht="61.5" customHeight="1">
      <c r="B41" s="142">
        <v>37</v>
      </c>
      <c r="C41" s="143" t="str">
        <f>SISWA!B42</f>
        <v>1718250040341</v>
      </c>
      <c r="D41" s="144" t="str">
        <f>SISWA!E42</f>
        <v>RYU</v>
      </c>
      <c r="E41" s="159">
        <v>70</v>
      </c>
      <c r="F41" s="160">
        <v>70</v>
      </c>
      <c r="G41" s="160">
        <v>70</v>
      </c>
      <c r="H41" s="160">
        <v>70</v>
      </c>
      <c r="I41" s="160">
        <v>70</v>
      </c>
      <c r="J41" s="159"/>
      <c r="K41" s="159"/>
      <c r="L41" s="159"/>
      <c r="M41" s="159"/>
      <c r="N41" s="159"/>
      <c r="O41" s="159"/>
      <c r="P41" s="159"/>
      <c r="Q41" s="159"/>
      <c r="R41" s="160"/>
      <c r="S41" s="160">
        <v>70</v>
      </c>
      <c r="T41" s="160">
        <v>70</v>
      </c>
      <c r="U41" s="160">
        <v>70</v>
      </c>
      <c r="V41" s="160">
        <v>70</v>
      </c>
      <c r="W41" s="160">
        <v>70</v>
      </c>
      <c r="X41" s="159"/>
      <c r="Y41" s="354">
        <f t="shared" si="4"/>
        <v>70</v>
      </c>
      <c r="Z41" s="355" t="str">
        <f>IF(Y41&gt;KKM!$G$10,"A",IF(Y41&gt;KKM!$H$10,"B",IF(Y41&gt;=KKM!$I$10,"C","D")))</f>
        <v>C</v>
      </c>
      <c r="AA41" s="356">
        <f t="shared" si="0"/>
        <v>70</v>
      </c>
      <c r="AB41" s="361" t="str">
        <f>IF(AA41&gt;KKM!$G$10," sangat baik ",IF(AA41&gt;KKM!$H$10," baik ",IF(AA41&gt;=KKM!$I$10," cukup baik "," perlu bimbingan ")))</f>
        <v xml:space="preserve"> cukup baik </v>
      </c>
      <c r="AC41" s="357">
        <f t="shared" si="1"/>
        <v>70</v>
      </c>
      <c r="AD41" s="361" t="str">
        <f>IF(AC41&gt;KKM!$G$10," sangat baik ",IF(AC41&gt;KKM!$H$10," baik ",IF(AC41&gt;=KKM!$I$10," cukup baik "," perlu bimbingan ")))</f>
        <v xml:space="preserve"> cukup baik </v>
      </c>
      <c r="AE41" s="353" t="str">
        <f t="shared" si="5"/>
        <v xml:space="preserve">RYU cukup baik  dalam merespon instruksi sangat sederhana dengan tindakan secara berterima dalam konteks sekolah  </v>
      </c>
      <c r="AF41" s="256"/>
      <c r="AG41" s="257" t="str">
        <f t="shared" si="2"/>
        <v xml:space="preserve"> cukup baik  dalam merespon instruksi sangat sederhana dengan tindakan secara berterima dalam konteks sekolah  </v>
      </c>
      <c r="AH41" s="257" t="str">
        <f t="shared" si="3"/>
        <v xml:space="preserve"> cukup baik  dalam merespon instruksi sangat sederhana dengan tindakan secara berterima dalam konteks sekolah  </v>
      </c>
      <c r="AI41" s="257" t="str">
        <f t="shared" si="6"/>
        <v xml:space="preserve"> cukup baik  dalam merespon instruksi sangat sederhana dengan tindakan secara berterima dalam konteks sekolah  , dan  cukup baik  dalam merespon instruksi sangat sederhana dengan tindakan secara berterima dalam konteks sekolah  </v>
      </c>
      <c r="AJ41" s="257" t="str">
        <f t="shared" si="7"/>
        <v xml:space="preserve"> cukup baik  dalam merespon instruksi sangat sederhana dengan tindakan secara berterima dalam konteks sekolah  </v>
      </c>
      <c r="AK41" s="258" t="str">
        <f t="shared" si="8"/>
        <v xml:space="preserve"> cukup baik  dalam merespon instruksi sangat sederhana dengan tindakan secara berterima dalam konteks sekolah  </v>
      </c>
      <c r="AL41" s="252" t="str">
        <f t="shared" si="9"/>
        <v xml:space="preserve">RYU cukup baik  dalam merespon instruksi sangat sederhana dengan tindakan secara berterima dalam konteks sekolah  </v>
      </c>
      <c r="AM41" s="153"/>
    </row>
    <row r="42" spans="2:39" ht="61.5" customHeight="1">
      <c r="B42" s="142">
        <v>38</v>
      </c>
      <c r="C42" s="143" t="str">
        <f>SISWA!B43</f>
        <v>1718250040342</v>
      </c>
      <c r="D42" s="144" t="str">
        <f>SISWA!E43</f>
        <v>SAEPUL</v>
      </c>
      <c r="E42" s="159">
        <v>70</v>
      </c>
      <c r="F42" s="160">
        <v>70</v>
      </c>
      <c r="G42" s="160">
        <v>70</v>
      </c>
      <c r="H42" s="160">
        <v>70</v>
      </c>
      <c r="I42" s="160">
        <v>70</v>
      </c>
      <c r="J42" s="159"/>
      <c r="K42" s="159"/>
      <c r="L42" s="159"/>
      <c r="M42" s="159"/>
      <c r="N42" s="159"/>
      <c r="O42" s="159"/>
      <c r="P42" s="159"/>
      <c r="Q42" s="159"/>
      <c r="R42" s="160"/>
      <c r="S42" s="160">
        <v>70</v>
      </c>
      <c r="T42" s="160">
        <v>70</v>
      </c>
      <c r="U42" s="160">
        <v>70</v>
      </c>
      <c r="V42" s="160">
        <v>70</v>
      </c>
      <c r="W42" s="160">
        <v>70</v>
      </c>
      <c r="X42" s="159"/>
      <c r="Y42" s="354">
        <f t="shared" si="4"/>
        <v>70</v>
      </c>
      <c r="Z42" s="355" t="str">
        <f>IF(Y42&gt;KKM!$G$10,"A",IF(Y42&gt;KKM!$H$10,"B",IF(Y42&gt;=KKM!$I$10,"C","D")))</f>
        <v>C</v>
      </c>
      <c r="AA42" s="356">
        <f t="shared" si="0"/>
        <v>70</v>
      </c>
      <c r="AB42" s="361" t="str">
        <f>IF(AA42&gt;KKM!$G$10," sangat baik ",IF(AA42&gt;KKM!$H$10," baik ",IF(AA42&gt;=KKM!$I$10," cukup baik "," perlu bimbingan ")))</f>
        <v xml:space="preserve"> cukup baik </v>
      </c>
      <c r="AC42" s="357">
        <f t="shared" si="1"/>
        <v>70</v>
      </c>
      <c r="AD42" s="361" t="str">
        <f>IF(AC42&gt;KKM!$G$10," sangat baik ",IF(AC42&gt;KKM!$H$10," baik ",IF(AC42&gt;=KKM!$I$10," cukup baik "," perlu bimbingan ")))</f>
        <v xml:space="preserve"> cukup baik </v>
      </c>
      <c r="AE42" s="353" t="str">
        <f t="shared" si="5"/>
        <v xml:space="preserve">SAEPUL cukup baik  dalam merespon instruksi sangat sederhana dengan tindakan secara berterima dalam konteks sekolah  </v>
      </c>
      <c r="AF42" s="256"/>
      <c r="AG42" s="257" t="str">
        <f t="shared" si="2"/>
        <v xml:space="preserve"> cukup baik  dalam merespon instruksi sangat sederhana dengan tindakan secara berterima dalam konteks sekolah  </v>
      </c>
      <c r="AH42" s="257" t="str">
        <f t="shared" si="3"/>
        <v xml:space="preserve"> cukup baik  dalam merespon instruksi sangat sederhana dengan tindakan secara berterima dalam konteks sekolah  </v>
      </c>
      <c r="AI42" s="257" t="str">
        <f t="shared" si="6"/>
        <v xml:space="preserve"> cukup baik  dalam merespon instruksi sangat sederhana dengan tindakan secara berterima dalam konteks sekolah  , dan  cukup baik  dalam merespon instruksi sangat sederhana dengan tindakan secara berterima dalam konteks sekolah  </v>
      </c>
      <c r="AJ42" s="257" t="str">
        <f t="shared" si="7"/>
        <v xml:space="preserve"> cukup baik  dalam merespon instruksi sangat sederhana dengan tindakan secara berterima dalam konteks sekolah  </v>
      </c>
      <c r="AK42" s="258" t="str">
        <f t="shared" si="8"/>
        <v xml:space="preserve"> cukup baik  dalam merespon instruksi sangat sederhana dengan tindakan secara berterima dalam konteks sekolah  </v>
      </c>
      <c r="AL42" s="252" t="str">
        <f t="shared" si="9"/>
        <v xml:space="preserve">SAEPUL cukup baik  dalam merespon instruksi sangat sederhana dengan tindakan secara berterima dalam konteks sekolah  </v>
      </c>
      <c r="AM42" s="153"/>
    </row>
    <row r="43" spans="2:39" ht="61.5" customHeight="1">
      <c r="B43" s="142">
        <v>39</v>
      </c>
      <c r="C43" s="143" t="str">
        <f>SISWA!B44</f>
        <v>1718250040343</v>
      </c>
      <c r="D43" s="144" t="str">
        <f>SISWA!E44</f>
        <v>SALMA</v>
      </c>
      <c r="E43" s="159">
        <v>70</v>
      </c>
      <c r="F43" s="160">
        <v>70</v>
      </c>
      <c r="G43" s="160">
        <v>70</v>
      </c>
      <c r="H43" s="160">
        <v>70</v>
      </c>
      <c r="I43" s="160">
        <v>70</v>
      </c>
      <c r="J43" s="159"/>
      <c r="K43" s="159"/>
      <c r="L43" s="159"/>
      <c r="M43" s="159"/>
      <c r="N43" s="159"/>
      <c r="O43" s="159"/>
      <c r="P43" s="159"/>
      <c r="Q43" s="159"/>
      <c r="R43" s="160"/>
      <c r="S43" s="160">
        <v>70</v>
      </c>
      <c r="T43" s="160">
        <v>70</v>
      </c>
      <c r="U43" s="160">
        <v>70</v>
      </c>
      <c r="V43" s="160">
        <v>70</v>
      </c>
      <c r="W43" s="160">
        <v>70</v>
      </c>
      <c r="X43" s="159"/>
      <c r="Y43" s="354">
        <f t="shared" si="4"/>
        <v>70</v>
      </c>
      <c r="Z43" s="355" t="str">
        <f>IF(Y43&gt;KKM!$G$10,"A",IF(Y43&gt;KKM!$H$10,"B",IF(Y43&gt;=KKM!$I$10,"C","D")))</f>
        <v>C</v>
      </c>
      <c r="AA43" s="356">
        <f t="shared" si="0"/>
        <v>70</v>
      </c>
      <c r="AB43" s="361" t="str">
        <f>IF(AA43&gt;KKM!$G$10," sangat baik ",IF(AA43&gt;KKM!$H$10," baik ",IF(AA43&gt;=KKM!$I$10," cukup baik "," perlu bimbingan ")))</f>
        <v xml:space="preserve"> cukup baik </v>
      </c>
      <c r="AC43" s="357">
        <f t="shared" si="1"/>
        <v>70</v>
      </c>
      <c r="AD43" s="361" t="str">
        <f>IF(AC43&gt;KKM!$G$10," sangat baik ",IF(AC43&gt;KKM!$H$10," baik ",IF(AC43&gt;=KKM!$I$10," cukup baik "," perlu bimbingan ")))</f>
        <v xml:space="preserve"> cukup baik </v>
      </c>
      <c r="AE43" s="353" t="str">
        <f t="shared" si="5"/>
        <v xml:space="preserve">SALMA cukup baik  dalam merespon instruksi sangat sederhana dengan tindakan secara berterima dalam konteks sekolah  </v>
      </c>
      <c r="AF43" s="256"/>
      <c r="AG43" s="257" t="str">
        <f t="shared" si="2"/>
        <v xml:space="preserve"> cukup baik  dalam merespon instruksi sangat sederhana dengan tindakan secara berterima dalam konteks sekolah  </v>
      </c>
      <c r="AH43" s="257" t="str">
        <f t="shared" si="3"/>
        <v xml:space="preserve"> cukup baik  dalam merespon instruksi sangat sederhana dengan tindakan secara berterima dalam konteks sekolah  </v>
      </c>
      <c r="AI43" s="257" t="str">
        <f t="shared" si="6"/>
        <v xml:space="preserve"> cukup baik  dalam merespon instruksi sangat sederhana dengan tindakan secara berterima dalam konteks sekolah  , dan  cukup baik  dalam merespon instruksi sangat sederhana dengan tindakan secara berterima dalam konteks sekolah  </v>
      </c>
      <c r="AJ43" s="257" t="str">
        <f t="shared" si="7"/>
        <v xml:space="preserve"> cukup baik  dalam merespon instruksi sangat sederhana dengan tindakan secara berterima dalam konteks sekolah  </v>
      </c>
      <c r="AK43" s="258" t="str">
        <f t="shared" si="8"/>
        <v xml:space="preserve"> cukup baik  dalam merespon instruksi sangat sederhana dengan tindakan secara berterima dalam konteks sekolah  </v>
      </c>
      <c r="AL43" s="252" t="str">
        <f t="shared" si="9"/>
        <v xml:space="preserve">SALMA cukup baik  dalam merespon instruksi sangat sederhana dengan tindakan secara berterima dalam konteks sekolah  </v>
      </c>
      <c r="AM43" s="153"/>
    </row>
    <row r="44" spans="2:39" ht="61.5" customHeight="1">
      <c r="B44" s="142">
        <v>40</v>
      </c>
      <c r="C44" s="143" t="str">
        <f>SISWA!B45</f>
        <v>1718250040344</v>
      </c>
      <c r="D44" s="144" t="str">
        <f>SISWA!E45</f>
        <v>SYAKILA</v>
      </c>
      <c r="E44" s="159">
        <v>92</v>
      </c>
      <c r="F44" s="160">
        <v>92</v>
      </c>
      <c r="G44" s="160">
        <v>92</v>
      </c>
      <c r="H44" s="160">
        <v>92</v>
      </c>
      <c r="I44" s="160">
        <v>92</v>
      </c>
      <c r="J44" s="159"/>
      <c r="K44" s="159"/>
      <c r="L44" s="159"/>
      <c r="M44" s="159"/>
      <c r="N44" s="159"/>
      <c r="O44" s="159"/>
      <c r="P44" s="159"/>
      <c r="Q44" s="159"/>
      <c r="R44" s="160"/>
      <c r="S44" s="160">
        <v>92</v>
      </c>
      <c r="T44" s="160">
        <v>92</v>
      </c>
      <c r="U44" s="160">
        <v>92</v>
      </c>
      <c r="V44" s="160">
        <v>92</v>
      </c>
      <c r="W44" s="160">
        <v>92</v>
      </c>
      <c r="X44" s="159"/>
      <c r="Y44" s="354">
        <f t="shared" si="4"/>
        <v>92</v>
      </c>
      <c r="Z44" s="355" t="str">
        <f>IF(Y44&gt;KKM!$G$10,"A",IF(Y44&gt;KKM!$H$10,"B",IF(Y44&gt;=KKM!$I$10,"C","D")))</f>
        <v>A</v>
      </c>
      <c r="AA44" s="356">
        <f t="shared" si="0"/>
        <v>92</v>
      </c>
      <c r="AB44" s="361" t="str">
        <f>IF(AA44&gt;KKM!$G$10," sangat baik ",IF(AA44&gt;KKM!$H$10," baik ",IF(AA44&gt;=KKM!$I$10," cukup baik "," perlu bimbingan ")))</f>
        <v xml:space="preserve"> sangat baik </v>
      </c>
      <c r="AC44" s="357">
        <f t="shared" si="1"/>
        <v>92</v>
      </c>
      <c r="AD44" s="361" t="str">
        <f>IF(AC44&gt;KKM!$G$10," sangat baik ",IF(AC44&gt;KKM!$H$10," baik ",IF(AC44&gt;=KKM!$I$10," cukup baik "," perlu bimbingan ")))</f>
        <v xml:space="preserve"> sangat baik </v>
      </c>
      <c r="AE44" s="353" t="str">
        <f t="shared" si="5"/>
        <v xml:space="preserve">SYAKILA sangat baik  dalam merespon instruksi sangat sederhana dengan tindakan secara berterima dalam konteks sekolah  </v>
      </c>
      <c r="AF44" s="256"/>
      <c r="AG44" s="257" t="str">
        <f t="shared" si="2"/>
        <v xml:space="preserve"> sangat baik  dalam merespon instruksi sangat sederhana dengan tindakan secara berterima dalam konteks sekolah  </v>
      </c>
      <c r="AH44" s="257" t="str">
        <f t="shared" si="3"/>
        <v xml:space="preserve"> sangat baik  dalam merespon instruksi sangat sederhana dengan tindakan secara berterima dalam konteks sekolah  </v>
      </c>
      <c r="AI44" s="257" t="str">
        <f t="shared" si="6"/>
        <v xml:space="preserve"> sangat baik  dalam merespon instruksi sangat sederhana dengan tindakan secara berterima dalam konteks sekolah  , dan  sangat baik  dalam merespon instruksi sangat sederhana dengan tindakan secara berterima dalam konteks sekolah  </v>
      </c>
      <c r="AJ44" s="257" t="str">
        <f t="shared" si="7"/>
        <v xml:space="preserve"> sangat baik  dalam merespon instruksi sangat sederhana dengan tindakan secara berterima dalam konteks sekolah  </v>
      </c>
      <c r="AK44" s="258" t="str">
        <f t="shared" si="8"/>
        <v xml:space="preserve"> sangat baik  dalam merespon instruksi sangat sederhana dengan tindakan secara berterima dalam konteks sekolah  </v>
      </c>
      <c r="AL44" s="252" t="str">
        <f t="shared" si="9"/>
        <v xml:space="preserve">SYAKILA sangat baik  dalam merespon instruksi sangat sederhana dengan tindakan secara berterima dalam konteks sekolah  </v>
      </c>
      <c r="AM44" s="153"/>
    </row>
    <row r="45" spans="2:39" ht="61.5" customHeight="1">
      <c r="B45" s="142">
        <v>41</v>
      </c>
      <c r="C45" s="143" t="str">
        <f>SISWA!B46</f>
        <v>1718250040345</v>
      </c>
      <c r="D45" s="144" t="str">
        <f>SISWA!E46</f>
        <v>SYIFA</v>
      </c>
      <c r="E45" s="159">
        <v>70</v>
      </c>
      <c r="F45" s="160">
        <v>70</v>
      </c>
      <c r="G45" s="160">
        <v>70</v>
      </c>
      <c r="H45" s="160">
        <v>70</v>
      </c>
      <c r="I45" s="160">
        <v>70</v>
      </c>
      <c r="J45" s="159"/>
      <c r="K45" s="159"/>
      <c r="L45" s="159"/>
      <c r="M45" s="159"/>
      <c r="N45" s="159"/>
      <c r="O45" s="159"/>
      <c r="P45" s="159"/>
      <c r="Q45" s="159"/>
      <c r="R45" s="160"/>
      <c r="S45" s="160">
        <v>70</v>
      </c>
      <c r="T45" s="160">
        <v>70</v>
      </c>
      <c r="U45" s="160">
        <v>70</v>
      </c>
      <c r="V45" s="160">
        <v>70</v>
      </c>
      <c r="W45" s="160">
        <v>70</v>
      </c>
      <c r="X45" s="159"/>
      <c r="Y45" s="354">
        <f t="shared" si="4"/>
        <v>70</v>
      </c>
      <c r="Z45" s="355" t="str">
        <f>IF(Y45&gt;KKM!$G$10,"A",IF(Y45&gt;KKM!$H$10,"B",IF(Y45&gt;=KKM!$I$10,"C","D")))</f>
        <v>C</v>
      </c>
      <c r="AA45" s="356">
        <f t="shared" si="0"/>
        <v>70</v>
      </c>
      <c r="AB45" s="361" t="str">
        <f>IF(AA45&gt;KKM!$G$10," sangat baik ",IF(AA45&gt;KKM!$H$10," baik ",IF(AA45&gt;=KKM!$I$10," cukup baik "," perlu bimbingan ")))</f>
        <v xml:space="preserve"> cukup baik </v>
      </c>
      <c r="AC45" s="357">
        <f t="shared" si="1"/>
        <v>70</v>
      </c>
      <c r="AD45" s="361" t="str">
        <f>IF(AC45&gt;KKM!$G$10," sangat baik ",IF(AC45&gt;KKM!$H$10," baik ",IF(AC45&gt;=KKM!$I$10," cukup baik "," perlu bimbingan ")))</f>
        <v xml:space="preserve"> cukup baik </v>
      </c>
      <c r="AE45" s="353" t="str">
        <f t="shared" si="5"/>
        <v xml:space="preserve">SYIFA cukup baik  dalam merespon instruksi sangat sederhana dengan tindakan secara berterima dalam konteks sekolah  </v>
      </c>
      <c r="AF45" s="256"/>
      <c r="AG45" s="257" t="str">
        <f t="shared" si="2"/>
        <v xml:space="preserve"> cukup baik  dalam merespon instruksi sangat sederhana dengan tindakan secara berterima dalam konteks sekolah  </v>
      </c>
      <c r="AH45" s="257" t="str">
        <f t="shared" si="3"/>
        <v xml:space="preserve"> cukup baik  dalam merespon instruksi sangat sederhana dengan tindakan secara berterima dalam konteks sekolah  </v>
      </c>
      <c r="AI45" s="257" t="str">
        <f t="shared" si="6"/>
        <v xml:space="preserve"> cukup baik  dalam merespon instruksi sangat sederhana dengan tindakan secara berterima dalam konteks sekolah  , dan  cukup baik  dalam merespon instruksi sangat sederhana dengan tindakan secara berterima dalam konteks sekolah  </v>
      </c>
      <c r="AJ45" s="257" t="str">
        <f t="shared" si="7"/>
        <v xml:space="preserve"> cukup baik  dalam merespon instruksi sangat sederhana dengan tindakan secara berterima dalam konteks sekolah  </v>
      </c>
      <c r="AK45" s="258" t="str">
        <f t="shared" si="8"/>
        <v xml:space="preserve"> cukup baik  dalam merespon instruksi sangat sederhana dengan tindakan secara berterima dalam konteks sekolah  </v>
      </c>
      <c r="AL45" s="252" t="str">
        <f t="shared" si="9"/>
        <v xml:space="preserve">SYIFA cukup baik  dalam merespon instruksi sangat sederhana dengan tindakan secara berterima dalam konteks sekolah  </v>
      </c>
      <c r="AM45" s="153"/>
    </row>
    <row r="46" spans="2:39" ht="61.5" customHeight="1">
      <c r="B46" s="142">
        <v>42</v>
      </c>
      <c r="C46" s="143" t="str">
        <f>SISWA!B47</f>
        <v>1718250040346</v>
      </c>
      <c r="D46" s="144" t="str">
        <f>SISWA!E47</f>
        <v>WAFDAN</v>
      </c>
      <c r="E46" s="159">
        <v>85</v>
      </c>
      <c r="F46" s="160">
        <v>85</v>
      </c>
      <c r="G46" s="160">
        <v>85</v>
      </c>
      <c r="H46" s="160">
        <v>85</v>
      </c>
      <c r="I46" s="160">
        <v>85</v>
      </c>
      <c r="J46" s="159"/>
      <c r="K46" s="159"/>
      <c r="L46" s="159"/>
      <c r="M46" s="159"/>
      <c r="N46" s="159"/>
      <c r="O46" s="159"/>
      <c r="P46" s="159"/>
      <c r="Q46" s="159"/>
      <c r="R46" s="160"/>
      <c r="S46" s="160">
        <v>85</v>
      </c>
      <c r="T46" s="160">
        <v>85</v>
      </c>
      <c r="U46" s="160">
        <v>85</v>
      </c>
      <c r="V46" s="160">
        <v>85</v>
      </c>
      <c r="W46" s="160">
        <v>85</v>
      </c>
      <c r="X46" s="159"/>
      <c r="Y46" s="354">
        <f t="shared" si="4"/>
        <v>85</v>
      </c>
      <c r="Z46" s="355" t="str">
        <f>IF(Y46&gt;KKM!$G$10,"A",IF(Y46&gt;KKM!$H$10,"B",IF(Y46&gt;=KKM!$I$10,"C","D")))</f>
        <v>B</v>
      </c>
      <c r="AA46" s="356">
        <f t="shared" si="0"/>
        <v>85</v>
      </c>
      <c r="AB46" s="361" t="str">
        <f>IF(AA46&gt;KKM!$G$10," sangat baik ",IF(AA46&gt;KKM!$H$10," baik ",IF(AA46&gt;=KKM!$I$10," cukup baik "," perlu bimbingan ")))</f>
        <v xml:space="preserve"> baik </v>
      </c>
      <c r="AC46" s="357">
        <f t="shared" si="1"/>
        <v>85</v>
      </c>
      <c r="AD46" s="361" t="str">
        <f>IF(AC46&gt;KKM!$G$10," sangat baik ",IF(AC46&gt;KKM!$H$10," baik ",IF(AC46&gt;=KKM!$I$10," cukup baik "," perlu bimbingan ")))</f>
        <v xml:space="preserve"> baik </v>
      </c>
      <c r="AE46" s="353" t="str">
        <f t="shared" si="5"/>
        <v xml:space="preserve">WAFDAN baik  dalam merespon instruksi sangat sederhana dengan tindakan secara berterima dalam konteks sekolah  </v>
      </c>
      <c r="AF46" s="256"/>
      <c r="AG46" s="257" t="str">
        <f t="shared" si="2"/>
        <v xml:space="preserve"> baik  dalam merespon instruksi sangat sederhana dengan tindakan secara berterima dalam konteks sekolah  </v>
      </c>
      <c r="AH46" s="257" t="str">
        <f t="shared" si="3"/>
        <v xml:space="preserve"> baik  dalam merespon instruksi sangat sederhana dengan tindakan secara berterima dalam konteks sekolah  </v>
      </c>
      <c r="AI46" s="257" t="str">
        <f t="shared" si="6"/>
        <v xml:space="preserve"> baik  dalam merespon instruksi sangat sederhana dengan tindakan secara berterima dalam konteks sekolah  , dan  baik  dalam merespon instruksi sangat sederhana dengan tindakan secara berterima dalam konteks sekolah  </v>
      </c>
      <c r="AJ46" s="257" t="str">
        <f t="shared" si="7"/>
        <v xml:space="preserve"> baik  dalam merespon instruksi sangat sederhana dengan tindakan secara berterima dalam konteks sekolah  </v>
      </c>
      <c r="AK46" s="258" t="str">
        <f t="shared" si="8"/>
        <v xml:space="preserve"> baik  dalam merespon instruksi sangat sederhana dengan tindakan secara berterima dalam konteks sekolah  </v>
      </c>
      <c r="AL46" s="252" t="str">
        <f t="shared" si="9"/>
        <v xml:space="preserve">WAFDAN baik  dalam merespon instruksi sangat sederhana dengan tindakan secara berterima dalam konteks sekolah  </v>
      </c>
      <c r="AM46" s="153"/>
    </row>
    <row r="47" spans="2:39" ht="61.5" customHeight="1">
      <c r="B47" s="142">
        <v>43</v>
      </c>
      <c r="C47" s="143" t="str">
        <f>SISWA!B48</f>
        <v>1718250040347</v>
      </c>
      <c r="D47" s="144" t="str">
        <f>SISWA!E48</f>
        <v>ZEVA</v>
      </c>
      <c r="E47" s="159">
        <v>80</v>
      </c>
      <c r="F47" s="160">
        <v>80</v>
      </c>
      <c r="G47" s="160">
        <v>80</v>
      </c>
      <c r="H47" s="160">
        <v>80</v>
      </c>
      <c r="I47" s="160">
        <v>80</v>
      </c>
      <c r="J47" s="159"/>
      <c r="K47" s="159"/>
      <c r="L47" s="159"/>
      <c r="M47" s="159"/>
      <c r="N47" s="159"/>
      <c r="O47" s="159"/>
      <c r="P47" s="159"/>
      <c r="Q47" s="159"/>
      <c r="R47" s="160"/>
      <c r="S47" s="160">
        <v>80</v>
      </c>
      <c r="T47" s="160">
        <v>80</v>
      </c>
      <c r="U47" s="160">
        <v>80</v>
      </c>
      <c r="V47" s="160">
        <v>80</v>
      </c>
      <c r="W47" s="160">
        <v>80</v>
      </c>
      <c r="X47" s="159"/>
      <c r="Y47" s="354">
        <f t="shared" si="4"/>
        <v>80</v>
      </c>
      <c r="Z47" s="355" t="str">
        <f>IF(Y47&gt;KKM!$G$10,"A",IF(Y47&gt;KKM!$H$10,"B",IF(Y47&gt;=KKM!$I$10,"C","D")))</f>
        <v>B</v>
      </c>
      <c r="AA47" s="356">
        <f t="shared" si="0"/>
        <v>80</v>
      </c>
      <c r="AB47" s="361" t="str">
        <f>IF(AA47&gt;KKM!$G$10," sangat baik ",IF(AA47&gt;KKM!$H$10," baik ",IF(AA47&gt;=KKM!$I$10," cukup baik "," perlu bimbingan ")))</f>
        <v xml:space="preserve"> baik </v>
      </c>
      <c r="AC47" s="357">
        <f t="shared" si="1"/>
        <v>80</v>
      </c>
      <c r="AD47" s="361" t="str">
        <f>IF(AC47&gt;KKM!$G$10," sangat baik ",IF(AC47&gt;KKM!$H$10," baik ",IF(AC47&gt;=KKM!$I$10," cukup baik "," perlu bimbingan ")))</f>
        <v xml:space="preserve"> baik </v>
      </c>
      <c r="AE47" s="353" t="str">
        <f t="shared" si="5"/>
        <v xml:space="preserve">ZEVA baik  dalam merespon instruksi sangat sederhana dengan tindakan secara berterima dalam konteks sekolah  </v>
      </c>
      <c r="AF47" s="256"/>
      <c r="AG47" s="257" t="str">
        <f t="shared" si="2"/>
        <v xml:space="preserve"> baik  dalam merespon instruksi sangat sederhana dengan tindakan secara berterima dalam konteks sekolah  </v>
      </c>
      <c r="AH47" s="257" t="str">
        <f t="shared" si="3"/>
        <v xml:space="preserve"> baik  dalam merespon instruksi sangat sederhana dengan tindakan secara berterima dalam konteks sekolah  </v>
      </c>
      <c r="AI47" s="257" t="str">
        <f t="shared" si="6"/>
        <v xml:space="preserve"> baik  dalam merespon instruksi sangat sederhana dengan tindakan secara berterima dalam konteks sekolah  , dan  baik  dalam merespon instruksi sangat sederhana dengan tindakan secara berterima dalam konteks sekolah  </v>
      </c>
      <c r="AJ47" s="257" t="str">
        <f t="shared" si="7"/>
        <v xml:space="preserve"> baik  dalam merespon instruksi sangat sederhana dengan tindakan secara berterima dalam konteks sekolah  </v>
      </c>
      <c r="AK47" s="258" t="str">
        <f t="shared" si="8"/>
        <v xml:space="preserve"> baik  dalam merespon instruksi sangat sederhana dengan tindakan secara berterima dalam konteks sekolah  </v>
      </c>
      <c r="AL47" s="252" t="str">
        <f t="shared" si="9"/>
        <v xml:space="preserve">ZEVA baik  dalam merespon instruksi sangat sederhana dengan tindakan secara berterima dalam konteks sekolah  </v>
      </c>
      <c r="AM47" s="153"/>
    </row>
    <row r="48" spans="2:39" ht="61.5" customHeight="1">
      <c r="B48" s="142">
        <v>44</v>
      </c>
      <c r="C48" s="143">
        <f>SISWA!B49</f>
        <v>0</v>
      </c>
      <c r="D48" s="144">
        <f>SISWA!E49</f>
        <v>0</v>
      </c>
      <c r="E48" s="159"/>
      <c r="F48" s="160"/>
      <c r="G48" s="160"/>
      <c r="H48" s="160"/>
      <c r="I48" s="160"/>
      <c r="J48" s="159"/>
      <c r="K48" s="159"/>
      <c r="L48" s="159"/>
      <c r="M48" s="159"/>
      <c r="N48" s="159"/>
      <c r="O48" s="159"/>
      <c r="P48" s="159"/>
      <c r="Q48" s="159"/>
      <c r="R48" s="160"/>
      <c r="S48" s="160"/>
      <c r="T48" s="160"/>
      <c r="U48" s="160"/>
      <c r="V48" s="160"/>
      <c r="W48" s="160"/>
      <c r="X48" s="159"/>
      <c r="Y48" s="354" t="e">
        <f t="shared" si="4"/>
        <v>#DIV/0!</v>
      </c>
      <c r="Z48" s="355" t="e">
        <f>IF(Y48&gt;KKM!$G$10,"A",IF(Y48&gt;KKM!$H$10,"B",IF(Y48&gt;=KKM!$I$10,"C","D")))</f>
        <v>#DIV/0!</v>
      </c>
      <c r="AA48" s="356">
        <f t="shared" si="0"/>
        <v>0</v>
      </c>
      <c r="AB48" s="361" t="str">
        <f>IF(AA48&gt;KKM!$G$10," sangat baik ",IF(AA48&gt;KKM!$H$10," baik ",IF(AA48&gt;=KKM!$I$10," cukup baik "," perlu bimbingan ")))</f>
        <v xml:space="preserve"> perlu bimbingan </v>
      </c>
      <c r="AC48" s="357">
        <f t="shared" si="1"/>
        <v>0</v>
      </c>
      <c r="AD48" s="361" t="str">
        <f>IF(AC48&gt;KKM!$G$10," sangat baik ",IF(AC48&gt;KKM!$H$10," baik ",IF(AC48&gt;=KKM!$I$10," cukup baik "," perlu bimbingan ")))</f>
        <v xml:space="preserve"> perlu bimbingan </v>
      </c>
      <c r="AE48" s="353" t="str">
        <f t="shared" si="5"/>
        <v xml:space="preserve"> </v>
      </c>
      <c r="AF48" s="256"/>
      <c r="AG48" s="257" t="e">
        <f t="shared" si="2"/>
        <v>#N/A</v>
      </c>
      <c r="AH48" s="257" t="e">
        <f t="shared" si="3"/>
        <v>#N/A</v>
      </c>
      <c r="AI48" s="257" t="e">
        <f t="shared" si="6"/>
        <v>#N/A</v>
      </c>
      <c r="AJ48" s="257" t="e">
        <f t="shared" si="7"/>
        <v>#N/A</v>
      </c>
      <c r="AK48" s="258" t="e">
        <f t="shared" si="8"/>
        <v>#N/A</v>
      </c>
      <c r="AL48" s="252" t="e">
        <f t="shared" si="9"/>
        <v>#N/A</v>
      </c>
      <c r="AM48" s="153"/>
    </row>
    <row r="49" spans="2:39" ht="61.5" customHeight="1">
      <c r="B49" s="142">
        <v>45</v>
      </c>
      <c r="C49" s="143">
        <f>SISWA!B50</f>
        <v>0</v>
      </c>
      <c r="D49" s="144">
        <f>SISWA!E50</f>
        <v>0</v>
      </c>
      <c r="E49" s="159"/>
      <c r="F49" s="160"/>
      <c r="G49" s="160"/>
      <c r="H49" s="160"/>
      <c r="I49" s="160"/>
      <c r="J49" s="159"/>
      <c r="K49" s="159"/>
      <c r="L49" s="159"/>
      <c r="M49" s="159"/>
      <c r="N49" s="159"/>
      <c r="O49" s="159"/>
      <c r="P49" s="159"/>
      <c r="Q49" s="159"/>
      <c r="R49" s="160"/>
      <c r="S49" s="160"/>
      <c r="T49" s="160"/>
      <c r="U49" s="160"/>
      <c r="V49" s="160"/>
      <c r="W49" s="160"/>
      <c r="X49" s="159"/>
      <c r="Y49" s="354" t="e">
        <f t="shared" si="4"/>
        <v>#DIV/0!</v>
      </c>
      <c r="Z49" s="355" t="e">
        <f>IF(Y49&gt;KKM!$G$10,"A",IF(Y49&gt;KKM!$H$10,"B",IF(Y49&gt;=KKM!$I$10,"C","D")))</f>
        <v>#DIV/0!</v>
      </c>
      <c r="AA49" s="356">
        <f t="shared" si="0"/>
        <v>0</v>
      </c>
      <c r="AB49" s="361" t="str">
        <f>IF(AA49&gt;KKM!$G$10," sangat baik ",IF(AA49&gt;KKM!$H$10," baik ",IF(AA49&gt;=KKM!$I$10," cukup baik "," perlu bimbingan ")))</f>
        <v xml:space="preserve"> perlu bimbingan </v>
      </c>
      <c r="AC49" s="357">
        <f t="shared" si="1"/>
        <v>0</v>
      </c>
      <c r="AD49" s="361" t="str">
        <f>IF(AC49&gt;KKM!$G$10," sangat baik ",IF(AC49&gt;KKM!$H$10," baik ",IF(AC49&gt;=KKM!$I$10," cukup baik "," perlu bimbingan ")))</f>
        <v xml:space="preserve"> perlu bimbingan </v>
      </c>
      <c r="AE49" s="353" t="str">
        <f t="shared" si="5"/>
        <v xml:space="preserve"> </v>
      </c>
      <c r="AF49" s="256"/>
      <c r="AG49" s="257" t="e">
        <f t="shared" si="2"/>
        <v>#N/A</v>
      </c>
      <c r="AH49" s="257" t="e">
        <f t="shared" si="3"/>
        <v>#N/A</v>
      </c>
      <c r="AI49" s="257" t="e">
        <f t="shared" si="6"/>
        <v>#N/A</v>
      </c>
      <c r="AJ49" s="257" t="e">
        <f t="shared" si="7"/>
        <v>#N/A</v>
      </c>
      <c r="AK49" s="258" t="e">
        <f t="shared" si="8"/>
        <v>#N/A</v>
      </c>
      <c r="AL49" s="252" t="e">
        <f t="shared" si="9"/>
        <v>#N/A</v>
      </c>
      <c r="AM49" s="153"/>
    </row>
    <row r="50" spans="2:39" ht="61.5" customHeight="1">
      <c r="B50" s="142">
        <v>46</v>
      </c>
      <c r="C50" s="143">
        <f>SISWA!B51</f>
        <v>0</v>
      </c>
      <c r="D50" s="144">
        <f>SISWA!E51</f>
        <v>0</v>
      </c>
      <c r="E50" s="159"/>
      <c r="F50" s="160"/>
      <c r="G50" s="160"/>
      <c r="H50" s="160"/>
      <c r="I50" s="160"/>
      <c r="J50" s="159"/>
      <c r="K50" s="159"/>
      <c r="L50" s="159"/>
      <c r="M50" s="159"/>
      <c r="N50" s="159"/>
      <c r="O50" s="159"/>
      <c r="P50" s="159"/>
      <c r="Q50" s="159"/>
      <c r="R50" s="160"/>
      <c r="S50" s="160"/>
      <c r="T50" s="160"/>
      <c r="U50" s="160"/>
      <c r="V50" s="160"/>
      <c r="W50" s="160"/>
      <c r="X50" s="159"/>
      <c r="Y50" s="354" t="e">
        <f t="shared" si="4"/>
        <v>#DIV/0!</v>
      </c>
      <c r="Z50" s="355" t="e">
        <f>IF(Y50&gt;KKM!$G$10,"A",IF(Y50&gt;KKM!$H$10,"B",IF(Y50&gt;=KKM!$I$10,"C","D")))</f>
        <v>#DIV/0!</v>
      </c>
      <c r="AA50" s="356">
        <f t="shared" si="0"/>
        <v>0</v>
      </c>
      <c r="AB50" s="361" t="str">
        <f>IF(AA50&gt;KKM!$G$10," sangat baik ",IF(AA50&gt;KKM!$H$10," baik ",IF(AA50&gt;=KKM!$I$10," cukup baik "," perlu bimbingan ")))</f>
        <v xml:space="preserve"> perlu bimbingan </v>
      </c>
      <c r="AC50" s="357">
        <f t="shared" si="1"/>
        <v>0</v>
      </c>
      <c r="AD50" s="361" t="str">
        <f>IF(AC50&gt;KKM!$G$10," sangat baik ",IF(AC50&gt;KKM!$H$10," baik ",IF(AC50&gt;=KKM!$I$10," cukup baik "," perlu bimbingan ")))</f>
        <v xml:space="preserve"> perlu bimbingan </v>
      </c>
      <c r="AE50" s="353" t="str">
        <f t="shared" si="5"/>
        <v xml:space="preserve"> </v>
      </c>
      <c r="AF50" s="256"/>
      <c r="AG50" s="257" t="e">
        <f t="shared" si="2"/>
        <v>#N/A</v>
      </c>
      <c r="AH50" s="257" t="e">
        <f t="shared" si="3"/>
        <v>#N/A</v>
      </c>
      <c r="AI50" s="257" t="e">
        <f t="shared" si="6"/>
        <v>#N/A</v>
      </c>
      <c r="AJ50" s="257" t="e">
        <f t="shared" si="7"/>
        <v>#N/A</v>
      </c>
      <c r="AK50" s="258" t="e">
        <f t="shared" si="8"/>
        <v>#N/A</v>
      </c>
      <c r="AL50" s="252" t="e">
        <f t="shared" si="9"/>
        <v>#N/A</v>
      </c>
      <c r="AM50" s="153"/>
    </row>
    <row r="51" spans="2:39" ht="61.5" customHeight="1">
      <c r="B51" s="142">
        <v>47</v>
      </c>
      <c r="C51" s="143">
        <f>SISWA!B52</f>
        <v>0</v>
      </c>
      <c r="D51" s="144">
        <f>SISWA!E52</f>
        <v>0</v>
      </c>
      <c r="E51" s="159"/>
      <c r="F51" s="160"/>
      <c r="G51" s="160"/>
      <c r="H51" s="160"/>
      <c r="I51" s="160"/>
      <c r="J51" s="159"/>
      <c r="K51" s="159"/>
      <c r="L51" s="159"/>
      <c r="M51" s="159"/>
      <c r="N51" s="159"/>
      <c r="O51" s="159"/>
      <c r="P51" s="159"/>
      <c r="Q51" s="159"/>
      <c r="R51" s="160"/>
      <c r="S51" s="160"/>
      <c r="T51" s="160"/>
      <c r="U51" s="160"/>
      <c r="V51" s="160"/>
      <c r="W51" s="160"/>
      <c r="X51" s="159"/>
      <c r="Y51" s="354" t="e">
        <f t="shared" si="4"/>
        <v>#DIV/0!</v>
      </c>
      <c r="Z51" s="355" t="e">
        <f>IF(Y51&gt;KKM!$G$10,"A",IF(Y51&gt;KKM!$H$10,"B",IF(Y51&gt;=KKM!$I$10,"C","D")))</f>
        <v>#DIV/0!</v>
      </c>
      <c r="AA51" s="356">
        <f t="shared" si="0"/>
        <v>0</v>
      </c>
      <c r="AB51" s="361" t="str">
        <f>IF(AA51&gt;KKM!$G$10," sangat baik ",IF(AA51&gt;KKM!$H$10," baik ",IF(AA51&gt;=KKM!$I$10," cukup baik "," perlu bimbingan ")))</f>
        <v xml:space="preserve"> perlu bimbingan </v>
      </c>
      <c r="AC51" s="357">
        <f t="shared" si="1"/>
        <v>0</v>
      </c>
      <c r="AD51" s="361" t="str">
        <f>IF(AC51&gt;KKM!$G$10," sangat baik ",IF(AC51&gt;KKM!$H$10," baik ",IF(AC51&gt;=KKM!$I$10," cukup baik "," perlu bimbingan ")))</f>
        <v xml:space="preserve"> perlu bimbingan </v>
      </c>
      <c r="AE51" s="353" t="str">
        <f t="shared" si="5"/>
        <v xml:space="preserve"> </v>
      </c>
      <c r="AF51" s="256"/>
      <c r="AG51" s="257" t="e">
        <f t="shared" si="2"/>
        <v>#N/A</v>
      </c>
      <c r="AH51" s="257" t="e">
        <f t="shared" si="3"/>
        <v>#N/A</v>
      </c>
      <c r="AI51" s="257" t="e">
        <f t="shared" si="6"/>
        <v>#N/A</v>
      </c>
      <c r="AJ51" s="257" t="e">
        <f t="shared" si="7"/>
        <v>#N/A</v>
      </c>
      <c r="AK51" s="258" t="e">
        <f t="shared" si="8"/>
        <v>#N/A</v>
      </c>
      <c r="AL51" s="252" t="e">
        <f t="shared" si="9"/>
        <v>#N/A</v>
      </c>
      <c r="AM51" s="153"/>
    </row>
    <row r="52" spans="2:39" ht="61.5" customHeight="1">
      <c r="B52" s="142">
        <v>48</v>
      </c>
      <c r="C52" s="143">
        <f>SISWA!B53</f>
        <v>0</v>
      </c>
      <c r="D52" s="144">
        <f>SISWA!E53</f>
        <v>0</v>
      </c>
      <c r="E52" s="159"/>
      <c r="F52" s="160"/>
      <c r="G52" s="160"/>
      <c r="H52" s="160"/>
      <c r="I52" s="160"/>
      <c r="J52" s="159"/>
      <c r="K52" s="159"/>
      <c r="L52" s="159"/>
      <c r="M52" s="159"/>
      <c r="N52" s="159"/>
      <c r="O52" s="159"/>
      <c r="P52" s="159"/>
      <c r="Q52" s="159"/>
      <c r="R52" s="160"/>
      <c r="S52" s="160"/>
      <c r="T52" s="160"/>
      <c r="U52" s="160"/>
      <c r="V52" s="160"/>
      <c r="W52" s="160"/>
      <c r="X52" s="159"/>
      <c r="Y52" s="354" t="e">
        <f t="shared" si="4"/>
        <v>#DIV/0!</v>
      </c>
      <c r="Z52" s="355" t="e">
        <f>IF(Y52&gt;KKM!$G$10,"A",IF(Y52&gt;KKM!$H$10,"B",IF(Y52&gt;=KKM!$I$10,"C","D")))</f>
        <v>#DIV/0!</v>
      </c>
      <c r="AA52" s="356">
        <f t="shared" si="0"/>
        <v>0</v>
      </c>
      <c r="AB52" s="361" t="str">
        <f>IF(AA52&gt;KKM!$G$10," sangat baik ",IF(AA52&gt;KKM!$H$10," baik ",IF(AA52&gt;=KKM!$I$10," cukup baik "," perlu bimbingan ")))</f>
        <v xml:space="preserve"> perlu bimbingan </v>
      </c>
      <c r="AC52" s="357">
        <f t="shared" si="1"/>
        <v>0</v>
      </c>
      <c r="AD52" s="361" t="str">
        <f>IF(AC52&gt;KKM!$G$10," sangat baik ",IF(AC52&gt;KKM!$H$10," baik ",IF(AC52&gt;=KKM!$I$10," cukup baik "," perlu bimbingan ")))</f>
        <v xml:space="preserve"> perlu bimbingan </v>
      </c>
      <c r="AE52" s="353" t="str">
        <f t="shared" si="5"/>
        <v xml:space="preserve"> </v>
      </c>
      <c r="AF52" s="256"/>
      <c r="AG52" s="257" t="e">
        <f t="shared" si="2"/>
        <v>#N/A</v>
      </c>
      <c r="AH52" s="257" t="e">
        <f t="shared" si="3"/>
        <v>#N/A</v>
      </c>
      <c r="AI52" s="257" t="e">
        <f t="shared" si="6"/>
        <v>#N/A</v>
      </c>
      <c r="AJ52" s="257" t="e">
        <f t="shared" si="7"/>
        <v>#N/A</v>
      </c>
      <c r="AK52" s="258" t="e">
        <f t="shared" si="8"/>
        <v>#N/A</v>
      </c>
      <c r="AL52" s="252" t="e">
        <f t="shared" si="9"/>
        <v>#N/A</v>
      </c>
      <c r="AM52" s="153"/>
    </row>
    <row r="53" spans="2:39" ht="61.5" customHeight="1">
      <c r="B53" s="142">
        <v>49</v>
      </c>
      <c r="C53" s="143">
        <f>SISWA!B54</f>
        <v>0</v>
      </c>
      <c r="D53" s="144">
        <f>SISWA!E54</f>
        <v>0</v>
      </c>
      <c r="E53" s="159"/>
      <c r="F53" s="160"/>
      <c r="G53" s="160"/>
      <c r="H53" s="160"/>
      <c r="I53" s="160"/>
      <c r="J53" s="159"/>
      <c r="K53" s="159"/>
      <c r="L53" s="159"/>
      <c r="M53" s="159"/>
      <c r="N53" s="159"/>
      <c r="O53" s="159"/>
      <c r="P53" s="159"/>
      <c r="Q53" s="159"/>
      <c r="R53" s="160"/>
      <c r="S53" s="160"/>
      <c r="T53" s="160"/>
      <c r="U53" s="160"/>
      <c r="V53" s="160"/>
      <c r="W53" s="160"/>
      <c r="X53" s="159"/>
      <c r="Y53" s="354" t="e">
        <f t="shared" si="4"/>
        <v>#DIV/0!</v>
      </c>
      <c r="Z53" s="355" t="e">
        <f>IF(Y53&gt;KKM!$G$10,"A",IF(Y53&gt;KKM!$H$10,"B",IF(Y53&gt;=KKM!$I$10,"C","D")))</f>
        <v>#DIV/0!</v>
      </c>
      <c r="AA53" s="356">
        <f t="shared" si="0"/>
        <v>0</v>
      </c>
      <c r="AB53" s="361" t="str">
        <f>IF(AA53&gt;KKM!$G$10," sangat baik ",IF(AA53&gt;KKM!$H$10," baik ",IF(AA53&gt;=KKM!$I$10," cukup baik "," perlu bimbingan ")))</f>
        <v xml:space="preserve"> perlu bimbingan </v>
      </c>
      <c r="AC53" s="357">
        <f t="shared" si="1"/>
        <v>0</v>
      </c>
      <c r="AD53" s="361" t="str">
        <f>IF(AC53&gt;KKM!$G$10," sangat baik ",IF(AC53&gt;KKM!$H$10," baik ",IF(AC53&gt;=KKM!$I$10," cukup baik "," perlu bimbingan ")))</f>
        <v xml:space="preserve"> perlu bimbingan </v>
      </c>
      <c r="AE53" s="353" t="str">
        <f t="shared" si="5"/>
        <v xml:space="preserve"> </v>
      </c>
      <c r="AF53" s="256"/>
      <c r="AG53" s="257" t="e">
        <f t="shared" si="2"/>
        <v>#N/A</v>
      </c>
      <c r="AH53" s="257" t="e">
        <f t="shared" si="3"/>
        <v>#N/A</v>
      </c>
      <c r="AI53" s="257" t="e">
        <f t="shared" si="6"/>
        <v>#N/A</v>
      </c>
      <c r="AJ53" s="257" t="e">
        <f t="shared" si="7"/>
        <v>#N/A</v>
      </c>
      <c r="AK53" s="258" t="e">
        <f t="shared" si="8"/>
        <v>#N/A</v>
      </c>
      <c r="AL53" s="252" t="e">
        <f t="shared" si="9"/>
        <v>#N/A</v>
      </c>
      <c r="AM53" s="153"/>
    </row>
    <row r="54" spans="2:39" ht="61.5" customHeight="1">
      <c r="B54" s="142">
        <v>50</v>
      </c>
      <c r="C54" s="143">
        <f>SISWA!B55</f>
        <v>0</v>
      </c>
      <c r="D54" s="144">
        <f>SISWA!E55</f>
        <v>0</v>
      </c>
      <c r="E54" s="159"/>
      <c r="F54" s="160"/>
      <c r="G54" s="160"/>
      <c r="H54" s="160"/>
      <c r="I54" s="160"/>
      <c r="J54" s="159"/>
      <c r="K54" s="159"/>
      <c r="L54" s="159"/>
      <c r="M54" s="159"/>
      <c r="N54" s="159"/>
      <c r="O54" s="159"/>
      <c r="P54" s="159"/>
      <c r="Q54" s="159"/>
      <c r="R54" s="160"/>
      <c r="S54" s="160"/>
      <c r="T54" s="160"/>
      <c r="U54" s="160"/>
      <c r="V54" s="160"/>
      <c r="W54" s="160"/>
      <c r="X54" s="159"/>
      <c r="Y54" s="354" t="e">
        <f t="shared" si="4"/>
        <v>#DIV/0!</v>
      </c>
      <c r="Z54" s="355" t="e">
        <f>IF(Y54&gt;KKM!$G$10,"A",IF(Y54&gt;KKM!$H$10,"B",IF(Y54&gt;=KKM!$I$10,"C","D")))</f>
        <v>#DIV/0!</v>
      </c>
      <c r="AA54" s="356">
        <f t="shared" si="0"/>
        <v>0</v>
      </c>
      <c r="AB54" s="361" t="str">
        <f>IF(AA54&gt;KKM!$G$10," sangat baik ",IF(AA54&gt;KKM!$H$10," baik ",IF(AA54&gt;=KKM!$I$10," cukup baik "," perlu bimbingan ")))</f>
        <v xml:space="preserve"> perlu bimbingan </v>
      </c>
      <c r="AC54" s="357">
        <f t="shared" si="1"/>
        <v>0</v>
      </c>
      <c r="AD54" s="361" t="str">
        <f>IF(AC54&gt;KKM!$G$10," sangat baik ",IF(AC54&gt;KKM!$H$10," baik ",IF(AC54&gt;=KKM!$I$10," cukup baik "," perlu bimbingan ")))</f>
        <v xml:space="preserve"> perlu bimbingan </v>
      </c>
      <c r="AE54" s="353" t="str">
        <f t="shared" si="5"/>
        <v xml:space="preserve"> </v>
      </c>
      <c r="AF54" s="256"/>
      <c r="AG54" s="257" t="e">
        <f t="shared" si="2"/>
        <v>#N/A</v>
      </c>
      <c r="AH54" s="257" t="e">
        <f t="shared" si="3"/>
        <v>#N/A</v>
      </c>
      <c r="AI54" s="257" t="e">
        <f t="shared" si="6"/>
        <v>#N/A</v>
      </c>
      <c r="AJ54" s="257" t="e">
        <f t="shared" si="7"/>
        <v>#N/A</v>
      </c>
      <c r="AK54" s="258" t="e">
        <f t="shared" si="8"/>
        <v>#N/A</v>
      </c>
      <c r="AL54" s="252" t="e">
        <f t="shared" si="9"/>
        <v>#N/A</v>
      </c>
      <c r="AM54" s="153"/>
    </row>
    <row r="55" spans="2:39" ht="61.5" customHeight="1">
      <c r="B55" s="154"/>
      <c r="C55" s="154"/>
      <c r="D55" s="154"/>
      <c r="E55" s="159"/>
      <c r="F55" s="160"/>
      <c r="G55" s="160"/>
      <c r="H55" s="160"/>
      <c r="I55" s="160"/>
      <c r="J55" s="159"/>
      <c r="K55" s="159"/>
      <c r="L55" s="159"/>
      <c r="M55" s="159"/>
      <c r="N55" s="159"/>
      <c r="O55" s="159"/>
      <c r="P55" s="159"/>
      <c r="Q55" s="159"/>
      <c r="R55" s="160"/>
      <c r="S55" s="160"/>
      <c r="T55" s="160"/>
      <c r="U55" s="160"/>
      <c r="V55" s="160"/>
      <c r="W55" s="160"/>
      <c r="X55" s="159"/>
      <c r="Y55" s="147"/>
      <c r="Z55" s="148"/>
      <c r="AA55" s="149"/>
      <c r="AB55" s="149"/>
      <c r="AC55" s="149"/>
      <c r="AD55" s="149"/>
      <c r="AE55" s="150"/>
      <c r="AF55" s="151"/>
      <c r="AG55" s="152"/>
      <c r="AH55" s="155"/>
      <c r="AI55" s="155"/>
      <c r="AJ55" s="155"/>
      <c r="AK55" s="155"/>
      <c r="AL55" s="155"/>
      <c r="AM55" s="153"/>
    </row>
  </sheetData>
  <mergeCells count="10">
    <mergeCell ref="Z2:Z4"/>
    <mergeCell ref="AA2:AD2"/>
    <mergeCell ref="AE2:AE4"/>
    <mergeCell ref="AA3:AB3"/>
    <mergeCell ref="AC3:AD3"/>
    <mergeCell ref="B2:B4"/>
    <mergeCell ref="C2:C4"/>
    <mergeCell ref="D2:D4"/>
    <mergeCell ref="E2:X2"/>
    <mergeCell ref="Y2:Y4"/>
  </mergeCell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42"/>
  <sheetViews>
    <sheetView showRowColHeaders="0" workbookViewId="0"/>
  </sheetViews>
  <sheetFormatPr defaultColWidth="0" defaultRowHeight="15" zeroHeight="1"/>
  <cols>
    <col min="1" max="1" width="5.7109375" customWidth="1"/>
    <col min="2" max="2" width="130.42578125" customWidth="1"/>
    <col min="3" max="3" width="5.85546875" hidden="1" customWidth="1"/>
    <col min="4" max="25" width="0" hidden="1" customWidth="1"/>
    <col min="26" max="16384" width="9.140625" hidden="1"/>
  </cols>
  <sheetData>
    <row r="1" spans="1:25" ht="26.25">
      <c r="A1" s="77"/>
      <c r="B1" s="77" t="s">
        <v>194</v>
      </c>
      <c r="C1" s="77"/>
      <c r="D1" s="77"/>
      <c r="E1" s="77"/>
      <c r="F1" s="77"/>
      <c r="G1" s="77"/>
      <c r="H1" s="77"/>
      <c r="I1" s="77"/>
      <c r="J1" s="77"/>
      <c r="K1" s="77"/>
      <c r="L1" s="77"/>
      <c r="M1" s="77"/>
      <c r="N1" s="77"/>
      <c r="O1" s="77"/>
      <c r="P1" s="77"/>
      <c r="Q1" s="77"/>
      <c r="R1" s="77"/>
      <c r="S1" s="77"/>
      <c r="T1" s="77"/>
      <c r="U1" s="77"/>
      <c r="V1" s="77"/>
      <c r="W1" s="77"/>
      <c r="X1" s="77"/>
      <c r="Y1" s="77"/>
    </row>
    <row r="2" spans="1:25">
      <c r="A2" s="72"/>
      <c r="B2" s="72"/>
    </row>
    <row r="3" spans="1:25" ht="18.75">
      <c r="A3" s="73"/>
      <c r="B3" s="74" t="s">
        <v>195</v>
      </c>
    </row>
    <row r="4" spans="1:25" ht="18.75">
      <c r="A4" s="73"/>
      <c r="B4" s="74" t="s">
        <v>567</v>
      </c>
    </row>
    <row r="5" spans="1:25" ht="18.75">
      <c r="A5" s="73"/>
      <c r="B5" s="564" t="s">
        <v>568</v>
      </c>
    </row>
    <row r="6" spans="1:25" ht="18.75">
      <c r="A6" s="73"/>
      <c r="B6" s="564"/>
    </row>
    <row r="7" spans="1:25" ht="18.75">
      <c r="A7" s="73"/>
      <c r="B7" s="74" t="s">
        <v>569</v>
      </c>
      <c r="D7" s="51"/>
    </row>
    <row r="8" spans="1:25" ht="18.75">
      <c r="A8" s="73">
        <v>1</v>
      </c>
      <c r="B8" s="74" t="s">
        <v>196</v>
      </c>
      <c r="D8" s="51"/>
    </row>
    <row r="9" spans="1:25" ht="18.75">
      <c r="A9" s="74"/>
      <c r="B9" s="74" t="s">
        <v>210</v>
      </c>
      <c r="D9" s="51"/>
    </row>
    <row r="10" spans="1:25" ht="18.75">
      <c r="A10" s="73">
        <v>2</v>
      </c>
      <c r="B10" s="74" t="s">
        <v>197</v>
      </c>
      <c r="D10" s="51"/>
    </row>
    <row r="11" spans="1:25" ht="18.75">
      <c r="A11" s="74"/>
      <c r="B11" s="74" t="s">
        <v>198</v>
      </c>
    </row>
    <row r="12" spans="1:25" ht="18.75">
      <c r="A12" s="73">
        <v>3</v>
      </c>
      <c r="B12" s="74" t="s">
        <v>199</v>
      </c>
    </row>
    <row r="13" spans="1:25" ht="18.75">
      <c r="A13" s="73"/>
      <c r="B13" s="74" t="s">
        <v>200</v>
      </c>
    </row>
    <row r="14" spans="1:25" ht="18.75">
      <c r="A14" s="73">
        <v>4</v>
      </c>
      <c r="B14" s="74" t="s">
        <v>201</v>
      </c>
    </row>
    <row r="15" spans="1:25" ht="21">
      <c r="A15" s="73"/>
      <c r="B15" s="75" t="s">
        <v>202</v>
      </c>
    </row>
    <row r="16" spans="1:25" ht="18.75">
      <c r="A16" s="73"/>
      <c r="B16" s="74" t="s">
        <v>305</v>
      </c>
    </row>
    <row r="17" spans="1:2" hidden="1">
      <c r="A17" s="72"/>
      <c r="B17" s="72"/>
    </row>
    <row r="18" spans="1:2" hidden="1">
      <c r="A18" s="76"/>
      <c r="B18" s="72"/>
    </row>
    <row r="19" spans="1:2" hidden="1">
      <c r="A19" s="72"/>
      <c r="B19" s="72"/>
    </row>
    <row r="20" spans="1:2" hidden="1">
      <c r="A20" s="72"/>
      <c r="B20" s="72"/>
    </row>
    <row r="21" spans="1:2" hidden="1">
      <c r="A21" s="72"/>
      <c r="B21" s="72"/>
    </row>
    <row r="22" spans="1:2" hidden="1">
      <c r="A22" s="72"/>
      <c r="B22" s="72"/>
    </row>
    <row r="23" spans="1:2" hidden="1">
      <c r="A23" s="72"/>
      <c r="B23" s="72"/>
    </row>
    <row r="24" spans="1:2" hidden="1">
      <c r="A24" s="72"/>
      <c r="B24" s="72"/>
    </row>
    <row r="25" spans="1:2" hidden="1">
      <c r="A25" s="72"/>
      <c r="B25" s="72"/>
    </row>
    <row r="26" spans="1:2" hidden="1">
      <c r="A26" s="72"/>
      <c r="B26" s="72"/>
    </row>
    <row r="27" spans="1:2" hidden="1">
      <c r="A27" s="72"/>
      <c r="B27" s="72"/>
    </row>
    <row r="28" spans="1:2" hidden="1">
      <c r="A28" s="72"/>
      <c r="B28" s="72"/>
    </row>
    <row r="29" spans="1:2" hidden="1">
      <c r="A29" s="72"/>
      <c r="B29" s="72"/>
    </row>
    <row r="30" spans="1:2" hidden="1">
      <c r="A30" s="72"/>
      <c r="B30" s="72"/>
    </row>
    <row r="31" spans="1:2" hidden="1">
      <c r="A31" s="72"/>
      <c r="B31" s="72"/>
    </row>
    <row r="32" spans="1:2" hidden="1">
      <c r="A32" s="72"/>
      <c r="B32" s="72"/>
    </row>
    <row r="33" spans="1:2" hidden="1">
      <c r="A33" s="72"/>
      <c r="B33" s="72"/>
    </row>
    <row r="34" spans="1:2" hidden="1">
      <c r="A34" s="72"/>
      <c r="B34" s="72"/>
    </row>
    <row r="35" spans="1:2" hidden="1">
      <c r="A35" s="72"/>
      <c r="B35" s="72"/>
    </row>
    <row r="36" spans="1:2" hidden="1">
      <c r="A36" s="72"/>
      <c r="B36" s="72"/>
    </row>
    <row r="37" spans="1:2" hidden="1">
      <c r="A37" s="72"/>
      <c r="B37" s="72"/>
    </row>
    <row r="38" spans="1:2" hidden="1">
      <c r="A38" s="72"/>
      <c r="B38" s="72"/>
    </row>
    <row r="39" spans="1:2" hidden="1">
      <c r="A39" s="72"/>
      <c r="B39" s="72"/>
    </row>
    <row r="40" spans="1:2" hidden="1">
      <c r="A40" s="72"/>
      <c r="B40" s="72"/>
    </row>
    <row r="41" spans="1:2" hidden="1">
      <c r="A41" s="72"/>
      <c r="B41" s="72"/>
    </row>
    <row r="42" spans="1:2" hidden="1">
      <c r="A42" s="72"/>
      <c r="B42" s="72"/>
    </row>
  </sheetData>
  <sheetProtection password="DC81" sheet="1" objects="1" scenarios="1"/>
  <hyperlinks>
    <hyperlink ref="B15" r:id="rId1"/>
    <hyperlink ref="B5" r:id="rId2"/>
  </hyperlinks>
  <pageMargins left="0.7" right="0.7" top="0.75" bottom="0.75" header="0.3" footer="0.3"/>
  <pageSetup paperSize="256" orientation="portrait" horizontalDpi="4294967293" verticalDpi="0" r:id="rId3"/>
  <drawing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BS55"/>
  <sheetViews>
    <sheetView zoomScale="85" zoomScaleNormal="85" workbookViewId="0">
      <selection sqref="A1:AL1"/>
    </sheetView>
  </sheetViews>
  <sheetFormatPr defaultRowHeight="15"/>
  <cols>
    <col min="1" max="1" width="4.85546875" style="57" customWidth="1"/>
    <col min="2" max="2" width="9.140625" style="234"/>
    <col min="3" max="3" width="31" style="57" customWidth="1"/>
    <col min="4" max="4" width="23.140625" style="57" customWidth="1"/>
    <col min="5" max="5" width="20.140625" style="57" customWidth="1"/>
    <col min="6" max="7" width="4.7109375" style="57" customWidth="1"/>
    <col min="8" max="8" width="20.140625" style="57" customWidth="1"/>
    <col min="9" max="10" width="4.7109375" style="57" customWidth="1"/>
    <col min="11" max="11" width="16.7109375" style="57" customWidth="1"/>
    <col min="12" max="13" width="4.7109375" style="57" customWidth="1"/>
    <col min="14" max="14" width="16.7109375" style="57" customWidth="1"/>
    <col min="15" max="16" width="4.7109375" style="57" customWidth="1"/>
    <col min="17" max="17" width="16.7109375" style="57" customWidth="1"/>
    <col min="18" max="19" width="4.5703125" style="57" customWidth="1"/>
    <col min="20" max="20" width="16.7109375" style="57" customWidth="1"/>
    <col min="21" max="22" width="5" style="57" customWidth="1"/>
    <col min="23" max="23" width="16.7109375" style="57" customWidth="1"/>
    <col min="24" max="25" width="4.7109375" style="57" customWidth="1"/>
    <col min="26" max="26" width="16.7109375" style="57" customWidth="1"/>
    <col min="27" max="28" width="4.7109375" style="57" customWidth="1"/>
    <col min="29" max="29" width="16.7109375" style="57" customWidth="1"/>
    <col min="30" max="31" width="4.7109375" style="57" customWidth="1"/>
    <col min="32" max="32" width="16.7109375" style="57" customWidth="1"/>
    <col min="33" max="34" width="4.7109375" style="57" customWidth="1"/>
    <col min="35" max="35" width="16.7109375" style="57" customWidth="1"/>
    <col min="36" max="37" width="4.7109375" style="57" customWidth="1"/>
    <col min="38" max="38" width="16.7109375" style="57" customWidth="1"/>
    <col min="39" max="39" width="5.7109375" style="57" customWidth="1"/>
    <col min="40" max="40" width="4.7109375" style="57" customWidth="1"/>
    <col min="41" max="41" width="16.7109375" style="57" customWidth="1"/>
    <col min="42" max="43" width="4.7109375" style="57" customWidth="1"/>
    <col min="44" max="44" width="16.7109375" style="57" customWidth="1"/>
    <col min="45" max="46" width="4.7109375" style="57" customWidth="1"/>
    <col min="47" max="47" width="16.7109375" style="57" customWidth="1"/>
    <col min="48" max="49" width="4.7109375" style="57" customWidth="1"/>
    <col min="50" max="50" width="16.7109375" style="57" customWidth="1"/>
    <col min="51" max="52" width="6" style="57" customWidth="1"/>
    <col min="53" max="53" width="16.7109375" style="57" customWidth="1"/>
    <col min="54" max="55" width="4.5703125" style="57" customWidth="1"/>
    <col min="56" max="56" width="16.7109375" style="57" customWidth="1"/>
    <col min="57" max="57" width="5" style="57" customWidth="1"/>
    <col min="58" max="58" width="4.7109375" style="57" customWidth="1"/>
    <col min="59" max="59" width="16.7109375" style="57" customWidth="1"/>
    <col min="60" max="61" width="4.7109375" style="57" customWidth="1"/>
    <col min="62" max="62" width="16.7109375" style="57" customWidth="1"/>
    <col min="63" max="64" width="4.7109375" style="57" customWidth="1"/>
    <col min="65" max="65" width="16.7109375" style="57" customWidth="1"/>
    <col min="66" max="67" width="4.7109375" style="57" customWidth="1"/>
    <col min="68" max="68" width="16.7109375" style="57" customWidth="1"/>
    <col min="69" max="70" width="4.7109375" style="57" customWidth="1"/>
    <col min="71" max="71" width="16.7109375" style="57" customWidth="1"/>
    <col min="72" max="16384" width="9.140625" style="57"/>
  </cols>
  <sheetData>
    <row r="1" spans="1:71" ht="42.75" customHeight="1">
      <c r="A1" s="770" t="s">
        <v>113</v>
      </c>
      <c r="B1" s="770"/>
      <c r="C1" s="770"/>
      <c r="D1" s="770"/>
      <c r="E1" s="770"/>
      <c r="F1" s="770"/>
      <c r="G1" s="770"/>
      <c r="H1" s="770"/>
      <c r="I1" s="770"/>
      <c r="J1" s="770"/>
      <c r="K1" s="770"/>
      <c r="L1" s="770"/>
      <c r="M1" s="770"/>
      <c r="N1" s="770"/>
      <c r="O1" s="770"/>
      <c r="P1" s="770"/>
      <c r="Q1" s="770"/>
      <c r="R1" s="770"/>
      <c r="S1" s="770"/>
      <c r="T1" s="770"/>
      <c r="U1" s="770"/>
      <c r="V1" s="770"/>
      <c r="W1" s="770"/>
      <c r="X1" s="770"/>
      <c r="Y1" s="770"/>
      <c r="Z1" s="770"/>
      <c r="AA1" s="770"/>
      <c r="AB1" s="770"/>
      <c r="AC1" s="770"/>
      <c r="AD1" s="770"/>
      <c r="AE1" s="770"/>
      <c r="AF1" s="770"/>
      <c r="AG1" s="770"/>
      <c r="AH1" s="770"/>
      <c r="AI1" s="770"/>
      <c r="AJ1" s="770"/>
      <c r="AK1" s="770"/>
      <c r="AL1" s="770"/>
    </row>
    <row r="2" spans="1:71" s="171" customFormat="1" ht="23.25">
      <c r="B2" s="172"/>
      <c r="F2" s="771" t="s">
        <v>114</v>
      </c>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771"/>
      <c r="AK2" s="771"/>
      <c r="AL2" s="771"/>
      <c r="AM2" s="772" t="s">
        <v>115</v>
      </c>
      <c r="AN2" s="772"/>
      <c r="AO2" s="772"/>
      <c r="AP2" s="772"/>
      <c r="AQ2" s="772"/>
      <c r="AR2" s="772"/>
      <c r="AS2" s="772"/>
      <c r="AT2" s="772"/>
      <c r="AU2" s="772"/>
      <c r="AV2" s="772"/>
      <c r="AW2" s="772"/>
      <c r="AX2" s="772"/>
      <c r="AY2" s="772"/>
      <c r="AZ2" s="772"/>
      <c r="BA2" s="772"/>
      <c r="BB2" s="772"/>
      <c r="BC2" s="772"/>
      <c r="BD2" s="772"/>
      <c r="BE2" s="772"/>
      <c r="BF2" s="772"/>
      <c r="BG2" s="772"/>
      <c r="BH2" s="772"/>
      <c r="BI2" s="772"/>
      <c r="BJ2" s="772"/>
      <c r="BK2" s="772"/>
      <c r="BL2" s="772"/>
      <c r="BM2" s="772"/>
      <c r="BN2" s="772"/>
      <c r="BO2" s="772"/>
      <c r="BP2" s="772"/>
      <c r="BQ2" s="772"/>
      <c r="BR2" s="772"/>
      <c r="BS2" s="772"/>
    </row>
    <row r="3" spans="1:71">
      <c r="A3" s="773" t="s">
        <v>4</v>
      </c>
      <c r="B3" s="774" t="s">
        <v>5</v>
      </c>
      <c r="C3" s="773" t="s">
        <v>6</v>
      </c>
      <c r="D3" s="775" t="s">
        <v>116</v>
      </c>
      <c r="E3" s="775" t="s">
        <v>117</v>
      </c>
      <c r="F3" s="776" t="s">
        <v>118</v>
      </c>
      <c r="G3" s="777"/>
      <c r="H3" s="778"/>
      <c r="I3" s="779" t="s">
        <v>119</v>
      </c>
      <c r="J3" s="780"/>
      <c r="K3" s="780"/>
      <c r="L3" s="781" t="s">
        <v>120</v>
      </c>
      <c r="M3" s="781"/>
      <c r="N3" s="781"/>
      <c r="O3" s="746" t="s">
        <v>121</v>
      </c>
      <c r="P3" s="747"/>
      <c r="Q3" s="748"/>
      <c r="R3" s="735" t="s">
        <v>208</v>
      </c>
      <c r="S3" s="736"/>
      <c r="T3" s="736"/>
      <c r="U3" s="733" t="s">
        <v>209</v>
      </c>
      <c r="V3" s="733"/>
      <c r="W3" s="734"/>
      <c r="X3" s="782" t="s">
        <v>122</v>
      </c>
      <c r="Y3" s="783"/>
      <c r="Z3" s="784"/>
      <c r="AA3" s="785" t="s">
        <v>123</v>
      </c>
      <c r="AB3" s="786"/>
      <c r="AC3" s="787"/>
      <c r="AD3" s="788" t="s">
        <v>124</v>
      </c>
      <c r="AE3" s="789"/>
      <c r="AF3" s="790"/>
      <c r="AG3" s="767" t="s">
        <v>125</v>
      </c>
      <c r="AH3" s="768"/>
      <c r="AI3" s="769"/>
      <c r="AJ3" s="740" t="s">
        <v>133</v>
      </c>
      <c r="AK3" s="741"/>
      <c r="AL3" s="742"/>
      <c r="AM3" s="743" t="s">
        <v>118</v>
      </c>
      <c r="AN3" s="744"/>
      <c r="AO3" s="745"/>
      <c r="AP3" s="746" t="s">
        <v>126</v>
      </c>
      <c r="AQ3" s="747"/>
      <c r="AR3" s="748"/>
      <c r="AS3" s="749" t="s">
        <v>120</v>
      </c>
      <c r="AT3" s="750"/>
      <c r="AU3" s="751"/>
      <c r="AV3" s="752" t="s">
        <v>121</v>
      </c>
      <c r="AW3" s="753"/>
      <c r="AX3" s="754"/>
      <c r="AY3" s="735" t="s">
        <v>208</v>
      </c>
      <c r="AZ3" s="736"/>
      <c r="BA3" s="736"/>
      <c r="BB3" s="733" t="s">
        <v>209</v>
      </c>
      <c r="BC3" s="733"/>
      <c r="BD3" s="734"/>
      <c r="BE3" s="755" t="s">
        <v>122</v>
      </c>
      <c r="BF3" s="756"/>
      <c r="BG3" s="757"/>
      <c r="BH3" s="758" t="s">
        <v>123</v>
      </c>
      <c r="BI3" s="759"/>
      <c r="BJ3" s="760"/>
      <c r="BK3" s="761" t="s">
        <v>124</v>
      </c>
      <c r="BL3" s="762"/>
      <c r="BM3" s="763"/>
      <c r="BN3" s="764" t="s">
        <v>127</v>
      </c>
      <c r="BO3" s="765"/>
      <c r="BP3" s="766"/>
      <c r="BQ3" s="737" t="s">
        <v>132</v>
      </c>
      <c r="BR3" s="738"/>
      <c r="BS3" s="739"/>
    </row>
    <row r="4" spans="1:71" ht="45">
      <c r="A4" s="773"/>
      <c r="B4" s="774"/>
      <c r="C4" s="773"/>
      <c r="D4" s="775"/>
      <c r="E4" s="775" t="s">
        <v>128</v>
      </c>
      <c r="F4" s="173" t="s">
        <v>13</v>
      </c>
      <c r="G4" s="174" t="s">
        <v>14</v>
      </c>
      <c r="H4" s="173" t="s">
        <v>129</v>
      </c>
      <c r="I4" s="175" t="s">
        <v>13</v>
      </c>
      <c r="J4" s="176" t="s">
        <v>14</v>
      </c>
      <c r="K4" s="177" t="s">
        <v>129</v>
      </c>
      <c r="L4" s="178" t="s">
        <v>13</v>
      </c>
      <c r="M4" s="179" t="s">
        <v>14</v>
      </c>
      <c r="N4" s="178" t="s">
        <v>129</v>
      </c>
      <c r="O4" s="180" t="s">
        <v>13</v>
      </c>
      <c r="P4" s="181" t="s">
        <v>14</v>
      </c>
      <c r="Q4" s="180" t="s">
        <v>129</v>
      </c>
      <c r="R4" s="182" t="s">
        <v>13</v>
      </c>
      <c r="S4" s="183" t="s">
        <v>14</v>
      </c>
      <c r="T4" s="182" t="s">
        <v>129</v>
      </c>
      <c r="U4" s="184" t="s">
        <v>13</v>
      </c>
      <c r="V4" s="185" t="s">
        <v>14</v>
      </c>
      <c r="W4" s="184" t="s">
        <v>129</v>
      </c>
      <c r="X4" s="173" t="s">
        <v>13</v>
      </c>
      <c r="Y4" s="186" t="s">
        <v>14</v>
      </c>
      <c r="Z4" s="187" t="s">
        <v>129</v>
      </c>
      <c r="AA4" s="188" t="s">
        <v>13</v>
      </c>
      <c r="AB4" s="189" t="s">
        <v>14</v>
      </c>
      <c r="AC4" s="190" t="s">
        <v>129</v>
      </c>
      <c r="AD4" s="191" t="s">
        <v>13</v>
      </c>
      <c r="AE4" s="192" t="s">
        <v>14</v>
      </c>
      <c r="AF4" s="193" t="s">
        <v>129</v>
      </c>
      <c r="AG4" s="194" t="s">
        <v>13</v>
      </c>
      <c r="AH4" s="195" t="s">
        <v>14</v>
      </c>
      <c r="AI4" s="196" t="s">
        <v>129</v>
      </c>
      <c r="AJ4" s="197" t="s">
        <v>13</v>
      </c>
      <c r="AK4" s="198" t="s">
        <v>14</v>
      </c>
      <c r="AL4" s="199" t="s">
        <v>129</v>
      </c>
      <c r="AM4" s="200" t="s">
        <v>13</v>
      </c>
      <c r="AN4" s="201" t="s">
        <v>14</v>
      </c>
      <c r="AO4" s="202" t="s">
        <v>129</v>
      </c>
      <c r="AP4" s="180" t="s">
        <v>13</v>
      </c>
      <c r="AQ4" s="203" t="s">
        <v>14</v>
      </c>
      <c r="AR4" s="204" t="s">
        <v>129</v>
      </c>
      <c r="AS4" s="205" t="s">
        <v>13</v>
      </c>
      <c r="AT4" s="206" t="s">
        <v>14</v>
      </c>
      <c r="AU4" s="207" t="s">
        <v>129</v>
      </c>
      <c r="AV4" s="208" t="s">
        <v>13</v>
      </c>
      <c r="AW4" s="209" t="s">
        <v>14</v>
      </c>
      <c r="AX4" s="210" t="s">
        <v>129</v>
      </c>
      <c r="AY4" s="182" t="s">
        <v>13</v>
      </c>
      <c r="AZ4" s="183" t="s">
        <v>14</v>
      </c>
      <c r="BA4" s="182" t="s">
        <v>129</v>
      </c>
      <c r="BB4" s="184" t="s">
        <v>13</v>
      </c>
      <c r="BC4" s="185" t="s">
        <v>14</v>
      </c>
      <c r="BD4" s="184" t="s">
        <v>129</v>
      </c>
      <c r="BE4" s="211" t="s">
        <v>13</v>
      </c>
      <c r="BF4" s="212" t="s">
        <v>14</v>
      </c>
      <c r="BG4" s="213" t="s">
        <v>129</v>
      </c>
      <c r="BH4" s="214" t="s">
        <v>13</v>
      </c>
      <c r="BI4" s="215" t="s">
        <v>14</v>
      </c>
      <c r="BJ4" s="216" t="s">
        <v>129</v>
      </c>
      <c r="BK4" s="217" t="s">
        <v>13</v>
      </c>
      <c r="BL4" s="218" t="s">
        <v>14</v>
      </c>
      <c r="BM4" s="219" t="s">
        <v>129</v>
      </c>
      <c r="BN4" s="220" t="s">
        <v>13</v>
      </c>
      <c r="BO4" s="221" t="s">
        <v>14</v>
      </c>
      <c r="BP4" s="222" t="s">
        <v>129</v>
      </c>
      <c r="BQ4" s="223" t="s">
        <v>13</v>
      </c>
      <c r="BR4" s="224" t="s">
        <v>14</v>
      </c>
      <c r="BS4" s="225" t="s">
        <v>129</v>
      </c>
    </row>
    <row r="5" spans="1:71">
      <c r="A5" s="226">
        <v>1</v>
      </c>
      <c r="B5" s="226">
        <v>2</v>
      </c>
      <c r="C5" s="226">
        <v>3</v>
      </c>
      <c r="D5" s="226">
        <v>4</v>
      </c>
      <c r="E5" s="226">
        <v>5</v>
      </c>
      <c r="F5" s="226">
        <v>6</v>
      </c>
      <c r="G5" s="226">
        <v>7</v>
      </c>
      <c r="H5" s="226">
        <v>8</v>
      </c>
      <c r="I5" s="226">
        <v>9</v>
      </c>
      <c r="J5" s="226">
        <v>10</v>
      </c>
      <c r="K5" s="226">
        <v>11</v>
      </c>
      <c r="L5" s="226">
        <v>12</v>
      </c>
      <c r="M5" s="226">
        <v>13</v>
      </c>
      <c r="N5" s="226">
        <v>14</v>
      </c>
      <c r="O5" s="226">
        <v>15</v>
      </c>
      <c r="P5" s="226">
        <v>16</v>
      </c>
      <c r="Q5" s="226">
        <v>17</v>
      </c>
      <c r="R5" s="226">
        <v>18</v>
      </c>
      <c r="S5" s="226">
        <v>19</v>
      </c>
      <c r="T5" s="226">
        <v>20</v>
      </c>
      <c r="U5" s="226">
        <v>21</v>
      </c>
      <c r="V5" s="226">
        <v>22</v>
      </c>
      <c r="W5" s="226">
        <v>23</v>
      </c>
      <c r="X5" s="226">
        <v>24</v>
      </c>
      <c r="Y5" s="226">
        <v>25</v>
      </c>
      <c r="Z5" s="226">
        <v>26</v>
      </c>
      <c r="AA5" s="226">
        <v>27</v>
      </c>
      <c r="AB5" s="226">
        <v>28</v>
      </c>
      <c r="AC5" s="226">
        <v>29</v>
      </c>
      <c r="AD5" s="226">
        <v>30</v>
      </c>
      <c r="AE5" s="226">
        <v>31</v>
      </c>
      <c r="AF5" s="226">
        <v>32</v>
      </c>
      <c r="AG5" s="226">
        <v>33</v>
      </c>
      <c r="AH5" s="226">
        <v>34</v>
      </c>
      <c r="AI5" s="226">
        <v>35</v>
      </c>
      <c r="AJ5" s="226">
        <v>36</v>
      </c>
      <c r="AK5" s="226">
        <v>37</v>
      </c>
      <c r="AL5" s="226">
        <v>38</v>
      </c>
      <c r="AM5" s="226">
        <v>39</v>
      </c>
      <c r="AN5" s="226">
        <v>40</v>
      </c>
      <c r="AO5" s="226">
        <v>41</v>
      </c>
      <c r="AP5" s="226">
        <v>42</v>
      </c>
      <c r="AQ5" s="226">
        <v>43</v>
      </c>
      <c r="AR5" s="226">
        <v>44</v>
      </c>
      <c r="AS5" s="226">
        <v>45</v>
      </c>
      <c r="AT5" s="226">
        <v>46</v>
      </c>
      <c r="AU5" s="226">
        <v>47</v>
      </c>
      <c r="AV5" s="226">
        <v>48</v>
      </c>
      <c r="AW5" s="226">
        <v>49</v>
      </c>
      <c r="AX5" s="226">
        <v>50</v>
      </c>
      <c r="AY5" s="226">
        <v>51</v>
      </c>
      <c r="AZ5" s="226">
        <v>52</v>
      </c>
      <c r="BA5" s="226">
        <v>53</v>
      </c>
      <c r="BB5" s="226">
        <v>54</v>
      </c>
      <c r="BC5" s="226">
        <v>55</v>
      </c>
      <c r="BD5" s="226">
        <v>56</v>
      </c>
      <c r="BE5" s="226">
        <v>57</v>
      </c>
      <c r="BF5" s="226">
        <v>58</v>
      </c>
      <c r="BG5" s="226">
        <v>59</v>
      </c>
      <c r="BH5" s="226">
        <v>60</v>
      </c>
      <c r="BI5" s="226">
        <v>61</v>
      </c>
      <c r="BJ5" s="226">
        <v>62</v>
      </c>
      <c r="BK5" s="226">
        <v>63</v>
      </c>
      <c r="BL5" s="226">
        <v>64</v>
      </c>
      <c r="BM5" s="226">
        <v>65</v>
      </c>
      <c r="BN5" s="226">
        <v>66</v>
      </c>
      <c r="BO5" s="226">
        <v>67</v>
      </c>
      <c r="BP5" s="226">
        <v>68</v>
      </c>
      <c r="BQ5" s="226">
        <v>69</v>
      </c>
      <c r="BR5" s="226">
        <v>70</v>
      </c>
      <c r="BS5" s="226">
        <v>71</v>
      </c>
    </row>
    <row r="6" spans="1:71" ht="129.94999999999999" customHeight="1">
      <c r="A6" s="227">
        <v>1</v>
      </c>
      <c r="B6" s="227" t="str">
        <f>SISWA!B6</f>
        <v>1718250040305</v>
      </c>
      <c r="C6" s="228" t="str">
        <f>SISWA!C6</f>
        <v>ABDANI YAHYA</v>
      </c>
      <c r="D6" s="229" t="str">
        <f>SPIRIT!P5</f>
        <v xml:space="preserve">Ananda YAHYA baik dalam  ketaatan beribadah,  berperilaku syukur,  berdoa sebelum dan sesudah melakukan kegiatan,  toleransi dalam beribadah, </v>
      </c>
      <c r="E6" s="229" t="str">
        <f>SOSIAL!T5</f>
        <v xml:space="preserve">Ananda YAHYA baik dalam sikap jujur, disiplin, tanggung jawab, santun, peduli, percaya diri, </v>
      </c>
      <c r="F6" s="230">
        <f>'PAI3'!CI6</f>
        <v>81</v>
      </c>
      <c r="G6" s="230" t="str">
        <f>'PAI3'!CJ6</f>
        <v>B</v>
      </c>
      <c r="H6" s="231" t="str">
        <f>'PAI3'!CO6</f>
        <v>YAHYA sangat baik  dalam memahami makna Q.S. at-Tīn dan Q.S. al-Mā’ūn dengan benar., dan  cukup baik  dalam memahami makna sederhana dalam kehidupan sehari-hari.</v>
      </c>
      <c r="I6" s="230">
        <f>'PKN3'!U5</f>
        <v>95</v>
      </c>
      <c r="J6" s="230" t="str">
        <f>'PKN3'!V5</f>
        <v>A</v>
      </c>
      <c r="K6" s="229" t="str">
        <f>'PKN3'!AA5</f>
        <v xml:space="preserve">YAHYA sangat baik  dalam memahami hak, kewajiban dan tanggung jawab sebagai warga dalam kehidupan sehari-hari.
</v>
      </c>
      <c r="L6" s="232">
        <f>BIND3!U5</f>
        <v>93</v>
      </c>
      <c r="M6" s="232" t="str">
        <f>BIND3!V5</f>
        <v>A</v>
      </c>
      <c r="N6" s="231" t="str">
        <f>BIND3!AA5</f>
        <v>YAHYA sangat baik  dalam meringkas teks penjelasan (eksplanasi) dari media cetak atau elektronik.</v>
      </c>
      <c r="O6" s="232">
        <f>'MTK3'!U5</f>
        <v>85</v>
      </c>
      <c r="P6" s="232" t="str">
        <f>'MTK3'!V5</f>
        <v>B</v>
      </c>
      <c r="Q6" s="231" t="str">
        <f>'MTK3'!AA5</f>
        <v xml:space="preserve">YAHYA baik  dalam menjelaskan, dan menentukan volume bangun ruang dengan menggunakan satuan volume (seperti kubus satuan) serta hubungan pangkat tiga dengan akar pangkat tiga
</v>
      </c>
      <c r="R6" s="232">
        <f>'IPA3'!U5</f>
        <v>93</v>
      </c>
      <c r="S6" s="232" t="str">
        <f>'IPA3'!V5</f>
        <v>A</v>
      </c>
      <c r="T6" s="231" t="str">
        <f>'IPA3'!AA5</f>
        <v xml:space="preserve">YAHYA sangat baik  dalam menerapkan konsep perpindahan kalor dalam kehidupan sehari-hari.
</v>
      </c>
      <c r="U6" s="232">
        <f>'IPS3'!U5</f>
        <v>88</v>
      </c>
      <c r="V6" s="232" t="str">
        <f>'IPS3'!V5</f>
        <v>A</v>
      </c>
      <c r="W6" s="231" t="str">
        <f>'IPS3'!AA5</f>
        <v>YAHYA sangat baik  dalam Mengidentifikasi karakteristik geografis Indonesia sebagai negara kepulauan/maritim dan agraris serta pengaruhnya terhadap kehidupan ekonomi, sosial, budaya, komunikasi, serta transportasi.</v>
      </c>
      <c r="X6" s="232">
        <f>SBDP3!U5</f>
        <v>95</v>
      </c>
      <c r="Y6" s="232" t="str">
        <f>SBDP3!V5</f>
        <v>A</v>
      </c>
      <c r="Z6" s="231" t="str">
        <f>SBDP3!AA5</f>
        <v>YAHYA sangat baik  dalam memahami gambar cerita</v>
      </c>
      <c r="AA6" s="232">
        <f>PJOK3!U5</f>
        <v>89</v>
      </c>
      <c r="AB6" s="232" t="str">
        <f>PJOK3!V5</f>
        <v>A</v>
      </c>
      <c r="AC6" s="231" t="str">
        <f>PJOK3!AA5</f>
        <v xml:space="preserve">YAHYA sangat baik  dalam memahami kombinasi pola gerak dominan (bertumpu, bergantung, keseimbangan, berpindah/lokomotor, tolakan, putaran, ayunan, melayang, dan mendarat) untuk membentuk keterampilan dasar senam menggunakan alat
</v>
      </c>
      <c r="AD6" s="232">
        <f>'MLK1-3'!U5</f>
        <v>85</v>
      </c>
      <c r="AE6" s="232" t="str">
        <f>'MLK1-3'!V5</f>
        <v>B</v>
      </c>
      <c r="AF6" s="233" t="str">
        <f>'MLK1-3'!AA5</f>
        <v>YAHYA baik  dalam memahami teks kawih tentang bangga sebagai bangsa Indonesia</v>
      </c>
      <c r="AG6" s="232">
        <f>'MLK2-3'!X5</f>
        <v>97</v>
      </c>
      <c r="AH6" s="232" t="str">
        <f>'MLK2-3'!Y5</f>
        <v>A</v>
      </c>
      <c r="AI6" s="231" t="str">
        <f>'MLK2-3'!AD5</f>
        <v xml:space="preserve">YAHYA sangat baik  dalam merespon instruksi sangat sederhana dengan tindakan secara berterima dalam konteks sekolah  </v>
      </c>
      <c r="AJ6" s="232">
        <f>'MLK3-3'!W5</f>
        <v>97</v>
      </c>
      <c r="AK6" s="232" t="str">
        <f>'MLK3-3'!X5</f>
        <v>A</v>
      </c>
      <c r="AL6" s="233" t="str">
        <f>'MLK3-3'!AC5</f>
        <v xml:space="preserve">YAHYA sangat baik  dalam merespon instruksi sangat sederhana dengan tindakan secara berterima dalam konteks sekolah  , dan  sangat baik  dalam membaca nyaring dengan ucapan, tekanan, dan intonasi secara tepat dan berterima yang melibatkan: kata, frasa, kalimat sangat sederhana, dan teks sangat sederhana 
</v>
      </c>
      <c r="AM6" s="232">
        <f>'PAI4'!CI6</f>
        <v>90</v>
      </c>
      <c r="AN6" s="232" t="str">
        <f>'PAI4'!CJ6</f>
        <v>A</v>
      </c>
      <c r="AO6" s="233" t="str">
        <f>'PAI4'!CO6</f>
        <v>YAHYA sangat baik  dalam membaca Q.S. at-Tīn dan Q.S. al-Mā’ūn dengan tartil.</v>
      </c>
      <c r="AP6" s="232">
        <f>'PKN4'!U5</f>
        <v>95</v>
      </c>
      <c r="AQ6" s="232" t="str">
        <f>'PKN4'!V5</f>
        <v>A</v>
      </c>
      <c r="AR6" s="231" t="str">
        <f>'PKN4'!AA5</f>
        <v>YAHYA sangat baik  dalam menjelaskan hak, kewajiban, dan tanggung  jawab sebagai warga masyarakat dalam kehidupan sehari-hari</v>
      </c>
      <c r="AS6" s="232">
        <f>BIND4!U5</f>
        <v>93</v>
      </c>
      <c r="AT6" s="232" t="str">
        <f>BIND4!V5</f>
        <v>A</v>
      </c>
      <c r="AU6" s="231" t="str">
        <f>BIND4!AA5</f>
        <v xml:space="preserve">YAHYA sangat baik  dalam menyajikan ringkasan teks penjelasan (eksplanasi) dari media cetak atau elektronik dengan menggunakan kosakata baku dan kalimat efektif secara lisan, tulis, dan visual.
</v>
      </c>
      <c r="AV6" s="232">
        <f>'MTK4'!U5</f>
        <v>85</v>
      </c>
      <c r="AW6" s="232" t="str">
        <f>'MTK4'!V5</f>
        <v>B</v>
      </c>
      <c r="AX6" s="231" t="str">
        <f>'MTK4'!AA5</f>
        <v xml:space="preserve">YAHYA baik  dalam menyelesaikan masalah yang berkaitan dengan volume bangun ruang dengan menggunakan satuan volume (seperti kubus satuan) melibatkan pangkat tiga dan akar pangkat tiga
</v>
      </c>
      <c r="AY6" s="232">
        <f>'IPA4'!U5</f>
        <v>93</v>
      </c>
      <c r="AZ6" s="232" t="str">
        <f>'IPA4'!V5</f>
        <v>A</v>
      </c>
      <c r="BA6" s="231" t="str">
        <f>'IPA4'!AA5</f>
        <v>YAHYA sangat baik  dalam melaporkan hasil pengamatan tentang perpindahan kalor.</v>
      </c>
      <c r="BB6" s="232">
        <f>'IPS4'!U5</f>
        <v>88</v>
      </c>
      <c r="BC6" s="232" t="str">
        <f>'IPS4'!V5</f>
        <v>A</v>
      </c>
      <c r="BD6" s="231" t="str">
        <f>'IPS4'!AA5</f>
        <v>YAHYA sangat baik  dalam menyajikan hasil identifikasi karakteristik geografis Indonesia sebagai negara kepulauan/maritim dan agraris serta pengaruhnya terhadap kehidupan ekonomi, sosial, budaya, komunikasi, serta transportasi.</v>
      </c>
      <c r="BE6" s="232">
        <f>SBDP4!U5</f>
        <v>95</v>
      </c>
      <c r="BF6" s="232" t="str">
        <f>SBDP4!V5</f>
        <v>A</v>
      </c>
      <c r="BG6" s="231" t="str">
        <f>SBDP4!AA5</f>
        <v>YAHYA sangat baik  dalam membuat gambar cerita</v>
      </c>
      <c r="BH6" s="232">
        <f>PJOK4!U5</f>
        <v>89</v>
      </c>
      <c r="BI6" s="232" t="str">
        <f>PJOK4!V5</f>
        <v>A</v>
      </c>
      <c r="BJ6" s="233" t="str">
        <f>PJOK4!AA5</f>
        <v>YAHYA sangat baik  dalam mempraktikkan salah satu gaya renang dengan koordinasi yang baik pada jarak tertentu, dan  baik  dalam memaparkan bahaya merokok, meminum minuman keras, dan mengonsumsi narkotika, zat-zat aditif (NAPZA) dan obat berbahaya lainnya terhadap kesehatan tubuh</v>
      </c>
      <c r="BK6" s="232">
        <f>'MLK1-4'!U5</f>
        <v>85</v>
      </c>
      <c r="BL6" s="232" t="str">
        <f>'MLK1-4'!V5</f>
        <v>B</v>
      </c>
      <c r="BM6" s="231" t="str">
        <f>'MLK1-4'!AA5</f>
        <v>YAHYA baik  dalam melantunkan dan menceritakan isi kawih tentang bangga sebagai bangsa Indonesia</v>
      </c>
      <c r="BN6" s="232">
        <f>'MLK2-4'!U5</f>
        <v>97</v>
      </c>
      <c r="BO6" s="232" t="str">
        <f>'MLK2-4'!V5</f>
        <v>A</v>
      </c>
      <c r="BP6" s="231" t="str">
        <f>'MLK2-4'!AA5</f>
        <v>YAHYA sangat baik  dalam memahami langkah-langkah pengawasan kelestarian lingkungan hidup</v>
      </c>
      <c r="BQ6" s="232">
        <f>'MLK3-4'!Y5</f>
        <v>95</v>
      </c>
      <c r="BR6" s="232" t="str">
        <f>'MLK3-4'!Z5</f>
        <v>A</v>
      </c>
      <c r="BS6" s="231" t="str">
        <f>'MLK3-4'!AE5</f>
        <v xml:space="preserve">YAHYA sangat baik  dalam merespon instruksi sangat sederhana dengan tindakan secara berterima dalam konteks sekolah  </v>
      </c>
    </row>
    <row r="7" spans="1:71" ht="129.94999999999999" customHeight="1">
      <c r="A7" s="227">
        <v>2</v>
      </c>
      <c r="B7" s="227" t="str">
        <f>SISWA!B7</f>
        <v>1718250040306</v>
      </c>
      <c r="C7" s="228" t="str">
        <f>SISWA!C7</f>
        <v>ADHWA BARIQ RAMDAENI BADRUL YAMAN</v>
      </c>
      <c r="D7" s="229" t="str">
        <f>SPIRIT!P6</f>
        <v xml:space="preserve">Ananda ADHWA baik dalam  ketaatan beribadah,  berperilaku syukur,  berdoa sebelum dan sesudah melakukan kegiatan,  toleransi dalam beribadah, </v>
      </c>
      <c r="E7" s="229" t="str">
        <f>SOSIAL!T6</f>
        <v xml:space="preserve">Ananda ADHWA baik dalam sikap jujur, disiplin, tanggung jawab, santun, peduli, percaya diri, </v>
      </c>
      <c r="F7" s="230">
        <f>'PAI3'!CI7</f>
        <v>80</v>
      </c>
      <c r="G7" s="230" t="str">
        <f>'PAI3'!CJ7</f>
        <v>B</v>
      </c>
      <c r="H7" s="231" t="str">
        <f>'PAI3'!CO7</f>
        <v>ADHWA baik  dalam memahami pelaksanaan salat tarawih dan tadarus al-Qur'an., dan  cukup baik  dalam memahami nama-nama Rasul Allah dan Rasul Ulul ‘Azmi.</v>
      </c>
      <c r="I7" s="230">
        <f>'PKN3'!U6</f>
        <v>90</v>
      </c>
      <c r="J7" s="230" t="str">
        <f>'PKN3'!V6</f>
        <v>A</v>
      </c>
      <c r="K7" s="229" t="str">
        <f>'PKN3'!AA6</f>
        <v xml:space="preserve">ADHWA sangat baik  dalam memahami hak, kewajiban dan tanggung jawab sebagai warga dalam kehidupan sehari-hari.
</v>
      </c>
      <c r="L7" s="232">
        <f>BIND3!U6</f>
        <v>88</v>
      </c>
      <c r="M7" s="232" t="str">
        <f>BIND3!V6</f>
        <v>A</v>
      </c>
      <c r="N7" s="231" t="str">
        <f>BIND3!AA6</f>
        <v>ADHWA sangat baik  dalam meringkas teks penjelasan (eksplanasi) dari media cetak atau elektronik.</v>
      </c>
      <c r="O7" s="232">
        <f>'MTK3'!U6</f>
        <v>85</v>
      </c>
      <c r="P7" s="232" t="str">
        <f>'MTK3'!V6</f>
        <v>B</v>
      </c>
      <c r="Q7" s="231" t="str">
        <f>'MTK3'!AA6</f>
        <v xml:space="preserve">ADHWA baik  dalam menjelaskan, dan menentukan volume bangun ruang dengan menggunakan satuan volume (seperti kubus satuan) serta hubungan pangkat tiga dengan akar pangkat tiga
</v>
      </c>
      <c r="R7" s="232">
        <f>'IPA3'!U6</f>
        <v>95</v>
      </c>
      <c r="S7" s="232" t="str">
        <f>'IPA3'!V6</f>
        <v>A</v>
      </c>
      <c r="T7" s="231" t="str">
        <f>'IPA3'!AA6</f>
        <v xml:space="preserve">ADHWA sangat baik  dalam menerapkan konsep perpindahan kalor dalam kehidupan sehari-hari.
</v>
      </c>
      <c r="U7" s="232">
        <f>'IPS3'!U6</f>
        <v>85</v>
      </c>
      <c r="V7" s="232" t="str">
        <f>'IPS3'!V6</f>
        <v>B</v>
      </c>
      <c r="W7" s="231" t="str">
        <f>'IPS3'!AA6</f>
        <v>ADHWA baik  dalam Mengidentifikasi karakteristik geografis Indonesia sebagai negara kepulauan/maritim dan agraris serta pengaruhnya terhadap kehidupan ekonomi, sosial, budaya, komunikasi, serta transportasi.</v>
      </c>
      <c r="X7" s="232">
        <f>SBDP3!U6</f>
        <v>95</v>
      </c>
      <c r="Y7" s="232" t="str">
        <f>SBDP3!V6</f>
        <v>A</v>
      </c>
      <c r="Z7" s="231" t="str">
        <f>SBDP3!AA6</f>
        <v>ADHWA sangat baik  dalam memahami gambar cerita</v>
      </c>
      <c r="AA7" s="232">
        <f>PJOK3!U6</f>
        <v>89</v>
      </c>
      <c r="AB7" s="232" t="str">
        <f>PJOK3!V6</f>
        <v>A</v>
      </c>
      <c r="AC7" s="231" t="str">
        <f>PJOK3!AA6</f>
        <v xml:space="preserve">ADHWA sangat baik  dalam memahami kombinasi pola gerak dominan (bertumpu, bergantung, keseimbangan, berpindah/lokomotor, tolakan, putaran, ayunan, melayang, dan mendarat) untuk membentuk keterampilan dasar senam menggunakan alat
</v>
      </c>
      <c r="AD7" s="232">
        <f>'MLK1-3'!U6</f>
        <v>82</v>
      </c>
      <c r="AE7" s="232" t="str">
        <f>'MLK1-3'!V6</f>
        <v>B</v>
      </c>
      <c r="AF7" s="233" t="str">
        <f>'MLK1-3'!AA6</f>
        <v>ADHWA baik  dalam memahami teks kawih tentang bangga sebagai bangsa Indonesia</v>
      </c>
      <c r="AG7" s="232">
        <f>'MLK2-3'!X6</f>
        <v>97</v>
      </c>
      <c r="AH7" s="232" t="str">
        <f>'MLK2-3'!Y6</f>
        <v>A</v>
      </c>
      <c r="AI7" s="231" t="str">
        <f>'MLK2-3'!AD6</f>
        <v xml:space="preserve">ADHWA sangat baik  dalam merespon instruksi sangat sederhana dengan tindakan secara berterima dalam konteks sekolah  </v>
      </c>
      <c r="AJ7" s="232">
        <f>'MLK3-3'!W6</f>
        <v>90</v>
      </c>
      <c r="AK7" s="232" t="str">
        <f>'MLK3-3'!X6</f>
        <v>A</v>
      </c>
      <c r="AL7" s="233" t="str">
        <f>'MLK3-3'!AC6</f>
        <v xml:space="preserve">ADHWA sangat baik  dalam membaca nyaring dengan ucapan, tekanan, dan intonasi secara tepat dan berterima yang melibatkan: kata, frasa, kalimat sangat sederhana, dan teks sangat sederhana 
, dan  baik  dalam merespon instruksi sangat sederhana dengan tindakan secara berterima dalam konteks sekolah  </v>
      </c>
      <c r="AM7" s="232">
        <f>'PAI4'!CI7</f>
        <v>90</v>
      </c>
      <c r="AN7" s="232" t="str">
        <f>'PAI4'!CJ7</f>
        <v>A</v>
      </c>
      <c r="AO7" s="233" t="str">
        <f>'PAI4'!CO7</f>
        <v>ADHWA sangat baik  dalam membaca Q.S. at-Tīn dan Q.S. al-Mā’ūn dengan tartil.</v>
      </c>
      <c r="AP7" s="232">
        <f>'PKN4'!U6</f>
        <v>90</v>
      </c>
      <c r="AQ7" s="232" t="str">
        <f>'PKN4'!V6</f>
        <v>A</v>
      </c>
      <c r="AR7" s="231" t="str">
        <f>'PKN4'!AA6</f>
        <v>ADHWA sangat baik  dalam menjelaskan hak, kewajiban, dan tanggung  jawab sebagai warga masyarakat dalam kehidupan sehari-hari</v>
      </c>
      <c r="AS7" s="232">
        <f>BIND4!U6</f>
        <v>88</v>
      </c>
      <c r="AT7" s="232" t="str">
        <f>BIND4!V6</f>
        <v>A</v>
      </c>
      <c r="AU7" s="231" t="str">
        <f>BIND4!AA6</f>
        <v xml:space="preserve">ADHWA sangat baik  dalam menyajikan ringkasan teks penjelasan (eksplanasi) dari media cetak atau elektronik dengan menggunakan kosakata baku dan kalimat efektif secara lisan, tulis, dan visual.
</v>
      </c>
      <c r="AV7" s="232">
        <f>'MTK4'!U6</f>
        <v>80</v>
      </c>
      <c r="AW7" s="232" t="str">
        <f>'MTK4'!V6</f>
        <v>B</v>
      </c>
      <c r="AX7" s="231" t="str">
        <f>'MTK4'!AA6</f>
        <v xml:space="preserve">ADHWA baik  dalam menyelesaikan masalah yang berkaitan dengan volume bangun ruang dengan menggunakan satuan volume (seperti kubus satuan) melibatkan pangkat tiga dan akar pangkat tiga
</v>
      </c>
      <c r="AY7" s="232">
        <f>'IPA4'!U6</f>
        <v>95</v>
      </c>
      <c r="AZ7" s="232" t="str">
        <f>'IPA4'!V6</f>
        <v>A</v>
      </c>
      <c r="BA7" s="231" t="str">
        <f>'IPA4'!AA6</f>
        <v>ADHWA sangat baik  dalam melaporkan hasil pengamatan tentang perpindahan kalor.</v>
      </c>
      <c r="BB7" s="232">
        <f>'IPS4'!U6</f>
        <v>85</v>
      </c>
      <c r="BC7" s="232" t="str">
        <f>'IPS4'!V6</f>
        <v>B</v>
      </c>
      <c r="BD7" s="231" t="str">
        <f>'IPS4'!AA6</f>
        <v>ADHWA baik  dalam menyajikan hasil identifikasi karakteristik geografis Indonesia sebagai negara kepulauan/maritim dan agraris serta pengaruhnya terhadap kehidupan ekonomi, sosial, budaya, komunikasi, serta transportasi.</v>
      </c>
      <c r="BE7" s="232">
        <f>SBDP4!U6</f>
        <v>95</v>
      </c>
      <c r="BF7" s="232" t="str">
        <f>SBDP4!V6</f>
        <v>A</v>
      </c>
      <c r="BG7" s="231" t="str">
        <f>SBDP4!AA6</f>
        <v>ADHWA sangat baik  dalam membuat gambar cerita</v>
      </c>
      <c r="BH7" s="232">
        <f>PJOK4!U6</f>
        <v>88</v>
      </c>
      <c r="BI7" s="232" t="str">
        <f>PJOK4!V6</f>
        <v>A</v>
      </c>
      <c r="BJ7" s="233" t="str">
        <f>PJOK4!AA6</f>
        <v>ADHWA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BK7" s="232">
        <f>'MLK1-4'!U6</f>
        <v>82</v>
      </c>
      <c r="BL7" s="232" t="str">
        <f>'MLK1-4'!V6</f>
        <v>B</v>
      </c>
      <c r="BM7" s="231" t="str">
        <f>'MLK1-4'!AA6</f>
        <v>ADHWA baik  dalam melantunkan dan menceritakan isi kawih tentang bangga sebagai bangsa Indonesia</v>
      </c>
      <c r="BN7" s="232">
        <f>'MLK2-4'!U6</f>
        <v>97</v>
      </c>
      <c r="BO7" s="232" t="str">
        <f>'MLK2-4'!V6</f>
        <v>A</v>
      </c>
      <c r="BP7" s="231" t="str">
        <f>'MLK2-4'!AA6</f>
        <v>ADHWA sangat baik  dalam memahami langkah-langkah pengawasan kelestarian lingkungan hidup</v>
      </c>
      <c r="BQ7" s="232">
        <f>'MLK3-4'!Y6</f>
        <v>90</v>
      </c>
      <c r="BR7" s="232" t="str">
        <f>'MLK3-4'!Z6</f>
        <v>A</v>
      </c>
      <c r="BS7" s="231" t="str">
        <f>'MLK3-4'!AE6</f>
        <v xml:space="preserve">ADHWA sangat baik  dalam merespon instruksi sangat sederhana dengan tindakan secara berterima dalam konteks sekolah  </v>
      </c>
    </row>
    <row r="8" spans="1:71" ht="129.94999999999999" customHeight="1">
      <c r="A8" s="227">
        <v>3</v>
      </c>
      <c r="B8" s="227" t="str">
        <f>SISWA!B8</f>
        <v xml:space="preserve"> 1718250040307</v>
      </c>
      <c r="C8" s="228" t="str">
        <f>SISWA!C8</f>
        <v>ANDHIKA ALDIYANSYAH</v>
      </c>
      <c r="D8" s="229" t="str">
        <f>SPIRIT!P7</f>
        <v xml:space="preserve">Ananda ANDHIKA baik dalam  ketaatan beribadah,  berperilaku syukur,  berdoa sebelum dan sesudah melakukan kegiatan,  toleransi dalam beribadah, </v>
      </c>
      <c r="E8" s="229" t="str">
        <f>SOSIAL!T7</f>
        <v xml:space="preserve">Ananda ANDHIKA baik dalam sikap jujur, disiplin, tanggung jawab, santun, peduli, percaya diri, </v>
      </c>
      <c r="F8" s="230">
        <f>'PAI3'!CI8</f>
        <v>85</v>
      </c>
      <c r="G8" s="230" t="str">
        <f>'PAI3'!CJ8</f>
        <v>B</v>
      </c>
      <c r="H8" s="231" t="str">
        <f>'PAI3'!CO8</f>
        <v>ANDHIKA sangat baik  dalam memahami makna Q.S. at-Tīn dan Q.S. al-Mā’ūn dengan benar., dan  cukup baik  dalam memahami makna sederhana dalam kehidupan sehari-hari.</v>
      </c>
      <c r="I8" s="230">
        <f>'PKN3'!U7</f>
        <v>90</v>
      </c>
      <c r="J8" s="230" t="str">
        <f>'PKN3'!V7</f>
        <v>A</v>
      </c>
      <c r="K8" s="229" t="str">
        <f>'PKN3'!AA7</f>
        <v xml:space="preserve">ANDHIKA sangat baik  dalam memahami hak, kewajiban dan tanggung jawab sebagai warga dalam kehidupan sehari-hari.
</v>
      </c>
      <c r="L8" s="232">
        <f>BIND3!U7</f>
        <v>89</v>
      </c>
      <c r="M8" s="232" t="str">
        <f>BIND3!V7</f>
        <v>A</v>
      </c>
      <c r="N8" s="231" t="str">
        <f>BIND3!AA7</f>
        <v>ANDHIKA sangat baik  dalam meringkas teks penjelasan (eksplanasi) dari media cetak atau elektronik.</v>
      </c>
      <c r="O8" s="232">
        <f>'MTK3'!U7</f>
        <v>75</v>
      </c>
      <c r="P8" s="232" t="str">
        <f>'MTK3'!V7</f>
        <v>C</v>
      </c>
      <c r="Q8" s="231" t="str">
        <f>'MTK3'!AA7</f>
        <v xml:space="preserve">ANDHIKA cukup baik  dalam menjelaskan, dan menentukan volume bangun ruang dengan menggunakan satuan volume (seperti kubus satuan) serta hubungan pangkat tiga dengan akar pangkat tiga
</v>
      </c>
      <c r="R8" s="232">
        <f>'IPA3'!U7</f>
        <v>88</v>
      </c>
      <c r="S8" s="232" t="str">
        <f>'IPA3'!V7</f>
        <v>A</v>
      </c>
      <c r="T8" s="231" t="str">
        <f>'IPA3'!AA7</f>
        <v xml:space="preserve">ANDHIKA sangat baik  dalam menerapkan konsep perpindahan kalor dalam kehidupan sehari-hari.
</v>
      </c>
      <c r="U8" s="232">
        <f>'IPS3'!U7</f>
        <v>83</v>
      </c>
      <c r="V8" s="232" t="str">
        <f>'IPS3'!V7</f>
        <v>B</v>
      </c>
      <c r="W8" s="231" t="str">
        <f>'IPS3'!AA7</f>
        <v>ANDHIKA baik  dalam Mengidentifikasi karakteristik geografis Indonesia sebagai negara kepulauan/maritim dan agraris serta pengaruhnya terhadap kehidupan ekonomi, sosial, budaya, komunikasi, serta transportasi.</v>
      </c>
      <c r="X8" s="232">
        <f>SBDP3!U7</f>
        <v>98</v>
      </c>
      <c r="Y8" s="232" t="str">
        <f>SBDP3!V7</f>
        <v>A</v>
      </c>
      <c r="Z8" s="231" t="str">
        <f>SBDP3!AA7</f>
        <v>ANDHIKA sangat baik  dalam memahami gambar cerita</v>
      </c>
      <c r="AA8" s="232">
        <f>PJOK3!U7</f>
        <v>85</v>
      </c>
      <c r="AB8" s="232" t="str">
        <f>PJOK3!V7</f>
        <v>B</v>
      </c>
      <c r="AC8" s="231" t="str">
        <f>PJOK3!AA7</f>
        <v xml:space="preserve">ANDHIKA baik  dalam memahami kombinasi pola gerak dominan (bertumpu, bergantung, keseimbangan, berpindah/lokomotor, tolakan, putaran, ayunan, melayang, dan mendarat) untuk membentuk keterampilan dasar senam menggunakan alat
</v>
      </c>
      <c r="AD8" s="232">
        <f>'MLK1-3'!U7</f>
        <v>74</v>
      </c>
      <c r="AE8" s="232" t="str">
        <f>'MLK1-3'!V7</f>
        <v>C</v>
      </c>
      <c r="AF8" s="233" t="str">
        <f>'MLK1-3'!AA7</f>
        <v>ANDHIKA cukup baik  dalam memahami teks kawih tentang bangga sebagai bangsa Indonesia</v>
      </c>
      <c r="AG8" s="232">
        <f>'MLK2-3'!X7</f>
        <v>88</v>
      </c>
      <c r="AH8" s="232" t="str">
        <f>'MLK2-3'!Y7</f>
        <v>A</v>
      </c>
      <c r="AI8" s="231" t="str">
        <f>'MLK2-3'!AD7</f>
        <v xml:space="preserve">ANDHIKA sangat baik  dalam merespon instruksi sangat sederhana dengan tindakan secara berterima dalam konteks sekolah  </v>
      </c>
      <c r="AJ8" s="232">
        <f>'MLK3-3'!W7</f>
        <v>92</v>
      </c>
      <c r="AK8" s="232" t="str">
        <f>'MLK3-3'!X7</f>
        <v>A</v>
      </c>
      <c r="AL8" s="233" t="str">
        <f>'MLK3-3'!AC7</f>
        <v xml:space="preserve">ANDHIKA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M8" s="232">
        <f>'PAI4'!CI8</f>
        <v>89</v>
      </c>
      <c r="AN8" s="232" t="str">
        <f>'PAI4'!CJ8</f>
        <v>A</v>
      </c>
      <c r="AO8" s="233" t="str">
        <f>'PAI4'!CO8</f>
        <v>ANDHIKA sangat baik  dalam membaca Q.S. at-Tīn dan Q.S. al-Mā’ūn dengan tartil.</v>
      </c>
      <c r="AP8" s="232">
        <f>'PKN4'!U7</f>
        <v>90</v>
      </c>
      <c r="AQ8" s="232" t="str">
        <f>'PKN4'!V7</f>
        <v>A</v>
      </c>
      <c r="AR8" s="231" t="str">
        <f>'PKN4'!AA7</f>
        <v>ANDHIKA sangat baik  dalam menjelaskan hak, kewajiban, dan tanggung  jawab sebagai warga masyarakat dalam kehidupan sehari-hari</v>
      </c>
      <c r="AS8" s="232">
        <f>BIND4!U7</f>
        <v>89</v>
      </c>
      <c r="AT8" s="232" t="str">
        <f>BIND4!V7</f>
        <v>A</v>
      </c>
      <c r="AU8" s="231" t="str">
        <f>BIND4!AA7</f>
        <v xml:space="preserve">ANDHIKA sangat baik  dalam menyajikan ringkasan teks penjelasan (eksplanasi) dari media cetak atau elektronik dengan menggunakan kosakata baku dan kalimat efektif secara lisan, tulis, dan visual.
</v>
      </c>
      <c r="AV8" s="232">
        <f>'MTK4'!U7</f>
        <v>75</v>
      </c>
      <c r="AW8" s="232" t="str">
        <f>'MTK4'!V7</f>
        <v>C</v>
      </c>
      <c r="AX8" s="231" t="str">
        <f>'MTK4'!AA7</f>
        <v xml:space="preserve">ANDHIKA cukup baik  dalam menyelesaikan masalah yang berkaitan dengan volume bangun ruang dengan menggunakan satuan volume (seperti kubus satuan) melibatkan pangkat tiga dan akar pangkat tiga
</v>
      </c>
      <c r="AY8" s="232">
        <f>'IPA4'!U7</f>
        <v>88</v>
      </c>
      <c r="AZ8" s="232" t="str">
        <f>'IPA4'!V7</f>
        <v>A</v>
      </c>
      <c r="BA8" s="231" t="str">
        <f>'IPA4'!AA7</f>
        <v>ANDHIKA sangat baik  dalam melaporkan hasil pengamatan tentang perpindahan kalor.</v>
      </c>
      <c r="BB8" s="232">
        <f>'IPS4'!U7</f>
        <v>83</v>
      </c>
      <c r="BC8" s="232" t="str">
        <f>'IPS4'!V7</f>
        <v>B</v>
      </c>
      <c r="BD8" s="231" t="str">
        <f>'IPS4'!AA7</f>
        <v>ANDHIKA baik  dalam menyajikan hasil identifikasi karakteristik geografis Indonesia sebagai negara kepulauan/maritim dan agraris serta pengaruhnya terhadap kehidupan ekonomi, sosial, budaya, komunikasi, serta transportasi.</v>
      </c>
      <c r="BE8" s="232">
        <f>SBDP4!U7</f>
        <v>98</v>
      </c>
      <c r="BF8" s="232" t="str">
        <f>SBDP4!V7</f>
        <v>A</v>
      </c>
      <c r="BG8" s="231" t="str">
        <f>SBDP4!AA7</f>
        <v>ANDHIKA sangat baik  dalam membuat gambar cerita</v>
      </c>
      <c r="BH8" s="232">
        <f>PJOK4!U7</f>
        <v>83</v>
      </c>
      <c r="BI8" s="232" t="str">
        <f>PJOK4!V7</f>
        <v>B</v>
      </c>
      <c r="BJ8" s="233" t="str">
        <f>PJOK4!AA7</f>
        <v>ANDHIKA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BK8" s="232">
        <f>'MLK1-4'!U7</f>
        <v>74</v>
      </c>
      <c r="BL8" s="232" t="str">
        <f>'MLK1-4'!V7</f>
        <v>C</v>
      </c>
      <c r="BM8" s="231" t="str">
        <f>'MLK1-4'!AA7</f>
        <v>ANDHIKA cukup baik  dalam melantunkan dan menceritakan isi kawih tentang bangga sebagai bangsa Indonesia</v>
      </c>
      <c r="BN8" s="232">
        <f>'MLK2-4'!U7</f>
        <v>88</v>
      </c>
      <c r="BO8" s="232" t="str">
        <f>'MLK2-4'!V7</f>
        <v>A</v>
      </c>
      <c r="BP8" s="231" t="str">
        <f>'MLK2-4'!AA7</f>
        <v>ANDHIKA sangat baik  dalam memahami langkah-langkah pengawasan kelestarian lingkungan hidup</v>
      </c>
      <c r="BQ8" s="232">
        <f>'MLK3-4'!Y7</f>
        <v>90</v>
      </c>
      <c r="BR8" s="232" t="str">
        <f>'MLK3-4'!Z7</f>
        <v>A</v>
      </c>
      <c r="BS8" s="231" t="str">
        <f>'MLK3-4'!AE7</f>
        <v xml:space="preserve">ANDHIKA sangat baik  dalam merespon instruksi sangat sederhana dengan tindakan secara berterima dalam konteks sekolah  </v>
      </c>
    </row>
    <row r="9" spans="1:71" ht="129.94999999999999" customHeight="1">
      <c r="A9" s="227">
        <v>4</v>
      </c>
      <c r="B9" s="227" t="str">
        <f>SISWA!B9</f>
        <v xml:space="preserve"> 1718250040308</v>
      </c>
      <c r="C9" s="228" t="str">
        <f>SISWA!C9</f>
        <v>ANGGARA</v>
      </c>
      <c r="D9" s="229" t="str">
        <f>SPIRIT!P8</f>
        <v xml:space="preserve">Ananda ANGGARA baik dalam  ketaatan beribadah,  berperilaku syukur,  berdoa sebelum dan sesudah melakukan kegiatan,  toleransi dalam beribadah, </v>
      </c>
      <c r="E9" s="229" t="str">
        <f>SOSIAL!T8</f>
        <v xml:space="preserve">Ananda ANGGARA baik dalam sikap jujur, disiplin, tanggung jawab, santun, peduli, percaya diri, </v>
      </c>
      <c r="F9" s="230">
        <f>'PAI3'!CI9</f>
        <v>83</v>
      </c>
      <c r="G9" s="230" t="str">
        <f>'PAI3'!CJ9</f>
        <v>B</v>
      </c>
      <c r="H9" s="231" t="str">
        <f>'PAI3'!CO9</f>
        <v>ANGGARA sangat baik  dalam memahami makna Q.S. at-Tīn dan Q.S. al-Mā’ūn dengan benar., dan  cukup baik  dalam memahami kisah keteladanan Luqman sebagaimana terdapat dalam al-Qur'an.</v>
      </c>
      <c r="I9" s="230">
        <f>'PKN3'!U8</f>
        <v>85</v>
      </c>
      <c r="J9" s="230" t="str">
        <f>'PKN3'!V8</f>
        <v>B</v>
      </c>
      <c r="K9" s="229" t="str">
        <f>'PKN3'!AA8</f>
        <v xml:space="preserve">ANGGARA baik  dalam memahami hak, kewajiban dan tanggung jawab sebagai warga dalam kehidupan sehari-hari.
</v>
      </c>
      <c r="L9" s="232">
        <f>BIND3!U8</f>
        <v>82</v>
      </c>
      <c r="M9" s="232" t="str">
        <f>BIND3!V8</f>
        <v>B</v>
      </c>
      <c r="N9" s="231" t="str">
        <f>BIND3!AA8</f>
        <v>ANGGARA baik  dalam meringkas teks penjelasan (eksplanasi) dari media cetak atau elektronik.</v>
      </c>
      <c r="O9" s="232">
        <f>'MTK3'!U8</f>
        <v>70</v>
      </c>
      <c r="P9" s="232" t="str">
        <f>'MTK3'!V8</f>
        <v>C</v>
      </c>
      <c r="Q9" s="231" t="str">
        <f>'MTK3'!AA8</f>
        <v xml:space="preserve">ANGGARA cukup baik  dalam menjelaskan, dan menentukan volume bangun ruang dengan menggunakan satuan volume (seperti kubus satuan) serta hubungan pangkat tiga dengan akar pangkat tiga
</v>
      </c>
      <c r="R9" s="232">
        <f>'IPA3'!U8</f>
        <v>85</v>
      </c>
      <c r="S9" s="232" t="str">
        <f>'IPA3'!V8</f>
        <v>B</v>
      </c>
      <c r="T9" s="231" t="str">
        <f>'IPA3'!AA8</f>
        <v xml:space="preserve">ANGGARA baik  dalam menerapkan konsep perpindahan kalor dalam kehidupan sehari-hari.
</v>
      </c>
      <c r="U9" s="232">
        <f>'IPS3'!U8</f>
        <v>83</v>
      </c>
      <c r="V9" s="232" t="str">
        <f>'IPS3'!V8</f>
        <v>B</v>
      </c>
      <c r="W9" s="231" t="str">
        <f>'IPS3'!AA8</f>
        <v>ANGGARA baik  dalam Mengidentifikasi karakteristik geografis Indonesia sebagai negara kepulauan/maritim dan agraris serta pengaruhnya terhadap kehidupan ekonomi, sosial, budaya, komunikasi, serta transportasi.</v>
      </c>
      <c r="X9" s="232">
        <f>SBDP3!U8</f>
        <v>90</v>
      </c>
      <c r="Y9" s="232" t="str">
        <f>SBDP3!V8</f>
        <v>A</v>
      </c>
      <c r="Z9" s="231" t="str">
        <f>SBDP3!AA8</f>
        <v>ANGGARA sangat baik  dalam memahami gambar cerita</v>
      </c>
      <c r="AA9" s="232">
        <f>PJOK3!U8</f>
        <v>86</v>
      </c>
      <c r="AB9" s="232" t="str">
        <f>PJOK3!V8</f>
        <v>B</v>
      </c>
      <c r="AC9" s="231" t="str">
        <f>PJOK3!AA8</f>
        <v xml:space="preserve">ANGGARA baik  dalam memahami kombinasi pola gerak dominan (bertumpu, bergantung, keseimbangan, berpindah/lokomotor, tolakan, putaran, ayunan, melayang, dan mendarat) untuk membentuk keterampilan dasar senam menggunakan alat
</v>
      </c>
      <c r="AD9" s="232">
        <f>'MLK1-3'!U8</f>
        <v>77</v>
      </c>
      <c r="AE9" s="232" t="str">
        <f>'MLK1-3'!V8</f>
        <v>B</v>
      </c>
      <c r="AF9" s="233" t="str">
        <f>'MLK1-3'!AA8</f>
        <v>ANGGARA baik  dalam memahami teks kawih tentang bangga sebagai bangsa Indonesia</v>
      </c>
      <c r="AG9" s="232">
        <f>'MLK2-3'!X8</f>
        <v>88</v>
      </c>
      <c r="AH9" s="232" t="str">
        <f>'MLK2-3'!Y8</f>
        <v>A</v>
      </c>
      <c r="AI9" s="231" t="str">
        <f>'MLK2-3'!AD8</f>
        <v xml:space="preserve">ANGGARA sangat baik  dalam merespon instruksi sangat sederhana dengan tindakan secara berterima dalam konteks sekolah  </v>
      </c>
      <c r="AJ9" s="232">
        <f>'MLK3-3'!W8</f>
        <v>75</v>
      </c>
      <c r="AK9" s="232" t="str">
        <f>'MLK3-3'!X8</f>
        <v>C</v>
      </c>
      <c r="AL9" s="233" t="str">
        <f>'MLK3-3'!AC8</f>
        <v xml:space="preserve">ANGGARA baik  dalam membaca nyaring dengan ucapan, tekanan, dan intonasi secara tepat dan berterima yang melibatkan: kata, frasa, kalimat sangat sederhana, dan teks sangat sederhana 
, dan  cukup baik  dalam bercakap-cakap untuk menyertai tindakan secara berterima yang melibatkan tindak tutur: memberi contoh melakukan sesuatu, memberi aba-aba, dan memberi petunjuk 
</v>
      </c>
      <c r="AM9" s="232">
        <f>'PAI4'!CI9</f>
        <v>90</v>
      </c>
      <c r="AN9" s="232" t="str">
        <f>'PAI4'!CJ9</f>
        <v>A</v>
      </c>
      <c r="AO9" s="233" t="str">
        <f>'PAI4'!CO9</f>
        <v>ANGGARA sangat baik  dalam membaca Q.S. at-Tīn dan Q.S. al-Mā’ūn dengan tartil.</v>
      </c>
      <c r="AP9" s="232">
        <f>'PKN4'!U8</f>
        <v>85</v>
      </c>
      <c r="AQ9" s="232" t="str">
        <f>'PKN4'!V8</f>
        <v>B</v>
      </c>
      <c r="AR9" s="231" t="str">
        <f>'PKN4'!AA8</f>
        <v>ANGGARA baik  dalam menjelaskan hak, kewajiban, dan tanggung  jawab sebagai warga masyarakat dalam kehidupan sehari-hari</v>
      </c>
      <c r="AS9" s="232">
        <f>BIND4!U8</f>
        <v>82</v>
      </c>
      <c r="AT9" s="232" t="str">
        <f>BIND4!V8</f>
        <v>B</v>
      </c>
      <c r="AU9" s="231" t="str">
        <f>BIND4!AA8</f>
        <v xml:space="preserve">ANGGARA baik  dalam menyajikan ringkasan teks penjelasan (eksplanasi) dari media cetak atau elektronik dengan menggunakan kosakata baku dan kalimat efektif secara lisan, tulis, dan visual.
</v>
      </c>
      <c r="AV9" s="232">
        <f>'MTK4'!U8</f>
        <v>70</v>
      </c>
      <c r="AW9" s="232" t="str">
        <f>'MTK4'!V8</f>
        <v>C</v>
      </c>
      <c r="AX9" s="231" t="str">
        <f>'MTK4'!AA8</f>
        <v xml:space="preserve">ANGGARA cukup baik  dalam menyelesaikan masalah yang berkaitan dengan volume bangun ruang dengan menggunakan satuan volume (seperti kubus satuan) melibatkan pangkat tiga dan akar pangkat tiga
</v>
      </c>
      <c r="AY9" s="232">
        <f>'IPA4'!U8</f>
        <v>85</v>
      </c>
      <c r="AZ9" s="232" t="str">
        <f>'IPA4'!V8</f>
        <v>B</v>
      </c>
      <c r="BA9" s="231" t="str">
        <f>'IPA4'!AA8</f>
        <v>ANGGARA baik  dalam melaporkan hasil pengamatan tentang perpindahan kalor.</v>
      </c>
      <c r="BB9" s="232">
        <f>'IPS4'!U8</f>
        <v>83</v>
      </c>
      <c r="BC9" s="232" t="str">
        <f>'IPS4'!V8</f>
        <v>B</v>
      </c>
      <c r="BD9" s="231" t="str">
        <f>'IPS4'!AA8</f>
        <v>ANGGARA baik  dalam menyajikan hasil identifikasi karakteristik geografis Indonesia sebagai negara kepulauan/maritim dan agraris serta pengaruhnya terhadap kehidupan ekonomi, sosial, budaya, komunikasi, serta transportasi.</v>
      </c>
      <c r="BE9" s="232">
        <f>SBDP4!U8</f>
        <v>90</v>
      </c>
      <c r="BF9" s="232" t="str">
        <f>SBDP4!V8</f>
        <v>A</v>
      </c>
      <c r="BG9" s="231" t="str">
        <f>SBDP4!AA8</f>
        <v>ANGGARA sangat baik  dalam membuat gambar cerita</v>
      </c>
      <c r="BH9" s="232">
        <f>PJOK4!U8</f>
        <v>88</v>
      </c>
      <c r="BI9" s="232" t="str">
        <f>PJOK4!V8</f>
        <v>A</v>
      </c>
      <c r="BJ9" s="233" t="str">
        <f>PJOK4!AA8</f>
        <v>ANGGARA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9" s="232">
        <f>'MLK1-4'!U8</f>
        <v>77</v>
      </c>
      <c r="BL9" s="232" t="str">
        <f>'MLK1-4'!V8</f>
        <v>B</v>
      </c>
      <c r="BM9" s="231" t="str">
        <f>'MLK1-4'!AA8</f>
        <v>ANGGARA baik  dalam melantunkan dan menceritakan isi kawih tentang bangga sebagai bangsa Indonesia</v>
      </c>
      <c r="BN9" s="232">
        <f>'MLK2-4'!U8</f>
        <v>88</v>
      </c>
      <c r="BO9" s="232" t="str">
        <f>'MLK2-4'!V8</f>
        <v>A</v>
      </c>
      <c r="BP9" s="231" t="str">
        <f>'MLK2-4'!AA8</f>
        <v>ANGGARA sangat baik  dalam memahami langkah-langkah pengawasan kelestarian lingkungan hidup</v>
      </c>
      <c r="BQ9" s="232">
        <f>'MLK3-4'!Y8</f>
        <v>77</v>
      </c>
      <c r="BR9" s="232" t="str">
        <f>'MLK3-4'!Z8</f>
        <v>B</v>
      </c>
      <c r="BS9" s="231" t="str">
        <f>'MLK3-4'!AE8</f>
        <v xml:space="preserve">ANGGARA baik  dalam merespon instruksi sangat sederhana dengan tindakan secara berterima dalam konteks sekolah  </v>
      </c>
    </row>
    <row r="10" spans="1:71" ht="129.94999999999999" customHeight="1">
      <c r="A10" s="227">
        <v>5</v>
      </c>
      <c r="B10" s="227" t="str">
        <f>SISWA!B10</f>
        <v>1718250040309</v>
      </c>
      <c r="C10" s="228" t="str">
        <f>SISWA!C10</f>
        <v>ARIA RAY ANDARA</v>
      </c>
      <c r="D10" s="229" t="str">
        <f>SPIRIT!P9</f>
        <v xml:space="preserve">Ananda ARIA baik dalam  ketaatan beribadah,  berperilaku syukur,  berdoa sebelum dan sesudah melakukan kegiatan,  toleransi dalam beribadah, </v>
      </c>
      <c r="E10" s="229" t="str">
        <f>SOSIAL!T9</f>
        <v xml:space="preserve">Ananda ARIA baik dalam sikap jujur, disiplin, tanggung jawab, santun, peduli, percaya diri, </v>
      </c>
      <c r="F10" s="230">
        <f>'PAI3'!CI10</f>
        <v>84</v>
      </c>
      <c r="G10" s="230" t="str">
        <f>'PAI3'!CJ10</f>
        <v>B</v>
      </c>
      <c r="H10" s="231" t="str">
        <f>'PAI3'!CO10</f>
        <v>ARIA sangat baik  dalam memahami makna Q.S. at-Tīn dan Q.S. al-Mā’ūn dengan benar., dan  baik  dalam memahami nama-nama Rasul Allah dan Rasul Ulul ‘Azmi.</v>
      </c>
      <c r="I10" s="230">
        <f>'PKN3'!U9</f>
        <v>90</v>
      </c>
      <c r="J10" s="230" t="str">
        <f>'PKN3'!V9</f>
        <v>A</v>
      </c>
      <c r="K10" s="229" t="str">
        <f>'PKN3'!AA9</f>
        <v xml:space="preserve">ARIA sangat baik  dalam memahami hak, kewajiban dan tanggung jawab sebagai warga dalam kehidupan sehari-hari.
</v>
      </c>
      <c r="L10" s="232">
        <f>BIND3!U9</f>
        <v>86</v>
      </c>
      <c r="M10" s="232" t="str">
        <f>BIND3!V9</f>
        <v>B</v>
      </c>
      <c r="N10" s="231" t="str">
        <f>BIND3!AA9</f>
        <v>ARIA baik  dalam meringkas teks penjelasan (eksplanasi) dari media cetak atau elektronik.</v>
      </c>
      <c r="O10" s="232">
        <f>'MTK3'!U9</f>
        <v>70</v>
      </c>
      <c r="P10" s="232" t="str">
        <f>'MTK3'!V9</f>
        <v>C</v>
      </c>
      <c r="Q10" s="231" t="str">
        <f>'MTK3'!AA9</f>
        <v xml:space="preserve">ARIA cukup baik  dalam menjelaskan, dan menentukan volume bangun ruang dengan menggunakan satuan volume (seperti kubus satuan) serta hubungan pangkat tiga dengan akar pangkat tiga
</v>
      </c>
      <c r="R10" s="232">
        <f>'IPA3'!U9</f>
        <v>83</v>
      </c>
      <c r="S10" s="232" t="str">
        <f>'IPA3'!V9</f>
        <v>B</v>
      </c>
      <c r="T10" s="231" t="str">
        <f>'IPA3'!AA9</f>
        <v xml:space="preserve">ARIA baik  dalam menerapkan konsep perpindahan kalor dalam kehidupan sehari-hari.
</v>
      </c>
      <c r="U10" s="232">
        <f>'IPS3'!U9</f>
        <v>80</v>
      </c>
      <c r="V10" s="232" t="str">
        <f>'IPS3'!V9</f>
        <v>B</v>
      </c>
      <c r="W10" s="231" t="str">
        <f>'IPS3'!AA9</f>
        <v>ARIA baik  dalam Mengidentifikasi karakteristik geografis Indonesia sebagai negara kepulauan/maritim dan agraris serta pengaruhnya terhadap kehidupan ekonomi, sosial, budaya, komunikasi, serta transportasi.</v>
      </c>
      <c r="X10" s="232">
        <f>SBDP3!U9</f>
        <v>93</v>
      </c>
      <c r="Y10" s="232" t="str">
        <f>SBDP3!V9</f>
        <v>A</v>
      </c>
      <c r="Z10" s="231" t="str">
        <f>SBDP3!AA9</f>
        <v>ARIA sangat baik  dalam memahami gambar cerita</v>
      </c>
      <c r="AA10" s="232">
        <f>PJOK3!U9</f>
        <v>88</v>
      </c>
      <c r="AB10" s="232" t="str">
        <f>PJOK3!V9</f>
        <v>A</v>
      </c>
      <c r="AC10" s="231" t="str">
        <f>PJOK3!AA9</f>
        <v xml:space="preserve">ARIA sangat baik  dalam memahami kombinasi pola gerak dominan (bertumpu, bergantung, keseimbangan, berpindah/lokomotor, tolakan, putaran, ayunan, melayang, dan mendarat) untuk membentuk keterampilan dasar senam menggunakan alat
</v>
      </c>
      <c r="AD10" s="232">
        <f>'MLK1-3'!U9</f>
        <v>82</v>
      </c>
      <c r="AE10" s="232" t="str">
        <f>'MLK1-3'!V9</f>
        <v>B</v>
      </c>
      <c r="AF10" s="233" t="str">
        <f>'MLK1-3'!AA9</f>
        <v>ARIA baik  dalam memahami teks kawih tentang bangga sebagai bangsa Indonesia</v>
      </c>
      <c r="AG10" s="232">
        <f>'MLK2-3'!X9</f>
        <v>91</v>
      </c>
      <c r="AH10" s="232" t="str">
        <f>'MLK2-3'!Y9</f>
        <v>A</v>
      </c>
      <c r="AI10" s="231" t="str">
        <f>'MLK2-3'!AD9</f>
        <v xml:space="preserve">ARIA sangat baik  dalam merespon instruksi sangat sederhana dengan tindakan secara berterima dalam konteks sekolah  </v>
      </c>
      <c r="AJ10" s="232">
        <f>'MLK3-3'!W9</f>
        <v>79</v>
      </c>
      <c r="AK10" s="232" t="str">
        <f>'MLK3-3'!X9</f>
        <v>B</v>
      </c>
      <c r="AL10" s="233" t="str">
        <f>'MLK3-3'!AC9</f>
        <v xml:space="preserve">ARIA baik  dalam bercakap-cakap untuk menyertai tindakan secara berterima yang melibatkan tindak tutur: memberi contoh melakukan sesuatu, memberi aba-aba, dan memberi petunjuk 
, dan  cukup baik  dalam membaca nyaring dengan ucapan, tekanan, dan intonasi secara tepat dan berterima yang melibatkan: kata, frasa, kalimat sangat sederhana, dan teks sangat sederhana 
</v>
      </c>
      <c r="AM10" s="232">
        <f>'PAI4'!CI10</f>
        <v>90</v>
      </c>
      <c r="AN10" s="232" t="str">
        <f>'PAI4'!CJ10</f>
        <v>A</v>
      </c>
      <c r="AO10" s="233" t="str">
        <f>'PAI4'!CO10</f>
        <v>ARIA sangat baik  dalam membaca Q.S. at-Tīn dan Q.S. al-Mā’ūn dengan tartil.</v>
      </c>
      <c r="AP10" s="232">
        <f>'PKN4'!U9</f>
        <v>90</v>
      </c>
      <c r="AQ10" s="232" t="str">
        <f>'PKN4'!V9</f>
        <v>A</v>
      </c>
      <c r="AR10" s="231" t="str">
        <f>'PKN4'!AA9</f>
        <v>ARIA sangat baik  dalam menjelaskan hak, kewajiban, dan tanggung  jawab sebagai warga masyarakat dalam kehidupan sehari-hari</v>
      </c>
      <c r="AS10" s="232">
        <f>BIND4!U9</f>
        <v>86</v>
      </c>
      <c r="AT10" s="232" t="str">
        <f>BIND4!V9</f>
        <v>B</v>
      </c>
      <c r="AU10" s="231" t="str">
        <f>BIND4!AA9</f>
        <v xml:space="preserve">ARIA baik  dalam menyajikan ringkasan teks penjelasan (eksplanasi) dari media cetak atau elektronik dengan menggunakan kosakata baku dan kalimat efektif secara lisan, tulis, dan visual.
</v>
      </c>
      <c r="AV10" s="232">
        <f>'MTK4'!U9</f>
        <v>70</v>
      </c>
      <c r="AW10" s="232" t="str">
        <f>'MTK4'!V9</f>
        <v>C</v>
      </c>
      <c r="AX10" s="231" t="str">
        <f>'MTK4'!AA9</f>
        <v xml:space="preserve">ARIA cukup baik  dalam menyelesaikan masalah yang berkaitan dengan volume bangun ruang dengan menggunakan satuan volume (seperti kubus satuan) melibatkan pangkat tiga dan akar pangkat tiga
</v>
      </c>
      <c r="AY10" s="232">
        <f>'IPA4'!U9</f>
        <v>83</v>
      </c>
      <c r="AZ10" s="232" t="str">
        <f>'IPA4'!V9</f>
        <v>B</v>
      </c>
      <c r="BA10" s="231" t="str">
        <f>'IPA4'!AA9</f>
        <v>ARIA baik  dalam melaporkan hasil pengamatan tentang perpindahan kalor.</v>
      </c>
      <c r="BB10" s="232">
        <f>'IPS4'!U9</f>
        <v>80</v>
      </c>
      <c r="BC10" s="232" t="str">
        <f>'IPS4'!V9</f>
        <v>B</v>
      </c>
      <c r="BD10" s="231" t="str">
        <f>'IPS4'!AA9</f>
        <v>ARIA baik  dalam menyajikan hasil identifikasi karakteristik geografis Indonesia sebagai negara kepulauan/maritim dan agraris serta pengaruhnya terhadap kehidupan ekonomi, sosial, budaya, komunikasi, serta transportasi.</v>
      </c>
      <c r="BE10" s="232">
        <f>SBDP4!U9</f>
        <v>93</v>
      </c>
      <c r="BF10" s="232" t="str">
        <f>SBDP4!V9</f>
        <v>A</v>
      </c>
      <c r="BG10" s="231" t="str">
        <f>SBDP4!AA9</f>
        <v>ARIA sangat baik  dalam membuat gambar cerita</v>
      </c>
      <c r="BH10" s="232">
        <f>PJOK4!U9</f>
        <v>87</v>
      </c>
      <c r="BI10" s="232" t="str">
        <f>PJOK4!V9</f>
        <v>B</v>
      </c>
      <c r="BJ10" s="233" t="str">
        <f>PJOK4!AA9</f>
        <v>ARIA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10" s="232">
        <f>'MLK1-4'!U9</f>
        <v>82</v>
      </c>
      <c r="BL10" s="232" t="str">
        <f>'MLK1-4'!V9</f>
        <v>B</v>
      </c>
      <c r="BM10" s="231" t="str">
        <f>'MLK1-4'!AA9</f>
        <v>ARIA baik  dalam melantunkan dan menceritakan isi kawih tentang bangga sebagai bangsa Indonesia</v>
      </c>
      <c r="BN10" s="232">
        <f>'MLK2-4'!U9</f>
        <v>91</v>
      </c>
      <c r="BO10" s="232" t="str">
        <f>'MLK2-4'!V9</f>
        <v>A</v>
      </c>
      <c r="BP10" s="231" t="str">
        <f>'MLK2-4'!AA9</f>
        <v>ARIA sangat baik  dalam memahami langkah-langkah pengawasan kelestarian lingkungan hidup</v>
      </c>
      <c r="BQ10" s="232">
        <f>'MLK3-4'!Y9</f>
        <v>76</v>
      </c>
      <c r="BR10" s="232" t="str">
        <f>'MLK3-4'!Z9</f>
        <v>C</v>
      </c>
      <c r="BS10" s="231" t="str">
        <f>'MLK3-4'!AE9</f>
        <v xml:space="preserve">ARIA cukup baik  dalam merespon instruksi sangat sederhana dengan tindakan secara berterima dalam konteks sekolah  </v>
      </c>
    </row>
    <row r="11" spans="1:71" ht="129.94999999999999" customHeight="1">
      <c r="A11" s="227">
        <v>6</v>
      </c>
      <c r="B11" s="227" t="str">
        <f>SISWA!B11</f>
        <v>1718250040310</v>
      </c>
      <c r="C11" s="228" t="str">
        <f>SISWA!C11</f>
        <v>CAHAYA MAHARANI</v>
      </c>
      <c r="D11" s="229" t="str">
        <f>SPIRIT!P10</f>
        <v xml:space="preserve">Ananda CAHAYA baik dalam  ketaatan beribadah,  berperilaku syukur,  berdoa sebelum dan sesudah melakukan kegiatan,  toleransi dalam beribadah, </v>
      </c>
      <c r="E11" s="229" t="str">
        <f>SOSIAL!T10</f>
        <v xml:space="preserve">Ananda CAHAYA baik dalam sikap jujur, disiplin, tanggung jawab, santun, peduli, percaya diri, </v>
      </c>
      <c r="F11" s="230">
        <f>'PAI3'!CI11</f>
        <v>84</v>
      </c>
      <c r="G11" s="230" t="str">
        <f>'PAI3'!CJ11</f>
        <v>B</v>
      </c>
      <c r="H11" s="231" t="str">
        <f>'PAI3'!CO11</f>
        <v>CAHAYA sangat baik  dalam memahami makna Q.S. at-Tīn dan Q.S. al-Mā’ūn dengan benar., dan  cukup baik  dalam memahami makna sederhana dalam kehidupan sehari-hari.</v>
      </c>
      <c r="I11" s="230">
        <f>'PKN3'!U10</f>
        <v>90</v>
      </c>
      <c r="J11" s="230" t="str">
        <f>'PKN3'!V10</f>
        <v>A</v>
      </c>
      <c r="K11" s="229" t="str">
        <f>'PKN3'!AA10</f>
        <v xml:space="preserve">CAHAYA sangat baik  dalam memahami hak, kewajiban dan tanggung jawab sebagai warga dalam kehidupan sehari-hari.
</v>
      </c>
      <c r="L11" s="232">
        <f>BIND3!U10</f>
        <v>84</v>
      </c>
      <c r="M11" s="232" t="str">
        <f>BIND3!V10</f>
        <v>B</v>
      </c>
      <c r="N11" s="231" t="str">
        <f>BIND3!AA10</f>
        <v>CAHAYA baik  dalam meringkas teks penjelasan (eksplanasi) dari media cetak atau elektronik.</v>
      </c>
      <c r="O11" s="232">
        <f>'MTK3'!U10</f>
        <v>75</v>
      </c>
      <c r="P11" s="232" t="str">
        <f>'MTK3'!V10</f>
        <v>C</v>
      </c>
      <c r="Q11" s="231" t="str">
        <f>'MTK3'!AA10</f>
        <v xml:space="preserve">CAHAYA cukup baik  dalam menjelaskan, dan menentukan volume bangun ruang dengan menggunakan satuan volume (seperti kubus satuan) serta hubungan pangkat tiga dengan akar pangkat tiga
</v>
      </c>
      <c r="R11" s="232">
        <f>'IPA3'!U10</f>
        <v>88</v>
      </c>
      <c r="S11" s="232" t="str">
        <f>'IPA3'!V10</f>
        <v>A</v>
      </c>
      <c r="T11" s="231" t="str">
        <f>'IPA3'!AA10</f>
        <v xml:space="preserve">CAHAYA sangat baik  dalam menerapkan konsep perpindahan kalor dalam kehidupan sehari-hari.
</v>
      </c>
      <c r="U11" s="232">
        <f>'IPS3'!U10</f>
        <v>85</v>
      </c>
      <c r="V11" s="232" t="str">
        <f>'IPS3'!V10</f>
        <v>B</v>
      </c>
      <c r="W11" s="231" t="str">
        <f>'IPS3'!AA10</f>
        <v>CAHAYA baik  dalam Mengidentifikasi karakteristik geografis Indonesia sebagai negara kepulauan/maritim dan agraris serta pengaruhnya terhadap kehidupan ekonomi, sosial, budaya, komunikasi, serta transportasi.</v>
      </c>
      <c r="X11" s="232">
        <f>SBDP3!U10</f>
        <v>90</v>
      </c>
      <c r="Y11" s="232" t="str">
        <f>SBDP3!V10</f>
        <v>A</v>
      </c>
      <c r="Z11" s="231" t="str">
        <f>SBDP3!AA10</f>
        <v>CAHAYA sangat baik  dalam memahami gambar cerita</v>
      </c>
      <c r="AA11" s="232">
        <f>PJOK3!U10</f>
        <v>84</v>
      </c>
      <c r="AB11" s="232" t="str">
        <f>PJOK3!V10</f>
        <v>B</v>
      </c>
      <c r="AC11" s="231" t="str">
        <f>PJOK3!AA10</f>
        <v xml:space="preserve">CAHAYA baik  dalam memahami kombinasi pola gerak dominan (bertumpu, bergantung, keseimbangan, berpindah/lokomotor, tolakan, putaran, ayunan, melayang, dan mendarat) untuk membentuk keterampilan dasar senam menggunakan alat
</v>
      </c>
      <c r="AD11" s="232">
        <f>'MLK1-3'!U10</f>
        <v>71</v>
      </c>
      <c r="AE11" s="232" t="str">
        <f>'MLK1-3'!V10</f>
        <v>C</v>
      </c>
      <c r="AF11" s="233" t="str">
        <f>'MLK1-3'!AA10</f>
        <v>CAHAYA cukup baik  dalam memahami teks kawih tentang bangga sebagai bangsa Indonesia</v>
      </c>
      <c r="AG11" s="232">
        <f>'MLK2-3'!X10</f>
        <v>88</v>
      </c>
      <c r="AH11" s="232" t="str">
        <f>'MLK2-3'!Y10</f>
        <v>A</v>
      </c>
      <c r="AI11" s="231" t="str">
        <f>'MLK2-3'!AD10</f>
        <v xml:space="preserve">CAHAYA sangat baik  dalam merespon instruksi sangat sederhana dengan tindakan secara berterima dalam konteks sekolah  </v>
      </c>
      <c r="AJ11" s="232">
        <f>'MLK3-3'!W10</f>
        <v>87</v>
      </c>
      <c r="AK11" s="232" t="str">
        <f>'MLK3-3'!X10</f>
        <v>B</v>
      </c>
      <c r="AL11" s="233" t="str">
        <f>'MLK3-3'!AC10</f>
        <v xml:space="preserve">CAHAYA sangat baik  dalam merespon instruksi sangat sederhana dengan tindakan secara berterima dalam konteks sekolah  , dan  baik  dalam mengeja kalimat sangat sederhana secara tepat dan berterima </v>
      </c>
      <c r="AM11" s="232">
        <f>'PAI4'!CI11</f>
        <v>90</v>
      </c>
      <c r="AN11" s="232" t="str">
        <f>'PAI4'!CJ11</f>
        <v>A</v>
      </c>
      <c r="AO11" s="233" t="str">
        <f>'PAI4'!CO11</f>
        <v>CAHAYA sangat baik  dalam membaca Q.S. at-Tīn dan Q.S. al-Mā’ūn dengan tartil.</v>
      </c>
      <c r="AP11" s="232">
        <f>'PKN4'!U10</f>
        <v>90</v>
      </c>
      <c r="AQ11" s="232" t="str">
        <f>'PKN4'!V10</f>
        <v>A</v>
      </c>
      <c r="AR11" s="231" t="str">
        <f>'PKN4'!AA10</f>
        <v>CAHAYA sangat baik  dalam menjelaskan hak, kewajiban, dan tanggung  jawab sebagai warga masyarakat dalam kehidupan sehari-hari</v>
      </c>
      <c r="AS11" s="232">
        <f>BIND4!U10</f>
        <v>84</v>
      </c>
      <c r="AT11" s="232" t="str">
        <f>BIND4!V10</f>
        <v>B</v>
      </c>
      <c r="AU11" s="231" t="str">
        <f>BIND4!AA10</f>
        <v xml:space="preserve">CAHAYA baik  dalam menyajikan ringkasan teks penjelasan (eksplanasi) dari media cetak atau elektronik dengan menggunakan kosakata baku dan kalimat efektif secara lisan, tulis, dan visual.
</v>
      </c>
      <c r="AV11" s="232">
        <f>'MTK4'!U10</f>
        <v>75</v>
      </c>
      <c r="AW11" s="232" t="str">
        <f>'MTK4'!V10</f>
        <v>C</v>
      </c>
      <c r="AX11" s="231" t="str">
        <f>'MTK4'!AA10</f>
        <v xml:space="preserve">CAHAYA cukup baik  dalam menyelesaikan masalah yang berkaitan dengan volume bangun ruang dengan menggunakan satuan volume (seperti kubus satuan) melibatkan pangkat tiga dan akar pangkat tiga
</v>
      </c>
      <c r="AY11" s="232">
        <f>'IPA4'!U10</f>
        <v>88</v>
      </c>
      <c r="AZ11" s="232" t="str">
        <f>'IPA4'!V10</f>
        <v>A</v>
      </c>
      <c r="BA11" s="231" t="str">
        <f>'IPA4'!AA10</f>
        <v>CAHAYA sangat baik  dalam melaporkan hasil pengamatan tentang perpindahan kalor.</v>
      </c>
      <c r="BB11" s="232">
        <f>'IPS4'!U10</f>
        <v>85</v>
      </c>
      <c r="BC11" s="232" t="str">
        <f>'IPS4'!V10</f>
        <v>B</v>
      </c>
      <c r="BD11" s="231" t="str">
        <f>'IPS4'!AA10</f>
        <v>CAHAYA baik  dalam menyajikan hasil identifikasi karakteristik geografis Indonesia sebagai negara kepulauan/maritim dan agraris serta pengaruhnya terhadap kehidupan ekonomi, sosial, budaya, komunikasi, serta transportasi.</v>
      </c>
      <c r="BE11" s="232">
        <f>SBDP4!U10</f>
        <v>90</v>
      </c>
      <c r="BF11" s="232" t="str">
        <f>SBDP4!V10</f>
        <v>A</v>
      </c>
      <c r="BG11" s="231" t="str">
        <f>SBDP4!AA10</f>
        <v>CAHAYA sangat baik  dalam membuat gambar cerita</v>
      </c>
      <c r="BH11" s="232">
        <f>PJOK4!U10</f>
        <v>85</v>
      </c>
      <c r="BI11" s="232" t="str">
        <f>PJOK4!V10</f>
        <v>B</v>
      </c>
      <c r="BJ11" s="233" t="str">
        <f>PJOK4!AA10</f>
        <v>CAHAYA sangat baik  dalam mempraktikkan kombinasi pola gerak dominan (bertumpu, bergantung, keseimbangan, berpindah/ lokomotor, tolakan, putaran, ayunan, melayang, dan mendarat) untuk membentuk keterampilan dasar senam menggunakan alat
, dan  baik  dalam menerapkan konsep pemeliharaan diri dan orang lain dari penyakit menular dan tidak menular</v>
      </c>
      <c r="BK11" s="232">
        <f>'MLK1-4'!U10</f>
        <v>71</v>
      </c>
      <c r="BL11" s="232" t="str">
        <f>'MLK1-4'!V10</f>
        <v>C</v>
      </c>
      <c r="BM11" s="231" t="str">
        <f>'MLK1-4'!AA10</f>
        <v>CAHAYA cukup baik  dalam melantunkan dan menceritakan isi kawih tentang bangga sebagai bangsa Indonesia</v>
      </c>
      <c r="BN11" s="232">
        <f>'MLK2-4'!U10</f>
        <v>88</v>
      </c>
      <c r="BO11" s="232" t="str">
        <f>'MLK2-4'!V10</f>
        <v>A</v>
      </c>
      <c r="BP11" s="231" t="str">
        <f>'MLK2-4'!AA10</f>
        <v>CAHAYA sangat baik  dalam memahami langkah-langkah pengawasan kelestarian lingkungan hidup</v>
      </c>
      <c r="BQ11" s="232">
        <f>'MLK3-4'!Y10</f>
        <v>85</v>
      </c>
      <c r="BR11" s="232" t="str">
        <f>'MLK3-4'!Z10</f>
        <v>B</v>
      </c>
      <c r="BS11" s="231" t="str">
        <f>'MLK3-4'!AE10</f>
        <v xml:space="preserve">CAHAYA baik  dalam merespon instruksi sangat sederhana dengan tindakan secara berterima dalam konteks sekolah  </v>
      </c>
    </row>
    <row r="12" spans="1:71" ht="129.94999999999999" customHeight="1">
      <c r="A12" s="227">
        <v>7</v>
      </c>
      <c r="B12" s="227" t="str">
        <f>SISWA!B12</f>
        <v>1718250040311</v>
      </c>
      <c r="C12" s="228" t="str">
        <f>SISWA!C12</f>
        <v>CALISTA NABILA</v>
      </c>
      <c r="D12" s="229" t="str">
        <f>SPIRIT!P11</f>
        <v xml:space="preserve">Ananda CALISTA baik dalam  ketaatan beribadah,  berperilaku syukur,  berdoa sebelum dan sesudah melakukan kegiatan,  toleransi dalam beribadah, </v>
      </c>
      <c r="E12" s="229" t="str">
        <f>SOSIAL!T11</f>
        <v xml:space="preserve">Ananda CALISTA baik dalam sikap jujur, disiplin, tanggung jawab, santun, peduli, percaya diri, </v>
      </c>
      <c r="F12" s="230">
        <f>'PAI3'!CI12</f>
        <v>76</v>
      </c>
      <c r="G12" s="230" t="str">
        <f>'PAI3'!CJ12</f>
        <v>C</v>
      </c>
      <c r="H12" s="231" t="str">
        <f>'PAI3'!CO12</f>
        <v>CALISTA baik  dalam memahami makna sederhana dalam kehidupan sehari-hari., dan  cukup baik  dalam memahami makna Q.S. at-Tīn dan Q.S. al-Mā’ūn dengan benar.</v>
      </c>
      <c r="I12" s="230">
        <f>'PKN3'!U11</f>
        <v>83</v>
      </c>
      <c r="J12" s="230" t="str">
        <f>'PKN3'!V11</f>
        <v>B</v>
      </c>
      <c r="K12" s="229" t="str">
        <f>'PKN3'!AA11</f>
        <v xml:space="preserve">CALISTA baik  dalam memahami hak, kewajiban dan tanggung jawab sebagai warga dalam kehidupan sehari-hari.
</v>
      </c>
      <c r="L12" s="232">
        <f>BIND3!U11</f>
        <v>80</v>
      </c>
      <c r="M12" s="232" t="str">
        <f>BIND3!V11</f>
        <v>B</v>
      </c>
      <c r="N12" s="231" t="str">
        <f>BIND3!AA11</f>
        <v>CALISTA baik  dalam meringkas teks penjelasan (eksplanasi) dari media cetak atau elektronik.</v>
      </c>
      <c r="O12" s="232">
        <f>'MTK3'!U11</f>
        <v>65</v>
      </c>
      <c r="P12" s="232" t="str">
        <f>'MTK3'!V11</f>
        <v>C</v>
      </c>
      <c r="Q12" s="231" t="str">
        <f>'MTK3'!AA11</f>
        <v xml:space="preserve">CALISTA cukup baik  dalam menjelaskan, dan menentukan volume bangun ruang dengan menggunakan satuan volume (seperti kubus satuan) serta hubungan pangkat tiga dengan akar pangkat tiga
</v>
      </c>
      <c r="R12" s="232">
        <f>'IPA3'!U11</f>
        <v>70</v>
      </c>
      <c r="S12" s="232" t="str">
        <f>'IPA3'!V11</f>
        <v>C</v>
      </c>
      <c r="T12" s="231" t="str">
        <f>'IPA3'!AA11</f>
        <v xml:space="preserve">CALISTA cukup baik  dalam menerapkan konsep perpindahan kalor dalam kehidupan sehari-hari.
</v>
      </c>
      <c r="U12" s="232">
        <f>'IPS3'!U11</f>
        <v>80</v>
      </c>
      <c r="V12" s="232" t="str">
        <f>'IPS3'!V11</f>
        <v>B</v>
      </c>
      <c r="W12" s="231" t="str">
        <f>'IPS3'!AA11</f>
        <v>CALISTA baik  dalam Mengidentifikasi karakteristik geografis Indonesia sebagai negara kepulauan/maritim dan agraris serta pengaruhnya terhadap kehidupan ekonomi, sosial, budaya, komunikasi, serta transportasi.</v>
      </c>
      <c r="X12" s="232">
        <f>SBDP3!U11</f>
        <v>83</v>
      </c>
      <c r="Y12" s="232" t="str">
        <f>SBDP3!V11</f>
        <v>B</v>
      </c>
      <c r="Z12" s="231" t="str">
        <f>SBDP3!AA11</f>
        <v>CALISTA baik  dalam memahami gambar cerita</v>
      </c>
      <c r="AA12" s="232">
        <f>PJOK3!U11</f>
        <v>79</v>
      </c>
      <c r="AB12" s="232" t="str">
        <f>PJOK3!V11</f>
        <v>B</v>
      </c>
      <c r="AC12" s="231" t="str">
        <f>PJOK3!AA11</f>
        <v xml:space="preserve">CALISTA baik  dalam memahami kombinasi pola gerak dominan (bertumpu, bergantung, keseimbangan, berpindah/lokomotor, tolakan, putaran, ayunan, melayang, dan mendarat) untuk membentuk keterampilan dasar senam menggunakan alat
</v>
      </c>
      <c r="AD12" s="232">
        <f>'MLK1-3'!U11</f>
        <v>80</v>
      </c>
      <c r="AE12" s="232" t="str">
        <f>'MLK1-3'!V11</f>
        <v>B</v>
      </c>
      <c r="AF12" s="233" t="str">
        <f>'MLK1-3'!AA11</f>
        <v>CALISTA baik  dalam memahami teks kawih tentang bangga sebagai bangsa Indonesia</v>
      </c>
      <c r="AG12" s="232">
        <f>'MLK2-3'!X11</f>
        <v>85</v>
      </c>
      <c r="AH12" s="232" t="str">
        <f>'MLK2-3'!Y11</f>
        <v>B</v>
      </c>
      <c r="AI12" s="231" t="str">
        <f>'MLK2-3'!AD11</f>
        <v xml:space="preserve">CALISTA baik  dalam merespon instruksi sangat sederhana dengan tindakan secara berterima dalam konteks sekolah  </v>
      </c>
      <c r="AJ12" s="232">
        <f>'MLK3-3'!W11</f>
        <v>73</v>
      </c>
      <c r="AK12" s="232" t="str">
        <f>'MLK3-3'!X11</f>
        <v>C</v>
      </c>
      <c r="AL12" s="233" t="str">
        <f>'MLK3-3'!AC11</f>
        <v xml:space="preserve">CALISTA baik  dalam membaca nyaring dengan ucapan, tekanan, dan intonasi secara tepat dan berterima yang melibatkan: kata, frasa, kalimat sangat sederhana, dan teks sangat sederhana 
, dan  cukup baik  dalam merespon instruksi sangat sederhana dengan tindakan secara berterima dalam konteks sekolah  </v>
      </c>
      <c r="AM12" s="232">
        <f>'PAI4'!CI12</f>
        <v>85</v>
      </c>
      <c r="AN12" s="232" t="str">
        <f>'PAI4'!CJ12</f>
        <v>B</v>
      </c>
      <c r="AO12" s="233" t="str">
        <f>'PAI4'!CO12</f>
        <v>CALISTA baik  dalam membaca Q.S. at-Tīn dan Q.S. al-Mā’ūn dengan tartil.</v>
      </c>
      <c r="AP12" s="232">
        <f>'PKN4'!U11</f>
        <v>83</v>
      </c>
      <c r="AQ12" s="232" t="str">
        <f>'PKN4'!V11</f>
        <v>B</v>
      </c>
      <c r="AR12" s="231" t="str">
        <f>'PKN4'!AA11</f>
        <v>CALISTA baik  dalam menjelaskan hak, kewajiban, dan tanggung  jawab sebagai warga masyarakat dalam kehidupan sehari-hari</v>
      </c>
      <c r="AS12" s="232">
        <f>BIND4!U11</f>
        <v>80</v>
      </c>
      <c r="AT12" s="232" t="str">
        <f>BIND4!V11</f>
        <v>B</v>
      </c>
      <c r="AU12" s="231" t="str">
        <f>BIND4!AA11</f>
        <v xml:space="preserve">CALISTA baik  dalam menyajikan ringkasan teks penjelasan (eksplanasi) dari media cetak atau elektronik dengan menggunakan kosakata baku dan kalimat efektif secara lisan, tulis, dan visual.
</v>
      </c>
      <c r="AV12" s="232">
        <f>'MTK4'!U11</f>
        <v>65</v>
      </c>
      <c r="AW12" s="232" t="str">
        <f>'MTK4'!V11</f>
        <v>C</v>
      </c>
      <c r="AX12" s="231" t="str">
        <f>'MTK4'!AA11</f>
        <v xml:space="preserve">CALISTA cukup baik  dalam menyelesaikan masalah yang berkaitan dengan volume bangun ruang dengan menggunakan satuan volume (seperti kubus satuan) melibatkan pangkat tiga dan akar pangkat tiga
</v>
      </c>
      <c r="AY12" s="232">
        <f>'IPA4'!U11</f>
        <v>70</v>
      </c>
      <c r="AZ12" s="232" t="str">
        <f>'IPA4'!V11</f>
        <v>C</v>
      </c>
      <c r="BA12" s="231" t="str">
        <f>'IPA4'!AA11</f>
        <v>CALISTA cukup baik  dalam melaporkan hasil pengamatan tentang perpindahan kalor.</v>
      </c>
      <c r="BB12" s="232">
        <f>'IPS4'!U11</f>
        <v>80</v>
      </c>
      <c r="BC12" s="232" t="str">
        <f>'IPS4'!V11</f>
        <v>B</v>
      </c>
      <c r="BD12" s="231" t="str">
        <f>'IPS4'!AA11</f>
        <v>CALISTA baik  dalam menyajikan hasil identifikasi karakteristik geografis Indonesia sebagai negara kepulauan/maritim dan agraris serta pengaruhnya terhadap kehidupan ekonomi, sosial, budaya, komunikasi, serta transportasi.</v>
      </c>
      <c r="BE12" s="232">
        <f>SBDP4!U11</f>
        <v>83</v>
      </c>
      <c r="BF12" s="232" t="str">
        <f>SBDP4!V11</f>
        <v>B</v>
      </c>
      <c r="BG12" s="231" t="str">
        <f>SBDP4!AA11</f>
        <v>CALISTA baik  dalam membuat gambar cerita</v>
      </c>
      <c r="BH12" s="232">
        <f>PJOK4!U11</f>
        <v>83</v>
      </c>
      <c r="BI12" s="232" t="str">
        <f>PJOK4!V11</f>
        <v>B</v>
      </c>
      <c r="BJ12" s="233" t="str">
        <f>PJOK4!AA11</f>
        <v>CALISTA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12" s="232">
        <f>'MLK1-4'!U11</f>
        <v>80</v>
      </c>
      <c r="BL12" s="232" t="str">
        <f>'MLK1-4'!V11</f>
        <v>B</v>
      </c>
      <c r="BM12" s="231" t="str">
        <f>'MLK1-4'!AA11</f>
        <v>CALISTA baik  dalam melantunkan dan menceritakan isi kawih tentang bangga sebagai bangsa Indonesia</v>
      </c>
      <c r="BN12" s="232">
        <f>'MLK2-4'!U11</f>
        <v>85</v>
      </c>
      <c r="BO12" s="232" t="str">
        <f>'MLK2-4'!V11</f>
        <v>B</v>
      </c>
      <c r="BP12" s="231" t="str">
        <f>'MLK2-4'!AA11</f>
        <v>CALISTA baik  dalam memahami langkah-langkah pengawasan kelestarian lingkungan hidup</v>
      </c>
      <c r="BQ12" s="232">
        <f>'MLK3-4'!Y11</f>
        <v>70</v>
      </c>
      <c r="BR12" s="232" t="str">
        <f>'MLK3-4'!Z11</f>
        <v>C</v>
      </c>
      <c r="BS12" s="231" t="str">
        <f>'MLK3-4'!AE11</f>
        <v xml:space="preserve">CALISTA cukup baik  dalam merespon instruksi sangat sederhana dengan tindakan secara berterima dalam konteks sekolah  </v>
      </c>
    </row>
    <row r="13" spans="1:71" ht="129.94999999999999" customHeight="1">
      <c r="A13" s="227">
        <v>8</v>
      </c>
      <c r="B13" s="227" t="str">
        <f>SISWA!B13</f>
        <v>1718250040312</v>
      </c>
      <c r="C13" s="228" t="str">
        <f>SISWA!C13</f>
        <v>CARISSA VIRGIE NAFISHA</v>
      </c>
      <c r="D13" s="229" t="str">
        <f>SPIRIT!P12</f>
        <v xml:space="preserve">Ananda CARISSA baik dalam  ketaatan beribadah,  berperilaku syukur,  berdoa sebelum dan sesudah melakukan kegiatan,  toleransi dalam beribadah, </v>
      </c>
      <c r="E13" s="229" t="str">
        <f>SOSIAL!T12</f>
        <v xml:space="preserve">Ananda CARISSA baik dalam sikap jujur, disiplin, tanggung jawab, santun, peduli, percaya diri, </v>
      </c>
      <c r="F13" s="230">
        <f>'PAI3'!CI13</f>
        <v>83</v>
      </c>
      <c r="G13" s="230" t="str">
        <f>'PAI3'!CJ13</f>
        <v>B</v>
      </c>
      <c r="H13" s="231" t="str">
        <f>'PAI3'!CO13</f>
        <v>CARISSA sangat baik  dalam memahami makna Q.S. at-Tīn dan Q.S. al-Mā’ūn dengan benar., dan  cukup baik  dalam memahami makna sederhana dalam kehidupan sehari-hari.</v>
      </c>
      <c r="I13" s="230">
        <f>'PKN3'!U12</f>
        <v>93</v>
      </c>
      <c r="J13" s="230" t="str">
        <f>'PKN3'!V12</f>
        <v>A</v>
      </c>
      <c r="K13" s="229" t="str">
        <f>'PKN3'!AA12</f>
        <v xml:space="preserve">CARISSA sangat baik  dalam memahami hak, kewajiban dan tanggung jawab sebagai warga dalam kehidupan sehari-hari.
</v>
      </c>
      <c r="L13" s="232">
        <f>BIND3!U12</f>
        <v>90</v>
      </c>
      <c r="M13" s="232" t="str">
        <f>BIND3!V12</f>
        <v>A</v>
      </c>
      <c r="N13" s="231" t="str">
        <f>BIND3!AA12</f>
        <v>CARISSA sangat baik  dalam meringkas teks penjelasan (eksplanasi) dari media cetak atau elektronik.</v>
      </c>
      <c r="O13" s="232">
        <f>'MTK3'!U12</f>
        <v>80</v>
      </c>
      <c r="P13" s="232" t="str">
        <f>'MTK3'!V12</f>
        <v>B</v>
      </c>
      <c r="Q13" s="231" t="str">
        <f>'MTK3'!AA12</f>
        <v xml:space="preserve">CARISSA baik  dalam menjelaskan, dan menentukan volume bangun ruang dengan menggunakan satuan volume (seperti kubus satuan) serta hubungan pangkat tiga dengan akar pangkat tiga
</v>
      </c>
      <c r="R13" s="232">
        <f>'IPA3'!U12</f>
        <v>80</v>
      </c>
      <c r="S13" s="232" t="str">
        <f>'IPA3'!V12</f>
        <v>B</v>
      </c>
      <c r="T13" s="231" t="str">
        <f>'IPA3'!AA12</f>
        <v xml:space="preserve">CARISSA baik  dalam menerapkan konsep perpindahan kalor dalam kehidupan sehari-hari.
</v>
      </c>
      <c r="U13" s="232">
        <f>'IPS3'!U12</f>
        <v>85</v>
      </c>
      <c r="V13" s="232" t="str">
        <f>'IPS3'!V12</f>
        <v>B</v>
      </c>
      <c r="W13" s="231" t="str">
        <f>'IPS3'!AA12</f>
        <v>CARISSA baik  dalam Mengidentifikasi karakteristik geografis Indonesia sebagai negara kepulauan/maritim dan agraris serta pengaruhnya terhadap kehidupan ekonomi, sosial, budaya, komunikasi, serta transportasi.</v>
      </c>
      <c r="X13" s="232">
        <f>SBDP3!U12</f>
        <v>93</v>
      </c>
      <c r="Y13" s="232" t="str">
        <f>SBDP3!V12</f>
        <v>A</v>
      </c>
      <c r="Z13" s="231" t="str">
        <f>SBDP3!AA12</f>
        <v>CARISSA sangat baik  dalam memahami gambar cerita</v>
      </c>
      <c r="AA13" s="232">
        <f>PJOK3!U12</f>
        <v>84</v>
      </c>
      <c r="AB13" s="232" t="str">
        <f>PJOK3!V12</f>
        <v>B</v>
      </c>
      <c r="AC13" s="231" t="str">
        <f>PJOK3!AA12</f>
        <v xml:space="preserve">CARISSA baik  dalam memahami kombinasi pola gerak dominan (bertumpu, bergantung, keseimbangan, berpindah/lokomotor, tolakan, putaran, ayunan, melayang, dan mendarat) untuk membentuk keterampilan dasar senam menggunakan alat
</v>
      </c>
      <c r="AD13" s="232">
        <f>'MLK1-3'!U12</f>
        <v>88</v>
      </c>
      <c r="AE13" s="232" t="str">
        <f>'MLK1-3'!V12</f>
        <v>A</v>
      </c>
      <c r="AF13" s="233" t="str">
        <f>'MLK1-3'!AA12</f>
        <v>CARISSA sangat baik  dalam memahami teks kawih tentang bangga sebagai bangsa Indonesia</v>
      </c>
      <c r="AG13" s="232">
        <f>'MLK2-3'!X12</f>
        <v>100</v>
      </c>
      <c r="AH13" s="232" t="str">
        <f>'MLK2-3'!Y12</f>
        <v>A</v>
      </c>
      <c r="AI13" s="231" t="str">
        <f>'MLK2-3'!AD12</f>
        <v xml:space="preserve">CARISSA sangat baik  dalam merespon instruksi sangat sederhana dengan tindakan secara berterima dalam konteks sekolah  </v>
      </c>
      <c r="AJ13" s="232">
        <f>'MLK3-3'!W12</f>
        <v>91</v>
      </c>
      <c r="AK13" s="232" t="str">
        <f>'MLK3-3'!X12</f>
        <v>A</v>
      </c>
      <c r="AL13" s="233" t="str">
        <f>'MLK3-3'!AC12</f>
        <v xml:space="preserve">CARISSA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M13" s="232">
        <f>'PAI4'!CI13</f>
        <v>85</v>
      </c>
      <c r="AN13" s="232" t="str">
        <f>'PAI4'!CJ13</f>
        <v>B</v>
      </c>
      <c r="AO13" s="233" t="str">
        <f>'PAI4'!CO13</f>
        <v>CARISSA baik  dalam membaca Q.S. at-Tīn dan Q.S. al-Mā’ūn dengan tartil.</v>
      </c>
      <c r="AP13" s="232">
        <f>'PKN4'!U12</f>
        <v>93</v>
      </c>
      <c r="AQ13" s="232" t="str">
        <f>'PKN4'!V12</f>
        <v>A</v>
      </c>
      <c r="AR13" s="231" t="str">
        <f>'PKN4'!AA12</f>
        <v>CARISSA sangat baik  dalam menjelaskan hak, kewajiban, dan tanggung  jawab sebagai warga masyarakat dalam kehidupan sehari-hari</v>
      </c>
      <c r="AS13" s="232">
        <f>BIND4!U12</f>
        <v>90</v>
      </c>
      <c r="AT13" s="232" t="str">
        <f>BIND4!V12</f>
        <v>A</v>
      </c>
      <c r="AU13" s="231" t="str">
        <f>BIND4!AA12</f>
        <v xml:space="preserve">CARISSA sangat baik  dalam menyajikan ringkasan teks penjelasan (eksplanasi) dari media cetak atau elektronik dengan menggunakan kosakata baku dan kalimat efektif secara lisan, tulis, dan visual.
</v>
      </c>
      <c r="AV13" s="232">
        <f>'MTK4'!U12</f>
        <v>80</v>
      </c>
      <c r="AW13" s="232" t="str">
        <f>'MTK4'!V12</f>
        <v>B</v>
      </c>
      <c r="AX13" s="231" t="str">
        <f>'MTK4'!AA12</f>
        <v xml:space="preserve">CARISSA baik  dalam menyelesaikan masalah yang berkaitan dengan volume bangun ruang dengan menggunakan satuan volume (seperti kubus satuan) melibatkan pangkat tiga dan akar pangkat tiga
</v>
      </c>
      <c r="AY13" s="232">
        <f>'IPA4'!U12</f>
        <v>80</v>
      </c>
      <c r="AZ13" s="232" t="str">
        <f>'IPA4'!V12</f>
        <v>B</v>
      </c>
      <c r="BA13" s="231" t="str">
        <f>'IPA4'!AA12</f>
        <v>CARISSA baik  dalam melaporkan hasil pengamatan tentang perpindahan kalor.</v>
      </c>
      <c r="BB13" s="232">
        <f>'IPS4'!U12</f>
        <v>85</v>
      </c>
      <c r="BC13" s="232" t="str">
        <f>'IPS4'!V12</f>
        <v>B</v>
      </c>
      <c r="BD13" s="231" t="str">
        <f>'IPS4'!AA12</f>
        <v>CARISSA baik  dalam menyajikan hasil identifikasi karakteristik geografis Indonesia sebagai negara kepulauan/maritim dan agraris serta pengaruhnya terhadap kehidupan ekonomi, sosial, budaya, komunikasi, serta transportasi.</v>
      </c>
      <c r="BE13" s="232">
        <f>SBDP4!U12</f>
        <v>93</v>
      </c>
      <c r="BF13" s="232" t="str">
        <f>SBDP4!V12</f>
        <v>A</v>
      </c>
      <c r="BG13" s="231" t="str">
        <f>SBDP4!AA12</f>
        <v>CARISSA sangat baik  dalam membuat gambar cerita</v>
      </c>
      <c r="BH13" s="232">
        <f>PJOK4!U12</f>
        <v>86</v>
      </c>
      <c r="BI13" s="232" t="str">
        <f>PJOK4!V12</f>
        <v>B</v>
      </c>
      <c r="BJ13" s="233" t="str">
        <f>PJOK4!AA12</f>
        <v>CARISSA sangat baik  dalam mempraktikkan pengunaan kombinasi gerak dasar langkah dan ayunan lengan mengikuti irama (ketukan) tanpa/dengan musik dalam aktivitas gerak berirama, dan  baik  dalam memaparkan bahaya merokok, meminum minuman keras, dan mengonsumsi narkotika, zat-zat aditif (NAPZA) dan obat berbahaya lainnya terhadap kesehatan tubuh</v>
      </c>
      <c r="BK13" s="232">
        <f>'MLK1-4'!U12</f>
        <v>88</v>
      </c>
      <c r="BL13" s="232" t="str">
        <f>'MLK1-4'!V12</f>
        <v>A</v>
      </c>
      <c r="BM13" s="231" t="str">
        <f>'MLK1-4'!AA12</f>
        <v>CARISSA sangat baik  dalam melantunkan dan menceritakan isi kawih tentang bangga sebagai bangsa Indonesia</v>
      </c>
      <c r="BN13" s="232">
        <f>'MLK2-4'!U12</f>
        <v>100</v>
      </c>
      <c r="BO13" s="232" t="str">
        <f>'MLK2-4'!V12</f>
        <v>A</v>
      </c>
      <c r="BP13" s="231" t="str">
        <f>'MLK2-4'!AA12</f>
        <v>CARISSA sangat baik  dalam memahami langkah-langkah pengawasan kelestarian lingkungan hidup</v>
      </c>
      <c r="BQ13" s="232">
        <f>'MLK3-4'!Y12</f>
        <v>90</v>
      </c>
      <c r="BR13" s="232" t="str">
        <f>'MLK3-4'!Z12</f>
        <v>A</v>
      </c>
      <c r="BS13" s="231" t="str">
        <f>'MLK3-4'!AE12</f>
        <v xml:space="preserve">CARISSA sangat baik  dalam merespon instruksi sangat sederhana dengan tindakan secara berterima dalam konteks sekolah  </v>
      </c>
    </row>
    <row r="14" spans="1:71" ht="129.94999999999999" customHeight="1">
      <c r="A14" s="227">
        <v>9</v>
      </c>
      <c r="B14" s="227" t="str">
        <f>SISWA!B14</f>
        <v>1718250040313</v>
      </c>
      <c r="C14" s="228" t="str">
        <f>SISWA!C14</f>
        <v>CHAIDAR AHMAD FAISAL HARAHAP</v>
      </c>
      <c r="D14" s="229" t="str">
        <f>SPIRIT!P13</f>
        <v xml:space="preserve">Ananda CHAIDAR baik dalam  ketaatan beribadah,  berperilaku syukur,  berdoa sebelum dan sesudah melakukan kegiatan,  toleransi dalam beribadah, </v>
      </c>
      <c r="E14" s="229" t="str">
        <f>SOSIAL!T13</f>
        <v xml:space="preserve">Ananda CHAIDAR baik dalam sikap jujur, disiplin, tanggung jawab, santun, peduli, percaya diri, </v>
      </c>
      <c r="F14" s="230">
        <f>'PAI3'!CI14</f>
        <v>81</v>
      </c>
      <c r="G14" s="230" t="str">
        <f>'PAI3'!CJ14</f>
        <v>B</v>
      </c>
      <c r="H14" s="231" t="str">
        <f>'PAI3'!CO14</f>
        <v>CHAIDAR sangat baik  dalam memahami makna Q.S. at-Tīn dan Q.S. al-Mā’ūn dengan benar., dan  cukup baik  dalam memahami nama-nama Rasul Allah dan Rasul Ulul ‘Azmi.</v>
      </c>
      <c r="I14" s="230">
        <f>'PKN3'!U13</f>
        <v>95</v>
      </c>
      <c r="J14" s="230" t="str">
        <f>'PKN3'!V13</f>
        <v>A</v>
      </c>
      <c r="K14" s="229" t="str">
        <f>'PKN3'!AA13</f>
        <v xml:space="preserve">CHAIDAR sangat baik  dalam memahami hak, kewajiban dan tanggung jawab sebagai warga dalam kehidupan sehari-hari.
</v>
      </c>
      <c r="L14" s="232">
        <f>BIND3!U13</f>
        <v>84</v>
      </c>
      <c r="M14" s="232" t="str">
        <f>BIND3!V13</f>
        <v>B</v>
      </c>
      <c r="N14" s="231" t="str">
        <f>BIND3!AA13</f>
        <v>CHAIDAR baik  dalam meringkas teks penjelasan (eksplanasi) dari media cetak atau elektronik.</v>
      </c>
      <c r="O14" s="232">
        <f>'MTK3'!U13</f>
        <v>75</v>
      </c>
      <c r="P14" s="232" t="str">
        <f>'MTK3'!V13</f>
        <v>C</v>
      </c>
      <c r="Q14" s="231" t="str">
        <f>'MTK3'!AA13</f>
        <v xml:space="preserve">CHAIDAR cukup baik  dalam menjelaskan, dan menentukan volume bangun ruang dengan menggunakan satuan volume (seperti kubus satuan) serta hubungan pangkat tiga dengan akar pangkat tiga
</v>
      </c>
      <c r="R14" s="232">
        <f>'IPA3'!U13</f>
        <v>83</v>
      </c>
      <c r="S14" s="232" t="str">
        <f>'IPA3'!V13</f>
        <v>B</v>
      </c>
      <c r="T14" s="231" t="str">
        <f>'IPA3'!AA13</f>
        <v xml:space="preserve">CHAIDAR baik  dalam menerapkan konsep perpindahan kalor dalam kehidupan sehari-hari.
</v>
      </c>
      <c r="U14" s="232">
        <f>'IPS3'!U13</f>
        <v>88</v>
      </c>
      <c r="V14" s="232" t="str">
        <f>'IPS3'!V13</f>
        <v>A</v>
      </c>
      <c r="W14" s="231" t="str">
        <f>'IPS3'!AA13</f>
        <v>CHAIDAR sangat baik  dalam Mengidentifikasi karakteristik geografis Indonesia sebagai negara kepulauan/maritim dan agraris serta pengaruhnya terhadap kehidupan ekonomi, sosial, budaya, komunikasi, serta transportasi.</v>
      </c>
      <c r="X14" s="232">
        <f>SBDP3!U13</f>
        <v>95</v>
      </c>
      <c r="Y14" s="232" t="str">
        <f>SBDP3!V13</f>
        <v>A</v>
      </c>
      <c r="Z14" s="231" t="str">
        <f>SBDP3!AA13</f>
        <v>CHAIDAR sangat baik  dalam memahami gambar cerita</v>
      </c>
      <c r="AA14" s="232">
        <f>PJOK3!U13</f>
        <v>84</v>
      </c>
      <c r="AB14" s="232" t="str">
        <f>PJOK3!V13</f>
        <v>B</v>
      </c>
      <c r="AC14" s="231" t="str">
        <f>PJOK3!AA13</f>
        <v xml:space="preserve">CHAIDAR baik  dalam memahami kombinasi pola gerak dominan (bertumpu, bergantung, keseimbangan, berpindah/lokomotor, tolakan, putaran, ayunan, melayang, dan mendarat) untuk membentuk keterampilan dasar senam menggunakan alat
</v>
      </c>
      <c r="AD14" s="232">
        <f>'MLK1-3'!U13</f>
        <v>82</v>
      </c>
      <c r="AE14" s="232" t="str">
        <f>'MLK1-3'!V13</f>
        <v>B</v>
      </c>
      <c r="AF14" s="233" t="str">
        <f>'MLK1-3'!AA13</f>
        <v>CHAIDAR baik  dalam memahami teks kawih tentang bangga sebagai bangsa Indonesia</v>
      </c>
      <c r="AG14" s="232">
        <f>'MLK2-3'!X13</f>
        <v>94</v>
      </c>
      <c r="AH14" s="232" t="str">
        <f>'MLK2-3'!Y13</f>
        <v>A</v>
      </c>
      <c r="AI14" s="231" t="str">
        <f>'MLK2-3'!AD13</f>
        <v xml:space="preserve">CHAIDAR sangat baik  dalam merespon instruksi sangat sederhana dengan tindakan secara berterima dalam konteks sekolah  </v>
      </c>
      <c r="AJ14" s="232">
        <f>'MLK3-3'!W13</f>
        <v>88</v>
      </c>
      <c r="AK14" s="232" t="str">
        <f>'MLK3-3'!X13</f>
        <v>A</v>
      </c>
      <c r="AL14" s="233" t="str">
        <f>'MLK3-3'!AC13</f>
        <v xml:space="preserve">CHAIDAR sangat baik  dalam merespon instruksi sangat sederhana dengan tindakan secara berterima dalam konteks sekolah  , dan  baik  dalam bercakap-cakap untuk menyertai tindakan secara berterima yang melibatkan tindak tutur: memberi contoh melakukan sesuatu, memberi aba-aba, dan memberi petunjuk 
</v>
      </c>
      <c r="AM14" s="232">
        <f>'PAI4'!CI14</f>
        <v>90</v>
      </c>
      <c r="AN14" s="232" t="str">
        <f>'PAI4'!CJ14</f>
        <v>A</v>
      </c>
      <c r="AO14" s="233" t="str">
        <f>'PAI4'!CO14</f>
        <v>CHAIDAR sangat baik  dalam membaca Q.S. at-Tīn dan Q.S. al-Mā’ūn dengan tartil.</v>
      </c>
      <c r="AP14" s="232">
        <f>'PKN4'!U13</f>
        <v>95</v>
      </c>
      <c r="AQ14" s="232" t="str">
        <f>'PKN4'!V13</f>
        <v>A</v>
      </c>
      <c r="AR14" s="231" t="str">
        <f>'PKN4'!AA13</f>
        <v>CHAIDAR sangat baik  dalam menjelaskan hak, kewajiban, dan tanggung  jawab sebagai warga masyarakat dalam kehidupan sehari-hari</v>
      </c>
      <c r="AS14" s="232">
        <f>BIND4!U13</f>
        <v>84</v>
      </c>
      <c r="AT14" s="232" t="str">
        <f>BIND4!V13</f>
        <v>B</v>
      </c>
      <c r="AU14" s="231" t="str">
        <f>BIND4!AA13</f>
        <v xml:space="preserve">CHAIDAR baik  dalam menyajikan ringkasan teks penjelasan (eksplanasi) dari media cetak atau elektronik dengan menggunakan kosakata baku dan kalimat efektif secara lisan, tulis, dan visual.
</v>
      </c>
      <c r="AV14" s="232">
        <f>'MTK4'!U13</f>
        <v>75</v>
      </c>
      <c r="AW14" s="232" t="str">
        <f>'MTK4'!V13</f>
        <v>C</v>
      </c>
      <c r="AX14" s="231" t="str">
        <f>'MTK4'!AA13</f>
        <v xml:space="preserve">CHAIDAR cukup baik  dalam menyelesaikan masalah yang berkaitan dengan volume bangun ruang dengan menggunakan satuan volume (seperti kubus satuan) melibatkan pangkat tiga dan akar pangkat tiga
</v>
      </c>
      <c r="AY14" s="232">
        <f>'IPA4'!U13</f>
        <v>83</v>
      </c>
      <c r="AZ14" s="232" t="str">
        <f>'IPA4'!V13</f>
        <v>B</v>
      </c>
      <c r="BA14" s="231" t="str">
        <f>'IPA4'!AA13</f>
        <v>CHAIDAR baik  dalam melaporkan hasil pengamatan tentang perpindahan kalor.</v>
      </c>
      <c r="BB14" s="232">
        <f>'IPS4'!U13</f>
        <v>88</v>
      </c>
      <c r="BC14" s="232" t="str">
        <f>'IPS4'!V13</f>
        <v>A</v>
      </c>
      <c r="BD14" s="231" t="str">
        <f>'IPS4'!AA13</f>
        <v>CHAIDAR sangat baik  dalam menyajikan hasil identifikasi karakteristik geografis Indonesia sebagai negara kepulauan/maritim dan agraris serta pengaruhnya terhadap kehidupan ekonomi, sosial, budaya, komunikasi, serta transportasi.</v>
      </c>
      <c r="BE14" s="232">
        <f>SBDP4!U13</f>
        <v>95</v>
      </c>
      <c r="BF14" s="232" t="str">
        <f>SBDP4!V13</f>
        <v>A</v>
      </c>
      <c r="BG14" s="231" t="str">
        <f>SBDP4!AA13</f>
        <v>CHAIDAR sangat baik  dalam membuat gambar cerita</v>
      </c>
      <c r="BH14" s="232">
        <f>PJOK4!U13</f>
        <v>82</v>
      </c>
      <c r="BI14" s="232" t="str">
        <f>PJOK4!V13</f>
        <v>B</v>
      </c>
      <c r="BJ14" s="233" t="str">
        <f>PJOK4!AA13</f>
        <v>CHAIDAR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BK14" s="232">
        <f>'MLK1-4'!U13</f>
        <v>82</v>
      </c>
      <c r="BL14" s="232" t="str">
        <f>'MLK1-4'!V13</f>
        <v>B</v>
      </c>
      <c r="BM14" s="231" t="str">
        <f>'MLK1-4'!AA13</f>
        <v>CHAIDAR baik  dalam melantunkan dan menceritakan isi kawih tentang bangga sebagai bangsa Indonesia</v>
      </c>
      <c r="BN14" s="232">
        <f>'MLK2-4'!U13</f>
        <v>94</v>
      </c>
      <c r="BO14" s="232" t="str">
        <f>'MLK2-4'!V13</f>
        <v>A</v>
      </c>
      <c r="BP14" s="231" t="str">
        <f>'MLK2-4'!AA13</f>
        <v>CHAIDAR sangat baik  dalam memahami langkah-langkah pengawasan kelestarian lingkungan hidup</v>
      </c>
      <c r="BQ14" s="232">
        <f>'MLK3-4'!Y13</f>
        <v>85</v>
      </c>
      <c r="BR14" s="232" t="str">
        <f>'MLK3-4'!Z13</f>
        <v>B</v>
      </c>
      <c r="BS14" s="231" t="str">
        <f>'MLK3-4'!AE13</f>
        <v xml:space="preserve">CHAIDAR baik  dalam merespon instruksi sangat sederhana dengan tindakan secara berterima dalam konteks sekolah  </v>
      </c>
    </row>
    <row r="15" spans="1:71" ht="129.94999999999999" customHeight="1">
      <c r="A15" s="227">
        <v>10</v>
      </c>
      <c r="B15" s="227" t="str">
        <f>SISWA!B15</f>
        <v>1718250040314</v>
      </c>
      <c r="C15" s="228" t="str">
        <f>SISWA!C15</f>
        <v>DAVKA MAULANA FABIANDRA</v>
      </c>
      <c r="D15" s="229" t="str">
        <f>SPIRIT!P14</f>
        <v xml:space="preserve">Ananda DAVKA baik dalam  ketaatan beribadah,  berperilaku syukur,  berdoa sebelum dan sesudah melakukan kegiatan,  toleransi dalam beribadah, </v>
      </c>
      <c r="E15" s="229" t="str">
        <f>SOSIAL!T14</f>
        <v xml:space="preserve">Ananda DAVKA baik dalam sikap jujur, disiplin, tanggung jawab, santun, peduli, percaya diri, </v>
      </c>
      <c r="F15" s="230">
        <f>'PAI3'!CI15</f>
        <v>83</v>
      </c>
      <c r="G15" s="230" t="str">
        <f>'PAI3'!CJ15</f>
        <v>B</v>
      </c>
      <c r="H15" s="231" t="str">
        <f>'PAI3'!CO15</f>
        <v>DAVKA sangat baik  dalam memahami makna Q.S. at-Tīn dan Q.S. al-Mā’ūn dengan benar., dan  cukup baik  dalam memahami nama-nama Rasul Allah dan Rasul Ulul ‘Azmi.</v>
      </c>
      <c r="I15" s="230">
        <f>'PKN3'!U14</f>
        <v>90</v>
      </c>
      <c r="J15" s="230" t="str">
        <f>'PKN3'!V14</f>
        <v>A</v>
      </c>
      <c r="K15" s="229" t="str">
        <f>'PKN3'!AA14</f>
        <v xml:space="preserve">DAVKA sangat baik  dalam memahami hak, kewajiban dan tanggung jawab sebagai warga dalam kehidupan sehari-hari.
</v>
      </c>
      <c r="L15" s="232">
        <f>BIND3!U14</f>
        <v>85</v>
      </c>
      <c r="M15" s="232" t="str">
        <f>BIND3!V14</f>
        <v>B</v>
      </c>
      <c r="N15" s="231" t="str">
        <f>BIND3!AA14</f>
        <v>DAVKA baik  dalam meringkas teks penjelasan (eksplanasi) dari media cetak atau elektronik.</v>
      </c>
      <c r="O15" s="232">
        <f>'MTK3'!U14</f>
        <v>75</v>
      </c>
      <c r="P15" s="232" t="str">
        <f>'MTK3'!V14</f>
        <v>C</v>
      </c>
      <c r="Q15" s="231" t="str">
        <f>'MTK3'!AA14</f>
        <v xml:space="preserve">DAVKA cukup baik  dalam menjelaskan, dan menentukan volume bangun ruang dengan menggunakan satuan volume (seperti kubus satuan) serta hubungan pangkat tiga dengan akar pangkat tiga
</v>
      </c>
      <c r="R15" s="232">
        <f>'IPA3'!U14</f>
        <v>83</v>
      </c>
      <c r="S15" s="232" t="str">
        <f>'IPA3'!V14</f>
        <v>B</v>
      </c>
      <c r="T15" s="231" t="str">
        <f>'IPA3'!AA14</f>
        <v xml:space="preserve">DAVKA baik  dalam menerapkan konsep perpindahan kalor dalam kehidupan sehari-hari.
</v>
      </c>
      <c r="U15" s="232">
        <f>'IPS3'!U14</f>
        <v>90</v>
      </c>
      <c r="V15" s="232" t="str">
        <f>'IPS3'!V14</f>
        <v>A</v>
      </c>
      <c r="W15" s="231" t="str">
        <f>'IPS3'!AA14</f>
        <v>DAVKA sangat baik  dalam Mengidentifikasi karakteristik geografis Indonesia sebagai negara kepulauan/maritim dan agraris serta pengaruhnya terhadap kehidupan ekonomi, sosial, budaya, komunikasi, serta transportasi.</v>
      </c>
      <c r="X15" s="232">
        <f>SBDP3!U14</f>
        <v>98</v>
      </c>
      <c r="Y15" s="232" t="str">
        <f>SBDP3!V14</f>
        <v>A</v>
      </c>
      <c r="Z15" s="231" t="str">
        <f>SBDP3!AA14</f>
        <v>DAVKA sangat baik  dalam memahami gambar cerita</v>
      </c>
      <c r="AA15" s="232">
        <f>PJOK3!U14</f>
        <v>86</v>
      </c>
      <c r="AB15" s="232" t="str">
        <f>PJOK3!V14</f>
        <v>B</v>
      </c>
      <c r="AC15" s="231" t="str">
        <f>PJOK3!AA14</f>
        <v xml:space="preserve">DAVKA baik  dalam memahami kombinasi pola gerak dominan (bertumpu, bergantung, keseimbangan, berpindah/lokomotor, tolakan, putaran, ayunan, melayang, dan mendarat) untuk membentuk keterampilan dasar senam menggunakan alat
</v>
      </c>
      <c r="AD15" s="232">
        <f>'MLK1-3'!U14</f>
        <v>77</v>
      </c>
      <c r="AE15" s="232" t="str">
        <f>'MLK1-3'!V14</f>
        <v>B</v>
      </c>
      <c r="AF15" s="233" t="str">
        <f>'MLK1-3'!AA14</f>
        <v>DAVKA baik  dalam memahami teks kawih tentang bangga sebagai bangsa Indonesia</v>
      </c>
      <c r="AG15" s="232">
        <f>'MLK2-3'!X14</f>
        <v>91</v>
      </c>
      <c r="AH15" s="232" t="str">
        <f>'MLK2-3'!Y14</f>
        <v>A</v>
      </c>
      <c r="AI15" s="231" t="str">
        <f>'MLK2-3'!AD14</f>
        <v xml:space="preserve">DAVKA sangat baik  dalam merespon instruksi sangat sederhana dengan tindakan secara berterima dalam konteks sekolah  </v>
      </c>
      <c r="AJ15" s="232">
        <f>'MLK3-3'!W14</f>
        <v>91</v>
      </c>
      <c r="AK15" s="232" t="str">
        <f>'MLK3-3'!X14</f>
        <v>A</v>
      </c>
      <c r="AL15" s="233" t="str">
        <f>'MLK3-3'!AC14</f>
        <v xml:space="preserve">DAVKA sangat baik  dalam membaca nyaring dengan ucapan, tekanan, dan intonasi secara tepat dan berterima yang melibatkan: kata, frasa, kalimat sangat sederhana, dan teks sangat sederhana 
, dan  sangat baik  dalam bercakap-cakap untuk menyertai tindakan secara berterima yang melibatkan tindak tutur: memberi contoh melakukan sesuatu, memberi aba-aba, dan memberi petunjuk 
</v>
      </c>
      <c r="AM15" s="232">
        <f>'PAI4'!CI15</f>
        <v>90</v>
      </c>
      <c r="AN15" s="232" t="str">
        <f>'PAI4'!CJ15</f>
        <v>A</v>
      </c>
      <c r="AO15" s="233" t="str">
        <f>'PAI4'!CO15</f>
        <v>DAVKA sangat baik  dalam membaca Q.S. at-Tīn dan Q.S. al-Mā’ūn dengan tartil.</v>
      </c>
      <c r="AP15" s="232">
        <f>'PKN4'!U14</f>
        <v>90</v>
      </c>
      <c r="AQ15" s="232" t="str">
        <f>'PKN4'!V14</f>
        <v>A</v>
      </c>
      <c r="AR15" s="231" t="str">
        <f>'PKN4'!AA14</f>
        <v>DAVKA sangat baik  dalam menjelaskan hak, kewajiban, dan tanggung  jawab sebagai warga masyarakat dalam kehidupan sehari-hari</v>
      </c>
      <c r="AS15" s="232">
        <f>BIND4!U14</f>
        <v>85</v>
      </c>
      <c r="AT15" s="232" t="str">
        <f>BIND4!V14</f>
        <v>B</v>
      </c>
      <c r="AU15" s="231" t="str">
        <f>BIND4!AA14</f>
        <v xml:space="preserve">DAVKA baik  dalam menyajikan ringkasan teks penjelasan (eksplanasi) dari media cetak atau elektronik dengan menggunakan kosakata baku dan kalimat efektif secara lisan, tulis, dan visual.
</v>
      </c>
      <c r="AV15" s="232">
        <f>'MTK4'!U14</f>
        <v>75</v>
      </c>
      <c r="AW15" s="232" t="str">
        <f>'MTK4'!V14</f>
        <v>C</v>
      </c>
      <c r="AX15" s="231" t="str">
        <f>'MTK4'!AA14</f>
        <v xml:space="preserve">DAVKA cukup baik  dalam menyelesaikan masalah yang berkaitan dengan volume bangun ruang dengan menggunakan satuan volume (seperti kubus satuan) melibatkan pangkat tiga dan akar pangkat tiga
</v>
      </c>
      <c r="AY15" s="232">
        <f>'IPA4'!U14</f>
        <v>83</v>
      </c>
      <c r="AZ15" s="232" t="str">
        <f>'IPA4'!V14</f>
        <v>B</v>
      </c>
      <c r="BA15" s="231" t="str">
        <f>'IPA4'!AA14</f>
        <v>DAVKA baik  dalam melaporkan hasil pengamatan tentang perpindahan kalor.</v>
      </c>
      <c r="BB15" s="232">
        <f>'IPS4'!U14</f>
        <v>90</v>
      </c>
      <c r="BC15" s="232" t="str">
        <f>'IPS4'!V14</f>
        <v>A</v>
      </c>
      <c r="BD15" s="231" t="str">
        <f>'IPS4'!AA14</f>
        <v>DAVKA sangat baik  dalam menyajikan hasil identifikasi karakteristik geografis Indonesia sebagai negara kepulauan/maritim dan agraris serta pengaruhnya terhadap kehidupan ekonomi, sosial, budaya, komunikasi, serta transportasi.</v>
      </c>
      <c r="BE15" s="232">
        <f>SBDP4!U14</f>
        <v>98</v>
      </c>
      <c r="BF15" s="232" t="str">
        <f>SBDP4!V14</f>
        <v>A</v>
      </c>
      <c r="BG15" s="231" t="str">
        <f>SBDP4!AA14</f>
        <v>DAVKA sangat baik  dalam membuat gambar cerita</v>
      </c>
      <c r="BH15" s="232">
        <f>PJOK4!U14</f>
        <v>88</v>
      </c>
      <c r="BI15" s="232" t="str">
        <f>PJOK4!V14</f>
        <v>A</v>
      </c>
      <c r="BJ15" s="233" t="str">
        <f>PJOK4!AA14</f>
        <v>DAVKA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15" s="232">
        <f>'MLK1-4'!U14</f>
        <v>77</v>
      </c>
      <c r="BL15" s="232" t="str">
        <f>'MLK1-4'!V14</f>
        <v>B</v>
      </c>
      <c r="BM15" s="231" t="str">
        <f>'MLK1-4'!AA14</f>
        <v>DAVKA baik  dalam melantunkan dan menceritakan isi kawih tentang bangga sebagai bangsa Indonesia</v>
      </c>
      <c r="BN15" s="232">
        <f>'MLK2-4'!U14</f>
        <v>91</v>
      </c>
      <c r="BO15" s="232" t="str">
        <f>'MLK2-4'!V14</f>
        <v>A</v>
      </c>
      <c r="BP15" s="231" t="str">
        <f>'MLK2-4'!AA14</f>
        <v>DAVKA sangat baik  dalam memahami langkah-langkah pengawasan kelestarian lingkungan hidup</v>
      </c>
      <c r="BQ15" s="232">
        <f>'MLK3-4'!Y14</f>
        <v>90</v>
      </c>
      <c r="BR15" s="232" t="str">
        <f>'MLK3-4'!Z14</f>
        <v>A</v>
      </c>
      <c r="BS15" s="231" t="str">
        <f>'MLK3-4'!AE14</f>
        <v xml:space="preserve">DAVKA sangat baik  dalam merespon instruksi sangat sederhana dengan tindakan secara berterima dalam konteks sekolah  </v>
      </c>
    </row>
    <row r="16" spans="1:71" ht="129.94999999999999" customHeight="1">
      <c r="A16" s="227">
        <v>11</v>
      </c>
      <c r="B16" s="227" t="str">
        <f>SISWA!B16</f>
        <v>1718250040315</v>
      </c>
      <c r="C16" s="228" t="str">
        <f>SISWA!C16</f>
        <v>DZIBRIL RYUKAI AL MALIKULMULKI</v>
      </c>
      <c r="D16" s="229" t="str">
        <f>SPIRIT!P15</f>
        <v xml:space="preserve">Ananda DZIBRIL baik dalam  ketaatan beribadah,  berperilaku syukur,  berdoa sebelum dan sesudah melakukan kegiatan,  toleransi dalam beribadah, </v>
      </c>
      <c r="E16" s="229" t="str">
        <f>SOSIAL!T15</f>
        <v xml:space="preserve">Ananda DZIBRIL baik dalam sikap jujur, disiplin, tanggung jawab, santun, peduli, percaya diri, </v>
      </c>
      <c r="F16" s="230">
        <f>'PAI3'!CI16</f>
        <v>79</v>
      </c>
      <c r="G16" s="230" t="str">
        <f>'PAI3'!CJ16</f>
        <v>B</v>
      </c>
      <c r="H16" s="231" t="str">
        <f>'PAI3'!CO16</f>
        <v>DZIBRIL sangat baik  dalam memahami makna Q.S. at-Tīn dan Q.S. al-Mā’ūn dengan benar., dan  cukup baik  dalam memahami nama-nama Rasul Allah dan Rasul Ulul ‘Azmi.</v>
      </c>
      <c r="I16" s="230">
        <f>'PKN3'!U15</f>
        <v>88</v>
      </c>
      <c r="J16" s="230" t="str">
        <f>'PKN3'!V15</f>
        <v>A</v>
      </c>
      <c r="K16" s="229" t="str">
        <f>'PKN3'!AA15</f>
        <v xml:space="preserve">DZIBRIL sangat baik  dalam memahami hak, kewajiban dan tanggung jawab sebagai warga dalam kehidupan sehari-hari.
</v>
      </c>
      <c r="L16" s="232">
        <f>BIND3!U15</f>
        <v>81</v>
      </c>
      <c r="M16" s="232" t="str">
        <f>BIND3!V15</f>
        <v>B</v>
      </c>
      <c r="N16" s="231" t="str">
        <f>BIND3!AA15</f>
        <v>DZIBRIL baik  dalam meringkas teks penjelasan (eksplanasi) dari media cetak atau elektronik.</v>
      </c>
      <c r="O16" s="232">
        <f>'MTK3'!U15</f>
        <v>70</v>
      </c>
      <c r="P16" s="232" t="str">
        <f>'MTK3'!V15</f>
        <v>C</v>
      </c>
      <c r="Q16" s="231" t="str">
        <f>'MTK3'!AA15</f>
        <v xml:space="preserve">DZIBRIL cukup baik  dalam menjelaskan, dan menentukan volume bangun ruang dengan menggunakan satuan volume (seperti kubus satuan) serta hubungan pangkat tiga dengan akar pangkat tiga
</v>
      </c>
      <c r="R16" s="232">
        <f>'IPA3'!U15</f>
        <v>73</v>
      </c>
      <c r="S16" s="232" t="str">
        <f>'IPA3'!V15</f>
        <v>C</v>
      </c>
      <c r="T16" s="231" t="str">
        <f>'IPA3'!AA15</f>
        <v xml:space="preserve">DZIBRIL cukup baik  dalam menerapkan konsep perpindahan kalor dalam kehidupan sehari-hari.
</v>
      </c>
      <c r="U16" s="232">
        <f>'IPS3'!U15</f>
        <v>78</v>
      </c>
      <c r="V16" s="232" t="str">
        <f>'IPS3'!V15</f>
        <v>B</v>
      </c>
      <c r="W16" s="231" t="str">
        <f>'IPS3'!AA15</f>
        <v>DZIBRIL baik  dalam Mengidentifikasi karakteristik geografis Indonesia sebagai negara kepulauan/maritim dan agraris serta pengaruhnya terhadap kehidupan ekonomi, sosial, budaya, komunikasi, serta transportasi.</v>
      </c>
      <c r="X16" s="232">
        <f>SBDP3!U15</f>
        <v>80</v>
      </c>
      <c r="Y16" s="232" t="str">
        <f>SBDP3!V15</f>
        <v>B</v>
      </c>
      <c r="Z16" s="231" t="str">
        <f>SBDP3!AA15</f>
        <v>DZIBRIL baik  dalam memahami gambar cerita</v>
      </c>
      <c r="AA16" s="232">
        <f>PJOK3!U15</f>
        <v>84</v>
      </c>
      <c r="AB16" s="232" t="str">
        <f>PJOK3!V15</f>
        <v>B</v>
      </c>
      <c r="AC16" s="231" t="str">
        <f>PJOK3!AA15</f>
        <v xml:space="preserve">DZIBRIL baik  dalam memahami kombinasi pola gerak dominan (bertumpu, bergantung, keseimbangan, berpindah/lokomotor, tolakan, putaran, ayunan, melayang, dan mendarat) untuk membentuk keterampilan dasar senam menggunakan alat
</v>
      </c>
      <c r="AD16" s="232">
        <f>'MLK1-3'!U15</f>
        <v>77</v>
      </c>
      <c r="AE16" s="232" t="str">
        <f>'MLK1-3'!V15</f>
        <v>B</v>
      </c>
      <c r="AF16" s="233" t="str">
        <f>'MLK1-3'!AA15</f>
        <v>DZIBRIL baik  dalam memahami teks kawih tentang bangga sebagai bangsa Indonesia</v>
      </c>
      <c r="AG16" s="232">
        <f>'MLK2-3'!X15</f>
        <v>88</v>
      </c>
      <c r="AH16" s="232" t="str">
        <f>'MLK2-3'!Y15</f>
        <v>A</v>
      </c>
      <c r="AI16" s="231" t="str">
        <f>'MLK2-3'!AD15</f>
        <v xml:space="preserve">DZIBRIL sangat baik  dalam merespon instruksi sangat sederhana dengan tindakan secara berterima dalam konteks sekolah  </v>
      </c>
      <c r="AJ16" s="232">
        <f>'MLK3-3'!W15</f>
        <v>75</v>
      </c>
      <c r="AK16" s="232" t="str">
        <f>'MLK3-3'!X15</f>
        <v>C</v>
      </c>
      <c r="AL16" s="233" t="str">
        <f>'MLK3-3'!AC15</f>
        <v xml:space="preserve">DZIBRIL baik  dalam merespon instruksi sangat sederhana dengan tindakan secara berterima dalam konteks sekolah  , dan  cukup baik  dalam mengeja kalimat sangat sederhana secara tepat dan berterima </v>
      </c>
      <c r="AM16" s="232">
        <f>'PAI4'!CI16</f>
        <v>83</v>
      </c>
      <c r="AN16" s="232" t="str">
        <f>'PAI4'!CJ16</f>
        <v>B</v>
      </c>
      <c r="AO16" s="233" t="str">
        <f>'PAI4'!CO16</f>
        <v>DZIBRIL baik  dalam membaca Q.S. at-Tīn dan Q.S. al-Mā’ūn dengan tartil.</v>
      </c>
      <c r="AP16" s="232">
        <f>'PKN4'!U15</f>
        <v>88</v>
      </c>
      <c r="AQ16" s="232" t="str">
        <f>'PKN4'!V15</f>
        <v>A</v>
      </c>
      <c r="AR16" s="231" t="str">
        <f>'PKN4'!AA15</f>
        <v>DZIBRIL sangat baik  dalam menjelaskan hak, kewajiban, dan tanggung  jawab sebagai warga masyarakat dalam kehidupan sehari-hari</v>
      </c>
      <c r="AS16" s="232">
        <f>BIND4!U15</f>
        <v>81</v>
      </c>
      <c r="AT16" s="232" t="str">
        <f>BIND4!V15</f>
        <v>B</v>
      </c>
      <c r="AU16" s="231" t="str">
        <f>BIND4!AA15</f>
        <v xml:space="preserve">DZIBRIL baik  dalam menyajikan ringkasan teks penjelasan (eksplanasi) dari media cetak atau elektronik dengan menggunakan kosakata baku dan kalimat efektif secara lisan, tulis, dan visual.
</v>
      </c>
      <c r="AV16" s="232">
        <f>'MTK4'!U15</f>
        <v>70</v>
      </c>
      <c r="AW16" s="232" t="str">
        <f>'MTK4'!V15</f>
        <v>C</v>
      </c>
      <c r="AX16" s="231" t="str">
        <f>'MTK4'!AA15</f>
        <v xml:space="preserve">DZIBRIL cukup baik  dalam menyelesaikan masalah yang berkaitan dengan volume bangun ruang dengan menggunakan satuan volume (seperti kubus satuan) melibatkan pangkat tiga dan akar pangkat tiga
</v>
      </c>
      <c r="AY16" s="232">
        <f>'IPA4'!U15</f>
        <v>73</v>
      </c>
      <c r="AZ16" s="232" t="str">
        <f>'IPA4'!V15</f>
        <v>C</v>
      </c>
      <c r="BA16" s="231" t="str">
        <f>'IPA4'!AA15</f>
        <v>DZIBRIL cukup baik  dalam melaporkan hasil pengamatan tentang perpindahan kalor.</v>
      </c>
      <c r="BB16" s="232">
        <f>'IPS4'!U15</f>
        <v>78</v>
      </c>
      <c r="BC16" s="232" t="str">
        <f>'IPS4'!V15</f>
        <v>B</v>
      </c>
      <c r="BD16" s="231" t="str">
        <f>'IPS4'!AA15</f>
        <v>DZIBRIL baik  dalam menyajikan hasil identifikasi karakteristik geografis Indonesia sebagai negara kepulauan/maritim dan agraris serta pengaruhnya terhadap kehidupan ekonomi, sosial, budaya, komunikasi, serta transportasi.</v>
      </c>
      <c r="BE16" s="232">
        <f>SBDP4!U15</f>
        <v>80</v>
      </c>
      <c r="BF16" s="232" t="str">
        <f>SBDP4!V15</f>
        <v>B</v>
      </c>
      <c r="BG16" s="231" t="str">
        <f>SBDP4!AA15</f>
        <v>DZIBRIL baik  dalam membuat gambar cerita</v>
      </c>
      <c r="BH16" s="232">
        <f>PJOK4!U15</f>
        <v>85</v>
      </c>
      <c r="BI16" s="232" t="str">
        <f>PJOK4!V15</f>
        <v>B</v>
      </c>
      <c r="BJ16" s="233" t="str">
        <f>PJOK4!AA15</f>
        <v>DZIBRIL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BK16" s="232">
        <f>'MLK1-4'!U15</f>
        <v>77</v>
      </c>
      <c r="BL16" s="232" t="str">
        <f>'MLK1-4'!V15</f>
        <v>B</v>
      </c>
      <c r="BM16" s="231" t="str">
        <f>'MLK1-4'!AA15</f>
        <v>DZIBRIL baik  dalam melantunkan dan menceritakan isi kawih tentang bangga sebagai bangsa Indonesia</v>
      </c>
      <c r="BN16" s="232">
        <f>'MLK2-4'!U15</f>
        <v>88</v>
      </c>
      <c r="BO16" s="232" t="str">
        <f>'MLK2-4'!V15</f>
        <v>A</v>
      </c>
      <c r="BP16" s="231" t="str">
        <f>'MLK2-4'!AA15</f>
        <v>DZIBRIL sangat baik  dalam memahami langkah-langkah pengawasan kelestarian lingkungan hidup</v>
      </c>
      <c r="BQ16" s="232">
        <f>'MLK3-4'!Y15</f>
        <v>74</v>
      </c>
      <c r="BR16" s="232" t="str">
        <f>'MLK3-4'!Z15</f>
        <v>C</v>
      </c>
      <c r="BS16" s="231" t="str">
        <f>'MLK3-4'!AE15</f>
        <v xml:space="preserve">DZIBRIL cukup baik  dalam merespon instruksi sangat sederhana dengan tindakan secara berterima dalam konteks sekolah  </v>
      </c>
    </row>
    <row r="17" spans="1:71" ht="129.94999999999999" customHeight="1">
      <c r="A17" s="227">
        <v>12</v>
      </c>
      <c r="B17" s="227" t="str">
        <f>SISWA!B17</f>
        <v>1718250040316</v>
      </c>
      <c r="C17" s="228" t="str">
        <f>SISWA!C17</f>
        <v>ERICHA GABRIELA AVRILIANA</v>
      </c>
      <c r="D17" s="229" t="str">
        <f>SPIRIT!P16</f>
        <v xml:space="preserve">Ananda ERICHA baik dalam  ketaatan beribadah,  berperilaku syukur,  berdoa sebelum dan sesudah melakukan kegiatan,  toleransi dalam beribadah, </v>
      </c>
      <c r="E17" s="229" t="str">
        <f>SOSIAL!T16</f>
        <v xml:space="preserve">Ananda ERICHA baik dalam sikap jujur, disiplin, tanggung jawab, santun, peduli, percaya diri, </v>
      </c>
      <c r="F17" s="230">
        <f>'PAI3'!CI17</f>
        <v>86</v>
      </c>
      <c r="G17" s="230" t="str">
        <f>'PAI3'!CJ17</f>
        <v>B</v>
      </c>
      <c r="H17" s="231" t="str">
        <f>'PAI3'!CO17</f>
        <v>ERICHA baik  dalam 0</v>
      </c>
      <c r="I17" s="230">
        <f>'PKN3'!U16</f>
        <v>85</v>
      </c>
      <c r="J17" s="230" t="str">
        <f>'PKN3'!V16</f>
        <v>B</v>
      </c>
      <c r="K17" s="229" t="str">
        <f>'PKN3'!AA16</f>
        <v xml:space="preserve">ERICHA baik  dalam memahami hak, kewajiban dan tanggung jawab sebagai warga dalam kehidupan sehari-hari.
</v>
      </c>
      <c r="L17" s="232">
        <f>BIND3!U16</f>
        <v>85</v>
      </c>
      <c r="M17" s="232" t="str">
        <f>BIND3!V16</f>
        <v>B</v>
      </c>
      <c r="N17" s="231" t="str">
        <f>BIND3!AA16</f>
        <v>ERICHA baik  dalam meringkas teks penjelasan (eksplanasi) dari media cetak atau elektronik.</v>
      </c>
      <c r="O17" s="232">
        <f>'MTK3'!U16</f>
        <v>80</v>
      </c>
      <c r="P17" s="232" t="str">
        <f>'MTK3'!V16</f>
        <v>B</v>
      </c>
      <c r="Q17" s="231" t="str">
        <f>'MTK3'!AA16</f>
        <v xml:space="preserve">ERICHA baik  dalam menjelaskan, dan menentukan volume bangun ruang dengan menggunakan satuan volume (seperti kubus satuan) serta hubungan pangkat tiga dengan akar pangkat tiga
</v>
      </c>
      <c r="R17" s="232">
        <f>'IPA3'!U16</f>
        <v>90</v>
      </c>
      <c r="S17" s="232" t="str">
        <f>'IPA3'!V16</f>
        <v>A</v>
      </c>
      <c r="T17" s="231" t="str">
        <f>'IPA3'!AA16</f>
        <v xml:space="preserve">ERICHA sangat baik  dalam menerapkan konsep perpindahan kalor dalam kehidupan sehari-hari.
</v>
      </c>
      <c r="U17" s="232">
        <f>'IPS3'!U16</f>
        <v>90</v>
      </c>
      <c r="V17" s="232" t="str">
        <f>'IPS3'!V16</f>
        <v>A</v>
      </c>
      <c r="W17" s="231" t="str">
        <f>'IPS3'!AA16</f>
        <v>ERICHA sangat baik  dalam Mengidentifikasi karakteristik geografis Indonesia sebagai negara kepulauan/maritim dan agraris serta pengaruhnya terhadap kehidupan ekonomi, sosial, budaya, komunikasi, serta transportasi.</v>
      </c>
      <c r="X17" s="232">
        <f>SBDP3!U16</f>
        <v>93</v>
      </c>
      <c r="Y17" s="232" t="str">
        <f>SBDP3!V16</f>
        <v>A</v>
      </c>
      <c r="Z17" s="231" t="str">
        <f>SBDP3!AA16</f>
        <v>ERICHA sangat baik  dalam memahami gambar cerita</v>
      </c>
      <c r="AA17" s="232">
        <f>PJOK3!U16</f>
        <v>89</v>
      </c>
      <c r="AB17" s="232" t="str">
        <f>PJOK3!V16</f>
        <v>A</v>
      </c>
      <c r="AC17" s="231" t="str">
        <f>PJOK3!AA16</f>
        <v xml:space="preserve">ERICHA sangat baik  dalam memahami kombinasi pola gerak dominan (bertumpu, bergantung, keseimbangan, berpindah/lokomotor, tolakan, putaran, ayunan, melayang, dan mendarat) untuk membentuk keterampilan dasar senam menggunakan alat
</v>
      </c>
      <c r="AD17" s="232">
        <f>'MLK1-3'!U16</f>
        <v>85</v>
      </c>
      <c r="AE17" s="232" t="str">
        <f>'MLK1-3'!V16</f>
        <v>B</v>
      </c>
      <c r="AF17" s="233" t="str">
        <f>'MLK1-3'!AA16</f>
        <v>ERICHA baik  dalam memahami teks kawih tentang bangga sebagai bangsa Indonesia</v>
      </c>
      <c r="AG17" s="232">
        <f>'MLK2-3'!X16</f>
        <v>88</v>
      </c>
      <c r="AH17" s="232" t="str">
        <f>'MLK2-3'!Y16</f>
        <v>A</v>
      </c>
      <c r="AI17" s="231" t="str">
        <f>'MLK2-3'!AD16</f>
        <v xml:space="preserve">ERICHA sangat baik  dalam merespon instruksi sangat sederhana dengan tindakan secara berterima dalam konteks sekolah  </v>
      </c>
      <c r="AJ17" s="232">
        <f>'MLK3-3'!W16</f>
        <v>87</v>
      </c>
      <c r="AK17" s="232" t="str">
        <f>'MLK3-3'!X16</f>
        <v>B</v>
      </c>
      <c r="AL17" s="233" t="str">
        <f>'MLK3-3'!AC16</f>
        <v xml:space="preserve">ERICHA sangat baik  dalam merespon instruksi sangat sederhana dengan tindakan secara berterima dalam konteks sekolah  , dan  baik  dalam mengeja kalimat sangat sederhana secara tepat dan berterima </v>
      </c>
      <c r="AM17" s="232">
        <f>'PAI4'!CI17</f>
        <v>96</v>
      </c>
      <c r="AN17" s="232" t="str">
        <f>'PAI4'!CJ17</f>
        <v>A</v>
      </c>
      <c r="AO17" s="233" t="str">
        <f>'PAI4'!CO17</f>
        <v>ERICHA sangat baik  dalam 0</v>
      </c>
      <c r="AP17" s="232">
        <f>'PKN4'!U16</f>
        <v>85</v>
      </c>
      <c r="AQ17" s="232" t="str">
        <f>'PKN4'!V16</f>
        <v>B</v>
      </c>
      <c r="AR17" s="231" t="str">
        <f>'PKN4'!AA16</f>
        <v>ERICHA baik  dalam menjelaskan hak, kewajiban, dan tanggung  jawab sebagai warga masyarakat dalam kehidupan sehari-hari</v>
      </c>
      <c r="AS17" s="232">
        <f>BIND4!U16</f>
        <v>85</v>
      </c>
      <c r="AT17" s="232" t="str">
        <f>BIND4!V16</f>
        <v>B</v>
      </c>
      <c r="AU17" s="231" t="str">
        <f>BIND4!AA16</f>
        <v xml:space="preserve">ERICHA baik  dalam menyajikan ringkasan teks penjelasan (eksplanasi) dari media cetak atau elektronik dengan menggunakan kosakata baku dan kalimat efektif secara lisan, tulis, dan visual.
</v>
      </c>
      <c r="AV17" s="232">
        <f>'MTK4'!U16</f>
        <v>80</v>
      </c>
      <c r="AW17" s="232" t="str">
        <f>'MTK4'!V16</f>
        <v>B</v>
      </c>
      <c r="AX17" s="231" t="str">
        <f>'MTK4'!AA16</f>
        <v xml:space="preserve">ERICHA baik  dalam menyelesaikan masalah yang berkaitan dengan volume bangun ruang dengan menggunakan satuan volume (seperti kubus satuan) melibatkan pangkat tiga dan akar pangkat tiga
</v>
      </c>
      <c r="AY17" s="232">
        <f>'IPA4'!U16</f>
        <v>90</v>
      </c>
      <c r="AZ17" s="232" t="str">
        <f>'IPA4'!V16</f>
        <v>A</v>
      </c>
      <c r="BA17" s="231" t="str">
        <f>'IPA4'!AA16</f>
        <v>ERICHA sangat baik  dalam melaporkan hasil pengamatan tentang perpindahan kalor.</v>
      </c>
      <c r="BB17" s="232">
        <f>'IPS4'!U16</f>
        <v>90</v>
      </c>
      <c r="BC17" s="232" t="str">
        <f>'IPS4'!V16</f>
        <v>A</v>
      </c>
      <c r="BD17" s="231" t="str">
        <f>'IPS4'!AA16</f>
        <v>ERICHA sangat baik  dalam menyajikan hasil identifikasi karakteristik geografis Indonesia sebagai negara kepulauan/maritim dan agraris serta pengaruhnya terhadap kehidupan ekonomi, sosial, budaya, komunikasi, serta transportasi.</v>
      </c>
      <c r="BE17" s="232">
        <f>SBDP4!U16</f>
        <v>93</v>
      </c>
      <c r="BF17" s="232" t="str">
        <f>SBDP4!V16</f>
        <v>A</v>
      </c>
      <c r="BG17" s="231" t="str">
        <f>SBDP4!AA16</f>
        <v>ERICHA sangat baik  dalam membuat gambar cerita</v>
      </c>
      <c r="BH17" s="232">
        <f>PJOK4!U16</f>
        <v>90</v>
      </c>
      <c r="BI17" s="232" t="str">
        <f>PJOK4!V16</f>
        <v>A</v>
      </c>
      <c r="BJ17" s="233" t="str">
        <f>PJOK4!AA16</f>
        <v>ERICHA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17" s="232">
        <f>'MLK1-4'!U16</f>
        <v>85</v>
      </c>
      <c r="BL17" s="232" t="str">
        <f>'MLK1-4'!V16</f>
        <v>B</v>
      </c>
      <c r="BM17" s="231" t="str">
        <f>'MLK1-4'!AA16</f>
        <v>ERICHA baik  dalam melantunkan dan menceritakan isi kawih tentang bangga sebagai bangsa Indonesia</v>
      </c>
      <c r="BN17" s="232">
        <f>'MLK2-4'!U16</f>
        <v>88</v>
      </c>
      <c r="BO17" s="232" t="str">
        <f>'MLK2-4'!V16</f>
        <v>A</v>
      </c>
      <c r="BP17" s="231" t="str">
        <f>'MLK2-4'!AA16</f>
        <v>ERICHA sangat baik  dalam memahami langkah-langkah pengawasan kelestarian lingkungan hidup</v>
      </c>
      <c r="BQ17" s="232">
        <f>'MLK3-4'!Y16</f>
        <v>86</v>
      </c>
      <c r="BR17" s="232" t="str">
        <f>'MLK3-4'!Z16</f>
        <v>B</v>
      </c>
      <c r="BS17" s="231" t="str">
        <f>'MLK3-4'!AE16</f>
        <v xml:space="preserve">ERICHA baik  dalam merespon instruksi sangat sederhana dengan tindakan secara berterima dalam konteks sekolah  </v>
      </c>
    </row>
    <row r="18" spans="1:71" ht="129.94999999999999" customHeight="1">
      <c r="A18" s="227">
        <v>13</v>
      </c>
      <c r="B18" s="227" t="str">
        <f>SISWA!B18</f>
        <v>1718250040317</v>
      </c>
      <c r="C18" s="228" t="str">
        <f>SISWA!C18</f>
        <v>FATIHUDDIN HISYAM FAUZI</v>
      </c>
      <c r="D18" s="229" t="str">
        <f>SPIRIT!P17</f>
        <v xml:space="preserve">Ananda HISYAM baik dalam  ketaatan beribadah,  berperilaku syukur,  berdoa sebelum dan sesudah melakukan kegiatan,  toleransi dalam beribadah, </v>
      </c>
      <c r="E18" s="229" t="str">
        <f>SOSIAL!T17</f>
        <v xml:space="preserve">Ananda HISYAM baik dalam sikap jujur, disiplin, tanggung jawab, santun, peduli, percaya diri, </v>
      </c>
      <c r="F18" s="230">
        <f>'PAI3'!CI18</f>
        <v>84</v>
      </c>
      <c r="G18" s="230" t="str">
        <f>'PAI3'!CJ18</f>
        <v>B</v>
      </c>
      <c r="H18" s="231" t="str">
        <f>'PAI3'!CO18</f>
        <v>HISYAM sangat baik  dalam memahami makna Q.S. at-Tīn dan Q.S. al-Mā’ūn dengan benar., dan  baik  dalam memahami nama-nama Rasul Allah dan Rasul Ulul ‘Azmi.</v>
      </c>
      <c r="I18" s="230">
        <f>'PKN3'!U17</f>
        <v>90</v>
      </c>
      <c r="J18" s="230" t="str">
        <f>'PKN3'!V17</f>
        <v>A</v>
      </c>
      <c r="K18" s="229" t="str">
        <f>'PKN3'!AA17</f>
        <v xml:space="preserve">HISYAM sangat baik  dalam memahami hak, kewajiban dan tanggung jawab sebagai warga dalam kehidupan sehari-hari.
</v>
      </c>
      <c r="L18" s="232">
        <f>BIND3!U17</f>
        <v>88</v>
      </c>
      <c r="M18" s="232" t="str">
        <f>BIND3!V17</f>
        <v>A</v>
      </c>
      <c r="N18" s="231" t="str">
        <f>BIND3!AA17</f>
        <v>HISYAM sangat baik  dalam meringkas teks penjelasan (eksplanasi) dari media cetak atau elektronik.</v>
      </c>
      <c r="O18" s="232">
        <f>'MTK3'!U17</f>
        <v>70</v>
      </c>
      <c r="P18" s="232" t="str">
        <f>'MTK3'!V17</f>
        <v>C</v>
      </c>
      <c r="Q18" s="231" t="str">
        <f>'MTK3'!AA17</f>
        <v xml:space="preserve">HISYAM cukup baik  dalam menjelaskan, dan menentukan volume bangun ruang dengan menggunakan satuan volume (seperti kubus satuan) serta hubungan pangkat tiga dengan akar pangkat tiga
</v>
      </c>
      <c r="R18" s="232">
        <f>'IPA3'!U17</f>
        <v>88</v>
      </c>
      <c r="S18" s="232" t="str">
        <f>'IPA3'!V17</f>
        <v>A</v>
      </c>
      <c r="T18" s="231" t="str">
        <f>'IPA3'!AA17</f>
        <v xml:space="preserve">HISYAM sangat baik  dalam menerapkan konsep perpindahan kalor dalam kehidupan sehari-hari.
</v>
      </c>
      <c r="U18" s="232">
        <f>'IPS3'!U17</f>
        <v>88</v>
      </c>
      <c r="V18" s="232" t="str">
        <f>'IPS3'!V17</f>
        <v>A</v>
      </c>
      <c r="W18" s="231" t="str">
        <f>'IPS3'!AA17</f>
        <v>HISYAM sangat baik  dalam Mengidentifikasi karakteristik geografis Indonesia sebagai negara kepulauan/maritim dan agraris serta pengaruhnya terhadap kehidupan ekonomi, sosial, budaya, komunikasi, serta transportasi.</v>
      </c>
      <c r="X18" s="232">
        <f>SBDP3!U17</f>
        <v>85</v>
      </c>
      <c r="Y18" s="232" t="str">
        <f>SBDP3!V17</f>
        <v>B</v>
      </c>
      <c r="Z18" s="231" t="str">
        <f>SBDP3!AA17</f>
        <v>HISYAM baik  dalam memahami gambar cerita</v>
      </c>
      <c r="AA18" s="232">
        <f>PJOK3!U17</f>
        <v>79</v>
      </c>
      <c r="AB18" s="232" t="str">
        <f>PJOK3!V17</f>
        <v>B</v>
      </c>
      <c r="AC18" s="231" t="str">
        <f>PJOK3!AA17</f>
        <v xml:space="preserve">HISYAM baik  dalam memahami kombinasi pola gerak dominan (bertumpu, bergantung, keseimbangan, berpindah/lokomotor, tolakan, putaran, ayunan, melayang, dan mendarat) untuk membentuk keterampilan dasar senam menggunakan alat
</v>
      </c>
      <c r="AD18" s="232">
        <f>'MLK1-3'!U17</f>
        <v>85</v>
      </c>
      <c r="AE18" s="232" t="str">
        <f>'MLK1-3'!V17</f>
        <v>B</v>
      </c>
      <c r="AF18" s="233" t="str">
        <f>'MLK1-3'!AA17</f>
        <v>HISYAM baik  dalam memahami teks kawih tentang bangga sebagai bangsa Indonesia</v>
      </c>
      <c r="AG18" s="232">
        <f>'MLK2-3'!X17</f>
        <v>88</v>
      </c>
      <c r="AH18" s="232" t="str">
        <f>'MLK2-3'!Y17</f>
        <v>A</v>
      </c>
      <c r="AI18" s="231" t="str">
        <f>'MLK2-3'!AD17</f>
        <v xml:space="preserve">HISYAM sangat baik  dalam merespon instruksi sangat sederhana dengan tindakan secara berterima dalam konteks sekolah  </v>
      </c>
      <c r="AJ18" s="232">
        <f>'MLK3-3'!W17</f>
        <v>88</v>
      </c>
      <c r="AK18" s="232" t="str">
        <f>'MLK3-3'!X17</f>
        <v>A</v>
      </c>
      <c r="AL18" s="233" t="str">
        <f>'MLK3-3'!AC17</f>
        <v xml:space="preserve">HISYAM sangat baik  dalam merespon instruksi sangat sederhana dengan tindakan secara berterima dalam konteks sekolah  , dan  baik  dalam bercakap-cakap untuk menyertai tindakan secara berterima yang melibatkan tindak tutur: memberi contoh melakukan sesuatu, memberi aba-aba, dan memberi petunjuk 
</v>
      </c>
      <c r="AM18" s="232">
        <f>'PAI4'!CI18</f>
        <v>90</v>
      </c>
      <c r="AN18" s="232" t="str">
        <f>'PAI4'!CJ18</f>
        <v>A</v>
      </c>
      <c r="AO18" s="233" t="str">
        <f>'PAI4'!CO18</f>
        <v>HISYAM sangat baik  dalam membaca Q.S. at-Tīn dan Q.S. al-Mā’ūn dengan tartil.</v>
      </c>
      <c r="AP18" s="232">
        <f>'PKN4'!U17</f>
        <v>90</v>
      </c>
      <c r="AQ18" s="232" t="str">
        <f>'PKN4'!V17</f>
        <v>A</v>
      </c>
      <c r="AR18" s="231" t="str">
        <f>'PKN4'!AA17</f>
        <v>HISYAM sangat baik  dalam menjelaskan hak, kewajiban, dan tanggung  jawab sebagai warga masyarakat dalam kehidupan sehari-hari</v>
      </c>
      <c r="AS18" s="232">
        <f>BIND4!U17</f>
        <v>88</v>
      </c>
      <c r="AT18" s="232" t="str">
        <f>BIND4!V17</f>
        <v>A</v>
      </c>
      <c r="AU18" s="231" t="str">
        <f>BIND4!AA17</f>
        <v xml:space="preserve">HISYAM sangat baik  dalam menyajikan ringkasan teks penjelasan (eksplanasi) dari media cetak atau elektronik dengan menggunakan kosakata baku dan kalimat efektif secara lisan, tulis, dan visual.
</v>
      </c>
      <c r="AV18" s="232">
        <f>'MTK4'!U17</f>
        <v>70</v>
      </c>
      <c r="AW18" s="232" t="str">
        <f>'MTK4'!V17</f>
        <v>C</v>
      </c>
      <c r="AX18" s="231" t="str">
        <f>'MTK4'!AA17</f>
        <v xml:space="preserve">HISYAM cukup baik  dalam menyelesaikan masalah yang berkaitan dengan volume bangun ruang dengan menggunakan satuan volume (seperti kubus satuan) melibatkan pangkat tiga dan akar pangkat tiga
</v>
      </c>
      <c r="AY18" s="232">
        <f>'IPA4'!U17</f>
        <v>88</v>
      </c>
      <c r="AZ18" s="232" t="str">
        <f>'IPA4'!V17</f>
        <v>A</v>
      </c>
      <c r="BA18" s="231" t="str">
        <f>'IPA4'!AA17</f>
        <v>HISYAM sangat baik  dalam melaporkan hasil pengamatan tentang perpindahan kalor.</v>
      </c>
      <c r="BB18" s="232">
        <f>'IPS4'!U17</f>
        <v>88</v>
      </c>
      <c r="BC18" s="232" t="str">
        <f>'IPS4'!V17</f>
        <v>A</v>
      </c>
      <c r="BD18" s="231" t="str">
        <f>'IPS4'!AA17</f>
        <v>HISYAM sangat baik  dalam menyajikan hasil identifikasi karakteristik geografis Indonesia sebagai negara kepulauan/maritim dan agraris serta pengaruhnya terhadap kehidupan ekonomi, sosial, budaya, komunikasi, serta transportasi.</v>
      </c>
      <c r="BE18" s="232">
        <f>SBDP4!U17</f>
        <v>85</v>
      </c>
      <c r="BF18" s="232" t="str">
        <f>SBDP4!V17</f>
        <v>B</v>
      </c>
      <c r="BG18" s="231" t="str">
        <f>SBDP4!AA17</f>
        <v>HISYAM baik  dalam membuat gambar cerita</v>
      </c>
      <c r="BH18" s="232">
        <f>PJOK4!U17</f>
        <v>81</v>
      </c>
      <c r="BI18" s="232" t="str">
        <f>PJOK4!V17</f>
        <v>B</v>
      </c>
      <c r="BJ18" s="233" t="str">
        <f>PJOK4!AA17</f>
        <v>HISYAM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BK18" s="232">
        <f>'MLK1-4'!U17</f>
        <v>85</v>
      </c>
      <c r="BL18" s="232" t="str">
        <f>'MLK1-4'!V17</f>
        <v>B</v>
      </c>
      <c r="BM18" s="231" t="str">
        <f>'MLK1-4'!AA17</f>
        <v>HISYAM baik  dalam melantunkan dan menceritakan isi kawih tentang bangga sebagai bangsa Indonesia</v>
      </c>
      <c r="BN18" s="232">
        <f>'MLK2-4'!U17</f>
        <v>88</v>
      </c>
      <c r="BO18" s="232" t="str">
        <f>'MLK2-4'!V17</f>
        <v>A</v>
      </c>
      <c r="BP18" s="231" t="str">
        <f>'MLK2-4'!AA17</f>
        <v>HISYAM sangat baik  dalam memahami langkah-langkah pengawasan kelestarian lingkungan hidup</v>
      </c>
      <c r="BQ18" s="232">
        <f>'MLK3-4'!Y17</f>
        <v>86</v>
      </c>
      <c r="BR18" s="232" t="str">
        <f>'MLK3-4'!Z17</f>
        <v>B</v>
      </c>
      <c r="BS18" s="231" t="str">
        <f>'MLK3-4'!AE17</f>
        <v xml:space="preserve">HISYAM baik  dalam merespon instruksi sangat sederhana dengan tindakan secara berterima dalam konteks sekolah  </v>
      </c>
    </row>
    <row r="19" spans="1:71" ht="129.94999999999999" customHeight="1">
      <c r="A19" s="227">
        <v>14</v>
      </c>
      <c r="B19" s="227" t="str">
        <f>SISWA!B19</f>
        <v>1718250040318</v>
      </c>
      <c r="C19" s="228" t="str">
        <f>SISWA!C19</f>
        <v>FAUZI PUTRA SUNTANA</v>
      </c>
      <c r="D19" s="229" t="str">
        <f>SPIRIT!P18</f>
        <v xml:space="preserve">Ananda FAUZI baik dalam  ketaatan beribadah,  berperilaku syukur,  berdoa sebelum dan sesudah melakukan kegiatan,  toleransi dalam beribadah, </v>
      </c>
      <c r="E19" s="229" t="str">
        <f>SOSIAL!T18</f>
        <v xml:space="preserve">Ananda FAUZI baik dalam sikap jujur, disiplin, tanggung jawab, santun, peduli, percaya diri, </v>
      </c>
      <c r="F19" s="230">
        <f>'PAI3'!CI19</f>
        <v>85</v>
      </c>
      <c r="G19" s="230" t="str">
        <f>'PAI3'!CJ19</f>
        <v>B</v>
      </c>
      <c r="H19" s="231" t="str">
        <f>'PAI3'!CO19</f>
        <v>FAUZI sangat baik  dalam memahami makna Q.S. at-Tīn dan Q.S. al-Mā’ūn dengan benar., dan  baik  dalam memahami makna ikhlas beramal dalam kehidupan sehari-hari</v>
      </c>
      <c r="I19" s="230">
        <f>'PKN3'!U18</f>
        <v>95</v>
      </c>
      <c r="J19" s="230" t="str">
        <f>'PKN3'!V18</f>
        <v>A</v>
      </c>
      <c r="K19" s="229" t="str">
        <f>'PKN3'!AA18</f>
        <v xml:space="preserve">FAUZI sangat baik  dalam memahami hak, kewajiban dan tanggung jawab sebagai warga dalam kehidupan sehari-hari.
</v>
      </c>
      <c r="L19" s="232">
        <f>BIND3!U18</f>
        <v>92</v>
      </c>
      <c r="M19" s="232" t="str">
        <f>BIND3!V18</f>
        <v>A</v>
      </c>
      <c r="N19" s="231" t="str">
        <f>BIND3!AA18</f>
        <v>FAUZI sangat baik  dalam meringkas teks penjelasan (eksplanasi) dari media cetak atau elektronik.</v>
      </c>
      <c r="O19" s="232">
        <f>'MTK3'!U18</f>
        <v>75</v>
      </c>
      <c r="P19" s="232" t="str">
        <f>'MTK3'!V18</f>
        <v>C</v>
      </c>
      <c r="Q19" s="231" t="str">
        <f>'MTK3'!AA18</f>
        <v xml:space="preserve">FAUZI cukup baik  dalam menjelaskan, dan menentukan volume bangun ruang dengan menggunakan satuan volume (seperti kubus satuan) serta hubungan pangkat tiga dengan akar pangkat tiga
</v>
      </c>
      <c r="R19" s="232">
        <f>'IPA3'!U18</f>
        <v>80</v>
      </c>
      <c r="S19" s="232" t="str">
        <f>'IPA3'!V18</f>
        <v>B</v>
      </c>
      <c r="T19" s="231" t="str">
        <f>'IPA3'!AA18</f>
        <v xml:space="preserve">FAUZI baik  dalam menerapkan konsep perpindahan kalor dalam kehidupan sehari-hari.
</v>
      </c>
      <c r="U19" s="232">
        <f>'IPS3'!U18</f>
        <v>88</v>
      </c>
      <c r="V19" s="232" t="str">
        <f>'IPS3'!V18</f>
        <v>A</v>
      </c>
      <c r="W19" s="231" t="str">
        <f>'IPS3'!AA18</f>
        <v>FAUZI sangat baik  dalam Mengidentifikasi karakteristik geografis Indonesia sebagai negara kepulauan/maritim dan agraris serta pengaruhnya terhadap kehidupan ekonomi, sosial, budaya, komunikasi, serta transportasi.</v>
      </c>
      <c r="X19" s="232">
        <f>SBDP3!U18</f>
        <v>85</v>
      </c>
      <c r="Y19" s="232" t="str">
        <f>SBDP3!V18</f>
        <v>B</v>
      </c>
      <c r="Z19" s="231" t="str">
        <f>SBDP3!AA18</f>
        <v>FAUZI baik  dalam memahami gambar cerita</v>
      </c>
      <c r="AA19" s="232">
        <f>PJOK3!U18</f>
        <v>90</v>
      </c>
      <c r="AB19" s="232" t="str">
        <f>PJOK3!V18</f>
        <v>A</v>
      </c>
      <c r="AC19" s="231" t="str">
        <f>PJOK3!AA18</f>
        <v xml:space="preserve">FAUZI sangat baik  dalam memahami kombinasi pola gerak dominan (bertumpu, bergantung, keseimbangan, berpindah/lokomotor, tolakan, putaran, ayunan, melayang, dan mendarat) untuk membentuk keterampilan dasar senam menggunakan alat
</v>
      </c>
      <c r="AD19" s="232">
        <f>'MLK1-3'!U18</f>
        <v>82</v>
      </c>
      <c r="AE19" s="232" t="str">
        <f>'MLK1-3'!V18</f>
        <v>B</v>
      </c>
      <c r="AF19" s="233" t="str">
        <f>'MLK1-3'!AA18</f>
        <v>FAUZI baik  dalam memahami teks kawih tentang bangga sebagai bangsa Indonesia</v>
      </c>
      <c r="AG19" s="232">
        <f>'MLK2-3'!X18</f>
        <v>97</v>
      </c>
      <c r="AH19" s="232" t="str">
        <f>'MLK2-3'!Y18</f>
        <v>A</v>
      </c>
      <c r="AI19" s="231" t="str">
        <f>'MLK2-3'!AD18</f>
        <v xml:space="preserve">FAUZI sangat baik  dalam merespon instruksi sangat sederhana dengan tindakan secara berterima dalam konteks sekolah  </v>
      </c>
      <c r="AJ19" s="232">
        <f>'MLK3-3'!W18</f>
        <v>75</v>
      </c>
      <c r="AK19" s="232" t="str">
        <f>'MLK3-3'!X18</f>
        <v>C</v>
      </c>
      <c r="AL19" s="233" t="str">
        <f>'MLK3-3'!AC18</f>
        <v xml:space="preserve">FAUZI baik  dalam merespon instruksi sangat sederhana dengan tindakan secara berterima dalam konteks sekolah  , dan  cukup baik  dalam mengeja kalimat sangat sederhana secara tepat dan berterima </v>
      </c>
      <c r="AM19" s="232">
        <f>'PAI4'!CI19</f>
        <v>90</v>
      </c>
      <c r="AN19" s="232" t="str">
        <f>'PAI4'!CJ19</f>
        <v>A</v>
      </c>
      <c r="AO19" s="233" t="str">
        <f>'PAI4'!CO19</f>
        <v>FAUZI sangat baik  dalam membaca Q.S. at-Tīn dan Q.S. al-Mā’ūn dengan tartil.</v>
      </c>
      <c r="AP19" s="232">
        <f>'PKN4'!U18</f>
        <v>95</v>
      </c>
      <c r="AQ19" s="232" t="str">
        <f>'PKN4'!V18</f>
        <v>A</v>
      </c>
      <c r="AR19" s="231" t="str">
        <f>'PKN4'!AA18</f>
        <v>FAUZI sangat baik  dalam menjelaskan hak, kewajiban, dan tanggung  jawab sebagai warga masyarakat dalam kehidupan sehari-hari</v>
      </c>
      <c r="AS19" s="232">
        <f>BIND4!U18</f>
        <v>92</v>
      </c>
      <c r="AT19" s="232" t="str">
        <f>BIND4!V18</f>
        <v>A</v>
      </c>
      <c r="AU19" s="231" t="str">
        <f>BIND4!AA18</f>
        <v xml:space="preserve">FAUZI sangat baik  dalam menyajikan ringkasan teks penjelasan (eksplanasi) dari media cetak atau elektronik dengan menggunakan kosakata baku dan kalimat efektif secara lisan, tulis, dan visual.
</v>
      </c>
      <c r="AV19" s="232">
        <f>'MTK4'!U18</f>
        <v>75</v>
      </c>
      <c r="AW19" s="232" t="str">
        <f>'MTK4'!V18</f>
        <v>C</v>
      </c>
      <c r="AX19" s="231" t="str">
        <f>'MTK4'!AA18</f>
        <v xml:space="preserve">FAUZI cukup baik  dalam menyelesaikan masalah yang berkaitan dengan volume bangun ruang dengan menggunakan satuan volume (seperti kubus satuan) melibatkan pangkat tiga dan akar pangkat tiga
</v>
      </c>
      <c r="AY19" s="232">
        <f>'IPA4'!U18</f>
        <v>80</v>
      </c>
      <c r="AZ19" s="232" t="str">
        <f>'IPA4'!V18</f>
        <v>B</v>
      </c>
      <c r="BA19" s="231" t="str">
        <f>'IPA4'!AA18</f>
        <v>FAUZI baik  dalam melaporkan hasil pengamatan tentang perpindahan kalor.</v>
      </c>
      <c r="BB19" s="232">
        <f>'IPS4'!U18</f>
        <v>88</v>
      </c>
      <c r="BC19" s="232" t="str">
        <f>'IPS4'!V18</f>
        <v>A</v>
      </c>
      <c r="BD19" s="231" t="str">
        <f>'IPS4'!AA18</f>
        <v>FAUZI sangat baik  dalam menyajikan hasil identifikasi karakteristik geografis Indonesia sebagai negara kepulauan/maritim dan agraris serta pengaruhnya terhadap kehidupan ekonomi, sosial, budaya, komunikasi, serta transportasi.</v>
      </c>
      <c r="BE19" s="232">
        <f>SBDP4!U18</f>
        <v>85</v>
      </c>
      <c r="BF19" s="232" t="str">
        <f>SBDP4!V18</f>
        <v>B</v>
      </c>
      <c r="BG19" s="231" t="str">
        <f>SBDP4!AA18</f>
        <v>FAUZI baik  dalam membuat gambar cerita</v>
      </c>
      <c r="BH19" s="232">
        <f>PJOK4!U18</f>
        <v>90</v>
      </c>
      <c r="BI19" s="232" t="str">
        <f>PJOK4!V18</f>
        <v>A</v>
      </c>
      <c r="BJ19" s="233" t="str">
        <f>PJOK4!AA18</f>
        <v>FAUZI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19" s="232">
        <f>'MLK1-4'!U18</f>
        <v>82</v>
      </c>
      <c r="BL19" s="232" t="str">
        <f>'MLK1-4'!V18</f>
        <v>B</v>
      </c>
      <c r="BM19" s="231" t="str">
        <f>'MLK1-4'!AA18</f>
        <v>FAUZI baik  dalam melantunkan dan menceritakan isi kawih tentang bangga sebagai bangsa Indonesia</v>
      </c>
      <c r="BN19" s="232">
        <f>'MLK2-4'!U18</f>
        <v>97</v>
      </c>
      <c r="BO19" s="232" t="str">
        <f>'MLK2-4'!V18</f>
        <v>A</v>
      </c>
      <c r="BP19" s="231" t="str">
        <f>'MLK2-4'!AA18</f>
        <v>FAUZI sangat baik  dalam memahami langkah-langkah pengawasan kelestarian lingkungan hidup</v>
      </c>
      <c r="BQ19" s="232">
        <f>'MLK3-4'!Y18</f>
        <v>75</v>
      </c>
      <c r="BR19" s="232" t="str">
        <f>'MLK3-4'!Z18</f>
        <v>C</v>
      </c>
      <c r="BS19" s="231" t="str">
        <f>'MLK3-4'!AE18</f>
        <v xml:space="preserve">FAUZI cukup baik  dalam merespon instruksi sangat sederhana dengan tindakan secara berterima dalam konteks sekolah  </v>
      </c>
    </row>
    <row r="20" spans="1:71" ht="129.94999999999999" customHeight="1">
      <c r="A20" s="227">
        <v>15</v>
      </c>
      <c r="B20" s="227" t="str">
        <f>SISWA!B20</f>
        <v>1718250040319</v>
      </c>
      <c r="C20" s="228" t="str">
        <f>SISWA!C20</f>
        <v>FIRLY GEMA ROBBANI</v>
      </c>
      <c r="D20" s="229" t="str">
        <f>SPIRIT!P19</f>
        <v xml:space="preserve">Ananda FIRLY baik dalam  ketaatan beribadah,  berperilaku syukur,  berdoa sebelum dan sesudah melakukan kegiatan,  toleransi dalam beribadah, </v>
      </c>
      <c r="E20" s="229" t="str">
        <f>SOSIAL!T19</f>
        <v xml:space="preserve">Ananda FIRLY baik dalam sikap jujur, disiplin, tanggung jawab, santun, peduli, percaya diri, </v>
      </c>
      <c r="F20" s="230">
        <f>'PAI3'!CI20</f>
        <v>81</v>
      </c>
      <c r="G20" s="230" t="str">
        <f>'PAI3'!CJ20</f>
        <v>B</v>
      </c>
      <c r="H20" s="231" t="str">
        <f>'PAI3'!CO20</f>
        <v>FIRLY sangat baik  dalam memahami makna Q.S. at-Tīn dan Q.S. al-Mā’ūn dengan benar., dan  cukup baik  dalam memahami nama-nama Rasul Allah dan Rasul Ulul ‘Azmi.</v>
      </c>
      <c r="I20" s="230">
        <f>'PKN3'!U19</f>
        <v>90</v>
      </c>
      <c r="J20" s="230" t="str">
        <f>'PKN3'!V19</f>
        <v>A</v>
      </c>
      <c r="K20" s="229" t="str">
        <f>'PKN3'!AA19</f>
        <v xml:space="preserve">FIRLY sangat baik  dalam memahami hak, kewajiban dan tanggung jawab sebagai warga dalam kehidupan sehari-hari.
</v>
      </c>
      <c r="L20" s="232">
        <f>BIND3!U19</f>
        <v>94</v>
      </c>
      <c r="M20" s="232" t="str">
        <f>BIND3!V19</f>
        <v>A</v>
      </c>
      <c r="N20" s="231" t="str">
        <f>BIND3!AA19</f>
        <v>FIRLY sangat baik  dalam meringkas teks penjelasan (eksplanasi) dari media cetak atau elektronik.</v>
      </c>
      <c r="O20" s="232">
        <f>'MTK3'!U19</f>
        <v>80</v>
      </c>
      <c r="P20" s="232" t="str">
        <f>'MTK3'!V19</f>
        <v>B</v>
      </c>
      <c r="Q20" s="231" t="str">
        <f>'MTK3'!AA19</f>
        <v xml:space="preserve">FIRLY baik  dalam menjelaskan, dan menentukan volume bangun ruang dengan menggunakan satuan volume (seperti kubus satuan) serta hubungan pangkat tiga dengan akar pangkat tiga
</v>
      </c>
      <c r="R20" s="232">
        <f>'IPA3'!U19</f>
        <v>90</v>
      </c>
      <c r="S20" s="232" t="str">
        <f>'IPA3'!V19</f>
        <v>A</v>
      </c>
      <c r="T20" s="231" t="str">
        <f>'IPA3'!AA19</f>
        <v xml:space="preserve">FIRLY sangat baik  dalam menerapkan konsep perpindahan kalor dalam kehidupan sehari-hari.
</v>
      </c>
      <c r="U20" s="232">
        <f>'IPS3'!U19</f>
        <v>88</v>
      </c>
      <c r="V20" s="232" t="str">
        <f>'IPS3'!V19</f>
        <v>A</v>
      </c>
      <c r="W20" s="231" t="str">
        <f>'IPS3'!AA19</f>
        <v>FIRLY sangat baik  dalam Mengidentifikasi karakteristik geografis Indonesia sebagai negara kepulauan/maritim dan agraris serta pengaruhnya terhadap kehidupan ekonomi, sosial, budaya, komunikasi, serta transportasi.</v>
      </c>
      <c r="X20" s="232">
        <f>SBDP3!U19</f>
        <v>88</v>
      </c>
      <c r="Y20" s="232" t="str">
        <f>SBDP3!V19</f>
        <v>A</v>
      </c>
      <c r="Z20" s="231" t="str">
        <f>SBDP3!AA19</f>
        <v>FIRLY sangat baik  dalam memahami gambar cerita</v>
      </c>
      <c r="AA20" s="232">
        <f>PJOK3!U19</f>
        <v>86</v>
      </c>
      <c r="AB20" s="232" t="str">
        <f>PJOK3!V19</f>
        <v>B</v>
      </c>
      <c r="AC20" s="231" t="str">
        <f>PJOK3!AA19</f>
        <v xml:space="preserve">FIRLY baik  dalam memahami kombinasi pola gerak dominan (bertumpu, bergantung, keseimbangan, berpindah/lokomotor, tolakan, putaran, ayunan, melayang, dan mendarat) untuk membentuk keterampilan dasar senam menggunakan alat
</v>
      </c>
      <c r="AD20" s="232">
        <f>'MLK1-3'!U19</f>
        <v>88</v>
      </c>
      <c r="AE20" s="232" t="str">
        <f>'MLK1-3'!V19</f>
        <v>A</v>
      </c>
      <c r="AF20" s="233" t="str">
        <f>'MLK1-3'!AA19</f>
        <v>FIRLY sangat baik  dalam memahami teks kawih tentang bangga sebagai bangsa Indonesia</v>
      </c>
      <c r="AG20" s="232">
        <f>'MLK2-3'!X19</f>
        <v>91</v>
      </c>
      <c r="AH20" s="232" t="str">
        <f>'MLK2-3'!Y19</f>
        <v>A</v>
      </c>
      <c r="AI20" s="231" t="str">
        <f>'MLK2-3'!AD19</f>
        <v xml:space="preserve">FIRLY sangat baik  dalam merespon instruksi sangat sederhana dengan tindakan secara berterima dalam konteks sekolah  </v>
      </c>
      <c r="AJ20" s="232">
        <f>'MLK3-3'!W19</f>
        <v>90</v>
      </c>
      <c r="AK20" s="232" t="str">
        <f>'MLK3-3'!X19</f>
        <v>A</v>
      </c>
      <c r="AL20" s="233" t="str">
        <f>'MLK3-3'!AC19</f>
        <v xml:space="preserve">FIRLY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M20" s="232">
        <f>'PAI4'!CI20</f>
        <v>90</v>
      </c>
      <c r="AN20" s="232" t="str">
        <f>'PAI4'!CJ20</f>
        <v>A</v>
      </c>
      <c r="AO20" s="233" t="str">
        <f>'PAI4'!CO20</f>
        <v>FIRLY sangat baik  dalam membaca Q.S. at-Tīn dan Q.S. al-Mā’ūn dengan tartil.</v>
      </c>
      <c r="AP20" s="232">
        <f>'PKN4'!U19</f>
        <v>90</v>
      </c>
      <c r="AQ20" s="232" t="str">
        <f>'PKN4'!V19</f>
        <v>A</v>
      </c>
      <c r="AR20" s="231" t="str">
        <f>'PKN4'!AA19</f>
        <v>FIRLY sangat baik  dalam menjelaskan hak, kewajiban, dan tanggung  jawab sebagai warga masyarakat dalam kehidupan sehari-hari</v>
      </c>
      <c r="AS20" s="232">
        <f>BIND4!U19</f>
        <v>94</v>
      </c>
      <c r="AT20" s="232" t="str">
        <f>BIND4!V19</f>
        <v>A</v>
      </c>
      <c r="AU20" s="231" t="str">
        <f>BIND4!AA19</f>
        <v xml:space="preserve">FIRLY sangat baik  dalam menyajikan ringkasan teks penjelasan (eksplanasi) dari media cetak atau elektronik dengan menggunakan kosakata baku dan kalimat efektif secara lisan, tulis, dan visual.
</v>
      </c>
      <c r="AV20" s="232">
        <f>'MTK4'!U19</f>
        <v>80</v>
      </c>
      <c r="AW20" s="232" t="str">
        <f>'MTK4'!V19</f>
        <v>B</v>
      </c>
      <c r="AX20" s="231" t="str">
        <f>'MTK4'!AA19</f>
        <v xml:space="preserve">FIRLY baik  dalam menyelesaikan masalah yang berkaitan dengan volume bangun ruang dengan menggunakan satuan volume (seperti kubus satuan) melibatkan pangkat tiga dan akar pangkat tiga
</v>
      </c>
      <c r="AY20" s="232">
        <f>'IPA4'!U19</f>
        <v>90</v>
      </c>
      <c r="AZ20" s="232" t="str">
        <f>'IPA4'!V19</f>
        <v>A</v>
      </c>
      <c r="BA20" s="231" t="str">
        <f>'IPA4'!AA19</f>
        <v>FIRLY sangat baik  dalam melaporkan hasil pengamatan tentang perpindahan kalor.</v>
      </c>
      <c r="BB20" s="232">
        <f>'IPS4'!U19</f>
        <v>88</v>
      </c>
      <c r="BC20" s="232" t="str">
        <f>'IPS4'!V19</f>
        <v>A</v>
      </c>
      <c r="BD20" s="231" t="str">
        <f>'IPS4'!AA19</f>
        <v>FIRLY sangat baik  dalam menyajikan hasil identifikasi karakteristik geografis Indonesia sebagai negara kepulauan/maritim dan agraris serta pengaruhnya terhadap kehidupan ekonomi, sosial, budaya, komunikasi, serta transportasi.</v>
      </c>
      <c r="BE20" s="232">
        <f>SBDP4!U19</f>
        <v>88</v>
      </c>
      <c r="BF20" s="232" t="str">
        <f>SBDP4!V19</f>
        <v>A</v>
      </c>
      <c r="BG20" s="231" t="str">
        <f>SBDP4!AA19</f>
        <v>FIRLY sangat baik  dalam membuat gambar cerita</v>
      </c>
      <c r="BH20" s="232">
        <f>PJOK4!U19</f>
        <v>89</v>
      </c>
      <c r="BI20" s="232" t="str">
        <f>PJOK4!V19</f>
        <v>A</v>
      </c>
      <c r="BJ20" s="233" t="str">
        <f>PJOK4!AA19</f>
        <v>FIRLY sangat baik  dalam mempraktikkan kombinasi pola gerak dominan (bertumpu, bergantung, keseimbangan, berpindah/ lokomotor, tolakan, putaran, ayunan, melayang, dan mendarat) untuk membentuk keterampilan dasar senam menggunakan alat
, dan  baik  dalam memaparkan bahaya merokok, meminum minuman keras, dan mengonsumsi narkotika, zat-zat aditif (NAPZA) dan obat berbahaya lainnya terhadap kesehatan tubuh</v>
      </c>
      <c r="BK20" s="232">
        <f>'MLK1-4'!U19</f>
        <v>88</v>
      </c>
      <c r="BL20" s="232" t="str">
        <f>'MLK1-4'!V19</f>
        <v>A</v>
      </c>
      <c r="BM20" s="231" t="str">
        <f>'MLK1-4'!AA19</f>
        <v>FIRLY sangat baik  dalam melantunkan dan menceritakan isi kawih tentang bangga sebagai bangsa Indonesia</v>
      </c>
      <c r="BN20" s="232">
        <f>'MLK2-4'!U19</f>
        <v>91</v>
      </c>
      <c r="BO20" s="232" t="str">
        <f>'MLK2-4'!V19</f>
        <v>A</v>
      </c>
      <c r="BP20" s="231" t="str">
        <f>'MLK2-4'!AA19</f>
        <v>FIRLY sangat baik  dalam memahami langkah-langkah pengawasan kelestarian lingkungan hidup</v>
      </c>
      <c r="BQ20" s="232">
        <f>'MLK3-4'!Y19</f>
        <v>90</v>
      </c>
      <c r="BR20" s="232" t="str">
        <f>'MLK3-4'!Z19</f>
        <v>A</v>
      </c>
      <c r="BS20" s="231" t="str">
        <f>'MLK3-4'!AE19</f>
        <v xml:space="preserve">FIRLY sangat baik  dalam merespon instruksi sangat sederhana dengan tindakan secara berterima dalam konteks sekolah  </v>
      </c>
    </row>
    <row r="21" spans="1:71" ht="129.94999999999999" customHeight="1">
      <c r="A21" s="227">
        <v>16</v>
      </c>
      <c r="B21" s="227" t="str">
        <f>SISWA!B21</f>
        <v>1718250040320</v>
      </c>
      <c r="C21" s="228" t="str">
        <f>SISWA!C21</f>
        <v>HANA NUR ROHMAH</v>
      </c>
      <c r="D21" s="229" t="str">
        <f>SPIRIT!P20</f>
        <v xml:space="preserve">Ananda HANA baik dalam  ketaatan beribadah,  berperilaku syukur,  berdoa sebelum dan sesudah melakukan kegiatan,  toleransi dalam beribadah, </v>
      </c>
      <c r="E21" s="229" t="str">
        <f>SOSIAL!T20</f>
        <v xml:space="preserve">Ananda HANA baik dalam sikap jujur, disiplin, tanggung jawab, santun, peduli, percaya diri, </v>
      </c>
      <c r="F21" s="230">
        <f>'PAI3'!CI21</f>
        <v>79</v>
      </c>
      <c r="G21" s="230" t="str">
        <f>'PAI3'!CJ21</f>
        <v>B</v>
      </c>
      <c r="H21" s="231" t="str">
        <f>'PAI3'!CO21</f>
        <v>HANA baik  dalam memahami pelaksanaan salat tarawih dan tadarus al-Qur'an., dan  cukup baik  dalam memahami nama-nama Rasul Allah dan Rasul Ulul ‘Azmi.</v>
      </c>
      <c r="I21" s="230">
        <f>'PKN3'!U20</f>
        <v>78</v>
      </c>
      <c r="J21" s="230" t="str">
        <f>'PKN3'!V20</f>
        <v>B</v>
      </c>
      <c r="K21" s="229" t="str">
        <f>'PKN3'!AA20</f>
        <v xml:space="preserve">HANA baik  dalam memahami hak, kewajiban dan tanggung jawab sebagai warga dalam kehidupan sehari-hari.
</v>
      </c>
      <c r="L21" s="232">
        <f>BIND3!U20</f>
        <v>81</v>
      </c>
      <c r="M21" s="232" t="str">
        <f>BIND3!V20</f>
        <v>B</v>
      </c>
      <c r="N21" s="231" t="str">
        <f>BIND3!AA20</f>
        <v>HANA baik  dalam meringkas teks penjelasan (eksplanasi) dari media cetak atau elektronik.</v>
      </c>
      <c r="O21" s="232">
        <f>'MTK3'!U20</f>
        <v>70</v>
      </c>
      <c r="P21" s="232" t="str">
        <f>'MTK3'!V20</f>
        <v>C</v>
      </c>
      <c r="Q21" s="231" t="str">
        <f>'MTK3'!AA20</f>
        <v xml:space="preserve">HANA cukup baik  dalam menjelaskan, dan menentukan volume bangun ruang dengan menggunakan satuan volume (seperti kubus satuan) serta hubungan pangkat tiga dengan akar pangkat tiga
</v>
      </c>
      <c r="R21" s="232">
        <f>'IPA3'!U20</f>
        <v>73</v>
      </c>
      <c r="S21" s="232" t="str">
        <f>'IPA3'!V20</f>
        <v>C</v>
      </c>
      <c r="T21" s="231" t="str">
        <f>'IPA3'!AA20</f>
        <v xml:space="preserve">HANA cukup baik  dalam menerapkan konsep perpindahan kalor dalam kehidupan sehari-hari.
</v>
      </c>
      <c r="U21" s="232">
        <f>'IPS3'!U20</f>
        <v>78</v>
      </c>
      <c r="V21" s="232" t="str">
        <f>'IPS3'!V20</f>
        <v>B</v>
      </c>
      <c r="W21" s="231" t="str">
        <f>'IPS3'!AA20</f>
        <v>HANA baik  dalam Mengidentifikasi karakteristik geografis Indonesia sebagai negara kepulauan/maritim dan agraris serta pengaruhnya terhadap kehidupan ekonomi, sosial, budaya, komunikasi, serta transportasi.</v>
      </c>
      <c r="X21" s="232">
        <f>SBDP3!U20</f>
        <v>85</v>
      </c>
      <c r="Y21" s="232" t="str">
        <f>SBDP3!V20</f>
        <v>B</v>
      </c>
      <c r="Z21" s="231" t="str">
        <f>SBDP3!AA20</f>
        <v>HANA baik  dalam memahami gambar cerita</v>
      </c>
      <c r="AA21" s="232">
        <f>PJOK3!U20</f>
        <v>80</v>
      </c>
      <c r="AB21" s="232" t="str">
        <f>PJOK3!V20</f>
        <v>B</v>
      </c>
      <c r="AC21" s="231" t="str">
        <f>PJOK3!AA20</f>
        <v xml:space="preserve">HANA baik  dalam memahami kombinasi pola gerak dominan (bertumpu, bergantung, keseimbangan, berpindah/lokomotor, tolakan, putaran, ayunan, melayang, dan mendarat) untuk membentuk keterampilan dasar senam menggunakan alat
</v>
      </c>
      <c r="AD21" s="232">
        <f>'MLK1-3'!U20</f>
        <v>77</v>
      </c>
      <c r="AE21" s="232" t="str">
        <f>'MLK1-3'!V20</f>
        <v>B</v>
      </c>
      <c r="AF21" s="233" t="str">
        <f>'MLK1-3'!AA20</f>
        <v>HANA baik  dalam memahami teks kawih tentang bangga sebagai bangsa Indonesia</v>
      </c>
      <c r="AG21" s="232">
        <f>'MLK2-3'!X20</f>
        <v>85</v>
      </c>
      <c r="AH21" s="232" t="str">
        <f>'MLK2-3'!Y20</f>
        <v>B</v>
      </c>
      <c r="AI21" s="231" t="str">
        <f>'MLK2-3'!AD20</f>
        <v xml:space="preserve">HANA baik  dalam merespon instruksi sangat sederhana dengan tindakan secara berterima dalam konteks sekolah  </v>
      </c>
      <c r="AJ21" s="232">
        <f>'MLK3-3'!W20</f>
        <v>75</v>
      </c>
      <c r="AK21" s="232" t="str">
        <f>'MLK3-3'!X20</f>
        <v>C</v>
      </c>
      <c r="AL21" s="233" t="str">
        <f>'MLK3-3'!AC20</f>
        <v xml:space="preserve">HANA baik  dalam merespon instruksi sangat sederhana dengan tindakan secara berterima dalam konteks sekolah  , dan  cukup baik  dalam mengeja kalimat sangat sederhana secara tepat dan berterima </v>
      </c>
      <c r="AM21" s="232">
        <f>'PAI4'!CI21</f>
        <v>90</v>
      </c>
      <c r="AN21" s="232" t="str">
        <f>'PAI4'!CJ21</f>
        <v>A</v>
      </c>
      <c r="AO21" s="233" t="str">
        <f>'PAI4'!CO21</f>
        <v>HANA sangat baik  dalam membaca Q.S. at-Tīn dan Q.S. al-Mā’ūn dengan tartil.</v>
      </c>
      <c r="AP21" s="232">
        <f>'PKN4'!U20</f>
        <v>78</v>
      </c>
      <c r="AQ21" s="232" t="str">
        <f>'PKN4'!V20</f>
        <v>B</v>
      </c>
      <c r="AR21" s="231" t="str">
        <f>'PKN4'!AA20</f>
        <v>HANA baik  dalam menjelaskan hak, kewajiban, dan tanggung  jawab sebagai warga masyarakat dalam kehidupan sehari-hari</v>
      </c>
      <c r="AS21" s="232">
        <f>BIND4!U20</f>
        <v>81</v>
      </c>
      <c r="AT21" s="232" t="str">
        <f>BIND4!V20</f>
        <v>B</v>
      </c>
      <c r="AU21" s="231" t="str">
        <f>BIND4!AA20</f>
        <v xml:space="preserve">HANA baik  dalam menyajikan ringkasan teks penjelasan (eksplanasi) dari media cetak atau elektronik dengan menggunakan kosakata baku dan kalimat efektif secara lisan, tulis, dan visual.
</v>
      </c>
      <c r="AV21" s="232">
        <f>'MTK4'!U20</f>
        <v>70</v>
      </c>
      <c r="AW21" s="232" t="str">
        <f>'MTK4'!V20</f>
        <v>C</v>
      </c>
      <c r="AX21" s="231" t="str">
        <f>'MTK4'!AA20</f>
        <v xml:space="preserve">HANA cukup baik  dalam menyelesaikan masalah yang berkaitan dengan volume bangun ruang dengan menggunakan satuan volume (seperti kubus satuan) melibatkan pangkat tiga dan akar pangkat tiga
</v>
      </c>
      <c r="AY21" s="232">
        <f>'IPA4'!U20</f>
        <v>73</v>
      </c>
      <c r="AZ21" s="232" t="str">
        <f>'IPA4'!V20</f>
        <v>C</v>
      </c>
      <c r="BA21" s="231" t="str">
        <f>'IPA4'!AA20</f>
        <v>HANA cukup baik  dalam melaporkan hasil pengamatan tentang perpindahan kalor.</v>
      </c>
      <c r="BB21" s="232">
        <f>'IPS4'!U20</f>
        <v>78</v>
      </c>
      <c r="BC21" s="232" t="str">
        <f>'IPS4'!V20</f>
        <v>B</v>
      </c>
      <c r="BD21" s="231" t="str">
        <f>'IPS4'!AA20</f>
        <v>HANA baik  dalam menyajikan hasil identifikasi karakteristik geografis Indonesia sebagai negara kepulauan/maritim dan agraris serta pengaruhnya terhadap kehidupan ekonomi, sosial, budaya, komunikasi, serta transportasi.</v>
      </c>
      <c r="BE21" s="232">
        <f>SBDP4!U20</f>
        <v>85</v>
      </c>
      <c r="BF21" s="232" t="str">
        <f>SBDP4!V20</f>
        <v>B</v>
      </c>
      <c r="BG21" s="231" t="str">
        <f>SBDP4!AA20</f>
        <v>HANA baik  dalam membuat gambar cerita</v>
      </c>
      <c r="BH21" s="232">
        <f>PJOK4!U20</f>
        <v>85</v>
      </c>
      <c r="BI21" s="232" t="str">
        <f>PJOK4!V20</f>
        <v>B</v>
      </c>
      <c r="BJ21" s="233" t="str">
        <f>PJOK4!AA20</f>
        <v>HANA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21" s="232">
        <f>'MLK1-4'!U20</f>
        <v>77</v>
      </c>
      <c r="BL21" s="232" t="str">
        <f>'MLK1-4'!V20</f>
        <v>B</v>
      </c>
      <c r="BM21" s="231" t="str">
        <f>'MLK1-4'!AA20</f>
        <v>HANA baik  dalam melantunkan dan menceritakan isi kawih tentang bangga sebagai bangsa Indonesia</v>
      </c>
      <c r="BN21" s="232">
        <f>'MLK2-4'!U20</f>
        <v>85</v>
      </c>
      <c r="BO21" s="232" t="str">
        <f>'MLK2-4'!V20</f>
        <v>B</v>
      </c>
      <c r="BP21" s="231" t="str">
        <f>'MLK2-4'!AA20</f>
        <v>HANA baik  dalam memahami langkah-langkah pengawasan kelestarian lingkungan hidup</v>
      </c>
      <c r="BQ21" s="232">
        <f>'MLK3-4'!Y20</f>
        <v>75</v>
      </c>
      <c r="BR21" s="232" t="str">
        <f>'MLK3-4'!Z20</f>
        <v>C</v>
      </c>
      <c r="BS21" s="231" t="str">
        <f>'MLK3-4'!AE20</f>
        <v xml:space="preserve">HANA cukup baik  dalam merespon instruksi sangat sederhana dengan tindakan secara berterima dalam konteks sekolah  </v>
      </c>
    </row>
    <row r="22" spans="1:71" ht="129.94999999999999" customHeight="1">
      <c r="A22" s="227">
        <v>17</v>
      </c>
      <c r="B22" s="227" t="str">
        <f>SISWA!B22</f>
        <v>1718250040321</v>
      </c>
      <c r="C22" s="228" t="str">
        <f>SISWA!C22</f>
        <v>HOERUL MALLA MAHARANI</v>
      </c>
      <c r="D22" s="229" t="str">
        <f>SPIRIT!P21</f>
        <v xml:space="preserve">Ananda MALLA baik dalam  ketaatan beribadah,  berperilaku syukur,  berdoa sebelum dan sesudah melakukan kegiatan,  toleransi dalam beribadah, </v>
      </c>
      <c r="E22" s="229" t="str">
        <f>SOSIAL!T21</f>
        <v xml:space="preserve">Ananda MALLA baik dalam sikap jujur, disiplin, tanggung jawab, santun, peduli, percaya diri, </v>
      </c>
      <c r="F22" s="230">
        <f>'PAI3'!CI22</f>
        <v>79</v>
      </c>
      <c r="G22" s="230" t="str">
        <f>'PAI3'!CJ22</f>
        <v>B</v>
      </c>
      <c r="H22" s="231" t="str">
        <f>'PAI3'!CO22</f>
        <v>MALLA baik  dalam memahami pelaksanaan salat tarawih dan tadarus al-Qur'an., dan  cukup baik  dalam memahami nama-nama Rasul Allah dan Rasul Ulul ‘Azmi.</v>
      </c>
      <c r="I22" s="230">
        <f>'PKN3'!U21</f>
        <v>88</v>
      </c>
      <c r="J22" s="230" t="str">
        <f>'PKN3'!V21</f>
        <v>A</v>
      </c>
      <c r="K22" s="229" t="str">
        <f>'PKN3'!AA21</f>
        <v xml:space="preserve">MALLA sangat baik  dalam memahami hak, kewajiban dan tanggung jawab sebagai warga dalam kehidupan sehari-hari.
</v>
      </c>
      <c r="L22" s="232">
        <f>BIND3!U21</f>
        <v>90</v>
      </c>
      <c r="M22" s="232" t="str">
        <f>BIND3!V21</f>
        <v>A</v>
      </c>
      <c r="N22" s="231" t="str">
        <f>BIND3!AA21</f>
        <v>MALLA sangat baik  dalam meringkas teks penjelasan (eksplanasi) dari media cetak atau elektronik.</v>
      </c>
      <c r="O22" s="232">
        <f>'MTK3'!U21</f>
        <v>70</v>
      </c>
      <c r="P22" s="232" t="str">
        <f>'MTK3'!V21</f>
        <v>C</v>
      </c>
      <c r="Q22" s="231" t="str">
        <f>'MTK3'!AA21</f>
        <v xml:space="preserve">MALLA cukup baik  dalam menjelaskan, dan menentukan volume bangun ruang dengan menggunakan satuan volume (seperti kubus satuan) serta hubungan pangkat tiga dengan akar pangkat tiga
</v>
      </c>
      <c r="R22" s="232">
        <f>'IPA3'!U21</f>
        <v>85</v>
      </c>
      <c r="S22" s="232" t="str">
        <f>'IPA3'!V21</f>
        <v>B</v>
      </c>
      <c r="T22" s="231" t="str">
        <f>'IPA3'!AA21</f>
        <v xml:space="preserve">MALLA baik  dalam menerapkan konsep perpindahan kalor dalam kehidupan sehari-hari.
</v>
      </c>
      <c r="U22" s="232">
        <f>'IPS3'!U21</f>
        <v>85</v>
      </c>
      <c r="V22" s="232" t="str">
        <f>'IPS3'!V21</f>
        <v>B</v>
      </c>
      <c r="W22" s="231" t="str">
        <f>'IPS3'!AA21</f>
        <v>MALLA baik  dalam Mengidentifikasi karakteristik geografis Indonesia sebagai negara kepulauan/maritim dan agraris serta pengaruhnya terhadap kehidupan ekonomi, sosial, budaya, komunikasi, serta transportasi.</v>
      </c>
      <c r="X22" s="232">
        <f>SBDP3!U21</f>
        <v>95</v>
      </c>
      <c r="Y22" s="232" t="str">
        <f>SBDP3!V21</f>
        <v>A</v>
      </c>
      <c r="Z22" s="231" t="str">
        <f>SBDP3!AA21</f>
        <v>MALLA sangat baik  dalam memahami gambar cerita</v>
      </c>
      <c r="AA22" s="232">
        <f>PJOK3!U21</f>
        <v>86</v>
      </c>
      <c r="AB22" s="232" t="str">
        <f>PJOK3!V21</f>
        <v>B</v>
      </c>
      <c r="AC22" s="231" t="str">
        <f>PJOK3!AA21</f>
        <v xml:space="preserve">MALLA baik  dalam memahami kombinasi pola gerak dominan (bertumpu, bergantung, keseimbangan, berpindah/lokomotor, tolakan, putaran, ayunan, melayang, dan mendarat) untuk membentuk keterampilan dasar senam menggunakan alat
</v>
      </c>
      <c r="AD22" s="232">
        <f>'MLK1-3'!U21</f>
        <v>88</v>
      </c>
      <c r="AE22" s="232" t="str">
        <f>'MLK1-3'!V21</f>
        <v>A</v>
      </c>
      <c r="AF22" s="233" t="str">
        <f>'MLK1-3'!AA21</f>
        <v>MALLA sangat baik  dalam memahami teks kawih tentang bangga sebagai bangsa Indonesia</v>
      </c>
      <c r="AG22" s="232">
        <f>'MLK2-3'!X21</f>
        <v>91</v>
      </c>
      <c r="AH22" s="232" t="str">
        <f>'MLK2-3'!Y21</f>
        <v>A</v>
      </c>
      <c r="AI22" s="231" t="str">
        <f>'MLK2-3'!AD21</f>
        <v xml:space="preserve">MALLA sangat baik  dalam merespon instruksi sangat sederhana dengan tindakan secara berterima dalam konteks sekolah  </v>
      </c>
      <c r="AJ22" s="232">
        <f>'MLK3-3'!W21</f>
        <v>89</v>
      </c>
      <c r="AK22" s="232" t="str">
        <f>'MLK3-3'!X21</f>
        <v>A</v>
      </c>
      <c r="AL22" s="233" t="str">
        <f>'MLK3-3'!AC21</f>
        <v xml:space="preserve">MALLA sangat baik  dalam mengeja kalimat sangat sederhana secara tepat dan berterima , dan  baik  dalam bercakap-cakap untuk menyertai tindakan secara berterima yang melibatkan tindak tutur: memberi contoh melakukan sesuatu, memberi aba-aba, dan memberi petunjuk 
</v>
      </c>
      <c r="AM22" s="232">
        <f>'PAI4'!CI22</f>
        <v>89</v>
      </c>
      <c r="AN22" s="232" t="str">
        <f>'PAI4'!CJ22</f>
        <v>A</v>
      </c>
      <c r="AO22" s="233" t="str">
        <f>'PAI4'!CO22</f>
        <v>MALLA sangat baik  dalam membaca Q.S. at-Tīn dan Q.S. al-Mā’ūn dengan tartil.</v>
      </c>
      <c r="AP22" s="232">
        <f>'PKN4'!U21</f>
        <v>88</v>
      </c>
      <c r="AQ22" s="232" t="str">
        <f>'PKN4'!V21</f>
        <v>A</v>
      </c>
      <c r="AR22" s="231" t="str">
        <f>'PKN4'!AA21</f>
        <v>MALLA sangat baik  dalam menjelaskan hak, kewajiban, dan tanggung  jawab sebagai warga masyarakat dalam kehidupan sehari-hari</v>
      </c>
      <c r="AS22" s="232">
        <f>BIND4!U21</f>
        <v>90</v>
      </c>
      <c r="AT22" s="232" t="str">
        <f>BIND4!V21</f>
        <v>A</v>
      </c>
      <c r="AU22" s="231" t="str">
        <f>BIND4!AA21</f>
        <v xml:space="preserve">MALLA sangat baik  dalam menyajikan ringkasan teks penjelasan (eksplanasi) dari media cetak atau elektronik dengan menggunakan kosakata baku dan kalimat efektif secara lisan, tulis, dan visual.
</v>
      </c>
      <c r="AV22" s="232">
        <f>'MTK4'!U21</f>
        <v>70</v>
      </c>
      <c r="AW22" s="232" t="str">
        <f>'MTK4'!V21</f>
        <v>C</v>
      </c>
      <c r="AX22" s="231" t="str">
        <f>'MTK4'!AA21</f>
        <v xml:space="preserve">MALLA cukup baik  dalam menyelesaikan masalah yang berkaitan dengan volume bangun ruang dengan menggunakan satuan volume (seperti kubus satuan) melibatkan pangkat tiga dan akar pangkat tiga
</v>
      </c>
      <c r="AY22" s="232">
        <f>'IPA4'!U21</f>
        <v>85</v>
      </c>
      <c r="AZ22" s="232" t="str">
        <f>'IPA4'!V21</f>
        <v>B</v>
      </c>
      <c r="BA22" s="231" t="str">
        <f>'IPA4'!AA21</f>
        <v>MALLA baik  dalam melaporkan hasil pengamatan tentang perpindahan kalor.</v>
      </c>
      <c r="BB22" s="232">
        <f>'IPS4'!U21</f>
        <v>85</v>
      </c>
      <c r="BC22" s="232" t="str">
        <f>'IPS4'!V21</f>
        <v>B</v>
      </c>
      <c r="BD22" s="231" t="str">
        <f>'IPS4'!AA21</f>
        <v>MALLA baik  dalam menyajikan hasil identifikasi karakteristik geografis Indonesia sebagai negara kepulauan/maritim dan agraris serta pengaruhnya terhadap kehidupan ekonomi, sosial, budaya, komunikasi, serta transportasi.</v>
      </c>
      <c r="BE22" s="232">
        <f>SBDP4!U21</f>
        <v>95</v>
      </c>
      <c r="BF22" s="232" t="str">
        <f>SBDP4!V21</f>
        <v>A</v>
      </c>
      <c r="BG22" s="231" t="str">
        <f>SBDP4!AA21</f>
        <v>MALLA sangat baik  dalam membuat gambar cerita</v>
      </c>
      <c r="BH22" s="232">
        <f>PJOK4!U21</f>
        <v>87</v>
      </c>
      <c r="BI22" s="232" t="str">
        <f>PJOK4!V21</f>
        <v>B</v>
      </c>
      <c r="BJ22" s="233" t="str">
        <f>PJOK4!AA21</f>
        <v>MALLA sangat baik  dalam mempraktikkan kombinasi pola gerak dominan (bertumpu, bergantung, keseimbangan, berpindah/ lokomotor, tolakan, putaran, ayunan, melayang, dan mendarat) untuk membentuk keterampilan dasar senam menggunakan alat
, dan  baik  dalam menerapkan konsep pemeliharaan diri dan orang lain dari penyakit menular dan tidak menular</v>
      </c>
      <c r="BK22" s="232">
        <f>'MLK1-4'!U21</f>
        <v>88</v>
      </c>
      <c r="BL22" s="232" t="str">
        <f>'MLK1-4'!V21</f>
        <v>A</v>
      </c>
      <c r="BM22" s="231" t="str">
        <f>'MLK1-4'!AA21</f>
        <v>MALLA sangat baik  dalam melantunkan dan menceritakan isi kawih tentang bangga sebagai bangsa Indonesia</v>
      </c>
      <c r="BN22" s="232">
        <f>'MLK2-4'!U21</f>
        <v>91</v>
      </c>
      <c r="BO22" s="232" t="str">
        <f>'MLK2-4'!V21</f>
        <v>A</v>
      </c>
      <c r="BP22" s="231" t="str">
        <f>'MLK2-4'!AA21</f>
        <v>MALLA sangat baik  dalam memahami langkah-langkah pengawasan kelestarian lingkungan hidup</v>
      </c>
      <c r="BQ22" s="232">
        <f>'MLK3-4'!Y21</f>
        <v>90</v>
      </c>
      <c r="BR22" s="232" t="str">
        <f>'MLK3-4'!Z21</f>
        <v>A</v>
      </c>
      <c r="BS22" s="231" t="str">
        <f>'MLK3-4'!AE21</f>
        <v xml:space="preserve">MALLA sangat baik  dalam merespon instruksi sangat sederhana dengan tindakan secara berterima dalam konteks sekolah  </v>
      </c>
    </row>
    <row r="23" spans="1:71" ht="129.94999999999999" customHeight="1">
      <c r="A23" s="227">
        <v>18</v>
      </c>
      <c r="B23" s="227" t="str">
        <f>SISWA!B23</f>
        <v>1718250040322</v>
      </c>
      <c r="C23" s="228" t="str">
        <f>SISWA!C23</f>
        <v>INTAN STEPANI PUTRI</v>
      </c>
      <c r="D23" s="229" t="str">
        <f>SPIRIT!P22</f>
        <v xml:space="preserve">Ananda INTAN baik dalam  ketaatan beribadah,  berperilaku syukur,  berdoa sebelum dan sesudah melakukan kegiatan,  toleransi dalam beribadah, </v>
      </c>
      <c r="E23" s="229" t="str">
        <f>SOSIAL!T22</f>
        <v xml:space="preserve">Ananda INTAN baik dalam sikap jujur, disiplin, tanggung jawab, santun, peduli, percaya diri, </v>
      </c>
      <c r="F23" s="230">
        <f>'PAI3'!CI23</f>
        <v>81</v>
      </c>
      <c r="G23" s="230" t="str">
        <f>'PAI3'!CJ23</f>
        <v>B</v>
      </c>
      <c r="H23" s="231" t="str">
        <f>'PAI3'!CO23</f>
        <v>INTAN sangat baik  dalam memahami makna Q.S. at-Tīn dan Q.S. al-Mā’ūn dengan benar., dan  cukup baik  dalam memahami makna sederhana dalam kehidupan sehari-hari.</v>
      </c>
      <c r="I23" s="230">
        <f>'PKN3'!U22</f>
        <v>88</v>
      </c>
      <c r="J23" s="230" t="str">
        <f>'PKN3'!V22</f>
        <v>A</v>
      </c>
      <c r="K23" s="229" t="str">
        <f>'PKN3'!AA22</f>
        <v xml:space="preserve">INTAN sangat baik  dalam memahami hak, kewajiban dan tanggung jawab sebagai warga dalam kehidupan sehari-hari.
</v>
      </c>
      <c r="L23" s="232">
        <f>BIND3!U22</f>
        <v>91</v>
      </c>
      <c r="M23" s="232" t="str">
        <f>BIND3!V22</f>
        <v>A</v>
      </c>
      <c r="N23" s="231" t="str">
        <f>BIND3!AA22</f>
        <v>INTAN sangat baik  dalam meringkas teks penjelasan (eksplanasi) dari media cetak atau elektronik.</v>
      </c>
      <c r="O23" s="232">
        <f>'MTK3'!U22</f>
        <v>70</v>
      </c>
      <c r="P23" s="232" t="str">
        <f>'MTK3'!V22</f>
        <v>C</v>
      </c>
      <c r="Q23" s="231" t="str">
        <f>'MTK3'!AA22</f>
        <v xml:space="preserve">INTAN cukup baik  dalam menjelaskan, dan menentukan volume bangun ruang dengan menggunakan satuan volume (seperti kubus satuan) serta hubungan pangkat tiga dengan akar pangkat tiga
</v>
      </c>
      <c r="R23" s="232">
        <f>'IPA3'!U22</f>
        <v>83</v>
      </c>
      <c r="S23" s="232" t="str">
        <f>'IPA3'!V22</f>
        <v>B</v>
      </c>
      <c r="T23" s="231" t="str">
        <f>'IPA3'!AA22</f>
        <v xml:space="preserve">INTAN baik  dalam menerapkan konsep perpindahan kalor dalam kehidupan sehari-hari.
</v>
      </c>
      <c r="U23" s="232">
        <f>'IPS3'!U22</f>
        <v>85</v>
      </c>
      <c r="V23" s="232" t="str">
        <f>'IPS3'!V22</f>
        <v>B</v>
      </c>
      <c r="W23" s="231" t="str">
        <f>'IPS3'!AA22</f>
        <v>INTAN baik  dalam Mengidentifikasi karakteristik geografis Indonesia sebagai negara kepulauan/maritim dan agraris serta pengaruhnya terhadap kehidupan ekonomi, sosial, budaya, komunikasi, serta transportasi.</v>
      </c>
      <c r="X23" s="232">
        <f>SBDP3!U22</f>
        <v>93</v>
      </c>
      <c r="Y23" s="232" t="str">
        <f>SBDP3!V22</f>
        <v>A</v>
      </c>
      <c r="Z23" s="231" t="str">
        <f>SBDP3!AA22</f>
        <v>INTAN sangat baik  dalam memahami gambar cerita</v>
      </c>
      <c r="AA23" s="232">
        <f>PJOK3!U22</f>
        <v>82</v>
      </c>
      <c r="AB23" s="232" t="str">
        <f>PJOK3!V22</f>
        <v>B</v>
      </c>
      <c r="AC23" s="231" t="str">
        <f>PJOK3!AA22</f>
        <v xml:space="preserve">INTAN baik  dalam memahami kombinasi pola gerak dominan (bertumpu, bergantung, keseimbangan, berpindah/lokomotor, tolakan, putaran, ayunan, melayang, dan mendarat) untuk membentuk keterampilan dasar senam menggunakan alat
</v>
      </c>
      <c r="AD23" s="232">
        <f>'MLK1-3'!U22</f>
        <v>85</v>
      </c>
      <c r="AE23" s="232" t="str">
        <f>'MLK1-3'!V22</f>
        <v>B</v>
      </c>
      <c r="AF23" s="233" t="str">
        <f>'MLK1-3'!AA22</f>
        <v>INTAN baik  dalam memahami teks kawih tentang bangga sebagai bangsa Indonesia</v>
      </c>
      <c r="AG23" s="232">
        <f>'MLK2-3'!X22</f>
        <v>91</v>
      </c>
      <c r="AH23" s="232" t="str">
        <f>'MLK2-3'!Y22</f>
        <v>A</v>
      </c>
      <c r="AI23" s="231" t="str">
        <f>'MLK2-3'!AD22</f>
        <v xml:space="preserve">INTAN sangat baik  dalam merespon instruksi sangat sederhana dengan tindakan secara berterima dalam konteks sekolah  </v>
      </c>
      <c r="AJ23" s="232">
        <f>'MLK3-3'!W22</f>
        <v>75</v>
      </c>
      <c r="AK23" s="232" t="str">
        <f>'MLK3-3'!X22</f>
        <v>C</v>
      </c>
      <c r="AL23" s="233" t="str">
        <f>'MLK3-3'!AC22</f>
        <v xml:space="preserve">INTAN baik  dalam merespon instruksi sangat sederhana dengan tindakan secara berterima dalam konteks sekolah  , dan  cukup baik  dalam mengeja kalimat sangat sederhana secara tepat dan berterima </v>
      </c>
      <c r="AM23" s="232">
        <f>'PAI4'!CI23</f>
        <v>90</v>
      </c>
      <c r="AN23" s="232" t="str">
        <f>'PAI4'!CJ23</f>
        <v>A</v>
      </c>
      <c r="AO23" s="233" t="str">
        <f>'PAI4'!CO23</f>
        <v>INTAN sangat baik  dalam membaca Q.S. at-Tīn dan Q.S. al-Mā’ūn dengan tartil.</v>
      </c>
      <c r="AP23" s="232">
        <f>'PKN4'!U22</f>
        <v>88</v>
      </c>
      <c r="AQ23" s="232" t="str">
        <f>'PKN4'!V22</f>
        <v>A</v>
      </c>
      <c r="AR23" s="231" t="str">
        <f>'PKN4'!AA22</f>
        <v>INTAN sangat baik  dalam menjelaskan hak, kewajiban, dan tanggung  jawab sebagai warga masyarakat dalam kehidupan sehari-hari</v>
      </c>
      <c r="AS23" s="232">
        <f>BIND4!U22</f>
        <v>91</v>
      </c>
      <c r="AT23" s="232" t="str">
        <f>BIND4!V22</f>
        <v>A</v>
      </c>
      <c r="AU23" s="231" t="str">
        <f>BIND4!AA22</f>
        <v xml:space="preserve">INTAN sangat baik  dalam menyajikan ringkasan teks penjelasan (eksplanasi) dari media cetak atau elektronik dengan menggunakan kosakata baku dan kalimat efektif secara lisan, tulis, dan visual.
</v>
      </c>
      <c r="AV23" s="232">
        <f>'MTK4'!U22</f>
        <v>70</v>
      </c>
      <c r="AW23" s="232" t="str">
        <f>'MTK4'!V22</f>
        <v>C</v>
      </c>
      <c r="AX23" s="231" t="str">
        <f>'MTK4'!AA22</f>
        <v xml:space="preserve">INTAN cukup baik  dalam menyelesaikan masalah yang berkaitan dengan volume bangun ruang dengan menggunakan satuan volume (seperti kubus satuan) melibatkan pangkat tiga dan akar pangkat tiga
</v>
      </c>
      <c r="AY23" s="232">
        <f>'IPA4'!U22</f>
        <v>83</v>
      </c>
      <c r="AZ23" s="232" t="str">
        <f>'IPA4'!V22</f>
        <v>B</v>
      </c>
      <c r="BA23" s="231" t="str">
        <f>'IPA4'!AA22</f>
        <v>INTAN baik  dalam melaporkan hasil pengamatan tentang perpindahan kalor.</v>
      </c>
      <c r="BB23" s="232">
        <f>'IPS4'!U22</f>
        <v>85</v>
      </c>
      <c r="BC23" s="232" t="str">
        <f>'IPS4'!V22</f>
        <v>B</v>
      </c>
      <c r="BD23" s="231" t="str">
        <f>'IPS4'!AA22</f>
        <v>INTAN baik  dalam menyajikan hasil identifikasi karakteristik geografis Indonesia sebagai negara kepulauan/maritim dan agraris serta pengaruhnya terhadap kehidupan ekonomi, sosial, budaya, komunikasi, serta transportasi.</v>
      </c>
      <c r="BE23" s="232">
        <f>SBDP4!U22</f>
        <v>93</v>
      </c>
      <c r="BF23" s="232" t="str">
        <f>SBDP4!V22</f>
        <v>A</v>
      </c>
      <c r="BG23" s="231" t="str">
        <f>SBDP4!AA22</f>
        <v>INTAN sangat baik  dalam membuat gambar cerita</v>
      </c>
      <c r="BH23" s="232">
        <f>PJOK4!U22</f>
        <v>84</v>
      </c>
      <c r="BI23" s="232" t="str">
        <f>PJOK4!V22</f>
        <v>B</v>
      </c>
      <c r="BJ23" s="233" t="str">
        <f>PJOK4!AA22</f>
        <v>INTAN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23" s="232">
        <f>'MLK1-4'!U22</f>
        <v>85</v>
      </c>
      <c r="BL23" s="232" t="str">
        <f>'MLK1-4'!V22</f>
        <v>B</v>
      </c>
      <c r="BM23" s="231" t="str">
        <f>'MLK1-4'!AA22</f>
        <v>INTAN baik  dalam melantunkan dan menceritakan isi kawih tentang bangga sebagai bangsa Indonesia</v>
      </c>
      <c r="BN23" s="232">
        <f>'MLK2-4'!U22</f>
        <v>91</v>
      </c>
      <c r="BO23" s="232" t="str">
        <f>'MLK2-4'!V22</f>
        <v>A</v>
      </c>
      <c r="BP23" s="231" t="str">
        <f>'MLK2-4'!AA22</f>
        <v>INTAN sangat baik  dalam memahami langkah-langkah pengawasan kelestarian lingkungan hidup</v>
      </c>
      <c r="BQ23" s="232">
        <f>'MLK3-4'!Y22</f>
        <v>75</v>
      </c>
      <c r="BR23" s="232" t="str">
        <f>'MLK3-4'!Z22</f>
        <v>C</v>
      </c>
      <c r="BS23" s="231" t="str">
        <f>'MLK3-4'!AE22</f>
        <v xml:space="preserve">INTAN cukup baik  dalam merespon instruksi sangat sederhana dengan tindakan secara berterima dalam konteks sekolah  </v>
      </c>
    </row>
    <row r="24" spans="1:71" ht="129.94999999999999" customHeight="1">
      <c r="A24" s="227">
        <v>19</v>
      </c>
      <c r="B24" s="227" t="str">
        <f>SISWA!B24</f>
        <v>1718250040323</v>
      </c>
      <c r="C24" s="228" t="str">
        <f>SISWA!C24</f>
        <v>JORDY PARVEZ RAMADHAN</v>
      </c>
      <c r="D24" s="229" t="str">
        <f>SPIRIT!P23</f>
        <v xml:space="preserve">Ananda JORDY baik dalam  ketaatan beribadah,  berperilaku syukur,  berdoa sebelum dan sesudah melakukan kegiatan,  toleransi dalam beribadah, </v>
      </c>
      <c r="E24" s="229" t="str">
        <f>SOSIAL!T23</f>
        <v xml:space="preserve">Ananda JORDY baik dalam sikap jujur, disiplin, tanggung jawab, santun, peduli, percaya diri, </v>
      </c>
      <c r="F24" s="230">
        <f>'PAI3'!CI24</f>
        <v>77</v>
      </c>
      <c r="G24" s="230" t="str">
        <f>'PAI3'!CJ24</f>
        <v>B</v>
      </c>
      <c r="H24" s="231" t="str">
        <f>'PAI3'!CO24</f>
        <v>JORDY baik  dalam memahami pelaksanaan salat tarawih dan tadarus al-Qur'an., dan  cukup baik  dalam memahami nama-nama Rasul Allah dan Rasul Ulul ‘Azmi.</v>
      </c>
      <c r="I24" s="230">
        <f>'PKN3'!U23</f>
        <v>88</v>
      </c>
      <c r="J24" s="230" t="str">
        <f>'PKN3'!V23</f>
        <v>A</v>
      </c>
      <c r="K24" s="229" t="str">
        <f>'PKN3'!AA23</f>
        <v xml:space="preserve">JORDY sangat baik  dalam memahami hak, kewajiban dan tanggung jawab sebagai warga dalam kehidupan sehari-hari.
</v>
      </c>
      <c r="L24" s="232">
        <f>BIND3!U23</f>
        <v>93</v>
      </c>
      <c r="M24" s="232" t="str">
        <f>BIND3!V23</f>
        <v>A</v>
      </c>
      <c r="N24" s="231" t="str">
        <f>BIND3!AA23</f>
        <v>JORDY sangat baik  dalam meringkas teks penjelasan (eksplanasi) dari media cetak atau elektronik.</v>
      </c>
      <c r="O24" s="232">
        <f>'MTK3'!U23</f>
        <v>75</v>
      </c>
      <c r="P24" s="232" t="str">
        <f>'MTK3'!V23</f>
        <v>C</v>
      </c>
      <c r="Q24" s="231" t="str">
        <f>'MTK3'!AA23</f>
        <v xml:space="preserve">JORDY cukup baik  dalam menjelaskan, dan menentukan volume bangun ruang dengan menggunakan satuan volume (seperti kubus satuan) serta hubungan pangkat tiga dengan akar pangkat tiga
</v>
      </c>
      <c r="R24" s="232">
        <f>'IPA3'!U23</f>
        <v>78</v>
      </c>
      <c r="S24" s="232" t="str">
        <f>'IPA3'!V23</f>
        <v>B</v>
      </c>
      <c r="T24" s="231" t="str">
        <f>'IPA3'!AA23</f>
        <v xml:space="preserve">JORDY baik  dalam menerapkan konsep perpindahan kalor dalam kehidupan sehari-hari.
</v>
      </c>
      <c r="U24" s="232">
        <f>'IPS3'!U23</f>
        <v>93</v>
      </c>
      <c r="V24" s="232" t="str">
        <f>'IPS3'!V23</f>
        <v>A</v>
      </c>
      <c r="W24" s="231" t="str">
        <f>'IPS3'!AA23</f>
        <v>JORDY sangat baik  dalam Mengidentifikasi karakteristik geografis Indonesia sebagai negara kepulauan/maritim dan agraris serta pengaruhnya terhadap kehidupan ekonomi, sosial, budaya, komunikasi, serta transportasi.</v>
      </c>
      <c r="X24" s="232">
        <f>SBDP3!U23</f>
        <v>88</v>
      </c>
      <c r="Y24" s="232" t="str">
        <f>SBDP3!V23</f>
        <v>A</v>
      </c>
      <c r="Z24" s="231" t="str">
        <f>SBDP3!AA23</f>
        <v>JORDY sangat baik  dalam memahami gambar cerita</v>
      </c>
      <c r="AA24" s="232">
        <f>PJOK3!U23</f>
        <v>85</v>
      </c>
      <c r="AB24" s="232" t="str">
        <f>PJOK3!V23</f>
        <v>B</v>
      </c>
      <c r="AC24" s="231" t="str">
        <f>PJOK3!AA23</f>
        <v xml:space="preserve">JORDY baik  dalam memahami kombinasi pola gerak dominan (bertumpu, bergantung, keseimbangan, berpindah/lokomotor, tolakan, putaran, ayunan, melayang, dan mendarat) untuk membentuk keterampilan dasar senam menggunakan alat
</v>
      </c>
      <c r="AD24" s="232">
        <f>'MLK1-3'!U23</f>
        <v>80</v>
      </c>
      <c r="AE24" s="232" t="str">
        <f>'MLK1-3'!V23</f>
        <v>B</v>
      </c>
      <c r="AF24" s="233" t="str">
        <f>'MLK1-3'!AA23</f>
        <v>JORDY baik  dalam memahami teks kawih tentang bangga sebagai bangsa Indonesia</v>
      </c>
      <c r="AG24" s="232">
        <f>'MLK2-3'!X23</f>
        <v>88</v>
      </c>
      <c r="AH24" s="232" t="str">
        <f>'MLK2-3'!Y23</f>
        <v>A</v>
      </c>
      <c r="AI24" s="231" t="str">
        <f>'MLK2-3'!AD23</f>
        <v xml:space="preserve">JORDY sangat baik  dalam merespon instruksi sangat sederhana dengan tindakan secara berterima dalam konteks sekolah  </v>
      </c>
      <c r="AJ24" s="232">
        <f>'MLK3-3'!W23</f>
        <v>78</v>
      </c>
      <c r="AK24" s="232" t="str">
        <f>'MLK3-3'!X23</f>
        <v>B</v>
      </c>
      <c r="AL24" s="233" t="str">
        <f>'MLK3-3'!AC23</f>
        <v xml:space="preserve">JORDY baik  dalam mengeja kalimat sangat sederhana secara tepat dan berterima , dan  cukup baik  dalam merespon instruksi sangat sederhana dengan tindakan secara berterima dalam konteks sekolah  </v>
      </c>
      <c r="AM24" s="232">
        <f>'PAI4'!CI24</f>
        <v>90</v>
      </c>
      <c r="AN24" s="232" t="str">
        <f>'PAI4'!CJ24</f>
        <v>A</v>
      </c>
      <c r="AO24" s="233" t="str">
        <f>'PAI4'!CO24</f>
        <v>JORDY sangat baik  dalam membaca Q.S. at-Tīn dan Q.S. al-Mā’ūn dengan tartil.</v>
      </c>
      <c r="AP24" s="232">
        <f>'PKN4'!U23</f>
        <v>88</v>
      </c>
      <c r="AQ24" s="232" t="str">
        <f>'PKN4'!V23</f>
        <v>A</v>
      </c>
      <c r="AR24" s="231" t="str">
        <f>'PKN4'!AA23</f>
        <v>JORDY sangat baik  dalam menjelaskan hak, kewajiban, dan tanggung  jawab sebagai warga masyarakat dalam kehidupan sehari-hari</v>
      </c>
      <c r="AS24" s="232">
        <f>BIND4!U23</f>
        <v>93</v>
      </c>
      <c r="AT24" s="232" t="str">
        <f>BIND4!V23</f>
        <v>A</v>
      </c>
      <c r="AU24" s="231" t="str">
        <f>BIND4!AA23</f>
        <v xml:space="preserve">JORDY sangat baik  dalam menyajikan ringkasan teks penjelasan (eksplanasi) dari media cetak atau elektronik dengan menggunakan kosakata baku dan kalimat efektif secara lisan, tulis, dan visual.
</v>
      </c>
      <c r="AV24" s="232">
        <f>'MTK4'!U23</f>
        <v>75</v>
      </c>
      <c r="AW24" s="232" t="str">
        <f>'MTK4'!V23</f>
        <v>C</v>
      </c>
      <c r="AX24" s="231" t="str">
        <f>'MTK4'!AA23</f>
        <v xml:space="preserve">JORDY cukup baik  dalam menyelesaikan masalah yang berkaitan dengan volume bangun ruang dengan menggunakan satuan volume (seperti kubus satuan) melibatkan pangkat tiga dan akar pangkat tiga
</v>
      </c>
      <c r="AY24" s="232">
        <f>'IPA4'!U23</f>
        <v>78</v>
      </c>
      <c r="AZ24" s="232" t="str">
        <f>'IPA4'!V23</f>
        <v>B</v>
      </c>
      <c r="BA24" s="231" t="str">
        <f>'IPA4'!AA23</f>
        <v>JORDY baik  dalam melaporkan hasil pengamatan tentang perpindahan kalor.</v>
      </c>
      <c r="BB24" s="232">
        <f>'IPS4'!U23</f>
        <v>93</v>
      </c>
      <c r="BC24" s="232" t="str">
        <f>'IPS4'!V23</f>
        <v>A</v>
      </c>
      <c r="BD24" s="231" t="str">
        <f>'IPS4'!AA23</f>
        <v>JORDY sangat baik  dalam menyajikan hasil identifikasi karakteristik geografis Indonesia sebagai negara kepulauan/maritim dan agraris serta pengaruhnya terhadap kehidupan ekonomi, sosial, budaya, komunikasi, serta transportasi.</v>
      </c>
      <c r="BE24" s="232">
        <f>SBDP4!U23</f>
        <v>88</v>
      </c>
      <c r="BF24" s="232" t="str">
        <f>SBDP4!V23</f>
        <v>A</v>
      </c>
      <c r="BG24" s="231" t="str">
        <f>SBDP4!AA23</f>
        <v>JORDY sangat baik  dalam membuat gambar cerita</v>
      </c>
      <c r="BH24" s="232">
        <f>PJOK4!U23</f>
        <v>84</v>
      </c>
      <c r="BI24" s="232" t="str">
        <f>PJOK4!V23</f>
        <v>B</v>
      </c>
      <c r="BJ24" s="233" t="str">
        <f>PJOK4!AA23</f>
        <v>JORDY sangat baik  dalam menerapkan konsep pemeliharaan diri dan orang lain dari penyakit menular dan tidak menular, dan  baik  dalam mempraktikkan pengunaan kombinasi gerak dasar langkah dan ayunan lengan mengikuti irama (ketukan) tanpa/dengan musik dalam aktivitas gerak berirama</v>
      </c>
      <c r="BK24" s="232">
        <f>'MLK1-4'!U23</f>
        <v>80</v>
      </c>
      <c r="BL24" s="232" t="str">
        <f>'MLK1-4'!V23</f>
        <v>B</v>
      </c>
      <c r="BM24" s="231" t="str">
        <f>'MLK1-4'!AA23</f>
        <v>JORDY baik  dalam melantunkan dan menceritakan isi kawih tentang bangga sebagai bangsa Indonesia</v>
      </c>
      <c r="BN24" s="232">
        <f>'MLK2-4'!U23</f>
        <v>88</v>
      </c>
      <c r="BO24" s="232" t="str">
        <f>'MLK2-4'!V23</f>
        <v>A</v>
      </c>
      <c r="BP24" s="231" t="str">
        <f>'MLK2-4'!AA23</f>
        <v>JORDY sangat baik  dalam memahami langkah-langkah pengawasan kelestarian lingkungan hidup</v>
      </c>
      <c r="BQ24" s="232">
        <f>'MLK3-4'!Y23</f>
        <v>78</v>
      </c>
      <c r="BR24" s="232" t="str">
        <f>'MLK3-4'!Z23</f>
        <v>B</v>
      </c>
      <c r="BS24" s="231" t="str">
        <f>'MLK3-4'!AE23</f>
        <v xml:space="preserve">JORDY baik  dalam merespon instruksi sangat sederhana dengan tindakan secara berterima dalam konteks sekolah  </v>
      </c>
    </row>
    <row r="25" spans="1:71" ht="129.94999999999999" customHeight="1">
      <c r="A25" s="227">
        <v>20</v>
      </c>
      <c r="B25" s="227" t="str">
        <f>SISWA!B25</f>
        <v>1718250040324</v>
      </c>
      <c r="C25" s="228" t="str">
        <f>SISWA!C25</f>
        <v>KURNIA KARYADIREDJA</v>
      </c>
      <c r="D25" s="229" t="str">
        <f>SPIRIT!P24</f>
        <v xml:space="preserve">Ananda KURNIA baik dalam  ketaatan beribadah,  berperilaku syukur,  berdoa sebelum dan sesudah melakukan kegiatan,  toleransi dalam beribadah, </v>
      </c>
      <c r="E25" s="229" t="str">
        <f>SOSIAL!T24</f>
        <v xml:space="preserve">Ananda KURNIA baik dalam sikap jujur, disiplin, tanggung jawab, santun, peduli, percaya diri, </v>
      </c>
      <c r="F25" s="230">
        <f>'PAI3'!CI25</f>
        <v>79</v>
      </c>
      <c r="G25" s="230" t="str">
        <f>'PAI3'!CJ25</f>
        <v>B</v>
      </c>
      <c r="H25" s="231" t="str">
        <f>'PAI3'!CO25</f>
        <v>KURNIA sangat baik  dalam memahami makna ikhlas beramal dalam kehidupan sehari-hari, dan  cukup baik  dalam memahami makna sederhana dalam kehidupan sehari-hari.</v>
      </c>
      <c r="I25" s="230">
        <f>'PKN3'!U24</f>
        <v>83</v>
      </c>
      <c r="J25" s="230" t="str">
        <f>'PKN3'!V24</f>
        <v>B</v>
      </c>
      <c r="K25" s="229" t="str">
        <f>'PKN3'!AA24</f>
        <v xml:space="preserve">KURNIA baik  dalam memahami hak, kewajiban dan tanggung jawab sebagai warga dalam kehidupan sehari-hari.
</v>
      </c>
      <c r="L25" s="232">
        <f>BIND3!U24</f>
        <v>86</v>
      </c>
      <c r="M25" s="232" t="str">
        <f>BIND3!V24</f>
        <v>B</v>
      </c>
      <c r="N25" s="231" t="str">
        <f>BIND3!AA24</f>
        <v>KURNIA baik  dalam meringkas teks penjelasan (eksplanasi) dari media cetak atau elektronik.</v>
      </c>
      <c r="O25" s="232">
        <f>'MTK3'!U24</f>
        <v>70</v>
      </c>
      <c r="P25" s="232" t="str">
        <f>'MTK3'!V24</f>
        <v>C</v>
      </c>
      <c r="Q25" s="231" t="str">
        <f>'MTK3'!AA24</f>
        <v xml:space="preserve">KURNIA cukup baik  dalam menjelaskan, dan menentukan volume bangun ruang dengan menggunakan satuan volume (seperti kubus satuan) serta hubungan pangkat tiga dengan akar pangkat tiga
</v>
      </c>
      <c r="R25" s="232">
        <f>'IPA3'!U24</f>
        <v>93</v>
      </c>
      <c r="S25" s="232" t="str">
        <f>'IPA3'!V24</f>
        <v>A</v>
      </c>
      <c r="T25" s="231" t="str">
        <f>'IPA3'!AA24</f>
        <v xml:space="preserve">KURNIA sangat baik  dalam menerapkan konsep perpindahan kalor dalam kehidupan sehari-hari.
</v>
      </c>
      <c r="U25" s="232">
        <f>'IPS3'!U24</f>
        <v>90</v>
      </c>
      <c r="V25" s="232" t="str">
        <f>'IPS3'!V24</f>
        <v>A</v>
      </c>
      <c r="W25" s="231" t="str">
        <f>'IPS3'!AA24</f>
        <v>KURNIA sangat baik  dalam Mengidentifikasi karakteristik geografis Indonesia sebagai negara kepulauan/maritim dan agraris serta pengaruhnya terhadap kehidupan ekonomi, sosial, budaya, komunikasi, serta transportasi.</v>
      </c>
      <c r="X25" s="232">
        <f>SBDP3!U24</f>
        <v>90</v>
      </c>
      <c r="Y25" s="232" t="str">
        <f>SBDP3!V24</f>
        <v>A</v>
      </c>
      <c r="Z25" s="231" t="str">
        <f>SBDP3!AA24</f>
        <v>KURNIA sangat baik  dalam memahami gambar cerita</v>
      </c>
      <c r="AA25" s="232">
        <f>PJOK3!U24</f>
        <v>86</v>
      </c>
      <c r="AB25" s="232" t="str">
        <f>PJOK3!V24</f>
        <v>B</v>
      </c>
      <c r="AC25" s="231" t="str">
        <f>PJOK3!AA24</f>
        <v xml:space="preserve">KURNIA baik  dalam memahami kombinasi pola gerak dominan (bertumpu, bergantung, keseimbangan, berpindah/lokomotor, tolakan, putaran, ayunan, melayang, dan mendarat) untuk membentuk keterampilan dasar senam menggunakan alat
</v>
      </c>
      <c r="AD25" s="232">
        <f>'MLK1-3'!U24</f>
        <v>74</v>
      </c>
      <c r="AE25" s="232" t="str">
        <f>'MLK1-3'!V24</f>
        <v>C</v>
      </c>
      <c r="AF25" s="233" t="str">
        <f>'MLK1-3'!AA24</f>
        <v>KURNIA cukup baik  dalam memahami teks kawih tentang bangga sebagai bangsa Indonesia</v>
      </c>
      <c r="AG25" s="232">
        <f>'MLK2-3'!X24</f>
        <v>85</v>
      </c>
      <c r="AH25" s="232" t="str">
        <f>'MLK2-3'!Y24</f>
        <v>B</v>
      </c>
      <c r="AI25" s="231" t="str">
        <f>'MLK2-3'!AD24</f>
        <v xml:space="preserve">KURNIA baik  dalam merespon instruksi sangat sederhana dengan tindakan secara berterima dalam konteks sekolah  </v>
      </c>
      <c r="AJ25" s="232">
        <f>'MLK3-3'!W24</f>
        <v>75</v>
      </c>
      <c r="AK25" s="232" t="str">
        <f>'MLK3-3'!X24</f>
        <v>C</v>
      </c>
      <c r="AL25" s="233" t="str">
        <f>'MLK3-3'!AC24</f>
        <v xml:space="preserve">KURNIA baik  dalam merespon instruksi sangat sederhana dengan tindakan secara berterima dalam konteks sekolah  , dan  cukup baik  dalam mengeja kalimat sangat sederhana secara tepat dan berterima </v>
      </c>
      <c r="AM25" s="232">
        <f>'PAI4'!CI25</f>
        <v>90</v>
      </c>
      <c r="AN25" s="232" t="str">
        <f>'PAI4'!CJ25</f>
        <v>A</v>
      </c>
      <c r="AO25" s="233" t="str">
        <f>'PAI4'!CO25</f>
        <v>KURNIA sangat baik  dalam membaca Q.S. at-Tīn dan Q.S. al-Mā’ūn dengan tartil.</v>
      </c>
      <c r="AP25" s="232">
        <f>'PKN4'!U24</f>
        <v>83</v>
      </c>
      <c r="AQ25" s="232" t="str">
        <f>'PKN4'!V24</f>
        <v>B</v>
      </c>
      <c r="AR25" s="231" t="str">
        <f>'PKN4'!AA24</f>
        <v>KURNIA baik  dalam menjelaskan hak, kewajiban, dan tanggung  jawab sebagai warga masyarakat dalam kehidupan sehari-hari</v>
      </c>
      <c r="AS25" s="232">
        <f>BIND4!U24</f>
        <v>86</v>
      </c>
      <c r="AT25" s="232" t="str">
        <f>BIND4!V24</f>
        <v>B</v>
      </c>
      <c r="AU25" s="231" t="str">
        <f>BIND4!AA24</f>
        <v xml:space="preserve">KURNIA baik  dalam menyajikan ringkasan teks penjelasan (eksplanasi) dari media cetak atau elektronik dengan menggunakan kosakata baku dan kalimat efektif secara lisan, tulis, dan visual.
</v>
      </c>
      <c r="AV25" s="232">
        <f>'MTK4'!U24</f>
        <v>70</v>
      </c>
      <c r="AW25" s="232" t="str">
        <f>'MTK4'!V24</f>
        <v>C</v>
      </c>
      <c r="AX25" s="231" t="str">
        <f>'MTK4'!AA24</f>
        <v xml:space="preserve">KURNIA cukup baik  dalam menyelesaikan masalah yang berkaitan dengan volume bangun ruang dengan menggunakan satuan volume (seperti kubus satuan) melibatkan pangkat tiga dan akar pangkat tiga
</v>
      </c>
      <c r="AY25" s="232">
        <f>'IPA4'!U24</f>
        <v>93</v>
      </c>
      <c r="AZ25" s="232" t="str">
        <f>'IPA4'!V24</f>
        <v>A</v>
      </c>
      <c r="BA25" s="231" t="str">
        <f>'IPA4'!AA24</f>
        <v>KURNIA sangat baik  dalam melaporkan hasil pengamatan tentang perpindahan kalor.</v>
      </c>
      <c r="BB25" s="232">
        <f>'IPS4'!U24</f>
        <v>90</v>
      </c>
      <c r="BC25" s="232" t="str">
        <f>'IPS4'!V24</f>
        <v>A</v>
      </c>
      <c r="BD25" s="231" t="str">
        <f>'IPS4'!AA24</f>
        <v>KURNIA sangat baik  dalam menyajikan hasil identifikasi karakteristik geografis Indonesia sebagai negara kepulauan/maritim dan agraris serta pengaruhnya terhadap kehidupan ekonomi, sosial, budaya, komunikasi, serta transportasi.</v>
      </c>
      <c r="BE25" s="232">
        <f>SBDP4!U24</f>
        <v>90</v>
      </c>
      <c r="BF25" s="232" t="str">
        <f>SBDP4!V24</f>
        <v>A</v>
      </c>
      <c r="BG25" s="231" t="str">
        <f>SBDP4!AA24</f>
        <v>KURNIA sangat baik  dalam membuat gambar cerita</v>
      </c>
      <c r="BH25" s="232">
        <f>PJOK4!U24</f>
        <v>87</v>
      </c>
      <c r="BI25" s="232" t="str">
        <f>PJOK4!V24</f>
        <v>B</v>
      </c>
      <c r="BJ25" s="233" t="str">
        <f>PJOK4!AA24</f>
        <v>KURNIA sangat baik  dalam menerapkan konsep pemeliharaan diri dan orang lain dari penyakit menular dan tidak menular, dan  baik  dalam mempraktikkan salah satu gaya renang dengan koordinasi yang baik pada jarak tertentu</v>
      </c>
      <c r="BK25" s="232">
        <f>'MLK1-4'!U24</f>
        <v>74</v>
      </c>
      <c r="BL25" s="232" t="str">
        <f>'MLK1-4'!V24</f>
        <v>C</v>
      </c>
      <c r="BM25" s="231" t="str">
        <f>'MLK1-4'!AA24</f>
        <v>KURNIA cukup baik  dalam melantunkan dan menceritakan isi kawih tentang bangga sebagai bangsa Indonesia</v>
      </c>
      <c r="BN25" s="232">
        <f>'MLK2-4'!U24</f>
        <v>85</v>
      </c>
      <c r="BO25" s="232" t="str">
        <f>'MLK2-4'!V24</f>
        <v>B</v>
      </c>
      <c r="BP25" s="231" t="str">
        <f>'MLK2-4'!AA24</f>
        <v>KURNIA baik  dalam memahami langkah-langkah pengawasan kelestarian lingkungan hidup</v>
      </c>
      <c r="BQ25" s="232">
        <f>'MLK3-4'!Y24</f>
        <v>70</v>
      </c>
      <c r="BR25" s="232" t="str">
        <f>'MLK3-4'!Z24</f>
        <v>C</v>
      </c>
      <c r="BS25" s="231" t="str">
        <f>'MLK3-4'!AE24</f>
        <v xml:space="preserve">KURNIA cukup baik  dalam merespon instruksi sangat sederhana dengan tindakan secara berterima dalam konteks sekolah  </v>
      </c>
    </row>
    <row r="26" spans="1:71" ht="129.94999999999999" customHeight="1">
      <c r="A26" s="227">
        <v>21</v>
      </c>
      <c r="B26" s="227" t="str">
        <f>SISWA!B26</f>
        <v>1718250040325</v>
      </c>
      <c r="C26" s="228" t="str">
        <f>SISWA!C26</f>
        <v>LATIZA SYIFA AZURA</v>
      </c>
      <c r="D26" s="229" t="str">
        <f>SPIRIT!P25</f>
        <v xml:space="preserve">Ananda LATIZA baik dalam  ketaatan beribadah,  berperilaku syukur,  berdoa sebelum dan sesudah melakukan kegiatan,  toleransi dalam beribadah, </v>
      </c>
      <c r="E26" s="229" t="str">
        <f>SOSIAL!T25</f>
        <v xml:space="preserve">Ananda LATIZA baik dalam sikap jujur, disiplin, tanggung jawab, santun, peduli, percaya diri, </v>
      </c>
      <c r="F26" s="230">
        <f>'PAI3'!CI26</f>
        <v>85</v>
      </c>
      <c r="G26" s="230" t="str">
        <f>'PAI3'!CJ26</f>
        <v>B</v>
      </c>
      <c r="H26" s="231" t="str">
        <f>'PAI3'!CO26</f>
        <v>LATIZA sangat baik  dalam memahami makna Q.S. at-Tīn dan Q.S. al-Mā’ūn dengan benar., dan  cukup baik  dalam memahami nama-nama Rasul Allah dan Rasul Ulul ‘Azmi.</v>
      </c>
      <c r="I26" s="230">
        <f>'PKN3'!U25</f>
        <v>98</v>
      </c>
      <c r="J26" s="230" t="str">
        <f>'PKN3'!V25</f>
        <v>A</v>
      </c>
      <c r="K26" s="229" t="str">
        <f>'PKN3'!AA25</f>
        <v xml:space="preserve">LATIZA sangat baik  dalam memahami hak, kewajiban dan tanggung jawab sebagai warga dalam kehidupan sehari-hari.
</v>
      </c>
      <c r="L26" s="232">
        <f>BIND3!U25</f>
        <v>98</v>
      </c>
      <c r="M26" s="232" t="str">
        <f>BIND3!V25</f>
        <v>A</v>
      </c>
      <c r="N26" s="231" t="str">
        <f>BIND3!AA25</f>
        <v>LATIZA sangat baik  dalam meringkas teks penjelasan (eksplanasi) dari media cetak atau elektronik.</v>
      </c>
      <c r="O26" s="232">
        <f>'MTK3'!U25</f>
        <v>95</v>
      </c>
      <c r="P26" s="232" t="str">
        <f>'MTK3'!V25</f>
        <v>A</v>
      </c>
      <c r="Q26" s="231" t="str">
        <f>'MTK3'!AA25</f>
        <v xml:space="preserve">LATIZA sangat baik  dalam menjelaskan, dan menentukan volume bangun ruang dengan menggunakan satuan volume (seperti kubus satuan) serta hubungan pangkat tiga dengan akar pangkat tiga
</v>
      </c>
      <c r="R26" s="232">
        <f>'IPA3'!U25</f>
        <v>95</v>
      </c>
      <c r="S26" s="232" t="str">
        <f>'IPA3'!V25</f>
        <v>A</v>
      </c>
      <c r="T26" s="231" t="str">
        <f>'IPA3'!AA25</f>
        <v xml:space="preserve">LATIZA sangat baik  dalam menerapkan konsep perpindahan kalor dalam kehidupan sehari-hari.
</v>
      </c>
      <c r="U26" s="232">
        <f>'IPS3'!U25</f>
        <v>100</v>
      </c>
      <c r="V26" s="232" t="str">
        <f>'IPS3'!V25</f>
        <v>A</v>
      </c>
      <c r="W26" s="231" t="str">
        <f>'IPS3'!AA25</f>
        <v>LATIZA sangat baik  dalam Mengidentifikasi karakteristik geografis Indonesia sebagai negara kepulauan/maritim dan agraris serta pengaruhnya terhadap kehidupan ekonomi, sosial, budaya, komunikasi, serta transportasi.</v>
      </c>
      <c r="X26" s="232">
        <f>SBDP3!U25</f>
        <v>98</v>
      </c>
      <c r="Y26" s="232" t="str">
        <f>SBDP3!V25</f>
        <v>A</v>
      </c>
      <c r="Z26" s="231" t="str">
        <f>SBDP3!AA25</f>
        <v>LATIZA sangat baik  dalam memahami gambar cerita</v>
      </c>
      <c r="AA26" s="232">
        <f>PJOK3!U25</f>
        <v>91</v>
      </c>
      <c r="AB26" s="232" t="str">
        <f>PJOK3!V25</f>
        <v>A</v>
      </c>
      <c r="AC26" s="231" t="str">
        <f>PJOK3!AA25</f>
        <v xml:space="preserve">LATIZA sangat baik  dalam memahami kombinasi pola gerak dominan (bertumpu, bergantung, keseimbangan, berpindah/lokomotor, tolakan, putaran, ayunan, melayang, dan mendarat) untuk membentuk keterampilan dasar senam menggunakan alat
</v>
      </c>
      <c r="AD26" s="232">
        <f>'MLK1-3'!U25</f>
        <v>100</v>
      </c>
      <c r="AE26" s="232" t="str">
        <f>'MLK1-3'!V25</f>
        <v>A</v>
      </c>
      <c r="AF26" s="233" t="str">
        <f>'MLK1-3'!AA25</f>
        <v>LATIZA sangat baik  dalam memahami teks kawih tentang bangga sebagai bangsa Indonesia</v>
      </c>
      <c r="AG26" s="232">
        <f>'MLK2-3'!X25</f>
        <v>100</v>
      </c>
      <c r="AH26" s="232" t="str">
        <f>'MLK2-3'!Y25</f>
        <v>A</v>
      </c>
      <c r="AI26" s="231" t="str">
        <f>'MLK2-3'!AD25</f>
        <v xml:space="preserve">LATIZA sangat baik  dalam merespon instruksi sangat sederhana dengan tindakan secara berterima dalam konteks sekolah  </v>
      </c>
      <c r="AJ26" s="232">
        <f>'MLK3-3'!W25</f>
        <v>97</v>
      </c>
      <c r="AK26" s="232" t="str">
        <f>'MLK3-3'!X25</f>
        <v>A</v>
      </c>
      <c r="AL26" s="233" t="str">
        <f>'MLK3-3'!AC25</f>
        <v xml:space="preserve">LATIZA sangat baik  dalam merespon instruksi sangat sederhana dengan tindakan secara berterima dalam konteks sekolah  , dan  sangat baik  dalam membaca nyaring dengan ucapan, tekanan, dan intonasi secara tepat dan berterima yang melibatkan: kata, frasa, kalimat sangat sederhana, dan teks sangat sederhana 
</v>
      </c>
      <c r="AM26" s="232">
        <f>'PAI4'!CI26</f>
        <v>90</v>
      </c>
      <c r="AN26" s="232" t="str">
        <f>'PAI4'!CJ26</f>
        <v>A</v>
      </c>
      <c r="AO26" s="233" t="str">
        <f>'PAI4'!CO26</f>
        <v>LATIZA sangat baik  dalam membaca Q.S. at-Tīn dan Q.S. al-Mā’ūn dengan tartil.</v>
      </c>
      <c r="AP26" s="232">
        <f>'PKN4'!U25</f>
        <v>98</v>
      </c>
      <c r="AQ26" s="232" t="str">
        <f>'PKN4'!V25</f>
        <v>A</v>
      </c>
      <c r="AR26" s="231" t="str">
        <f>'PKN4'!AA25</f>
        <v>LATIZA sangat baik  dalam menjelaskan hak, kewajiban, dan tanggung  jawab sebagai warga masyarakat dalam kehidupan sehari-hari</v>
      </c>
      <c r="AS26" s="232">
        <f>BIND4!U25</f>
        <v>98</v>
      </c>
      <c r="AT26" s="232" t="str">
        <f>BIND4!V25</f>
        <v>A</v>
      </c>
      <c r="AU26" s="231" t="str">
        <f>BIND4!AA25</f>
        <v xml:space="preserve">LATIZA sangat baik  dalam menyajikan ringkasan teks penjelasan (eksplanasi) dari media cetak atau elektronik dengan menggunakan kosakata baku dan kalimat efektif secara lisan, tulis, dan visual.
</v>
      </c>
      <c r="AV26" s="232">
        <f>'MTK4'!U25</f>
        <v>95</v>
      </c>
      <c r="AW26" s="232" t="str">
        <f>'MTK4'!V25</f>
        <v>A</v>
      </c>
      <c r="AX26" s="231" t="str">
        <f>'MTK4'!AA25</f>
        <v xml:space="preserve">LATIZA sangat baik  dalam menyelesaikan masalah yang berkaitan dengan volume bangun ruang dengan menggunakan satuan volume (seperti kubus satuan) melibatkan pangkat tiga dan akar pangkat tiga
</v>
      </c>
      <c r="AY26" s="232">
        <f>'IPA4'!U25</f>
        <v>95</v>
      </c>
      <c r="AZ26" s="232" t="str">
        <f>'IPA4'!V25</f>
        <v>A</v>
      </c>
      <c r="BA26" s="231" t="str">
        <f>'IPA4'!AA25</f>
        <v>LATIZA sangat baik  dalam melaporkan hasil pengamatan tentang perpindahan kalor.</v>
      </c>
      <c r="BB26" s="232">
        <f>'IPS4'!U25</f>
        <v>100</v>
      </c>
      <c r="BC26" s="232" t="str">
        <f>'IPS4'!V25</f>
        <v>A</v>
      </c>
      <c r="BD26" s="231" t="str">
        <f>'IPS4'!AA25</f>
        <v>LATIZA sangat baik  dalam menyajikan hasil identifikasi karakteristik geografis Indonesia sebagai negara kepulauan/maritim dan agraris serta pengaruhnya terhadap kehidupan ekonomi, sosial, budaya, komunikasi, serta transportasi.</v>
      </c>
      <c r="BE26" s="232">
        <f>SBDP4!U25</f>
        <v>98</v>
      </c>
      <c r="BF26" s="232" t="str">
        <f>SBDP4!V25</f>
        <v>A</v>
      </c>
      <c r="BG26" s="231" t="str">
        <f>SBDP4!AA25</f>
        <v>LATIZA sangat baik  dalam membuat gambar cerita</v>
      </c>
      <c r="BH26" s="232">
        <f>PJOK4!U25</f>
        <v>89</v>
      </c>
      <c r="BI26" s="232" t="str">
        <f>PJOK4!V25</f>
        <v>A</v>
      </c>
      <c r="BJ26" s="233" t="str">
        <f>PJOK4!AA25</f>
        <v>LATIZA sangat baik  dalam mempraktikkan salah satu gaya renang dengan koordinasi yang baik pada jarak tertentu, dan  baik  dalam menerapkan konsep pemeliharaan diri dan orang lain dari penyakit menular dan tidak menular</v>
      </c>
      <c r="BK26" s="232">
        <f>'MLK1-4'!U25</f>
        <v>100</v>
      </c>
      <c r="BL26" s="232" t="str">
        <f>'MLK1-4'!V25</f>
        <v>A</v>
      </c>
      <c r="BM26" s="231" t="str">
        <f>'MLK1-4'!AA25</f>
        <v>LATIZA sangat baik  dalam melantunkan dan menceritakan isi kawih tentang bangga sebagai bangsa Indonesia</v>
      </c>
      <c r="BN26" s="232">
        <f>'MLK2-4'!U25</f>
        <v>100</v>
      </c>
      <c r="BO26" s="232" t="str">
        <f>'MLK2-4'!V25</f>
        <v>A</v>
      </c>
      <c r="BP26" s="231" t="str">
        <f>'MLK2-4'!AA25</f>
        <v>LATIZA sangat baik  dalam memahami langkah-langkah pengawasan kelestarian lingkungan hidup</v>
      </c>
      <c r="BQ26" s="232">
        <f>'MLK3-4'!Y25</f>
        <v>95</v>
      </c>
      <c r="BR26" s="232" t="str">
        <f>'MLK3-4'!Z25</f>
        <v>A</v>
      </c>
      <c r="BS26" s="231" t="str">
        <f>'MLK3-4'!AE25</f>
        <v xml:space="preserve">LATIZA sangat baik  dalam merespon instruksi sangat sederhana dengan tindakan secara berterima dalam konteks sekolah  </v>
      </c>
    </row>
    <row r="27" spans="1:71" ht="129.94999999999999" customHeight="1">
      <c r="A27" s="227">
        <v>22</v>
      </c>
      <c r="B27" s="227" t="str">
        <f>SISWA!B27</f>
        <v>1718250040326</v>
      </c>
      <c r="C27" s="228" t="str">
        <f>SISWA!C27</f>
        <v>MOCHAMAD RIZKY NUGRAHA</v>
      </c>
      <c r="D27" s="229" t="str">
        <f>SPIRIT!P26</f>
        <v xml:space="preserve">Ananda RIZKY baik dalam  ketaatan beribadah,  berperilaku syukur,  berdoa sebelum dan sesudah melakukan kegiatan,  toleransi dalam beribadah, </v>
      </c>
      <c r="E27" s="229" t="str">
        <f>SOSIAL!T26</f>
        <v xml:space="preserve">Ananda RIZKY baik dalam sikap jujur, disiplin, tanggung jawab, santun, peduli, percaya diri, </v>
      </c>
      <c r="F27" s="230">
        <f>'PAI3'!CI27</f>
        <v>82</v>
      </c>
      <c r="G27" s="230" t="str">
        <f>'PAI3'!CJ27</f>
        <v>B</v>
      </c>
      <c r="H27" s="231" t="str">
        <f>'PAI3'!CO27</f>
        <v>RIZKY sangat baik  dalam memahami makna Q.S. at-Tīn dan Q.S. al-Mā’ūn dengan benar., dan  cukup baik  dalam memahami makna ikhlas beramal dalam kehidupan sehari-hari</v>
      </c>
      <c r="I27" s="230">
        <f>'PKN3'!U26</f>
        <v>85</v>
      </c>
      <c r="J27" s="230" t="str">
        <f>'PKN3'!V26</f>
        <v>B</v>
      </c>
      <c r="K27" s="229" t="str">
        <f>'PKN3'!AA26</f>
        <v xml:space="preserve">RIZKY baik  dalam memahami hak, kewajiban dan tanggung jawab sebagai warga dalam kehidupan sehari-hari.
</v>
      </c>
      <c r="L27" s="232">
        <f>BIND3!U26</f>
        <v>93</v>
      </c>
      <c r="M27" s="232" t="str">
        <f>BIND3!V26</f>
        <v>A</v>
      </c>
      <c r="N27" s="231" t="str">
        <f>BIND3!AA26</f>
        <v>RIZKY sangat baik  dalam meringkas teks penjelasan (eksplanasi) dari media cetak atau elektronik.</v>
      </c>
      <c r="O27" s="232">
        <f>'MTK3'!U26</f>
        <v>75</v>
      </c>
      <c r="P27" s="232" t="str">
        <f>'MTK3'!V26</f>
        <v>C</v>
      </c>
      <c r="Q27" s="231" t="str">
        <f>'MTK3'!AA26</f>
        <v xml:space="preserve">RIZKY cukup baik  dalam menjelaskan, dan menentukan volume bangun ruang dengan menggunakan satuan volume (seperti kubus satuan) serta hubungan pangkat tiga dengan akar pangkat tiga
</v>
      </c>
      <c r="R27" s="232">
        <f>'IPA3'!U26</f>
        <v>90</v>
      </c>
      <c r="S27" s="232" t="str">
        <f>'IPA3'!V26</f>
        <v>A</v>
      </c>
      <c r="T27" s="231" t="str">
        <f>'IPA3'!AA26</f>
        <v xml:space="preserve">RIZKY sangat baik  dalam menerapkan konsep perpindahan kalor dalam kehidupan sehari-hari.
</v>
      </c>
      <c r="U27" s="232">
        <f>'IPS3'!U26</f>
        <v>75</v>
      </c>
      <c r="V27" s="232" t="str">
        <f>'IPS3'!V26</f>
        <v>C</v>
      </c>
      <c r="W27" s="231" t="str">
        <f>'IPS3'!AA26</f>
        <v>RIZKY cukup baik  dalam Mengidentifikasi karakteristik geografis Indonesia sebagai negara kepulauan/maritim dan agraris serta pengaruhnya terhadap kehidupan ekonomi, sosial, budaya, komunikasi, serta transportasi.</v>
      </c>
      <c r="X27" s="232">
        <f>SBDP3!U26</f>
        <v>88</v>
      </c>
      <c r="Y27" s="232" t="str">
        <f>SBDP3!V26</f>
        <v>A</v>
      </c>
      <c r="Z27" s="231" t="str">
        <f>SBDP3!AA26</f>
        <v>RIZKY sangat baik  dalam memahami gambar cerita</v>
      </c>
      <c r="AA27" s="232">
        <f>PJOK3!U26</f>
        <v>85</v>
      </c>
      <c r="AB27" s="232" t="str">
        <f>PJOK3!V26</f>
        <v>B</v>
      </c>
      <c r="AC27" s="231" t="str">
        <f>PJOK3!AA26</f>
        <v xml:space="preserve">RIZKY baik  dalam memahami kombinasi pola gerak dominan (bertumpu, bergantung, keseimbangan, berpindah/lokomotor, tolakan, putaran, ayunan, melayang, dan mendarat) untuk membentuk keterampilan dasar senam menggunakan alat
</v>
      </c>
      <c r="AD27" s="232">
        <f>'MLK1-3'!U26</f>
        <v>85</v>
      </c>
      <c r="AE27" s="232" t="str">
        <f>'MLK1-3'!V26</f>
        <v>B</v>
      </c>
      <c r="AF27" s="233" t="str">
        <f>'MLK1-3'!AA26</f>
        <v>RIZKY baik  dalam memahami teks kawih tentang bangga sebagai bangsa Indonesia</v>
      </c>
      <c r="AG27" s="232">
        <f>'MLK2-3'!X26</f>
        <v>91</v>
      </c>
      <c r="AH27" s="232" t="str">
        <f>'MLK2-3'!Y26</f>
        <v>A</v>
      </c>
      <c r="AI27" s="231" t="str">
        <f>'MLK2-3'!AD26</f>
        <v xml:space="preserve">RIZKY sangat baik  dalam merespon instruksi sangat sederhana dengan tindakan secara berterima dalam konteks sekolah  </v>
      </c>
      <c r="AJ27" s="232">
        <f>'MLK3-3'!W26</f>
        <v>80</v>
      </c>
      <c r="AK27" s="232" t="str">
        <f>'MLK3-3'!X26</f>
        <v>B</v>
      </c>
      <c r="AL27" s="233" t="str">
        <f>'MLK3-3'!AC26</f>
        <v xml:space="preserve">RIZKY baik  dalam merespon instruksi sangat sederhana dengan tindakan secara berterima dalam konteks sekolah  , dan  cukup baik  dalam mengeja kalimat sangat sederhana secara tepat dan berterima </v>
      </c>
      <c r="AM27" s="232">
        <f>'PAI4'!CI27</f>
        <v>90</v>
      </c>
      <c r="AN27" s="232" t="str">
        <f>'PAI4'!CJ27</f>
        <v>A</v>
      </c>
      <c r="AO27" s="233" t="str">
        <f>'PAI4'!CO27</f>
        <v>RIZKY sangat baik  dalam membaca Q.S. at-Tīn dan Q.S. al-Mā’ūn dengan tartil.</v>
      </c>
      <c r="AP27" s="232">
        <f>'PKN4'!U26</f>
        <v>85</v>
      </c>
      <c r="AQ27" s="232" t="str">
        <f>'PKN4'!V26</f>
        <v>B</v>
      </c>
      <c r="AR27" s="231" t="str">
        <f>'PKN4'!AA26</f>
        <v>RIZKY baik  dalam menjelaskan hak, kewajiban, dan tanggung  jawab sebagai warga masyarakat dalam kehidupan sehari-hari</v>
      </c>
      <c r="AS27" s="232">
        <f>BIND4!U26</f>
        <v>93</v>
      </c>
      <c r="AT27" s="232" t="str">
        <f>BIND4!V26</f>
        <v>A</v>
      </c>
      <c r="AU27" s="231" t="str">
        <f>BIND4!AA26</f>
        <v xml:space="preserve">RIZKY sangat baik  dalam menyajikan ringkasan teks penjelasan (eksplanasi) dari media cetak atau elektronik dengan menggunakan kosakata baku dan kalimat efektif secara lisan, tulis, dan visual.
</v>
      </c>
      <c r="AV27" s="232">
        <f>'MTK4'!U26</f>
        <v>75</v>
      </c>
      <c r="AW27" s="232" t="str">
        <f>'MTK4'!V26</f>
        <v>C</v>
      </c>
      <c r="AX27" s="231" t="str">
        <f>'MTK4'!AA26</f>
        <v xml:space="preserve">RIZKY cukup baik  dalam menyelesaikan masalah yang berkaitan dengan volume bangun ruang dengan menggunakan satuan volume (seperti kubus satuan) melibatkan pangkat tiga dan akar pangkat tiga
</v>
      </c>
      <c r="AY27" s="232">
        <f>'IPA4'!U26</f>
        <v>90</v>
      </c>
      <c r="AZ27" s="232" t="str">
        <f>'IPA4'!V26</f>
        <v>A</v>
      </c>
      <c r="BA27" s="231" t="str">
        <f>'IPA4'!AA26</f>
        <v>RIZKY sangat baik  dalam melaporkan hasil pengamatan tentang perpindahan kalor.</v>
      </c>
      <c r="BB27" s="232">
        <f>'IPS4'!U26</f>
        <v>75</v>
      </c>
      <c r="BC27" s="232" t="str">
        <f>'IPS4'!V26</f>
        <v>C</v>
      </c>
      <c r="BD27" s="231" t="str">
        <f>'IPS4'!AA26</f>
        <v>RIZKY cukup baik  dalam menyajikan hasil identifikasi karakteristik geografis Indonesia sebagai negara kepulauan/maritim dan agraris serta pengaruhnya terhadap kehidupan ekonomi, sosial, budaya, komunikasi, serta transportasi.</v>
      </c>
      <c r="BE27" s="232">
        <f>SBDP4!U26</f>
        <v>88</v>
      </c>
      <c r="BF27" s="232" t="str">
        <f>SBDP4!V26</f>
        <v>A</v>
      </c>
      <c r="BG27" s="231" t="str">
        <f>SBDP4!AA26</f>
        <v>RIZKY sangat baik  dalam membuat gambar cerita</v>
      </c>
      <c r="BH27" s="232">
        <f>PJOK4!U26</f>
        <v>86</v>
      </c>
      <c r="BI27" s="232" t="str">
        <f>PJOK4!V26</f>
        <v>B</v>
      </c>
      <c r="BJ27" s="233" t="str">
        <f>PJOK4!AA26</f>
        <v>RIZKY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27" s="232">
        <f>'MLK1-4'!U26</f>
        <v>85</v>
      </c>
      <c r="BL27" s="232" t="str">
        <f>'MLK1-4'!V26</f>
        <v>B</v>
      </c>
      <c r="BM27" s="231" t="str">
        <f>'MLK1-4'!AA26</f>
        <v>RIZKY baik  dalam melantunkan dan menceritakan isi kawih tentang bangga sebagai bangsa Indonesia</v>
      </c>
      <c r="BN27" s="232">
        <f>'MLK2-4'!U26</f>
        <v>91</v>
      </c>
      <c r="BO27" s="232" t="str">
        <f>'MLK2-4'!V26</f>
        <v>A</v>
      </c>
      <c r="BP27" s="231" t="str">
        <f>'MLK2-4'!AA26</f>
        <v>RIZKY sangat baik  dalam memahami langkah-langkah pengawasan kelestarian lingkungan hidup</v>
      </c>
      <c r="BQ27" s="232">
        <f>'MLK3-4'!Y26</f>
        <v>80</v>
      </c>
      <c r="BR27" s="232" t="str">
        <f>'MLK3-4'!Z26</f>
        <v>B</v>
      </c>
      <c r="BS27" s="231" t="str">
        <f>'MLK3-4'!AE26</f>
        <v xml:space="preserve">RIZKY baik  dalam merespon instruksi sangat sederhana dengan tindakan secara berterima dalam konteks sekolah  </v>
      </c>
    </row>
    <row r="28" spans="1:71" ht="129.94999999999999" customHeight="1">
      <c r="A28" s="227">
        <v>23</v>
      </c>
      <c r="B28" s="227" t="str">
        <f>SISWA!B28</f>
        <v>1718250040327</v>
      </c>
      <c r="C28" s="228" t="str">
        <f>SISWA!C28</f>
        <v>MOEHAMAD RAMADHANDANI GUNAWAN</v>
      </c>
      <c r="D28" s="229" t="str">
        <f>SPIRIT!P27</f>
        <v xml:space="preserve">Ananda RAMADHANDANI baik dalam  ketaatan beribadah,  berperilaku syukur,  berdoa sebelum dan sesudah melakukan kegiatan,  toleransi dalam beribadah, </v>
      </c>
      <c r="E28" s="229" t="str">
        <f>SOSIAL!T27</f>
        <v xml:space="preserve">Ananda RAMADHANDANI baik dalam sikap jujur, disiplin, tanggung jawab, santun, peduli, percaya diri, </v>
      </c>
      <c r="F28" s="230">
        <f>'PAI3'!CI28</f>
        <v>82</v>
      </c>
      <c r="G28" s="230" t="str">
        <f>'PAI3'!CJ28</f>
        <v>B</v>
      </c>
      <c r="H28" s="231" t="str">
        <f>'PAI3'!CO28</f>
        <v>RAMADHANDANI sangat baik  dalam memahami makna sederhana dalam kehidupan sehari-hari., dan  cukup baik  dalam memahami kisah keteladanan Luqman sebagaimana terdapat dalam al-Qur'an.</v>
      </c>
      <c r="I28" s="230">
        <f>'PKN3'!U27</f>
        <v>88</v>
      </c>
      <c r="J28" s="230" t="str">
        <f>'PKN3'!V27</f>
        <v>A</v>
      </c>
      <c r="K28" s="229" t="str">
        <f>'PKN3'!AA27</f>
        <v xml:space="preserve">RAMADHANDANI sangat baik  dalam memahami hak, kewajiban dan tanggung jawab sebagai warga dalam kehidupan sehari-hari.
</v>
      </c>
      <c r="L28" s="232">
        <f>BIND3!U27</f>
        <v>91</v>
      </c>
      <c r="M28" s="232" t="str">
        <f>BIND3!V27</f>
        <v>A</v>
      </c>
      <c r="N28" s="231" t="str">
        <f>BIND3!AA27</f>
        <v>RAMADHANDANI sangat baik  dalam meringkas teks penjelasan (eksplanasi) dari media cetak atau elektronik.</v>
      </c>
      <c r="O28" s="232">
        <f>'MTK3'!U27</f>
        <v>70</v>
      </c>
      <c r="P28" s="232" t="str">
        <f>'MTK3'!V27</f>
        <v>C</v>
      </c>
      <c r="Q28" s="231" t="str">
        <f>'MTK3'!AA27</f>
        <v xml:space="preserve">RAMADHANDANI cukup baik  dalam menjelaskan, dan menentukan volume bangun ruang dengan menggunakan satuan volume (seperti kubus satuan) serta hubungan pangkat tiga dengan akar pangkat tiga
</v>
      </c>
      <c r="R28" s="232">
        <f>'IPA3'!U27</f>
        <v>80</v>
      </c>
      <c r="S28" s="232" t="str">
        <f>'IPA3'!V27</f>
        <v>B</v>
      </c>
      <c r="T28" s="231" t="str">
        <f>'IPA3'!AA27</f>
        <v xml:space="preserve">RAMADHANDANI baik  dalam menerapkan konsep perpindahan kalor dalam kehidupan sehari-hari.
</v>
      </c>
      <c r="U28" s="232">
        <f>'IPS3'!U27</f>
        <v>93</v>
      </c>
      <c r="V28" s="232" t="str">
        <f>'IPS3'!V27</f>
        <v>A</v>
      </c>
      <c r="W28" s="231" t="str">
        <f>'IPS3'!AA27</f>
        <v>RAMADHANDANI sangat baik  dalam Mengidentifikasi karakteristik geografis Indonesia sebagai negara kepulauan/maritim dan agraris serta pengaruhnya terhadap kehidupan ekonomi, sosial, budaya, komunikasi, serta transportasi.</v>
      </c>
      <c r="X28" s="232">
        <f>SBDP3!U27</f>
        <v>88</v>
      </c>
      <c r="Y28" s="232" t="str">
        <f>SBDP3!V27</f>
        <v>A</v>
      </c>
      <c r="Z28" s="231" t="str">
        <f>SBDP3!AA27</f>
        <v>RAMADHANDANI sangat baik  dalam memahami gambar cerita</v>
      </c>
      <c r="AA28" s="232">
        <f>PJOK3!U27</f>
        <v>87</v>
      </c>
      <c r="AB28" s="232" t="str">
        <f>PJOK3!V27</f>
        <v>B</v>
      </c>
      <c r="AC28" s="231" t="str">
        <f>PJOK3!AA27</f>
        <v xml:space="preserve">RAMADHANDANI baik  dalam memahami kombinasi pola gerak dominan (bertumpu, bergantung, keseimbangan, berpindah/lokomotor, tolakan, putaran, ayunan, melayang, dan mendarat) untuk membentuk keterampilan dasar senam menggunakan alat
</v>
      </c>
      <c r="AD28" s="232">
        <f>'MLK1-3'!U27</f>
        <v>88</v>
      </c>
      <c r="AE28" s="232" t="str">
        <f>'MLK1-3'!V27</f>
        <v>A</v>
      </c>
      <c r="AF28" s="233" t="str">
        <f>'MLK1-3'!AA27</f>
        <v>RAMADHANDANI sangat baik  dalam memahami teks kawih tentang bangga sebagai bangsa Indonesia</v>
      </c>
      <c r="AG28" s="232">
        <f>'MLK2-3'!X27</f>
        <v>91</v>
      </c>
      <c r="AH28" s="232" t="str">
        <f>'MLK2-3'!Y27</f>
        <v>A</v>
      </c>
      <c r="AI28" s="231" t="str">
        <f>'MLK2-3'!AD27</f>
        <v xml:space="preserve">RAMADHANDANI sangat baik  dalam merespon instruksi sangat sederhana dengan tindakan secara berterima dalam konteks sekolah  </v>
      </c>
      <c r="AJ28" s="232">
        <f>'MLK3-3'!W27</f>
        <v>75</v>
      </c>
      <c r="AK28" s="232" t="str">
        <f>'MLK3-3'!X27</f>
        <v>C</v>
      </c>
      <c r="AL28" s="233" t="str">
        <f>'MLK3-3'!AC27</f>
        <v xml:space="preserve">RAMADHANDANI baik  dalam merespon instruksi sangat sederhana dengan tindakan secara berterima dalam konteks sekolah  , dan  cukup baik  dalam mengeja kalimat sangat sederhana secara tepat dan berterima </v>
      </c>
      <c r="AM28" s="232">
        <f>'PAI4'!CI28</f>
        <v>85</v>
      </c>
      <c r="AN28" s="232" t="str">
        <f>'PAI4'!CJ28</f>
        <v>B</v>
      </c>
      <c r="AO28" s="233" t="str">
        <f>'PAI4'!CO28</f>
        <v>RAMADHANDANI baik  dalam membaca Q.S. at-Tīn dan Q.S. al-Mā’ūn dengan tartil.</v>
      </c>
      <c r="AP28" s="232">
        <f>'PKN4'!U27</f>
        <v>88</v>
      </c>
      <c r="AQ28" s="232" t="str">
        <f>'PKN4'!V27</f>
        <v>A</v>
      </c>
      <c r="AR28" s="231" t="str">
        <f>'PKN4'!AA27</f>
        <v>RAMADHANDANI sangat baik  dalam menjelaskan hak, kewajiban, dan tanggung  jawab sebagai warga masyarakat dalam kehidupan sehari-hari</v>
      </c>
      <c r="AS28" s="232">
        <f>BIND4!U27</f>
        <v>91</v>
      </c>
      <c r="AT28" s="232" t="str">
        <f>BIND4!V27</f>
        <v>A</v>
      </c>
      <c r="AU28" s="231" t="str">
        <f>BIND4!AA27</f>
        <v xml:space="preserve">RAMADHANDANI sangat baik  dalam menyajikan ringkasan teks penjelasan (eksplanasi) dari media cetak atau elektronik dengan menggunakan kosakata baku dan kalimat efektif secara lisan, tulis, dan visual.
</v>
      </c>
      <c r="AV28" s="232">
        <f>'MTK4'!U27</f>
        <v>70</v>
      </c>
      <c r="AW28" s="232" t="str">
        <f>'MTK4'!V27</f>
        <v>C</v>
      </c>
      <c r="AX28" s="231" t="str">
        <f>'MTK4'!AA27</f>
        <v xml:space="preserve">RAMADHANDANI cukup baik  dalam menyelesaikan masalah yang berkaitan dengan volume bangun ruang dengan menggunakan satuan volume (seperti kubus satuan) melibatkan pangkat tiga dan akar pangkat tiga
</v>
      </c>
      <c r="AY28" s="232">
        <f>'IPA4'!U27</f>
        <v>80</v>
      </c>
      <c r="AZ28" s="232" t="str">
        <f>'IPA4'!V27</f>
        <v>B</v>
      </c>
      <c r="BA28" s="231" t="str">
        <f>'IPA4'!AA27</f>
        <v>RAMADHANDANI baik  dalam melaporkan hasil pengamatan tentang perpindahan kalor.</v>
      </c>
      <c r="BB28" s="232">
        <f>'IPS4'!U27</f>
        <v>93</v>
      </c>
      <c r="BC28" s="232" t="str">
        <f>'IPS4'!V27</f>
        <v>A</v>
      </c>
      <c r="BD28" s="231" t="str">
        <f>'IPS4'!AA27</f>
        <v>RAMADHANDANI sangat baik  dalam menyajikan hasil identifikasi karakteristik geografis Indonesia sebagai negara kepulauan/maritim dan agraris serta pengaruhnya terhadap kehidupan ekonomi, sosial, budaya, komunikasi, serta transportasi.</v>
      </c>
      <c r="BE28" s="232">
        <f>SBDP4!U27</f>
        <v>88</v>
      </c>
      <c r="BF28" s="232" t="str">
        <f>SBDP4!V27</f>
        <v>A</v>
      </c>
      <c r="BG28" s="231" t="str">
        <f>SBDP4!AA27</f>
        <v>RAMADHANDANI sangat baik  dalam membuat gambar cerita</v>
      </c>
      <c r="BH28" s="232">
        <f>PJOK4!U27</f>
        <v>86</v>
      </c>
      <c r="BI28" s="232" t="str">
        <f>PJOK4!V27</f>
        <v>B</v>
      </c>
      <c r="BJ28" s="233" t="str">
        <f>PJOK4!AA27</f>
        <v>RAMADHANDANI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28" s="232">
        <f>'MLK1-4'!U27</f>
        <v>88</v>
      </c>
      <c r="BL28" s="232" t="str">
        <f>'MLK1-4'!V27</f>
        <v>A</v>
      </c>
      <c r="BM28" s="231" t="str">
        <f>'MLK1-4'!AA27</f>
        <v>RAMADHANDANI sangat baik  dalam melantunkan dan menceritakan isi kawih tentang bangga sebagai bangsa Indonesia</v>
      </c>
      <c r="BN28" s="232">
        <f>'MLK2-4'!U27</f>
        <v>91</v>
      </c>
      <c r="BO28" s="232" t="str">
        <f>'MLK2-4'!V27</f>
        <v>A</v>
      </c>
      <c r="BP28" s="231" t="str">
        <f>'MLK2-4'!AA27</f>
        <v>RAMADHANDANI sangat baik  dalam memahami langkah-langkah pengawasan kelestarian lingkungan hidup</v>
      </c>
      <c r="BQ28" s="232">
        <f>'MLK3-4'!Y27</f>
        <v>75</v>
      </c>
      <c r="BR28" s="232" t="str">
        <f>'MLK3-4'!Z27</f>
        <v>C</v>
      </c>
      <c r="BS28" s="231" t="str">
        <f>'MLK3-4'!AE27</f>
        <v xml:space="preserve">RAMADHANDANI cukup baik  dalam merespon instruksi sangat sederhana dengan tindakan secara berterima dalam konteks sekolah  </v>
      </c>
    </row>
    <row r="29" spans="1:71" ht="129.94999999999999" customHeight="1">
      <c r="A29" s="227">
        <v>24</v>
      </c>
      <c r="B29" s="227" t="str">
        <f>SISWA!B29</f>
        <v>1718250040328</v>
      </c>
      <c r="C29" s="228" t="str">
        <f>SISWA!C29</f>
        <v>MOKHAMAD SYAEPUL</v>
      </c>
      <c r="D29" s="229" t="str">
        <f>SPIRIT!P28</f>
        <v xml:space="preserve">Ananda SYAEPUL baik dalam  ketaatan beribadah,  berperilaku syukur,  berdoa sebelum dan sesudah melakukan kegiatan,  toleransi dalam beribadah, </v>
      </c>
      <c r="E29" s="229" t="str">
        <f>SOSIAL!T28</f>
        <v xml:space="preserve">Ananda SYAEPUL baik dalam sikap jujur, disiplin, tanggung jawab, santun, peduli, percaya diri, </v>
      </c>
      <c r="F29" s="230">
        <f>'PAI3'!CI29</f>
        <v>83</v>
      </c>
      <c r="G29" s="230" t="str">
        <f>'PAI3'!CJ29</f>
        <v>B</v>
      </c>
      <c r="H29" s="231" t="str">
        <f>'PAI3'!CO29</f>
        <v>SYAEPUL sangat baik  dalam memahami makna Q.S. at-Tīn dan Q.S. al-Mā’ūn dengan benar., dan  cukup baik  dalam memahami makna ikhlas beramal dalam kehidupan sehari-hari</v>
      </c>
      <c r="I29" s="230">
        <f>'PKN3'!U28</f>
        <v>78</v>
      </c>
      <c r="J29" s="230" t="str">
        <f>'PKN3'!V28</f>
        <v>B</v>
      </c>
      <c r="K29" s="229" t="str">
        <f>'PKN3'!AA28</f>
        <v xml:space="preserve">SYAEPUL baik  dalam memahami hak, kewajiban dan tanggung jawab sebagai warga dalam kehidupan sehari-hari.
</v>
      </c>
      <c r="L29" s="232">
        <f>BIND3!U28</f>
        <v>80</v>
      </c>
      <c r="M29" s="232" t="str">
        <f>BIND3!V28</f>
        <v>B</v>
      </c>
      <c r="N29" s="231" t="str">
        <f>BIND3!AA28</f>
        <v>SYAEPUL baik  dalam meringkas teks penjelasan (eksplanasi) dari media cetak atau elektronik.</v>
      </c>
      <c r="O29" s="232">
        <f>'MTK3'!U28</f>
        <v>70</v>
      </c>
      <c r="P29" s="232" t="str">
        <f>'MTK3'!V28</f>
        <v>C</v>
      </c>
      <c r="Q29" s="231" t="str">
        <f>'MTK3'!AA28</f>
        <v xml:space="preserve">SYAEPUL cukup baik  dalam menjelaskan, dan menentukan volume bangun ruang dengan menggunakan satuan volume (seperti kubus satuan) serta hubungan pangkat tiga dengan akar pangkat tiga
</v>
      </c>
      <c r="R29" s="232">
        <f>'IPA3'!U28</f>
        <v>80</v>
      </c>
      <c r="S29" s="232" t="str">
        <f>'IPA3'!V28</f>
        <v>B</v>
      </c>
      <c r="T29" s="231" t="str">
        <f>'IPA3'!AA28</f>
        <v xml:space="preserve">SYAEPUL baik  dalam menerapkan konsep perpindahan kalor dalam kehidupan sehari-hari.
</v>
      </c>
      <c r="U29" s="232">
        <f>'IPS3'!U28</f>
        <v>78</v>
      </c>
      <c r="V29" s="232" t="str">
        <f>'IPS3'!V28</f>
        <v>B</v>
      </c>
      <c r="W29" s="231" t="str">
        <f>'IPS3'!AA28</f>
        <v>SYAEPUL baik  dalam Mengidentifikasi karakteristik geografis Indonesia sebagai negara kepulauan/maritim dan agraris serta pengaruhnya terhadap kehidupan ekonomi, sosial, budaya, komunikasi, serta transportasi.</v>
      </c>
      <c r="X29" s="232">
        <f>SBDP3!U28</f>
        <v>90</v>
      </c>
      <c r="Y29" s="232" t="str">
        <f>SBDP3!V28</f>
        <v>A</v>
      </c>
      <c r="Z29" s="231" t="str">
        <f>SBDP3!AA28</f>
        <v>SYAEPUL sangat baik  dalam memahami gambar cerita</v>
      </c>
      <c r="AA29" s="232">
        <f>PJOK3!U28</f>
        <v>84</v>
      </c>
      <c r="AB29" s="232" t="str">
        <f>PJOK3!V28</f>
        <v>B</v>
      </c>
      <c r="AC29" s="231" t="str">
        <f>PJOK3!AA28</f>
        <v xml:space="preserve">SYAEPUL baik  dalam memahami kombinasi pola gerak dominan (bertumpu, bergantung, keseimbangan, berpindah/lokomotor, tolakan, putaran, ayunan, melayang, dan mendarat) untuk membentuk keterampilan dasar senam menggunakan alat
</v>
      </c>
      <c r="AD29" s="232">
        <f>'MLK1-3'!U28</f>
        <v>85</v>
      </c>
      <c r="AE29" s="232" t="str">
        <f>'MLK1-3'!V28</f>
        <v>B</v>
      </c>
      <c r="AF29" s="233" t="str">
        <f>'MLK1-3'!AA28</f>
        <v>SYAEPUL baik  dalam memahami teks kawih tentang bangga sebagai bangsa Indonesia</v>
      </c>
      <c r="AG29" s="232">
        <f>'MLK2-3'!X28</f>
        <v>91</v>
      </c>
      <c r="AH29" s="232" t="str">
        <f>'MLK2-3'!Y28</f>
        <v>A</v>
      </c>
      <c r="AI29" s="231" t="str">
        <f>'MLK2-3'!AD28</f>
        <v xml:space="preserve">SYAEPUL sangat baik  dalam merespon instruksi sangat sederhana dengan tindakan secara berterima dalam konteks sekolah  </v>
      </c>
      <c r="AJ29" s="232">
        <f>'MLK3-3'!W28</f>
        <v>75</v>
      </c>
      <c r="AK29" s="232" t="str">
        <f>'MLK3-3'!X28</f>
        <v>C</v>
      </c>
      <c r="AL29" s="233" t="str">
        <f>'MLK3-3'!AC28</f>
        <v xml:space="preserve">SYAEPUL baik  dalam merespon instruksi sangat sederhana dengan tindakan secara berterima dalam konteks sekolah  , dan  cukup baik  dalam mengeja kalimat sangat sederhana secara tepat dan berterima </v>
      </c>
      <c r="AM29" s="232">
        <f>'PAI4'!CI29</f>
        <v>89</v>
      </c>
      <c r="AN29" s="232" t="str">
        <f>'PAI4'!CJ29</f>
        <v>A</v>
      </c>
      <c r="AO29" s="233" t="str">
        <f>'PAI4'!CO29</f>
        <v>SYAEPUL sangat baik  dalam membaca Q.S. at-Tīn dan Q.S. al-Mā’ūn dengan tartil.</v>
      </c>
      <c r="AP29" s="232">
        <f>'PKN4'!U28</f>
        <v>78</v>
      </c>
      <c r="AQ29" s="232" t="str">
        <f>'PKN4'!V28</f>
        <v>B</v>
      </c>
      <c r="AR29" s="231" t="str">
        <f>'PKN4'!AA28</f>
        <v>SYAEPUL baik  dalam menjelaskan hak, kewajiban, dan tanggung  jawab sebagai warga masyarakat dalam kehidupan sehari-hari</v>
      </c>
      <c r="AS29" s="232">
        <f>BIND4!U28</f>
        <v>80</v>
      </c>
      <c r="AT29" s="232" t="str">
        <f>BIND4!V28</f>
        <v>B</v>
      </c>
      <c r="AU29" s="231" t="str">
        <f>BIND4!AA28</f>
        <v xml:space="preserve">SYAEPUL baik  dalam menyajikan ringkasan teks penjelasan (eksplanasi) dari media cetak atau elektronik dengan menggunakan kosakata baku dan kalimat efektif secara lisan, tulis, dan visual.
</v>
      </c>
      <c r="AV29" s="232">
        <f>'MTK4'!U28</f>
        <v>70</v>
      </c>
      <c r="AW29" s="232" t="str">
        <f>'MTK4'!V28</f>
        <v>C</v>
      </c>
      <c r="AX29" s="231" t="str">
        <f>'MTK4'!AA28</f>
        <v xml:space="preserve">SYAEPUL cukup baik  dalam menyelesaikan masalah yang berkaitan dengan volume bangun ruang dengan menggunakan satuan volume (seperti kubus satuan) melibatkan pangkat tiga dan akar pangkat tiga
</v>
      </c>
      <c r="AY29" s="232">
        <f>'IPA4'!U28</f>
        <v>80</v>
      </c>
      <c r="AZ29" s="232" t="str">
        <f>'IPA4'!V28</f>
        <v>B</v>
      </c>
      <c r="BA29" s="231" t="str">
        <f>'IPA4'!AA28</f>
        <v>SYAEPUL baik  dalam melaporkan hasil pengamatan tentang perpindahan kalor.</v>
      </c>
      <c r="BB29" s="232">
        <f>'IPS4'!U28</f>
        <v>78</v>
      </c>
      <c r="BC29" s="232" t="str">
        <f>'IPS4'!V28</f>
        <v>B</v>
      </c>
      <c r="BD29" s="231" t="str">
        <f>'IPS4'!AA28</f>
        <v>SYAEPUL baik  dalam menyajikan hasil identifikasi karakteristik geografis Indonesia sebagai negara kepulauan/maritim dan agraris serta pengaruhnya terhadap kehidupan ekonomi, sosial, budaya, komunikasi, serta transportasi.</v>
      </c>
      <c r="BE29" s="232">
        <f>SBDP4!U28</f>
        <v>90</v>
      </c>
      <c r="BF29" s="232" t="str">
        <f>SBDP4!V28</f>
        <v>A</v>
      </c>
      <c r="BG29" s="231" t="str">
        <f>SBDP4!AA28</f>
        <v>SYAEPUL sangat baik  dalam membuat gambar cerita</v>
      </c>
      <c r="BH29" s="232">
        <f>PJOK4!U28</f>
        <v>86</v>
      </c>
      <c r="BI29" s="232" t="str">
        <f>PJOK4!V28</f>
        <v>B</v>
      </c>
      <c r="BJ29" s="233" t="str">
        <f>PJOK4!AA28</f>
        <v>SYAEPUL sangat baik  dalam menerapkan konsep pemeliharaan diri dan orang lain dari penyakit menular dan tidak menular, dan  baik  dalam mempraktikkan pengunaan kombinasi gerak dasar langkah dan ayunan lengan mengikuti irama (ketukan) tanpa/dengan musik dalam aktivitas gerak berirama</v>
      </c>
      <c r="BK29" s="232">
        <f>'MLK1-4'!U28</f>
        <v>85</v>
      </c>
      <c r="BL29" s="232" t="str">
        <f>'MLK1-4'!V28</f>
        <v>B</v>
      </c>
      <c r="BM29" s="231" t="str">
        <f>'MLK1-4'!AA28</f>
        <v>SYAEPUL baik  dalam melantunkan dan menceritakan isi kawih tentang bangga sebagai bangsa Indonesia</v>
      </c>
      <c r="BN29" s="232">
        <f>'MLK2-4'!U28</f>
        <v>91</v>
      </c>
      <c r="BO29" s="232" t="str">
        <f>'MLK2-4'!V28</f>
        <v>A</v>
      </c>
      <c r="BP29" s="231" t="str">
        <f>'MLK2-4'!AA28</f>
        <v>SYAEPUL sangat baik  dalam memahami langkah-langkah pengawasan kelestarian lingkungan hidup</v>
      </c>
      <c r="BQ29" s="232">
        <f>'MLK3-4'!Y28</f>
        <v>74</v>
      </c>
      <c r="BR29" s="232" t="str">
        <f>'MLK3-4'!Z28</f>
        <v>C</v>
      </c>
      <c r="BS29" s="231" t="str">
        <f>'MLK3-4'!AE28</f>
        <v xml:space="preserve">SYAEPUL cukup baik  dalam merespon instruksi sangat sederhana dengan tindakan secara berterima dalam konteks sekolah  </v>
      </c>
    </row>
    <row r="30" spans="1:71" ht="129.94999999999999" customHeight="1">
      <c r="A30" s="227">
        <v>25</v>
      </c>
      <c r="B30" s="227" t="str">
        <f>SISWA!B30</f>
        <v>1718250040329</v>
      </c>
      <c r="C30" s="228" t="str">
        <f>SISWA!C30</f>
        <v>MUHAMAD ALIF BHANI SAPUTRA</v>
      </c>
      <c r="D30" s="229" t="str">
        <f>SPIRIT!P29</f>
        <v xml:space="preserve">Ananda ALIF baik dalam  ketaatan beribadah,  berperilaku syukur,  berdoa sebelum dan sesudah melakukan kegiatan,  toleransi dalam beribadah, </v>
      </c>
      <c r="E30" s="229" t="str">
        <f>SOSIAL!T29</f>
        <v xml:space="preserve">Ananda ALIF baik dalam sikap jujur, disiplin, tanggung jawab, santun, peduli, percaya diri, </v>
      </c>
      <c r="F30" s="230">
        <f>'PAI3'!CI30</f>
        <v>85</v>
      </c>
      <c r="G30" s="230" t="str">
        <f>'PAI3'!CJ30</f>
        <v>B</v>
      </c>
      <c r="H30" s="231" t="str">
        <f>'PAI3'!CO30</f>
        <v>ALIF sangat baik  dalam memahami makna Q.S. at-Tīn dan Q.S. al-Mā’ūn dengan benar., dan  baik  dalam memahami makna sederhana dalam kehidupan sehari-hari.</v>
      </c>
      <c r="I30" s="230">
        <f>'PKN3'!U29</f>
        <v>90</v>
      </c>
      <c r="J30" s="230" t="str">
        <f>'PKN3'!V29</f>
        <v>A</v>
      </c>
      <c r="K30" s="229" t="str">
        <f>'PKN3'!AA29</f>
        <v xml:space="preserve">ALIF sangat baik  dalam memahami hak, kewajiban dan tanggung jawab sebagai warga dalam kehidupan sehari-hari.
</v>
      </c>
      <c r="L30" s="232">
        <f>BIND3!U29</f>
        <v>83</v>
      </c>
      <c r="M30" s="232" t="str">
        <f>BIND3!V29</f>
        <v>B</v>
      </c>
      <c r="N30" s="231" t="str">
        <f>BIND3!AA29</f>
        <v>ALIF baik  dalam meringkas teks penjelasan (eksplanasi) dari media cetak atau elektronik.</v>
      </c>
      <c r="O30" s="232">
        <f>'MTK3'!U29</f>
        <v>75</v>
      </c>
      <c r="P30" s="232" t="str">
        <f>'MTK3'!V29</f>
        <v>C</v>
      </c>
      <c r="Q30" s="231" t="str">
        <f>'MTK3'!AA29</f>
        <v xml:space="preserve">ALIF cukup baik  dalam menjelaskan, dan menentukan volume bangun ruang dengan menggunakan satuan volume (seperti kubus satuan) serta hubungan pangkat tiga dengan akar pangkat tiga
</v>
      </c>
      <c r="R30" s="232">
        <f>'IPA3'!U29</f>
        <v>100</v>
      </c>
      <c r="S30" s="232" t="str">
        <f>'IPA3'!V29</f>
        <v>A</v>
      </c>
      <c r="T30" s="231" t="str">
        <f>'IPA3'!AA29</f>
        <v xml:space="preserve">ALIF sangat baik  dalam menerapkan konsep perpindahan kalor dalam kehidupan sehari-hari.
</v>
      </c>
      <c r="U30" s="232">
        <f>'IPS3'!U29</f>
        <v>90</v>
      </c>
      <c r="V30" s="232" t="str">
        <f>'IPS3'!V29</f>
        <v>A</v>
      </c>
      <c r="W30" s="231" t="str">
        <f>'IPS3'!AA29</f>
        <v>ALIF sangat baik  dalam Mengidentifikasi karakteristik geografis Indonesia sebagai negara kepulauan/maritim dan agraris serta pengaruhnya terhadap kehidupan ekonomi, sosial, budaya, komunikasi, serta transportasi.</v>
      </c>
      <c r="X30" s="232">
        <f>SBDP3!U29</f>
        <v>93</v>
      </c>
      <c r="Y30" s="232" t="str">
        <f>SBDP3!V29</f>
        <v>A</v>
      </c>
      <c r="Z30" s="231" t="str">
        <f>SBDP3!AA29</f>
        <v>ALIF sangat baik  dalam memahami gambar cerita</v>
      </c>
      <c r="AA30" s="232">
        <f>PJOK3!U29</f>
        <v>87</v>
      </c>
      <c r="AB30" s="232" t="str">
        <f>PJOK3!V29</f>
        <v>B</v>
      </c>
      <c r="AC30" s="231" t="str">
        <f>PJOK3!AA29</f>
        <v xml:space="preserve">ALIF sangat baik  dalam memahami kombinasi pola gerak dominan (bertumpu, bergantung, keseimbangan, berpindah/lokomotor, tolakan, putaran, ayunan, melayang, dan mendarat) untuk membentuk keterampilan dasar senam menggunakan alat
</v>
      </c>
      <c r="AD30" s="232">
        <f>'MLK1-3'!U29</f>
        <v>82</v>
      </c>
      <c r="AE30" s="232" t="str">
        <f>'MLK1-3'!V29</f>
        <v>B</v>
      </c>
      <c r="AF30" s="233" t="str">
        <f>'MLK1-3'!AA29</f>
        <v>ALIF baik  dalam memahami teks kawih tentang bangga sebagai bangsa Indonesia</v>
      </c>
      <c r="AG30" s="232">
        <f>'MLK2-3'!X29</f>
        <v>94</v>
      </c>
      <c r="AH30" s="232" t="str">
        <f>'MLK2-3'!Y29</f>
        <v>A</v>
      </c>
      <c r="AI30" s="231" t="str">
        <f>'MLK2-3'!AD29</f>
        <v xml:space="preserve">ALIF sangat baik  dalam merespon instruksi sangat sederhana dengan tindakan secara berterima dalam konteks sekolah  </v>
      </c>
      <c r="AJ30" s="232">
        <f>'MLK3-3'!W29</f>
        <v>74</v>
      </c>
      <c r="AK30" s="232" t="str">
        <f>'MLK3-3'!X29</f>
        <v>C</v>
      </c>
      <c r="AL30" s="233" t="str">
        <f>'MLK3-3'!AC29</f>
        <v xml:space="preserve">ALIF baik  dalam membaca nyaring dengan ucapan, tekanan, dan intonasi secara tepat dan berterima yang melibatkan: kata, frasa, kalimat sangat sederhana, dan teks sangat sederhana 
, dan  cukup baik  dalam bercakap-cakap untuk menyertai tindakan secara berterima yang melibatkan tindak tutur: memberi contoh melakukan sesuatu, memberi aba-aba, dan memberi petunjuk 
</v>
      </c>
      <c r="AM30" s="232">
        <f>'PAI4'!CI30</f>
        <v>89</v>
      </c>
      <c r="AN30" s="232" t="str">
        <f>'PAI4'!CJ30</f>
        <v>A</v>
      </c>
      <c r="AO30" s="233" t="str">
        <f>'PAI4'!CO30</f>
        <v>ALIF sangat baik  dalam membaca Q.S. at-Tīn dan Q.S. al-Mā’ūn dengan tartil.</v>
      </c>
      <c r="AP30" s="232">
        <f>'PKN4'!U29</f>
        <v>90</v>
      </c>
      <c r="AQ30" s="232" t="str">
        <f>'PKN4'!V29</f>
        <v>A</v>
      </c>
      <c r="AR30" s="231" t="str">
        <f>'PKN4'!AA29</f>
        <v>ALIF sangat baik  dalam menjelaskan hak, kewajiban, dan tanggung  jawab sebagai warga masyarakat dalam kehidupan sehari-hari</v>
      </c>
      <c r="AS30" s="232">
        <f>BIND4!U29</f>
        <v>83</v>
      </c>
      <c r="AT30" s="232" t="str">
        <f>BIND4!V29</f>
        <v>B</v>
      </c>
      <c r="AU30" s="231" t="str">
        <f>BIND4!AA29</f>
        <v xml:space="preserve">ALIF baik  dalam menyajikan ringkasan teks penjelasan (eksplanasi) dari media cetak atau elektronik dengan menggunakan kosakata baku dan kalimat efektif secara lisan, tulis, dan visual.
</v>
      </c>
      <c r="AV30" s="232">
        <f>'MTK4'!U29</f>
        <v>75</v>
      </c>
      <c r="AW30" s="232" t="str">
        <f>'MTK4'!V29</f>
        <v>C</v>
      </c>
      <c r="AX30" s="231" t="str">
        <f>'MTK4'!AA29</f>
        <v xml:space="preserve">ALIF cukup baik  dalam menyelesaikan masalah yang berkaitan dengan volume bangun ruang dengan menggunakan satuan volume (seperti kubus satuan) melibatkan pangkat tiga dan akar pangkat tiga
</v>
      </c>
      <c r="AY30" s="232">
        <f>'IPA4'!U29</f>
        <v>100</v>
      </c>
      <c r="AZ30" s="232" t="str">
        <f>'IPA4'!V29</f>
        <v>A</v>
      </c>
      <c r="BA30" s="231" t="str">
        <f>'IPA4'!AA29</f>
        <v>ALIF sangat baik  dalam melaporkan hasil pengamatan tentang perpindahan kalor.</v>
      </c>
      <c r="BB30" s="232">
        <f>'IPS4'!U29</f>
        <v>90</v>
      </c>
      <c r="BC30" s="232" t="str">
        <f>'IPS4'!V29</f>
        <v>A</v>
      </c>
      <c r="BD30" s="231" t="str">
        <f>'IPS4'!AA29</f>
        <v>ALIF sangat baik  dalam menyajikan hasil identifikasi karakteristik geografis Indonesia sebagai negara kepulauan/maritim dan agraris serta pengaruhnya terhadap kehidupan ekonomi, sosial, budaya, komunikasi, serta transportasi.</v>
      </c>
      <c r="BE30" s="232">
        <f>SBDP4!U29</f>
        <v>93</v>
      </c>
      <c r="BF30" s="232" t="str">
        <f>SBDP4!V29</f>
        <v>A</v>
      </c>
      <c r="BG30" s="231" t="str">
        <f>SBDP4!AA29</f>
        <v>ALIF sangat baik  dalam membuat gambar cerita</v>
      </c>
      <c r="BH30" s="232">
        <f>PJOK4!U29</f>
        <v>83</v>
      </c>
      <c r="BI30" s="232" t="str">
        <f>PJOK4!V29</f>
        <v>B</v>
      </c>
      <c r="BJ30" s="233" t="str">
        <f>PJOK4!AA29</f>
        <v>ALIF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30" s="232">
        <f>'MLK1-4'!U29</f>
        <v>82</v>
      </c>
      <c r="BL30" s="232" t="str">
        <f>'MLK1-4'!V29</f>
        <v>B</v>
      </c>
      <c r="BM30" s="231" t="str">
        <f>'MLK1-4'!AA29</f>
        <v>ALIF baik  dalam melantunkan dan menceritakan isi kawih tentang bangga sebagai bangsa Indonesia</v>
      </c>
      <c r="BN30" s="232">
        <f>'MLK2-4'!U29</f>
        <v>94</v>
      </c>
      <c r="BO30" s="232" t="str">
        <f>'MLK2-4'!V29</f>
        <v>A</v>
      </c>
      <c r="BP30" s="231" t="str">
        <f>'MLK2-4'!AA29</f>
        <v>ALIF sangat baik  dalam memahami langkah-langkah pengawasan kelestarian lingkungan hidup</v>
      </c>
      <c r="BQ30" s="232">
        <f>'MLK3-4'!Y29</f>
        <v>70</v>
      </c>
      <c r="BR30" s="232" t="str">
        <f>'MLK3-4'!Z29</f>
        <v>C</v>
      </c>
      <c r="BS30" s="231" t="str">
        <f>'MLK3-4'!AE29</f>
        <v xml:space="preserve">ALIF cukup baik  dalam merespon instruksi sangat sederhana dengan tindakan secara berterima dalam konteks sekolah  </v>
      </c>
    </row>
    <row r="31" spans="1:71" ht="129.94999999999999" customHeight="1">
      <c r="A31" s="227">
        <v>26</v>
      </c>
      <c r="B31" s="227" t="str">
        <f>SISWA!B31</f>
        <v>1718250040330</v>
      </c>
      <c r="C31" s="228" t="str">
        <f>SISWA!C31</f>
        <v>MUHAMMAD HIZKIEL AL-LABIBY</v>
      </c>
      <c r="D31" s="229" t="str">
        <f>SPIRIT!P30</f>
        <v xml:space="preserve">Ananda HIZKIEL baik dalam  ketaatan beribadah,  berperilaku syukur,  berdoa sebelum dan sesudah melakukan kegiatan,  toleransi dalam beribadah, </v>
      </c>
      <c r="E31" s="229" t="str">
        <f>SOSIAL!T30</f>
        <v xml:space="preserve">Ananda HIZKIEL baik dalam sikap jujur, disiplin, tanggung jawab, santun, peduli, percaya diri, </v>
      </c>
      <c r="F31" s="230">
        <f>'PAI3'!CI31</f>
        <v>77</v>
      </c>
      <c r="G31" s="230" t="str">
        <f>'PAI3'!CJ31</f>
        <v>B</v>
      </c>
      <c r="H31" s="231" t="str">
        <f>'PAI3'!CO31</f>
        <v>HIZKIEL sangat baik  dalam memahami makna Q.S. at-Tīn dan Q.S. al-Mā’ūn dengan benar., dan  perlu bimbingan  dalam memahami makna sederhana dalam kehidupan sehari-hari.</v>
      </c>
      <c r="I31" s="230">
        <f>'PKN3'!U30</f>
        <v>85</v>
      </c>
      <c r="J31" s="230" t="str">
        <f>'PKN3'!V30</f>
        <v>B</v>
      </c>
      <c r="K31" s="229" t="str">
        <f>'PKN3'!AA30</f>
        <v xml:space="preserve">HIZKIEL baik  dalam memahami hak, kewajiban dan tanggung jawab sebagai warga dalam kehidupan sehari-hari.
</v>
      </c>
      <c r="L31" s="232">
        <f>BIND3!U30</f>
        <v>89</v>
      </c>
      <c r="M31" s="232" t="str">
        <f>BIND3!V30</f>
        <v>A</v>
      </c>
      <c r="N31" s="231" t="str">
        <f>BIND3!AA30</f>
        <v>HIZKIEL sangat baik  dalam meringkas teks penjelasan (eksplanasi) dari media cetak atau elektronik.</v>
      </c>
      <c r="O31" s="232">
        <f>'MTK3'!U30</f>
        <v>70</v>
      </c>
      <c r="P31" s="232" t="str">
        <f>'MTK3'!V30</f>
        <v>C</v>
      </c>
      <c r="Q31" s="231" t="str">
        <f>'MTK3'!AA30</f>
        <v xml:space="preserve">HIZKIEL cukup baik  dalam menjelaskan, dan menentukan volume bangun ruang dengan menggunakan satuan volume (seperti kubus satuan) serta hubungan pangkat tiga dengan akar pangkat tiga
</v>
      </c>
      <c r="R31" s="232">
        <f>'IPA3'!U30</f>
        <v>93</v>
      </c>
      <c r="S31" s="232" t="str">
        <f>'IPA3'!V30</f>
        <v>A</v>
      </c>
      <c r="T31" s="231" t="str">
        <f>'IPA3'!AA30</f>
        <v xml:space="preserve">HIZKIEL sangat baik  dalam menerapkan konsep perpindahan kalor dalam kehidupan sehari-hari.
</v>
      </c>
      <c r="U31" s="232">
        <f>'IPS3'!U30</f>
        <v>88</v>
      </c>
      <c r="V31" s="232" t="str">
        <f>'IPS3'!V30</f>
        <v>A</v>
      </c>
      <c r="W31" s="231" t="str">
        <f>'IPS3'!AA30</f>
        <v>HIZKIEL sangat baik  dalam Mengidentifikasi karakteristik geografis Indonesia sebagai negara kepulauan/maritim dan agraris serta pengaruhnya terhadap kehidupan ekonomi, sosial, budaya, komunikasi, serta transportasi.</v>
      </c>
      <c r="X31" s="232">
        <f>SBDP3!U30</f>
        <v>88</v>
      </c>
      <c r="Y31" s="232" t="str">
        <f>SBDP3!V30</f>
        <v>A</v>
      </c>
      <c r="Z31" s="231" t="str">
        <f>SBDP3!AA30</f>
        <v>HIZKIEL sangat baik  dalam memahami gambar cerita</v>
      </c>
      <c r="AA31" s="232">
        <f>PJOK3!U30</f>
        <v>88</v>
      </c>
      <c r="AB31" s="232" t="str">
        <f>PJOK3!V30</f>
        <v>A</v>
      </c>
      <c r="AC31" s="231" t="str">
        <f>PJOK3!AA30</f>
        <v xml:space="preserve">HIZKIEL sangat baik  dalam memahami kombinasi pola gerak dominan (bertumpu, bergantung, keseimbangan, berpindah/lokomotor, tolakan, putaran, ayunan, melayang, dan mendarat) untuk membentuk keterampilan dasar senam menggunakan alat
</v>
      </c>
      <c r="AD31" s="232">
        <f>'MLK1-3'!U30</f>
        <v>85</v>
      </c>
      <c r="AE31" s="232" t="str">
        <f>'MLK1-3'!V30</f>
        <v>B</v>
      </c>
      <c r="AF31" s="233" t="str">
        <f>'MLK1-3'!AA30</f>
        <v>HIZKIEL baik  dalam memahami teks kawih tentang bangga sebagai bangsa Indonesia</v>
      </c>
      <c r="AG31" s="232">
        <f>'MLK2-3'!X30</f>
        <v>91</v>
      </c>
      <c r="AH31" s="232" t="str">
        <f>'MLK2-3'!Y30</f>
        <v>A</v>
      </c>
      <c r="AI31" s="231" t="str">
        <f>'MLK2-3'!AD30</f>
        <v xml:space="preserve">HIZKIEL sangat baik  dalam merespon instruksi sangat sederhana dengan tindakan secara berterima dalam konteks sekolah  </v>
      </c>
      <c r="AJ31" s="232">
        <f>'MLK3-3'!W30</f>
        <v>70</v>
      </c>
      <c r="AK31" s="232" t="str">
        <f>'MLK3-3'!X30</f>
        <v>C</v>
      </c>
      <c r="AL31" s="233" t="str">
        <f>'MLK3-3'!AC30</f>
        <v xml:space="preserve">HIZKIEL cukup baik  dalam merespon instruksi sangat sederhana dengan tindakan secara berterima dalam konteks sekolah  </v>
      </c>
      <c r="AM31" s="232">
        <f>'PAI4'!CI31</f>
        <v>89</v>
      </c>
      <c r="AN31" s="232" t="str">
        <f>'PAI4'!CJ31</f>
        <v>A</v>
      </c>
      <c r="AO31" s="233" t="str">
        <f>'PAI4'!CO31</f>
        <v>HIZKIEL sangat baik  dalam membaca Q.S. at-Tīn dan Q.S. al-Mā’ūn dengan tartil.</v>
      </c>
      <c r="AP31" s="232">
        <f>'PKN4'!U30</f>
        <v>85</v>
      </c>
      <c r="AQ31" s="232" t="str">
        <f>'PKN4'!V30</f>
        <v>B</v>
      </c>
      <c r="AR31" s="231" t="str">
        <f>'PKN4'!AA30</f>
        <v>HIZKIEL baik  dalam menjelaskan hak, kewajiban, dan tanggung  jawab sebagai warga masyarakat dalam kehidupan sehari-hari</v>
      </c>
      <c r="AS31" s="232">
        <f>BIND4!U30</f>
        <v>89</v>
      </c>
      <c r="AT31" s="232" t="str">
        <f>BIND4!V30</f>
        <v>A</v>
      </c>
      <c r="AU31" s="231" t="str">
        <f>BIND4!AA30</f>
        <v xml:space="preserve">HIZKIEL sangat baik  dalam menyajikan ringkasan teks penjelasan (eksplanasi) dari media cetak atau elektronik dengan menggunakan kosakata baku dan kalimat efektif secara lisan, tulis, dan visual.
</v>
      </c>
      <c r="AV31" s="232">
        <f>'MTK4'!U30</f>
        <v>70</v>
      </c>
      <c r="AW31" s="232" t="str">
        <f>'MTK4'!V30</f>
        <v>C</v>
      </c>
      <c r="AX31" s="231" t="str">
        <f>'MTK4'!AA30</f>
        <v xml:space="preserve">HIZKIEL cukup baik  dalam menyelesaikan masalah yang berkaitan dengan volume bangun ruang dengan menggunakan satuan volume (seperti kubus satuan) melibatkan pangkat tiga dan akar pangkat tiga
</v>
      </c>
      <c r="AY31" s="232">
        <f>'IPA4'!U30</f>
        <v>93</v>
      </c>
      <c r="AZ31" s="232" t="str">
        <f>'IPA4'!V30</f>
        <v>A</v>
      </c>
      <c r="BA31" s="231" t="str">
        <f>'IPA4'!AA30</f>
        <v>HIZKIEL sangat baik  dalam melaporkan hasil pengamatan tentang perpindahan kalor.</v>
      </c>
      <c r="BB31" s="232">
        <f>'IPS4'!U30</f>
        <v>88</v>
      </c>
      <c r="BC31" s="232" t="str">
        <f>'IPS4'!V30</f>
        <v>A</v>
      </c>
      <c r="BD31" s="231" t="str">
        <f>'IPS4'!AA30</f>
        <v>HIZKIEL sangat baik  dalam menyajikan hasil identifikasi karakteristik geografis Indonesia sebagai negara kepulauan/maritim dan agraris serta pengaruhnya terhadap kehidupan ekonomi, sosial, budaya, komunikasi, serta transportasi.</v>
      </c>
      <c r="BE31" s="232">
        <f>SBDP4!U30</f>
        <v>88</v>
      </c>
      <c r="BF31" s="232" t="str">
        <f>SBDP4!V30</f>
        <v>A</v>
      </c>
      <c r="BG31" s="231" t="str">
        <f>SBDP4!AA30</f>
        <v>HIZKIEL sangat baik  dalam membuat gambar cerita</v>
      </c>
      <c r="BH31" s="232">
        <f>PJOK4!U30</f>
        <v>90</v>
      </c>
      <c r="BI31" s="232" t="str">
        <f>PJOK4!V30</f>
        <v>A</v>
      </c>
      <c r="BJ31" s="233" t="str">
        <f>PJOK4!AA30</f>
        <v>HIZKIEL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31" s="232">
        <f>'MLK1-4'!U30</f>
        <v>85</v>
      </c>
      <c r="BL31" s="232" t="str">
        <f>'MLK1-4'!V30</f>
        <v>B</v>
      </c>
      <c r="BM31" s="231" t="str">
        <f>'MLK1-4'!AA30</f>
        <v>HIZKIEL baik  dalam melantunkan dan menceritakan isi kawih tentang bangga sebagai bangsa Indonesia</v>
      </c>
      <c r="BN31" s="232">
        <f>'MLK2-4'!U30</f>
        <v>91</v>
      </c>
      <c r="BO31" s="232" t="str">
        <f>'MLK2-4'!V30</f>
        <v>A</v>
      </c>
      <c r="BP31" s="231" t="str">
        <f>'MLK2-4'!AA30</f>
        <v>HIZKIEL sangat baik  dalam memahami langkah-langkah pengawasan kelestarian lingkungan hidup</v>
      </c>
      <c r="BQ31" s="232">
        <f>'MLK3-4'!Y30</f>
        <v>70</v>
      </c>
      <c r="BR31" s="232" t="str">
        <f>'MLK3-4'!Z30</f>
        <v>C</v>
      </c>
      <c r="BS31" s="231" t="str">
        <f>'MLK3-4'!AE30</f>
        <v xml:space="preserve">HIZKIEL cukup baik  dalam merespon instruksi sangat sederhana dengan tindakan secara berterima dalam konteks sekolah  </v>
      </c>
    </row>
    <row r="32" spans="1:71" ht="129.94999999999999" customHeight="1">
      <c r="A32" s="227">
        <v>27</v>
      </c>
      <c r="B32" s="227" t="str">
        <f>SISWA!B32</f>
        <v>1718250040331</v>
      </c>
      <c r="C32" s="228" t="str">
        <f>SISWA!C32</f>
        <v>MUHAMMAD LAEL ALAN PRASETYO</v>
      </c>
      <c r="D32" s="229" t="str">
        <f>SPIRIT!P31</f>
        <v xml:space="preserve">Ananda LAEL baik dalam  ketaatan beribadah,  berperilaku syukur,  berdoa sebelum dan sesudah melakukan kegiatan,  toleransi dalam beribadah, </v>
      </c>
      <c r="E32" s="229" t="str">
        <f>SOSIAL!T31</f>
        <v xml:space="preserve">Ananda LAEL baik dalam sikap jujur, disiplin, tanggung jawab, santun, peduli, percaya diri, </v>
      </c>
      <c r="F32" s="230">
        <f>'PAI3'!CI32</f>
        <v>81</v>
      </c>
      <c r="G32" s="230" t="str">
        <f>'PAI3'!CJ32</f>
        <v>B</v>
      </c>
      <c r="H32" s="231" t="str">
        <f>'PAI3'!CO32</f>
        <v>LAEL sangat baik  dalam memahami makna Q.S. at-Tīn dan Q.S. al-Mā’ūn dengan benar., dan  cukup baik  dalam memahami makna ikhlas beramal dalam kehidupan sehari-hari</v>
      </c>
      <c r="I32" s="230">
        <f>'PKN3'!U31</f>
        <v>93</v>
      </c>
      <c r="J32" s="230" t="str">
        <f>'PKN3'!V31</f>
        <v>A</v>
      </c>
      <c r="K32" s="229" t="str">
        <f>'PKN3'!AA31</f>
        <v xml:space="preserve">LAEL sangat baik  dalam memahami hak, kewajiban dan tanggung jawab sebagai warga dalam kehidupan sehari-hari.
</v>
      </c>
      <c r="L32" s="232">
        <f>BIND3!U31</f>
        <v>92</v>
      </c>
      <c r="M32" s="232" t="str">
        <f>BIND3!V31</f>
        <v>A</v>
      </c>
      <c r="N32" s="231" t="str">
        <f>BIND3!AA31</f>
        <v>LAEL sangat baik  dalam meringkas teks penjelasan (eksplanasi) dari media cetak atau elektronik.</v>
      </c>
      <c r="O32" s="232">
        <f>'MTK3'!U31</f>
        <v>80</v>
      </c>
      <c r="P32" s="232" t="str">
        <f>'MTK3'!V31</f>
        <v>B</v>
      </c>
      <c r="Q32" s="231" t="str">
        <f>'MTK3'!AA31</f>
        <v xml:space="preserve">LAEL baik  dalam menjelaskan, dan menentukan volume bangun ruang dengan menggunakan satuan volume (seperti kubus satuan) serta hubungan pangkat tiga dengan akar pangkat tiga
</v>
      </c>
      <c r="R32" s="232">
        <f>'IPA3'!U31</f>
        <v>93</v>
      </c>
      <c r="S32" s="232" t="str">
        <f>'IPA3'!V31</f>
        <v>A</v>
      </c>
      <c r="T32" s="231" t="str">
        <f>'IPA3'!AA31</f>
        <v xml:space="preserve">LAEL sangat baik  dalam menerapkan konsep perpindahan kalor dalam kehidupan sehari-hari.
</v>
      </c>
      <c r="U32" s="232">
        <f>'IPS3'!U31</f>
        <v>80</v>
      </c>
      <c r="V32" s="232" t="str">
        <f>'IPS3'!V31</f>
        <v>B</v>
      </c>
      <c r="W32" s="231" t="str">
        <f>'IPS3'!AA31</f>
        <v>LAEL baik  dalam Mengidentifikasi karakteristik geografis Indonesia sebagai negara kepulauan/maritim dan agraris serta pengaruhnya terhadap kehidupan ekonomi, sosial, budaya, komunikasi, serta transportasi.</v>
      </c>
      <c r="X32" s="232">
        <f>SBDP3!U31</f>
        <v>98</v>
      </c>
      <c r="Y32" s="232" t="str">
        <f>SBDP3!V31</f>
        <v>A</v>
      </c>
      <c r="Z32" s="231" t="str">
        <f>SBDP3!AA31</f>
        <v>LAEL sangat baik  dalam memahami gambar cerita</v>
      </c>
      <c r="AA32" s="232">
        <f>PJOK3!U31</f>
        <v>86</v>
      </c>
      <c r="AB32" s="232" t="str">
        <f>PJOK3!V31</f>
        <v>B</v>
      </c>
      <c r="AC32" s="231" t="str">
        <f>PJOK3!AA31</f>
        <v xml:space="preserve">LAEL baik  dalam memahami kombinasi pola gerak dominan (bertumpu, bergantung, keseimbangan, berpindah/lokomotor, tolakan, putaran, ayunan, melayang, dan mendarat) untuk membentuk keterampilan dasar senam menggunakan alat
</v>
      </c>
      <c r="AD32" s="232">
        <f>'MLK1-3'!U31</f>
        <v>80</v>
      </c>
      <c r="AE32" s="232" t="str">
        <f>'MLK1-3'!V31</f>
        <v>B</v>
      </c>
      <c r="AF32" s="233" t="str">
        <f>'MLK1-3'!AA31</f>
        <v>LAEL baik  dalam memahami teks kawih tentang bangga sebagai bangsa Indonesia</v>
      </c>
      <c r="AG32" s="232">
        <f>'MLK2-3'!X31</f>
        <v>97</v>
      </c>
      <c r="AH32" s="232" t="str">
        <f>'MLK2-3'!Y31</f>
        <v>A</v>
      </c>
      <c r="AI32" s="231" t="str">
        <f>'MLK2-3'!AD31</f>
        <v xml:space="preserve">LAEL sangat baik  dalam merespon instruksi sangat sederhana dengan tindakan secara berterima dalam konteks sekolah  </v>
      </c>
      <c r="AJ32" s="232">
        <f>'MLK3-3'!W31</f>
        <v>99</v>
      </c>
      <c r="AK32" s="232" t="str">
        <f>'MLK3-3'!X31</f>
        <v>A</v>
      </c>
      <c r="AL32" s="233" t="str">
        <f>'MLK3-3'!AC31</f>
        <v xml:space="preserve">LAEL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M32" s="232">
        <f>'PAI4'!CI32</f>
        <v>90</v>
      </c>
      <c r="AN32" s="232" t="str">
        <f>'PAI4'!CJ32</f>
        <v>A</v>
      </c>
      <c r="AO32" s="233" t="str">
        <f>'PAI4'!CO32</f>
        <v>LAEL sangat baik  dalam membaca Q.S. at-Tīn dan Q.S. al-Mā’ūn dengan tartil.</v>
      </c>
      <c r="AP32" s="232">
        <f>'PKN4'!U31</f>
        <v>93</v>
      </c>
      <c r="AQ32" s="232" t="str">
        <f>'PKN4'!V31</f>
        <v>A</v>
      </c>
      <c r="AR32" s="231" t="str">
        <f>'PKN4'!AA31</f>
        <v>LAEL sangat baik  dalam menjelaskan hak, kewajiban, dan tanggung  jawab sebagai warga masyarakat dalam kehidupan sehari-hari</v>
      </c>
      <c r="AS32" s="232">
        <f>BIND4!U31</f>
        <v>92</v>
      </c>
      <c r="AT32" s="232" t="str">
        <f>BIND4!V31</f>
        <v>A</v>
      </c>
      <c r="AU32" s="231" t="str">
        <f>BIND4!AA31</f>
        <v xml:space="preserve">LAEL sangat baik  dalam menyajikan ringkasan teks penjelasan (eksplanasi) dari media cetak atau elektronik dengan menggunakan kosakata baku dan kalimat efektif secara lisan, tulis, dan visual.
</v>
      </c>
      <c r="AV32" s="232">
        <f>'MTK4'!U31</f>
        <v>80</v>
      </c>
      <c r="AW32" s="232" t="str">
        <f>'MTK4'!V31</f>
        <v>B</v>
      </c>
      <c r="AX32" s="231" t="str">
        <f>'MTK4'!AA31</f>
        <v xml:space="preserve">LAEL baik  dalam menyelesaikan masalah yang berkaitan dengan volume bangun ruang dengan menggunakan satuan volume (seperti kubus satuan) melibatkan pangkat tiga dan akar pangkat tiga
</v>
      </c>
      <c r="AY32" s="232">
        <f>'IPA4'!U31</f>
        <v>93</v>
      </c>
      <c r="AZ32" s="232" t="str">
        <f>'IPA4'!V31</f>
        <v>A</v>
      </c>
      <c r="BA32" s="231" t="str">
        <f>'IPA4'!AA31</f>
        <v>LAEL sangat baik  dalam melaporkan hasil pengamatan tentang perpindahan kalor.</v>
      </c>
      <c r="BB32" s="232">
        <f>'IPS4'!U31</f>
        <v>80</v>
      </c>
      <c r="BC32" s="232" t="str">
        <f>'IPS4'!V31</f>
        <v>B</v>
      </c>
      <c r="BD32" s="231" t="str">
        <f>'IPS4'!AA31</f>
        <v>LAEL baik  dalam menyajikan hasil identifikasi karakteristik geografis Indonesia sebagai negara kepulauan/maritim dan agraris serta pengaruhnya terhadap kehidupan ekonomi, sosial, budaya, komunikasi, serta transportasi.</v>
      </c>
      <c r="BE32" s="232">
        <f>SBDP4!U31</f>
        <v>98</v>
      </c>
      <c r="BF32" s="232" t="str">
        <f>SBDP4!V31</f>
        <v>A</v>
      </c>
      <c r="BG32" s="231" t="str">
        <f>SBDP4!AA31</f>
        <v>LAEL sangat baik  dalam membuat gambar cerita</v>
      </c>
      <c r="BH32" s="232">
        <f>PJOK4!U31</f>
        <v>86</v>
      </c>
      <c r="BI32" s="232" t="str">
        <f>PJOK4!V31</f>
        <v>B</v>
      </c>
      <c r="BJ32" s="233" t="str">
        <f>PJOK4!AA31</f>
        <v>LAEL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32" s="232">
        <f>'MLK1-4'!U31</f>
        <v>80</v>
      </c>
      <c r="BL32" s="232" t="str">
        <f>'MLK1-4'!V31</f>
        <v>B</v>
      </c>
      <c r="BM32" s="231" t="str">
        <f>'MLK1-4'!AA31</f>
        <v>LAEL baik  dalam melantunkan dan menceritakan isi kawih tentang bangga sebagai bangsa Indonesia</v>
      </c>
      <c r="BN32" s="232">
        <f>'MLK2-4'!U31</f>
        <v>97</v>
      </c>
      <c r="BO32" s="232" t="str">
        <f>'MLK2-4'!V31</f>
        <v>A</v>
      </c>
      <c r="BP32" s="231" t="str">
        <f>'MLK2-4'!AA31</f>
        <v>LAEL sangat baik  dalam memahami langkah-langkah pengawasan kelestarian lingkungan hidup</v>
      </c>
      <c r="BQ32" s="232">
        <f>'MLK3-4'!Y31</f>
        <v>95</v>
      </c>
      <c r="BR32" s="232" t="str">
        <f>'MLK3-4'!Z31</f>
        <v>A</v>
      </c>
      <c r="BS32" s="231" t="str">
        <f>'MLK3-4'!AE31</f>
        <v xml:space="preserve">LAEL sangat baik  dalam merespon instruksi sangat sederhana dengan tindakan secara berterima dalam konteks sekolah  </v>
      </c>
    </row>
    <row r="33" spans="1:71" ht="129.94999999999999" customHeight="1">
      <c r="A33" s="227">
        <v>28</v>
      </c>
      <c r="B33" s="227" t="str">
        <f>SISWA!B33</f>
        <v>1718250040332</v>
      </c>
      <c r="C33" s="228" t="str">
        <f>SISWA!C33</f>
        <v>MUHAMMAD NABIL ZHALIFUNNAS</v>
      </c>
      <c r="D33" s="229" t="str">
        <f>SPIRIT!P32</f>
        <v xml:space="preserve">Ananda NABIL baik dalam  ketaatan beribadah,  berperilaku syukur,  berdoa sebelum dan sesudah melakukan kegiatan,  toleransi dalam beribadah, </v>
      </c>
      <c r="E33" s="229" t="str">
        <f>SOSIAL!T32</f>
        <v xml:space="preserve">Ananda NABIL baik dalam sikap jujur, disiplin, tanggung jawab, santun, peduli, percaya diri, </v>
      </c>
      <c r="F33" s="230">
        <f>'PAI3'!CI33</f>
        <v>76</v>
      </c>
      <c r="G33" s="230" t="str">
        <f>'PAI3'!CJ33</f>
        <v>C</v>
      </c>
      <c r="H33" s="231" t="str">
        <f>'PAI3'!CO33</f>
        <v>NABIL baik  dalam memahami pelaksanaan salat tarawih dan tadarus al-Qur'an., dan  cukup baik  dalam memahami nama-nama Rasul Allah dan Rasul Ulul ‘Azmi.</v>
      </c>
      <c r="I33" s="230">
        <f>'PKN3'!U32</f>
        <v>83</v>
      </c>
      <c r="J33" s="230" t="str">
        <f>'PKN3'!V32</f>
        <v>B</v>
      </c>
      <c r="K33" s="229" t="str">
        <f>'PKN3'!AA32</f>
        <v xml:space="preserve">NABIL baik  dalam memahami hak, kewajiban dan tanggung jawab sebagai warga dalam kehidupan sehari-hari.
</v>
      </c>
      <c r="L33" s="232">
        <f>BIND3!U32</f>
        <v>82</v>
      </c>
      <c r="M33" s="232" t="str">
        <f>BIND3!V32</f>
        <v>B</v>
      </c>
      <c r="N33" s="231" t="str">
        <f>BIND3!AA32</f>
        <v>NABIL baik  dalam meringkas teks penjelasan (eksplanasi) dari media cetak atau elektronik.</v>
      </c>
      <c r="O33" s="232">
        <f>'MTK3'!U32</f>
        <v>70</v>
      </c>
      <c r="P33" s="232" t="str">
        <f>'MTK3'!V32</f>
        <v>C</v>
      </c>
      <c r="Q33" s="231" t="str">
        <f>'MTK3'!AA32</f>
        <v xml:space="preserve">NABIL cukup baik  dalam menjelaskan, dan menentukan volume bangun ruang dengan menggunakan satuan volume (seperti kubus satuan) serta hubungan pangkat tiga dengan akar pangkat tiga
</v>
      </c>
      <c r="R33" s="232">
        <f>'IPA3'!U32</f>
        <v>85</v>
      </c>
      <c r="S33" s="232" t="str">
        <f>'IPA3'!V32</f>
        <v>B</v>
      </c>
      <c r="T33" s="231" t="str">
        <f>'IPA3'!AA32</f>
        <v xml:space="preserve">NABIL baik  dalam menerapkan konsep perpindahan kalor dalam kehidupan sehari-hari.
</v>
      </c>
      <c r="U33" s="232">
        <f>'IPS3'!U32</f>
        <v>83</v>
      </c>
      <c r="V33" s="232" t="str">
        <f>'IPS3'!V32</f>
        <v>B</v>
      </c>
      <c r="W33" s="231" t="str">
        <f>'IPS3'!AA32</f>
        <v>NABIL baik  dalam Mengidentifikasi karakteristik geografis Indonesia sebagai negara kepulauan/maritim dan agraris serta pengaruhnya terhadap kehidupan ekonomi, sosial, budaya, komunikasi, serta transportasi.</v>
      </c>
      <c r="X33" s="232">
        <f>SBDP3!U32</f>
        <v>88</v>
      </c>
      <c r="Y33" s="232" t="str">
        <f>SBDP3!V32</f>
        <v>A</v>
      </c>
      <c r="Z33" s="231" t="str">
        <f>SBDP3!AA32</f>
        <v>NABIL sangat baik  dalam memahami gambar cerita</v>
      </c>
      <c r="AA33" s="232">
        <f>PJOK3!U32</f>
        <v>85</v>
      </c>
      <c r="AB33" s="232" t="str">
        <f>PJOK3!V32</f>
        <v>B</v>
      </c>
      <c r="AC33" s="231" t="str">
        <f>PJOK3!AA32</f>
        <v xml:space="preserve">NABIL baik  dalam memahami kombinasi pola gerak dominan (bertumpu, bergantung, keseimbangan, berpindah/lokomotor, tolakan, putaran, ayunan, melayang, dan mendarat) untuk membentuk keterampilan dasar senam menggunakan alat
</v>
      </c>
      <c r="AD33" s="232">
        <f>'MLK1-3'!U32</f>
        <v>70</v>
      </c>
      <c r="AE33" s="232" t="str">
        <f>'MLK1-3'!V32</f>
        <v>C</v>
      </c>
      <c r="AF33" s="233" t="str">
        <f>'MLK1-3'!AA32</f>
        <v>NABIL cukup baik  dalam memahami teks kawih tentang bangga sebagai bangsa Indonesia</v>
      </c>
      <c r="AG33" s="232">
        <f>'MLK2-3'!X32</f>
        <v>88</v>
      </c>
      <c r="AH33" s="232" t="str">
        <f>'MLK2-3'!Y32</f>
        <v>A</v>
      </c>
      <c r="AI33" s="231" t="str">
        <f>'MLK2-3'!AD32</f>
        <v xml:space="preserve">NABIL sangat baik  dalam merespon instruksi sangat sederhana dengan tindakan secara berterima dalam konteks sekolah  </v>
      </c>
      <c r="AJ33" s="232">
        <f>'MLK3-3'!W32</f>
        <v>75</v>
      </c>
      <c r="AK33" s="232" t="str">
        <f>'MLK3-3'!X32</f>
        <v>C</v>
      </c>
      <c r="AL33" s="233" t="str">
        <f>'MLK3-3'!AC32</f>
        <v xml:space="preserve">NABIL baik  dalam merespon instruksi sangat sederhana dengan tindakan secara berterima dalam konteks sekolah  , dan  cukup baik  dalam mengeja kalimat sangat sederhana secara tepat dan berterima </v>
      </c>
      <c r="AM33" s="232">
        <f>'PAI4'!CI33</f>
        <v>90</v>
      </c>
      <c r="AN33" s="232" t="str">
        <f>'PAI4'!CJ33</f>
        <v>A</v>
      </c>
      <c r="AO33" s="233" t="str">
        <f>'PAI4'!CO33</f>
        <v>NABIL sangat baik  dalam membaca Q.S. at-Tīn dan Q.S. al-Mā’ūn dengan tartil.</v>
      </c>
      <c r="AP33" s="232">
        <f>'PKN4'!U32</f>
        <v>83</v>
      </c>
      <c r="AQ33" s="232" t="str">
        <f>'PKN4'!V32</f>
        <v>B</v>
      </c>
      <c r="AR33" s="231" t="str">
        <f>'PKN4'!AA32</f>
        <v>NABIL baik  dalam menjelaskan hak, kewajiban, dan tanggung  jawab sebagai warga masyarakat dalam kehidupan sehari-hari</v>
      </c>
      <c r="AS33" s="232">
        <f>BIND4!U32</f>
        <v>82</v>
      </c>
      <c r="AT33" s="232" t="str">
        <f>BIND4!V32</f>
        <v>B</v>
      </c>
      <c r="AU33" s="231" t="str">
        <f>BIND4!AA32</f>
        <v xml:space="preserve">NABIL baik  dalam menyajikan ringkasan teks penjelasan (eksplanasi) dari media cetak atau elektronik dengan menggunakan kosakata baku dan kalimat efektif secara lisan, tulis, dan visual.
</v>
      </c>
      <c r="AV33" s="232">
        <f>'MTK4'!U32</f>
        <v>70</v>
      </c>
      <c r="AW33" s="232" t="str">
        <f>'MTK4'!V32</f>
        <v>C</v>
      </c>
      <c r="AX33" s="231" t="str">
        <f>'MTK4'!AA32</f>
        <v xml:space="preserve">NABIL cukup baik  dalam menyelesaikan masalah yang berkaitan dengan volume bangun ruang dengan menggunakan satuan volume (seperti kubus satuan) melibatkan pangkat tiga dan akar pangkat tiga
</v>
      </c>
      <c r="AY33" s="232">
        <f>'IPA4'!U32</f>
        <v>85</v>
      </c>
      <c r="AZ33" s="232" t="str">
        <f>'IPA4'!V32</f>
        <v>B</v>
      </c>
      <c r="BA33" s="231" t="str">
        <f>'IPA4'!AA32</f>
        <v>NABIL baik  dalam melaporkan hasil pengamatan tentang perpindahan kalor.</v>
      </c>
      <c r="BB33" s="232">
        <f>'IPS4'!U32</f>
        <v>83</v>
      </c>
      <c r="BC33" s="232" t="str">
        <f>'IPS4'!V32</f>
        <v>B</v>
      </c>
      <c r="BD33" s="231" t="str">
        <f>'IPS4'!AA32</f>
        <v>NABIL baik  dalam menyajikan hasil identifikasi karakteristik geografis Indonesia sebagai negara kepulauan/maritim dan agraris serta pengaruhnya terhadap kehidupan ekonomi, sosial, budaya, komunikasi, serta transportasi.</v>
      </c>
      <c r="BE33" s="232">
        <f>SBDP4!U32</f>
        <v>88</v>
      </c>
      <c r="BF33" s="232" t="str">
        <f>SBDP4!V32</f>
        <v>A</v>
      </c>
      <c r="BG33" s="231" t="str">
        <f>SBDP4!AA32</f>
        <v>NABIL sangat baik  dalam membuat gambar cerita</v>
      </c>
      <c r="BH33" s="232">
        <f>PJOK4!U32</f>
        <v>86</v>
      </c>
      <c r="BI33" s="232" t="str">
        <f>PJOK4!V32</f>
        <v>B</v>
      </c>
      <c r="BJ33" s="233" t="str">
        <f>PJOK4!AA32</f>
        <v>NABIL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BK33" s="232">
        <f>'MLK1-4'!U32</f>
        <v>70</v>
      </c>
      <c r="BL33" s="232" t="str">
        <f>'MLK1-4'!V32</f>
        <v>C</v>
      </c>
      <c r="BM33" s="231" t="str">
        <f>'MLK1-4'!AA32</f>
        <v>NABIL cukup baik  dalam melantunkan dan menceritakan isi kawih tentang bangga sebagai bangsa Indonesia</v>
      </c>
      <c r="BN33" s="232">
        <f>'MLK2-4'!U32</f>
        <v>88</v>
      </c>
      <c r="BO33" s="232" t="str">
        <f>'MLK2-4'!V32</f>
        <v>A</v>
      </c>
      <c r="BP33" s="231" t="str">
        <f>'MLK2-4'!AA32</f>
        <v>NABIL sangat baik  dalam memahami langkah-langkah pengawasan kelestarian lingkungan hidup</v>
      </c>
      <c r="BQ33" s="232">
        <f>'MLK3-4'!Y32</f>
        <v>70</v>
      </c>
      <c r="BR33" s="232" t="str">
        <f>'MLK3-4'!Z32</f>
        <v>C</v>
      </c>
      <c r="BS33" s="231" t="str">
        <f>'MLK3-4'!AE32</f>
        <v xml:space="preserve">NABIL cukup baik  dalam merespon instruksi sangat sederhana dengan tindakan secara berterima dalam konteks sekolah  </v>
      </c>
    </row>
    <row r="34" spans="1:71" ht="129.94999999999999" customHeight="1">
      <c r="A34" s="227">
        <v>29</v>
      </c>
      <c r="B34" s="227" t="str">
        <f>SISWA!B34</f>
        <v>1718250040333</v>
      </c>
      <c r="C34" s="228" t="str">
        <f>SISWA!C34</f>
        <v>MUHAMMAD RASYA ANGGA YUDHA</v>
      </c>
      <c r="D34" s="229" t="str">
        <f>SPIRIT!P33</f>
        <v xml:space="preserve">Ananda RASYA baik dalam  ketaatan beribadah,  berperilaku syukur,  berdoa sebelum dan sesudah melakukan kegiatan,  toleransi dalam beribadah, </v>
      </c>
      <c r="E34" s="229" t="str">
        <f>SOSIAL!T33</f>
        <v xml:space="preserve">Ananda RASYA baik dalam sikap jujur, disiplin, tanggung jawab, santun, peduli, percaya diri, </v>
      </c>
      <c r="F34" s="230">
        <f>'PAI3'!CI34</f>
        <v>77</v>
      </c>
      <c r="G34" s="230" t="str">
        <f>'PAI3'!CJ34</f>
        <v>B</v>
      </c>
      <c r="H34" s="231" t="str">
        <f>'PAI3'!CO34</f>
        <v>RASYA baik  dalam memahami pelaksanaan salat tarawih dan tadarus al-Qur'an., dan  cukup baik  dalam memahami makna sederhana dalam kehidupan sehari-hari.</v>
      </c>
      <c r="I34" s="230">
        <f>'PKN3'!U33</f>
        <v>83</v>
      </c>
      <c r="J34" s="230" t="str">
        <f>'PKN3'!V33</f>
        <v>B</v>
      </c>
      <c r="K34" s="229" t="str">
        <f>'PKN3'!AA33</f>
        <v xml:space="preserve">RASYA baik  dalam memahami hak, kewajiban dan tanggung jawab sebagai warga dalam kehidupan sehari-hari.
</v>
      </c>
      <c r="L34" s="232">
        <f>BIND3!U33</f>
        <v>81</v>
      </c>
      <c r="M34" s="232" t="str">
        <f>BIND3!V33</f>
        <v>B</v>
      </c>
      <c r="N34" s="231" t="str">
        <f>BIND3!AA33</f>
        <v>RASYA baik  dalam meringkas teks penjelasan (eksplanasi) dari media cetak atau elektronik.</v>
      </c>
      <c r="O34" s="232">
        <f>'MTK3'!U33</f>
        <v>70</v>
      </c>
      <c r="P34" s="232" t="str">
        <f>'MTK3'!V33</f>
        <v>C</v>
      </c>
      <c r="Q34" s="231" t="str">
        <f>'MTK3'!AA33</f>
        <v xml:space="preserve">RASYA cukup baik  dalam menjelaskan, dan menentukan volume bangun ruang dengan menggunakan satuan volume (seperti kubus satuan) serta hubungan pangkat tiga dengan akar pangkat tiga
</v>
      </c>
      <c r="R34" s="232">
        <f>'IPA3'!U33</f>
        <v>75</v>
      </c>
      <c r="S34" s="232" t="str">
        <f>'IPA3'!V33</f>
        <v>C</v>
      </c>
      <c r="T34" s="231" t="str">
        <f>'IPA3'!AA33</f>
        <v xml:space="preserve">RASYA cukup baik  dalam menerapkan konsep perpindahan kalor dalam kehidupan sehari-hari.
</v>
      </c>
      <c r="U34" s="232">
        <f>'IPS3'!U33</f>
        <v>88</v>
      </c>
      <c r="V34" s="232" t="str">
        <f>'IPS3'!V33</f>
        <v>A</v>
      </c>
      <c r="W34" s="231" t="str">
        <f>'IPS3'!AA33</f>
        <v>RASYA sangat baik  dalam Mengidentifikasi karakteristik geografis Indonesia sebagai negara kepulauan/maritim dan agraris serta pengaruhnya terhadap kehidupan ekonomi, sosial, budaya, komunikasi, serta transportasi.</v>
      </c>
      <c r="X34" s="232">
        <f>SBDP3!U33</f>
        <v>85</v>
      </c>
      <c r="Y34" s="232" t="str">
        <f>SBDP3!V33</f>
        <v>B</v>
      </c>
      <c r="Z34" s="231" t="str">
        <f>SBDP3!AA33</f>
        <v>RASYA baik  dalam memahami gambar cerita</v>
      </c>
      <c r="AA34" s="232">
        <f>PJOK3!U33</f>
        <v>86</v>
      </c>
      <c r="AB34" s="232" t="str">
        <f>PJOK3!V33</f>
        <v>B</v>
      </c>
      <c r="AC34" s="231" t="str">
        <f>PJOK3!AA33</f>
        <v xml:space="preserve">RASYA baik  dalam memahami kombinasi pola gerak dominan (bertumpu, bergantung, keseimbangan, berpindah/lokomotor, tolakan, putaran, ayunan, melayang, dan mendarat) untuk membentuk keterampilan dasar senam menggunakan alat
</v>
      </c>
      <c r="AD34" s="232">
        <f>'MLK1-3'!U33</f>
        <v>71</v>
      </c>
      <c r="AE34" s="232" t="str">
        <f>'MLK1-3'!V33</f>
        <v>C</v>
      </c>
      <c r="AF34" s="233" t="str">
        <f>'MLK1-3'!AA33</f>
        <v>RASYA cukup baik  dalam memahami teks kawih tentang bangga sebagai bangsa Indonesia</v>
      </c>
      <c r="AG34" s="232">
        <f>'MLK2-3'!X33</f>
        <v>91</v>
      </c>
      <c r="AH34" s="232" t="str">
        <f>'MLK2-3'!Y33</f>
        <v>A</v>
      </c>
      <c r="AI34" s="231" t="str">
        <f>'MLK2-3'!AD33</f>
        <v xml:space="preserve">RASYA sangat baik  dalam merespon instruksi sangat sederhana dengan tindakan secara berterima dalam konteks sekolah  </v>
      </c>
      <c r="AJ34" s="232">
        <f>'MLK3-3'!W33</f>
        <v>75</v>
      </c>
      <c r="AK34" s="232" t="str">
        <f>'MLK3-3'!X33</f>
        <v>C</v>
      </c>
      <c r="AL34" s="233" t="str">
        <f>'MLK3-3'!AC33</f>
        <v xml:space="preserve">RASYA baik  dalam bercakap-cakap untuk menyertai tindakan secara berterima yang melibatkan tindak tutur: memberi contoh melakukan sesuatu, memberi aba-aba, dan memberi petunjuk 
, dan  cukup baik  dalam merespon instruksi sangat sederhana dengan tindakan secara berterima dalam konteks sekolah  </v>
      </c>
      <c r="AM34" s="232">
        <f>'PAI4'!CI34</f>
        <v>90</v>
      </c>
      <c r="AN34" s="232" t="str">
        <f>'PAI4'!CJ34</f>
        <v>A</v>
      </c>
      <c r="AO34" s="233" t="str">
        <f>'PAI4'!CO34</f>
        <v>RASYA sangat baik  dalam membaca Q.S. at-Tīn dan Q.S. al-Mā’ūn dengan tartil.</v>
      </c>
      <c r="AP34" s="232">
        <f>'PKN4'!U33</f>
        <v>83</v>
      </c>
      <c r="AQ34" s="232" t="str">
        <f>'PKN4'!V33</f>
        <v>B</v>
      </c>
      <c r="AR34" s="231" t="str">
        <f>'PKN4'!AA33</f>
        <v>RASYA baik  dalam menjelaskan hak, kewajiban, dan tanggung  jawab sebagai warga masyarakat dalam kehidupan sehari-hari</v>
      </c>
      <c r="AS34" s="232">
        <f>BIND4!U33</f>
        <v>81</v>
      </c>
      <c r="AT34" s="232" t="str">
        <f>BIND4!V33</f>
        <v>B</v>
      </c>
      <c r="AU34" s="231" t="str">
        <f>BIND4!AA33</f>
        <v xml:space="preserve">RASYA baik  dalam menyajikan ringkasan teks penjelasan (eksplanasi) dari media cetak atau elektronik dengan menggunakan kosakata baku dan kalimat efektif secara lisan, tulis, dan visual.
</v>
      </c>
      <c r="AV34" s="232">
        <f>'MTK4'!U33</f>
        <v>70</v>
      </c>
      <c r="AW34" s="232" t="str">
        <f>'MTK4'!V33</f>
        <v>C</v>
      </c>
      <c r="AX34" s="231" t="str">
        <f>'MTK4'!AA33</f>
        <v xml:space="preserve">RASYA cukup baik  dalam menyelesaikan masalah yang berkaitan dengan volume bangun ruang dengan menggunakan satuan volume (seperti kubus satuan) melibatkan pangkat tiga dan akar pangkat tiga
</v>
      </c>
      <c r="AY34" s="232">
        <f>'IPA4'!U33</f>
        <v>75</v>
      </c>
      <c r="AZ34" s="232" t="str">
        <f>'IPA4'!V33</f>
        <v>C</v>
      </c>
      <c r="BA34" s="231" t="str">
        <f>'IPA4'!AA33</f>
        <v>RASYA cukup baik  dalam melaporkan hasil pengamatan tentang perpindahan kalor.</v>
      </c>
      <c r="BB34" s="232">
        <f>'IPS4'!U33</f>
        <v>88</v>
      </c>
      <c r="BC34" s="232" t="str">
        <f>'IPS4'!V33</f>
        <v>A</v>
      </c>
      <c r="BD34" s="231" t="str">
        <f>'IPS4'!AA33</f>
        <v>RASYA sangat baik  dalam menyajikan hasil identifikasi karakteristik geografis Indonesia sebagai negara kepulauan/maritim dan agraris serta pengaruhnya terhadap kehidupan ekonomi, sosial, budaya, komunikasi, serta transportasi.</v>
      </c>
      <c r="BE34" s="232">
        <f>SBDP4!U33</f>
        <v>85</v>
      </c>
      <c r="BF34" s="232" t="str">
        <f>SBDP4!V33</f>
        <v>B</v>
      </c>
      <c r="BG34" s="231" t="str">
        <f>SBDP4!AA33</f>
        <v>RASYA baik  dalam membuat gambar cerita</v>
      </c>
      <c r="BH34" s="232">
        <f>PJOK4!U33</f>
        <v>88</v>
      </c>
      <c r="BI34" s="232" t="str">
        <f>PJOK4!V33</f>
        <v>A</v>
      </c>
      <c r="BJ34" s="233" t="str">
        <f>PJOK4!AA33</f>
        <v>RASYA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34" s="232">
        <f>'MLK1-4'!U33</f>
        <v>71</v>
      </c>
      <c r="BL34" s="232" t="str">
        <f>'MLK1-4'!V33</f>
        <v>C</v>
      </c>
      <c r="BM34" s="231" t="str">
        <f>'MLK1-4'!AA33</f>
        <v>RASYA cukup baik  dalam melantunkan dan menceritakan isi kawih tentang bangga sebagai bangsa Indonesia</v>
      </c>
      <c r="BN34" s="232">
        <f>'MLK2-4'!U33</f>
        <v>91</v>
      </c>
      <c r="BO34" s="232" t="str">
        <f>'MLK2-4'!V33</f>
        <v>A</v>
      </c>
      <c r="BP34" s="231" t="str">
        <f>'MLK2-4'!AA33</f>
        <v>RASYA sangat baik  dalam memahami langkah-langkah pengawasan kelestarian lingkungan hidup</v>
      </c>
      <c r="BQ34" s="232">
        <f>'MLK3-4'!Y33</f>
        <v>75</v>
      </c>
      <c r="BR34" s="232" t="str">
        <f>'MLK3-4'!Z33</f>
        <v>C</v>
      </c>
      <c r="BS34" s="231" t="str">
        <f>'MLK3-4'!AE33</f>
        <v xml:space="preserve">RASYA cukup baik  dalam merespon instruksi sangat sederhana dengan tindakan secara berterima dalam konteks sekolah  </v>
      </c>
    </row>
    <row r="35" spans="1:71" ht="129.94999999999999" customHeight="1">
      <c r="A35" s="227">
        <v>30</v>
      </c>
      <c r="B35" s="227" t="str">
        <f>SISWA!B35</f>
        <v>1718250040334</v>
      </c>
      <c r="C35" s="228" t="str">
        <f>SISWA!C35</f>
        <v>MUHAMMAD RIZKI MUJAHIDIN</v>
      </c>
      <c r="D35" s="229" t="str">
        <f>SPIRIT!P34</f>
        <v xml:space="preserve">Ananda RIZKI baik dalam  ketaatan beribadah,  berperilaku syukur,  berdoa sebelum dan sesudah melakukan kegiatan,  toleransi dalam beribadah, </v>
      </c>
      <c r="E35" s="229" t="str">
        <f>SOSIAL!T34</f>
        <v xml:space="preserve">Ananda RIZKI baik dalam sikap jujur, disiplin, tanggung jawab, santun, peduli, percaya diri, </v>
      </c>
      <c r="F35" s="230">
        <f>'PAI3'!CI35</f>
        <v>81</v>
      </c>
      <c r="G35" s="230" t="str">
        <f>'PAI3'!CJ35</f>
        <v>B</v>
      </c>
      <c r="H35" s="231" t="str">
        <f>'PAI3'!CO35</f>
        <v>RIZKI sangat baik  dalam memahami makna Q.S. at-Tīn dan Q.S. al-Mā’ūn dengan benar., dan  cukup baik  dalam memahami nama-nama Rasul Allah dan Rasul Ulul ‘Azmi.</v>
      </c>
      <c r="I35" s="230">
        <f>'PKN3'!U34</f>
        <v>93</v>
      </c>
      <c r="J35" s="230" t="str">
        <f>'PKN3'!V34</f>
        <v>A</v>
      </c>
      <c r="K35" s="229" t="str">
        <f>'PKN3'!AA34</f>
        <v xml:space="preserve">RIZKI sangat baik  dalam memahami hak, kewajiban dan tanggung jawab sebagai warga dalam kehidupan sehari-hari.
</v>
      </c>
      <c r="L35" s="232">
        <f>BIND3!U34</f>
        <v>89</v>
      </c>
      <c r="M35" s="232" t="str">
        <f>BIND3!V34</f>
        <v>A</v>
      </c>
      <c r="N35" s="231" t="str">
        <f>BIND3!AA34</f>
        <v>RIZKI sangat baik  dalam meringkas teks penjelasan (eksplanasi) dari media cetak atau elektronik.</v>
      </c>
      <c r="O35" s="232">
        <f>'MTK3'!U34</f>
        <v>85</v>
      </c>
      <c r="P35" s="232" t="str">
        <f>'MTK3'!V34</f>
        <v>B</v>
      </c>
      <c r="Q35" s="231" t="str">
        <f>'MTK3'!AA34</f>
        <v xml:space="preserve">RIZKI baik  dalam menjelaskan, dan menentukan volume bangun ruang dengan menggunakan satuan volume (seperti kubus satuan) serta hubungan pangkat tiga dengan akar pangkat tiga
</v>
      </c>
      <c r="R35" s="232">
        <f>'IPA3'!U34</f>
        <v>93</v>
      </c>
      <c r="S35" s="232" t="str">
        <f>'IPA3'!V34</f>
        <v>A</v>
      </c>
      <c r="T35" s="231" t="str">
        <f>'IPA3'!AA34</f>
        <v xml:space="preserve">RIZKI sangat baik  dalam menerapkan konsep perpindahan kalor dalam kehidupan sehari-hari.
</v>
      </c>
      <c r="U35" s="232">
        <f>'IPS3'!U34</f>
        <v>90</v>
      </c>
      <c r="V35" s="232" t="str">
        <f>'IPS3'!V34</f>
        <v>A</v>
      </c>
      <c r="W35" s="231" t="str">
        <f>'IPS3'!AA34</f>
        <v>RIZKI sangat baik  dalam Mengidentifikasi karakteristik geografis Indonesia sebagai negara kepulauan/maritim dan agraris serta pengaruhnya terhadap kehidupan ekonomi, sosial, budaya, komunikasi, serta transportasi.</v>
      </c>
      <c r="X35" s="232">
        <f>SBDP3!U34</f>
        <v>90</v>
      </c>
      <c r="Y35" s="232" t="str">
        <f>SBDP3!V34</f>
        <v>A</v>
      </c>
      <c r="Z35" s="231" t="str">
        <f>SBDP3!AA34</f>
        <v>RIZKI sangat baik  dalam memahami gambar cerita</v>
      </c>
      <c r="AA35" s="232">
        <f>PJOK3!U34</f>
        <v>89</v>
      </c>
      <c r="AB35" s="232" t="str">
        <f>PJOK3!V34</f>
        <v>A</v>
      </c>
      <c r="AC35" s="231" t="str">
        <f>PJOK3!AA34</f>
        <v xml:space="preserve">RIZKI sangat baik  dalam memahami kombinasi pola gerak dominan (bertumpu, bergantung, keseimbangan, berpindah/lokomotor, tolakan, putaran, ayunan, melayang, dan mendarat) untuk membentuk keterampilan dasar senam menggunakan alat
</v>
      </c>
      <c r="AD35" s="232">
        <f>'MLK1-3'!U34</f>
        <v>85</v>
      </c>
      <c r="AE35" s="232" t="str">
        <f>'MLK1-3'!V34</f>
        <v>B</v>
      </c>
      <c r="AF35" s="233" t="str">
        <f>'MLK1-3'!AA34</f>
        <v>RIZKI baik  dalam memahami teks kawih tentang bangga sebagai bangsa Indonesia</v>
      </c>
      <c r="AG35" s="232">
        <f>'MLK2-3'!X34</f>
        <v>97</v>
      </c>
      <c r="AH35" s="232" t="str">
        <f>'MLK2-3'!Y34</f>
        <v>A</v>
      </c>
      <c r="AI35" s="231" t="str">
        <f>'MLK2-3'!AD34</f>
        <v xml:space="preserve">RIZKI sangat baik  dalam merespon instruksi sangat sederhana dengan tindakan secara berterima dalam konteks sekolah  </v>
      </c>
      <c r="AJ35" s="232">
        <f>'MLK3-3'!W34</f>
        <v>86</v>
      </c>
      <c r="AK35" s="232" t="str">
        <f>'MLK3-3'!X34</f>
        <v>B</v>
      </c>
      <c r="AL35" s="233" t="str">
        <f>'MLK3-3'!AC34</f>
        <v xml:space="preserve">RIZKI sangat baik  dalam merespon instruksi sangat sederhana dengan tindakan secara berterima dalam konteks sekolah  , dan  baik  dalam mengeja kalimat sangat sederhana secara tepat dan berterima </v>
      </c>
      <c r="AM35" s="232">
        <f>'PAI4'!CI35</f>
        <v>90</v>
      </c>
      <c r="AN35" s="232" t="str">
        <f>'PAI4'!CJ35</f>
        <v>A</v>
      </c>
      <c r="AO35" s="233" t="str">
        <f>'PAI4'!CO35</f>
        <v>RIZKI sangat baik  dalam membaca Q.S. at-Tīn dan Q.S. al-Mā’ūn dengan tartil.</v>
      </c>
      <c r="AP35" s="232">
        <f>'PKN4'!U34</f>
        <v>93</v>
      </c>
      <c r="AQ35" s="232" t="str">
        <f>'PKN4'!V34</f>
        <v>A</v>
      </c>
      <c r="AR35" s="231" t="str">
        <f>'PKN4'!AA34</f>
        <v>RIZKI sangat baik  dalam menjelaskan hak, kewajiban, dan tanggung  jawab sebagai warga masyarakat dalam kehidupan sehari-hari</v>
      </c>
      <c r="AS35" s="232">
        <f>BIND4!U34</f>
        <v>89</v>
      </c>
      <c r="AT35" s="232" t="str">
        <f>BIND4!V34</f>
        <v>A</v>
      </c>
      <c r="AU35" s="231" t="str">
        <f>BIND4!AA34</f>
        <v xml:space="preserve">RIZKI sangat baik  dalam menyajikan ringkasan teks penjelasan (eksplanasi) dari media cetak atau elektronik dengan menggunakan kosakata baku dan kalimat efektif secara lisan, tulis, dan visual.
</v>
      </c>
      <c r="AV35" s="232">
        <f>'MTK4'!U34</f>
        <v>85</v>
      </c>
      <c r="AW35" s="232" t="str">
        <f>'MTK4'!V34</f>
        <v>B</v>
      </c>
      <c r="AX35" s="231" t="str">
        <f>'MTK4'!AA34</f>
        <v xml:space="preserve">RIZKI baik  dalam menyelesaikan masalah yang berkaitan dengan volume bangun ruang dengan menggunakan satuan volume (seperti kubus satuan) melibatkan pangkat tiga dan akar pangkat tiga
</v>
      </c>
      <c r="AY35" s="232">
        <f>'IPA4'!U34</f>
        <v>93</v>
      </c>
      <c r="AZ35" s="232" t="str">
        <f>'IPA4'!V34</f>
        <v>A</v>
      </c>
      <c r="BA35" s="231" t="str">
        <f>'IPA4'!AA34</f>
        <v>RIZKI sangat baik  dalam melaporkan hasil pengamatan tentang perpindahan kalor.</v>
      </c>
      <c r="BB35" s="232">
        <f>'IPS4'!U34</f>
        <v>90</v>
      </c>
      <c r="BC35" s="232" t="str">
        <f>'IPS4'!V34</f>
        <v>A</v>
      </c>
      <c r="BD35" s="231" t="str">
        <f>'IPS4'!AA34</f>
        <v>RIZKI sangat baik  dalam menyajikan hasil identifikasi karakteristik geografis Indonesia sebagai negara kepulauan/maritim dan agraris serta pengaruhnya terhadap kehidupan ekonomi, sosial, budaya, komunikasi, serta transportasi.</v>
      </c>
      <c r="BE35" s="232">
        <f>SBDP4!U34</f>
        <v>90</v>
      </c>
      <c r="BF35" s="232" t="str">
        <f>SBDP4!V34</f>
        <v>A</v>
      </c>
      <c r="BG35" s="231" t="str">
        <f>SBDP4!AA34</f>
        <v>RIZKI sangat baik  dalam membuat gambar cerita</v>
      </c>
      <c r="BH35" s="232">
        <f>PJOK4!U34</f>
        <v>86</v>
      </c>
      <c r="BI35" s="232" t="str">
        <f>PJOK4!V34</f>
        <v>B</v>
      </c>
      <c r="BJ35" s="233" t="str">
        <f>PJOK4!AA34</f>
        <v>RIZKI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35" s="232">
        <f>'MLK1-4'!U34</f>
        <v>85</v>
      </c>
      <c r="BL35" s="232" t="str">
        <f>'MLK1-4'!V34</f>
        <v>B</v>
      </c>
      <c r="BM35" s="231" t="str">
        <f>'MLK1-4'!AA34</f>
        <v>RIZKI baik  dalam melantunkan dan menceritakan isi kawih tentang bangga sebagai bangsa Indonesia</v>
      </c>
      <c r="BN35" s="232">
        <f>'MLK2-4'!U34</f>
        <v>97</v>
      </c>
      <c r="BO35" s="232" t="str">
        <f>'MLK2-4'!V34</f>
        <v>A</v>
      </c>
      <c r="BP35" s="231" t="str">
        <f>'MLK2-4'!AA34</f>
        <v>RIZKI sangat baik  dalam memahami langkah-langkah pengawasan kelestarian lingkungan hidup</v>
      </c>
      <c r="BQ35" s="232">
        <f>'MLK3-4'!Y34</f>
        <v>84</v>
      </c>
      <c r="BR35" s="232" t="str">
        <f>'MLK3-4'!Z34</f>
        <v>B</v>
      </c>
      <c r="BS35" s="231" t="str">
        <f>'MLK3-4'!AE34</f>
        <v xml:space="preserve">RIZKI baik  dalam merespon instruksi sangat sederhana dengan tindakan secara berterima dalam konteks sekolah  </v>
      </c>
    </row>
    <row r="36" spans="1:71" ht="129.94999999999999" customHeight="1">
      <c r="A36" s="227">
        <v>31</v>
      </c>
      <c r="B36" s="227" t="str">
        <f>SISWA!B36</f>
        <v>1718250040335</v>
      </c>
      <c r="C36" s="228" t="str">
        <f>SISWA!C36</f>
        <v>MUHAMMAD SATRIA GHALIZHA HERMAWAN</v>
      </c>
      <c r="D36" s="229" t="str">
        <f>SPIRIT!P35</f>
        <v xml:space="preserve">Ananda SATRIA baik dalam  ketaatan beribadah,  berperilaku syukur,  berdoa sebelum dan sesudah melakukan kegiatan,  toleransi dalam beribadah, </v>
      </c>
      <c r="E36" s="229" t="str">
        <f>SOSIAL!T35</f>
        <v xml:space="preserve">Ananda SATRIA baik dalam sikap jujur, disiplin, tanggung jawab, santun, peduli, percaya diri, </v>
      </c>
      <c r="F36" s="230">
        <f>'PAI3'!CI36</f>
        <v>81</v>
      </c>
      <c r="G36" s="230" t="str">
        <f>'PAI3'!CJ36</f>
        <v>B</v>
      </c>
      <c r="H36" s="231" t="str">
        <f>'PAI3'!CO36</f>
        <v>SATRIA sangat baik  dalam memahami nama-nama Rasul Allah dan Rasul Ulul ‘Azmi., dan  cukup baik  dalam memahami makna sederhana dalam kehidupan sehari-hari.</v>
      </c>
      <c r="I36" s="230">
        <f>'PKN3'!U35</f>
        <v>90</v>
      </c>
      <c r="J36" s="230" t="str">
        <f>'PKN3'!V35</f>
        <v>A</v>
      </c>
      <c r="K36" s="229" t="str">
        <f>'PKN3'!AA35</f>
        <v xml:space="preserve">SATRIA sangat baik  dalam memahami hak, kewajiban dan tanggung jawab sebagai warga dalam kehidupan sehari-hari.
</v>
      </c>
      <c r="L36" s="232">
        <f>BIND3!U35</f>
        <v>92</v>
      </c>
      <c r="M36" s="232" t="str">
        <f>BIND3!V35</f>
        <v>A</v>
      </c>
      <c r="N36" s="231" t="str">
        <f>BIND3!AA35</f>
        <v>SATRIA sangat baik  dalam meringkas teks penjelasan (eksplanasi) dari media cetak atau elektronik.</v>
      </c>
      <c r="O36" s="232">
        <f>'MTK3'!U35</f>
        <v>75</v>
      </c>
      <c r="P36" s="232" t="str">
        <f>'MTK3'!V35</f>
        <v>C</v>
      </c>
      <c r="Q36" s="231" t="str">
        <f>'MTK3'!AA35</f>
        <v xml:space="preserve">SATRIA cukup baik  dalam menjelaskan, dan menentukan volume bangun ruang dengan menggunakan satuan volume (seperti kubus satuan) serta hubungan pangkat tiga dengan akar pangkat tiga
</v>
      </c>
      <c r="R36" s="232">
        <f>'IPA3'!U35</f>
        <v>80</v>
      </c>
      <c r="S36" s="232" t="str">
        <f>'IPA3'!V35</f>
        <v>B</v>
      </c>
      <c r="T36" s="231" t="str">
        <f>'IPA3'!AA35</f>
        <v xml:space="preserve">SATRIA baik  dalam menerapkan konsep perpindahan kalor dalam kehidupan sehari-hari.
</v>
      </c>
      <c r="U36" s="232">
        <f>'IPS3'!U35</f>
        <v>85</v>
      </c>
      <c r="V36" s="232" t="str">
        <f>'IPS3'!V35</f>
        <v>B</v>
      </c>
      <c r="W36" s="231" t="str">
        <f>'IPS3'!AA35</f>
        <v>SATRIA baik  dalam Mengidentifikasi karakteristik geografis Indonesia sebagai negara kepulauan/maritim dan agraris serta pengaruhnya terhadap kehidupan ekonomi, sosial, budaya, komunikasi, serta transportasi.</v>
      </c>
      <c r="X36" s="232">
        <f>SBDP3!U35</f>
        <v>98</v>
      </c>
      <c r="Y36" s="232" t="str">
        <f>SBDP3!V35</f>
        <v>A</v>
      </c>
      <c r="Z36" s="231" t="str">
        <f>SBDP3!AA35</f>
        <v>SATRIA sangat baik  dalam memahami gambar cerita</v>
      </c>
      <c r="AA36" s="232">
        <f>PJOK3!U35</f>
        <v>89</v>
      </c>
      <c r="AB36" s="232" t="str">
        <f>PJOK3!V35</f>
        <v>A</v>
      </c>
      <c r="AC36" s="231" t="str">
        <f>PJOK3!AA35</f>
        <v xml:space="preserve">SATRIA sangat baik  dalam memahami kombinasi pola gerak dominan (bertumpu, bergantung, keseimbangan, berpindah/lokomotor, tolakan, putaran, ayunan, melayang, dan mendarat) untuk membentuk keterampilan dasar senam menggunakan alat
</v>
      </c>
      <c r="AD36" s="232">
        <f>'MLK1-3'!U35</f>
        <v>94</v>
      </c>
      <c r="AE36" s="232" t="str">
        <f>'MLK1-3'!V35</f>
        <v>A</v>
      </c>
      <c r="AF36" s="233" t="str">
        <f>'MLK1-3'!AA35</f>
        <v>SATRIA sangat baik  dalam memahami teks kawih tentang bangga sebagai bangsa Indonesia</v>
      </c>
      <c r="AG36" s="232">
        <f>'MLK2-3'!X35</f>
        <v>100</v>
      </c>
      <c r="AH36" s="232" t="str">
        <f>'MLK2-3'!Y35</f>
        <v>A</v>
      </c>
      <c r="AI36" s="231" t="str">
        <f>'MLK2-3'!AD35</f>
        <v xml:space="preserve">SATRIA sangat baik  dalam merespon instruksi sangat sederhana dengan tindakan secara berterima dalam konteks sekolah  </v>
      </c>
      <c r="AJ36" s="232">
        <f>'MLK3-3'!W35</f>
        <v>75</v>
      </c>
      <c r="AK36" s="232" t="str">
        <f>'MLK3-3'!X35</f>
        <v>C</v>
      </c>
      <c r="AL36" s="233" t="str">
        <f>'MLK3-3'!AC35</f>
        <v xml:space="preserve">SATRIA baik  dalam bercakap-cakap untuk menyertai tindakan secara berterima yang melibatkan tindak tutur: memberi contoh melakukan sesuatu, memberi aba-aba, dan memberi petunjuk 
, dan  cukup baik  dalam merespon instruksi sangat sederhana dengan tindakan secara berterima dalam konteks sekolah  </v>
      </c>
      <c r="AM36" s="232">
        <f>'PAI4'!CI36</f>
        <v>85</v>
      </c>
      <c r="AN36" s="232" t="str">
        <f>'PAI4'!CJ36</f>
        <v>B</v>
      </c>
      <c r="AO36" s="233" t="str">
        <f>'PAI4'!CO36</f>
        <v>SATRIA baik  dalam membaca Q.S. at-Tīn dan Q.S. al-Mā’ūn dengan tartil.</v>
      </c>
      <c r="AP36" s="232">
        <f>'PKN4'!U35</f>
        <v>90</v>
      </c>
      <c r="AQ36" s="232" t="str">
        <f>'PKN4'!V35</f>
        <v>A</v>
      </c>
      <c r="AR36" s="231" t="str">
        <f>'PKN4'!AA35</f>
        <v>SATRIA sangat baik  dalam menjelaskan hak, kewajiban, dan tanggung  jawab sebagai warga masyarakat dalam kehidupan sehari-hari</v>
      </c>
      <c r="AS36" s="232">
        <f>BIND4!U35</f>
        <v>92</v>
      </c>
      <c r="AT36" s="232" t="str">
        <f>BIND4!V35</f>
        <v>A</v>
      </c>
      <c r="AU36" s="231" t="str">
        <f>BIND4!AA35</f>
        <v xml:space="preserve">SATRIA sangat baik  dalam menyajikan ringkasan teks penjelasan (eksplanasi) dari media cetak atau elektronik dengan menggunakan kosakata baku dan kalimat efektif secara lisan, tulis, dan visual.
</v>
      </c>
      <c r="AV36" s="232">
        <f>'MTK4'!U35</f>
        <v>75</v>
      </c>
      <c r="AW36" s="232" t="str">
        <f>'MTK4'!V35</f>
        <v>C</v>
      </c>
      <c r="AX36" s="231" t="str">
        <f>'MTK4'!AA35</f>
        <v xml:space="preserve">SATRIA cukup baik  dalam menyelesaikan masalah yang berkaitan dengan volume bangun ruang dengan menggunakan satuan volume (seperti kubus satuan) melibatkan pangkat tiga dan akar pangkat tiga
</v>
      </c>
      <c r="AY36" s="232">
        <f>'IPA4'!U35</f>
        <v>80</v>
      </c>
      <c r="AZ36" s="232" t="str">
        <f>'IPA4'!V35</f>
        <v>B</v>
      </c>
      <c r="BA36" s="231" t="str">
        <f>'IPA4'!AA35</f>
        <v>SATRIA baik  dalam melaporkan hasil pengamatan tentang perpindahan kalor.</v>
      </c>
      <c r="BB36" s="232">
        <f>'IPS4'!U35</f>
        <v>85</v>
      </c>
      <c r="BC36" s="232" t="str">
        <f>'IPS4'!V35</f>
        <v>B</v>
      </c>
      <c r="BD36" s="231" t="str">
        <f>'IPS4'!AA35</f>
        <v>SATRIA baik  dalam menyajikan hasil identifikasi karakteristik geografis Indonesia sebagai negara kepulauan/maritim dan agraris serta pengaruhnya terhadap kehidupan ekonomi, sosial, budaya, komunikasi, serta transportasi.</v>
      </c>
      <c r="BE36" s="232">
        <f>SBDP4!U35</f>
        <v>98</v>
      </c>
      <c r="BF36" s="232" t="str">
        <f>SBDP4!V35</f>
        <v>A</v>
      </c>
      <c r="BG36" s="231" t="str">
        <f>SBDP4!AA35</f>
        <v>SATRIA sangat baik  dalam membuat gambar cerita</v>
      </c>
      <c r="BH36" s="232">
        <f>PJOK4!U35</f>
        <v>85</v>
      </c>
      <c r="BI36" s="232" t="str">
        <f>PJOK4!V35</f>
        <v>B</v>
      </c>
      <c r="BJ36" s="233" t="str">
        <f>PJOK4!AA35</f>
        <v>SATRIA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36" s="232">
        <f>'MLK1-4'!U35</f>
        <v>94</v>
      </c>
      <c r="BL36" s="232" t="str">
        <f>'MLK1-4'!V35</f>
        <v>A</v>
      </c>
      <c r="BM36" s="231" t="str">
        <f>'MLK1-4'!AA35</f>
        <v>SATRIA sangat baik  dalam melantunkan dan menceritakan isi kawih tentang bangga sebagai bangsa Indonesia</v>
      </c>
      <c r="BN36" s="232">
        <f>'MLK2-4'!U35</f>
        <v>100</v>
      </c>
      <c r="BO36" s="232" t="str">
        <f>'MLK2-4'!V35</f>
        <v>A</v>
      </c>
      <c r="BP36" s="231" t="str">
        <f>'MLK2-4'!AA35</f>
        <v>SATRIA sangat baik  dalam memahami langkah-langkah pengawasan kelestarian lingkungan hidup</v>
      </c>
      <c r="BQ36" s="232">
        <f>'MLK3-4'!Y35</f>
        <v>75</v>
      </c>
      <c r="BR36" s="232" t="str">
        <f>'MLK3-4'!Z35</f>
        <v>C</v>
      </c>
      <c r="BS36" s="231" t="str">
        <f>'MLK3-4'!AE35</f>
        <v xml:space="preserve">SATRIA cukup baik  dalam merespon instruksi sangat sederhana dengan tindakan secara berterima dalam konteks sekolah  </v>
      </c>
    </row>
    <row r="37" spans="1:71" ht="129.94999999999999" customHeight="1">
      <c r="A37" s="227">
        <v>32</v>
      </c>
      <c r="B37" s="227" t="str">
        <f>SISWA!B37</f>
        <v>1718250040336</v>
      </c>
      <c r="C37" s="228" t="str">
        <f>SISWA!C37</f>
        <v>NADIA RIFA FAKHIRA</v>
      </c>
      <c r="D37" s="229" t="str">
        <f>SPIRIT!P36</f>
        <v xml:space="preserve">Ananda NADIA baik dalam  ketaatan beribadah,  berperilaku syukur,  berdoa sebelum dan sesudah melakukan kegiatan,  toleransi dalam beribadah, </v>
      </c>
      <c r="E37" s="229" t="str">
        <f>SOSIAL!T36</f>
        <v xml:space="preserve">Ananda NADIA baik dalam sikap jujur, disiplin, tanggung jawab, santun, peduli, percaya diri, </v>
      </c>
      <c r="F37" s="230">
        <f>'PAI3'!CI37</f>
        <v>80</v>
      </c>
      <c r="G37" s="230" t="str">
        <f>'PAI3'!CJ37</f>
        <v>B</v>
      </c>
      <c r="H37" s="231" t="str">
        <f>'PAI3'!CO37</f>
        <v>NADIA baik  dalam memahami pelaksanaan salat tarawih dan tadarus al-Qur'an., dan  cukup baik  dalam memahami nama-nama Rasul Allah dan Rasul Ulul ‘Azmi.</v>
      </c>
      <c r="I37" s="230">
        <f>'PKN3'!U36</f>
        <v>98</v>
      </c>
      <c r="J37" s="230" t="str">
        <f>'PKN3'!V36</f>
        <v>A</v>
      </c>
      <c r="K37" s="229" t="str">
        <f>'PKN3'!AA36</f>
        <v xml:space="preserve">NADIA sangat baik  dalam memahami hak, kewajiban dan tanggung jawab sebagai warga dalam kehidupan sehari-hari.
</v>
      </c>
      <c r="L37" s="232">
        <f>BIND3!U36</f>
        <v>94</v>
      </c>
      <c r="M37" s="232" t="str">
        <f>BIND3!V36</f>
        <v>A</v>
      </c>
      <c r="N37" s="231" t="str">
        <f>BIND3!AA36</f>
        <v>NADIA sangat baik  dalam meringkas teks penjelasan (eksplanasi) dari media cetak atau elektronik.</v>
      </c>
      <c r="O37" s="232">
        <f>'MTK3'!U36</f>
        <v>85</v>
      </c>
      <c r="P37" s="232" t="str">
        <f>'MTK3'!V36</f>
        <v>B</v>
      </c>
      <c r="Q37" s="231" t="str">
        <f>'MTK3'!AA36</f>
        <v xml:space="preserve">NADIA baik  dalam menjelaskan, dan menentukan volume bangun ruang dengan menggunakan satuan volume (seperti kubus satuan) serta hubungan pangkat tiga dengan akar pangkat tiga
</v>
      </c>
      <c r="R37" s="232">
        <f>'IPA3'!U36</f>
        <v>88</v>
      </c>
      <c r="S37" s="232" t="str">
        <f>'IPA3'!V36</f>
        <v>A</v>
      </c>
      <c r="T37" s="231" t="str">
        <f>'IPA3'!AA36</f>
        <v xml:space="preserve">NADIA sangat baik  dalam menerapkan konsep perpindahan kalor dalam kehidupan sehari-hari.
</v>
      </c>
      <c r="U37" s="232">
        <f>'IPS3'!U36</f>
        <v>88</v>
      </c>
      <c r="V37" s="232" t="str">
        <f>'IPS3'!V36</f>
        <v>A</v>
      </c>
      <c r="W37" s="231" t="str">
        <f>'IPS3'!AA36</f>
        <v>NADIA sangat baik  dalam Mengidentifikasi karakteristik geografis Indonesia sebagai negara kepulauan/maritim dan agraris serta pengaruhnya terhadap kehidupan ekonomi, sosial, budaya, komunikasi, serta transportasi.</v>
      </c>
      <c r="X37" s="232">
        <f>SBDP3!U36</f>
        <v>98</v>
      </c>
      <c r="Y37" s="232" t="str">
        <f>SBDP3!V36</f>
        <v>A</v>
      </c>
      <c r="Z37" s="231" t="str">
        <f>SBDP3!AA36</f>
        <v>NADIA sangat baik  dalam memahami gambar cerita</v>
      </c>
      <c r="AA37" s="232">
        <f>PJOK3!U36</f>
        <v>88</v>
      </c>
      <c r="AB37" s="232" t="str">
        <f>PJOK3!V36</f>
        <v>A</v>
      </c>
      <c r="AC37" s="231" t="str">
        <f>PJOK3!AA36</f>
        <v xml:space="preserve">NADIA sangat baik  dalam memahami kombinasi pola gerak dominan (bertumpu, bergantung, keseimbangan, berpindah/lokomotor, tolakan, putaran, ayunan, melayang, dan mendarat) untuk membentuk keterampilan dasar senam menggunakan alat
</v>
      </c>
      <c r="AD37" s="232">
        <f>'MLK1-3'!U36</f>
        <v>94</v>
      </c>
      <c r="AE37" s="232" t="str">
        <f>'MLK1-3'!V36</f>
        <v>A</v>
      </c>
      <c r="AF37" s="233" t="str">
        <f>'MLK1-3'!AA36</f>
        <v>NADIA sangat baik  dalam memahami teks kawih tentang bangga sebagai bangsa Indonesia</v>
      </c>
      <c r="AG37" s="232">
        <f>'MLK2-3'!X36</f>
        <v>97</v>
      </c>
      <c r="AH37" s="232" t="str">
        <f>'MLK2-3'!Y36</f>
        <v>A</v>
      </c>
      <c r="AI37" s="231" t="str">
        <f>'MLK2-3'!AD36</f>
        <v xml:space="preserve">NADIA sangat baik  dalam merespon instruksi sangat sederhana dengan tindakan secara berterima dalam konteks sekolah  </v>
      </c>
      <c r="AJ37" s="232">
        <f>'MLK3-3'!W36</f>
        <v>94</v>
      </c>
      <c r="AK37" s="232" t="str">
        <f>'MLK3-3'!X36</f>
        <v>A</v>
      </c>
      <c r="AL37" s="233" t="str">
        <f>'MLK3-3'!AC36</f>
        <v xml:space="preserve">NADIA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M37" s="232">
        <f>'PAI4'!CI37</f>
        <v>90</v>
      </c>
      <c r="AN37" s="232" t="str">
        <f>'PAI4'!CJ37</f>
        <v>A</v>
      </c>
      <c r="AO37" s="233" t="str">
        <f>'PAI4'!CO37</f>
        <v>NADIA sangat baik  dalam membaca Q.S. at-Tīn dan Q.S. al-Mā’ūn dengan tartil.</v>
      </c>
      <c r="AP37" s="232">
        <f>'PKN4'!U36</f>
        <v>98</v>
      </c>
      <c r="AQ37" s="232" t="str">
        <f>'PKN4'!V36</f>
        <v>A</v>
      </c>
      <c r="AR37" s="231" t="str">
        <f>'PKN4'!AA36</f>
        <v>NADIA sangat baik  dalam menjelaskan hak, kewajiban, dan tanggung  jawab sebagai warga masyarakat dalam kehidupan sehari-hari</v>
      </c>
      <c r="AS37" s="232">
        <f>BIND4!U36</f>
        <v>94</v>
      </c>
      <c r="AT37" s="232" t="str">
        <f>BIND4!V36</f>
        <v>A</v>
      </c>
      <c r="AU37" s="231" t="str">
        <f>BIND4!AA36</f>
        <v xml:space="preserve">NADIA sangat baik  dalam menyajikan ringkasan teks penjelasan (eksplanasi) dari media cetak atau elektronik dengan menggunakan kosakata baku dan kalimat efektif secara lisan, tulis, dan visual.
</v>
      </c>
      <c r="AV37" s="232">
        <f>'MTK4'!U36</f>
        <v>85</v>
      </c>
      <c r="AW37" s="232" t="str">
        <f>'MTK4'!V36</f>
        <v>B</v>
      </c>
      <c r="AX37" s="231" t="str">
        <f>'MTK4'!AA36</f>
        <v xml:space="preserve">NADIA baik  dalam menyelesaikan masalah yang berkaitan dengan volume bangun ruang dengan menggunakan satuan volume (seperti kubus satuan) melibatkan pangkat tiga dan akar pangkat tiga
</v>
      </c>
      <c r="AY37" s="232">
        <f>'IPA4'!U36</f>
        <v>88</v>
      </c>
      <c r="AZ37" s="232" t="str">
        <f>'IPA4'!V36</f>
        <v>A</v>
      </c>
      <c r="BA37" s="231" t="str">
        <f>'IPA4'!AA36</f>
        <v>NADIA sangat baik  dalam melaporkan hasil pengamatan tentang perpindahan kalor.</v>
      </c>
      <c r="BB37" s="232">
        <f>'IPS4'!U36</f>
        <v>88</v>
      </c>
      <c r="BC37" s="232" t="str">
        <f>'IPS4'!V36</f>
        <v>A</v>
      </c>
      <c r="BD37" s="231" t="str">
        <f>'IPS4'!AA36</f>
        <v>NADIA sangat baik  dalam menyajikan hasil identifikasi karakteristik geografis Indonesia sebagai negara kepulauan/maritim dan agraris serta pengaruhnya terhadap kehidupan ekonomi, sosial, budaya, komunikasi, serta transportasi.</v>
      </c>
      <c r="BE37" s="232">
        <f>SBDP4!U36</f>
        <v>98</v>
      </c>
      <c r="BF37" s="232" t="str">
        <f>SBDP4!V36</f>
        <v>A</v>
      </c>
      <c r="BG37" s="231" t="str">
        <f>SBDP4!AA36</f>
        <v>NADIA sangat baik  dalam membuat gambar cerita</v>
      </c>
      <c r="BH37" s="232">
        <f>PJOK4!U36</f>
        <v>88</v>
      </c>
      <c r="BI37" s="232" t="str">
        <f>PJOK4!V36</f>
        <v>A</v>
      </c>
      <c r="BJ37" s="233" t="str">
        <f>PJOK4!AA36</f>
        <v>NADIA sangat baik  dalam menerapkan konsep pemeliharaan diri dan orang lain dari penyakit menular dan tidak menular, dan  baik  dalam mempraktikkan pengunaan kombinasi gerak dasar langkah dan ayunan lengan mengikuti irama (ketukan) tanpa/dengan musik dalam aktivitas gerak berirama</v>
      </c>
      <c r="BK37" s="232">
        <f>'MLK1-4'!U36</f>
        <v>94</v>
      </c>
      <c r="BL37" s="232" t="str">
        <f>'MLK1-4'!V36</f>
        <v>A</v>
      </c>
      <c r="BM37" s="231" t="str">
        <f>'MLK1-4'!AA36</f>
        <v>NADIA sangat baik  dalam melantunkan dan menceritakan isi kawih tentang bangga sebagai bangsa Indonesia</v>
      </c>
      <c r="BN37" s="232">
        <f>'MLK2-4'!U36</f>
        <v>97</v>
      </c>
      <c r="BO37" s="232" t="str">
        <f>'MLK2-4'!V36</f>
        <v>A</v>
      </c>
      <c r="BP37" s="231" t="str">
        <f>'MLK2-4'!AA36</f>
        <v>NADIA sangat baik  dalam memahami langkah-langkah pengawasan kelestarian lingkungan hidup</v>
      </c>
      <c r="BQ37" s="232">
        <f>'MLK3-4'!Y36</f>
        <v>95</v>
      </c>
      <c r="BR37" s="232" t="str">
        <f>'MLK3-4'!Z36</f>
        <v>A</v>
      </c>
      <c r="BS37" s="231" t="str">
        <f>'MLK3-4'!AE36</f>
        <v xml:space="preserve">NADIA sangat baik  dalam merespon instruksi sangat sederhana dengan tindakan secara berterima dalam konteks sekolah  </v>
      </c>
    </row>
    <row r="38" spans="1:71" ht="129.94999999999999" customHeight="1">
      <c r="A38" s="227">
        <v>33</v>
      </c>
      <c r="B38" s="227" t="str">
        <f>SISWA!B38</f>
        <v>1718250040337</v>
      </c>
      <c r="C38" s="228" t="str">
        <f>SISWA!C38</f>
        <v>NAFILA SEPTIYANI</v>
      </c>
      <c r="D38" s="229" t="str">
        <f>SPIRIT!P37</f>
        <v xml:space="preserve">Ananda NAFILA baik dalam  ketaatan beribadah,  berperilaku syukur,  berdoa sebelum dan sesudah melakukan kegiatan,  toleransi dalam beribadah, </v>
      </c>
      <c r="E38" s="229" t="str">
        <f>SOSIAL!T37</f>
        <v xml:space="preserve">Ananda NAFILA baik dalam sikap jujur, disiplin, tanggung jawab, santun, peduli, percaya diri, </v>
      </c>
      <c r="F38" s="230">
        <f>'PAI3'!CI38</f>
        <v>77</v>
      </c>
      <c r="G38" s="230" t="str">
        <f>'PAI3'!CJ38</f>
        <v>B</v>
      </c>
      <c r="H38" s="231" t="str">
        <f>'PAI3'!CO38</f>
        <v>NAFILA baik  dalam memahami pelaksanaan salat tarawih dan tadarus al-Qur'an., dan  cukup baik  dalam memahami makna Q.S. at-Tīn dan Q.S. al-Mā’ūn dengan benar.</v>
      </c>
      <c r="I38" s="230">
        <f>'PKN3'!U37</f>
        <v>85</v>
      </c>
      <c r="J38" s="230" t="str">
        <f>'PKN3'!V37</f>
        <v>B</v>
      </c>
      <c r="K38" s="229" t="str">
        <f>'PKN3'!AA37</f>
        <v xml:space="preserve">NAFILA baik  dalam memahami hak, kewajiban dan tanggung jawab sebagai warga dalam kehidupan sehari-hari.
</v>
      </c>
      <c r="L38" s="232">
        <f>BIND3!U37</f>
        <v>82</v>
      </c>
      <c r="M38" s="232" t="str">
        <f>BIND3!V37</f>
        <v>B</v>
      </c>
      <c r="N38" s="231" t="str">
        <f>BIND3!AA37</f>
        <v>NAFILA baik  dalam meringkas teks penjelasan (eksplanasi) dari media cetak atau elektronik.</v>
      </c>
      <c r="O38" s="232">
        <f>'MTK3'!U37</f>
        <v>65</v>
      </c>
      <c r="P38" s="232" t="str">
        <f>'MTK3'!V37</f>
        <v>C</v>
      </c>
      <c r="Q38" s="231" t="str">
        <f>'MTK3'!AA37</f>
        <v xml:space="preserve">NAFILA cukup baik  dalam menjelaskan, dan menentukan volume bangun ruang dengan menggunakan satuan volume (seperti kubus satuan) serta hubungan pangkat tiga dengan akar pangkat tiga
</v>
      </c>
      <c r="R38" s="232">
        <f>'IPA3'!U37</f>
        <v>80</v>
      </c>
      <c r="S38" s="232" t="str">
        <f>'IPA3'!V37</f>
        <v>B</v>
      </c>
      <c r="T38" s="231" t="str">
        <f>'IPA3'!AA37</f>
        <v xml:space="preserve">NAFILA baik  dalam menerapkan konsep perpindahan kalor dalam kehidupan sehari-hari.
</v>
      </c>
      <c r="U38" s="232">
        <f>'IPS3'!U37</f>
        <v>83</v>
      </c>
      <c r="V38" s="232" t="str">
        <f>'IPS3'!V37</f>
        <v>B</v>
      </c>
      <c r="W38" s="231" t="str">
        <f>'IPS3'!AA37</f>
        <v>NAFILA baik  dalam Mengidentifikasi karakteristik geografis Indonesia sebagai negara kepulauan/maritim dan agraris serta pengaruhnya terhadap kehidupan ekonomi, sosial, budaya, komunikasi, serta transportasi.</v>
      </c>
      <c r="X38" s="232">
        <f>SBDP3!U37</f>
        <v>78</v>
      </c>
      <c r="Y38" s="232" t="str">
        <f>SBDP3!V37</f>
        <v>B</v>
      </c>
      <c r="Z38" s="231" t="str">
        <f>SBDP3!AA37</f>
        <v>NAFILA baik  dalam memahami gambar cerita</v>
      </c>
      <c r="AA38" s="232">
        <f>PJOK3!U37</f>
        <v>81</v>
      </c>
      <c r="AB38" s="232" t="str">
        <f>PJOK3!V37</f>
        <v>B</v>
      </c>
      <c r="AC38" s="231" t="str">
        <f>PJOK3!AA37</f>
        <v xml:space="preserve">NAFILA baik  dalam memahami kombinasi pola gerak dominan (bertumpu, bergantung, keseimbangan, berpindah/lokomotor, tolakan, putaran, ayunan, melayang, dan mendarat) untuk membentuk keterampilan dasar senam menggunakan alat
</v>
      </c>
      <c r="AD38" s="232">
        <f>'MLK1-3'!U37</f>
        <v>80</v>
      </c>
      <c r="AE38" s="232" t="str">
        <f>'MLK1-3'!V37</f>
        <v>B</v>
      </c>
      <c r="AF38" s="233" t="str">
        <f>'MLK1-3'!AA37</f>
        <v>NAFILA baik  dalam memahami teks kawih tentang bangga sebagai bangsa Indonesia</v>
      </c>
      <c r="AG38" s="232">
        <f>'MLK2-3'!X37</f>
        <v>85</v>
      </c>
      <c r="AH38" s="232" t="str">
        <f>'MLK2-3'!Y37</f>
        <v>B</v>
      </c>
      <c r="AI38" s="231" t="str">
        <f>'MLK2-3'!AD37</f>
        <v xml:space="preserve">NAFILA baik  dalam merespon instruksi sangat sederhana dengan tindakan secara berterima dalam konteks sekolah  </v>
      </c>
      <c r="AJ38" s="232">
        <f>'MLK3-3'!W37</f>
        <v>75</v>
      </c>
      <c r="AK38" s="232" t="str">
        <f>'MLK3-3'!X37</f>
        <v>C</v>
      </c>
      <c r="AL38" s="233" t="str">
        <f>'MLK3-3'!AC37</f>
        <v xml:space="preserve">NAFILA baik  dalam merespon instruksi sangat sederhana dengan tindakan secara berterima dalam konteks sekolah  , dan  cukup baik  dalam mengeja kalimat sangat sederhana secara tepat dan berterima </v>
      </c>
      <c r="AM38" s="232">
        <f>'PAI4'!CI38</f>
        <v>90</v>
      </c>
      <c r="AN38" s="232" t="str">
        <f>'PAI4'!CJ38</f>
        <v>A</v>
      </c>
      <c r="AO38" s="233" t="str">
        <f>'PAI4'!CO38</f>
        <v>NAFILA sangat baik  dalam membaca Q.S. at-Tīn dan Q.S. al-Mā’ūn dengan tartil.</v>
      </c>
      <c r="AP38" s="232">
        <f>'PKN4'!U37</f>
        <v>85</v>
      </c>
      <c r="AQ38" s="232" t="str">
        <f>'PKN4'!V37</f>
        <v>B</v>
      </c>
      <c r="AR38" s="231" t="str">
        <f>'PKN4'!AA37</f>
        <v>NAFILA baik  dalam menjelaskan hak, kewajiban, dan tanggung  jawab sebagai warga masyarakat dalam kehidupan sehari-hari</v>
      </c>
      <c r="AS38" s="232">
        <f>BIND4!U37</f>
        <v>82</v>
      </c>
      <c r="AT38" s="232" t="str">
        <f>BIND4!V37</f>
        <v>B</v>
      </c>
      <c r="AU38" s="231" t="str">
        <f>BIND4!AA37</f>
        <v xml:space="preserve">NAFILA baik  dalam menyajikan ringkasan teks penjelasan (eksplanasi) dari media cetak atau elektronik dengan menggunakan kosakata baku dan kalimat efektif secara lisan, tulis, dan visual.
</v>
      </c>
      <c r="AV38" s="232">
        <f>'MTK4'!U37</f>
        <v>65</v>
      </c>
      <c r="AW38" s="232" t="str">
        <f>'MTK4'!V37</f>
        <v>C</v>
      </c>
      <c r="AX38" s="231" t="str">
        <f>'MTK4'!AA37</f>
        <v xml:space="preserve">NAFILA cukup baik  dalam menyelesaikan masalah yang berkaitan dengan volume bangun ruang dengan menggunakan satuan volume (seperti kubus satuan) melibatkan pangkat tiga dan akar pangkat tiga
</v>
      </c>
      <c r="AY38" s="232">
        <f>'IPA4'!U37</f>
        <v>80</v>
      </c>
      <c r="AZ38" s="232" t="str">
        <f>'IPA4'!V37</f>
        <v>B</v>
      </c>
      <c r="BA38" s="231" t="str">
        <f>'IPA4'!AA37</f>
        <v>NAFILA baik  dalam melaporkan hasil pengamatan tentang perpindahan kalor.</v>
      </c>
      <c r="BB38" s="232">
        <f>'IPS4'!U37</f>
        <v>83</v>
      </c>
      <c r="BC38" s="232" t="str">
        <f>'IPS4'!V37</f>
        <v>B</v>
      </c>
      <c r="BD38" s="231" t="str">
        <f>'IPS4'!AA37</f>
        <v>NAFILA baik  dalam menyajikan hasil identifikasi karakteristik geografis Indonesia sebagai negara kepulauan/maritim dan agraris serta pengaruhnya terhadap kehidupan ekonomi, sosial, budaya, komunikasi, serta transportasi.</v>
      </c>
      <c r="BE38" s="232">
        <f>SBDP4!U37</f>
        <v>78</v>
      </c>
      <c r="BF38" s="232" t="str">
        <f>SBDP4!V37</f>
        <v>B</v>
      </c>
      <c r="BG38" s="231" t="str">
        <f>SBDP4!AA37</f>
        <v>NAFILA baik  dalam membuat gambar cerita</v>
      </c>
      <c r="BH38" s="232">
        <f>PJOK4!U37</f>
        <v>82</v>
      </c>
      <c r="BI38" s="232" t="str">
        <f>PJOK4!V37</f>
        <v>B</v>
      </c>
      <c r="BJ38" s="233" t="str">
        <f>PJOK4!AA37</f>
        <v>NAFILA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38" s="232">
        <f>'MLK1-4'!U37</f>
        <v>80</v>
      </c>
      <c r="BL38" s="232" t="str">
        <f>'MLK1-4'!V37</f>
        <v>B</v>
      </c>
      <c r="BM38" s="231" t="str">
        <f>'MLK1-4'!AA37</f>
        <v>NAFILA baik  dalam melantunkan dan menceritakan isi kawih tentang bangga sebagai bangsa Indonesia</v>
      </c>
      <c r="BN38" s="232">
        <f>'MLK2-4'!U37</f>
        <v>85</v>
      </c>
      <c r="BO38" s="232" t="str">
        <f>'MLK2-4'!V37</f>
        <v>B</v>
      </c>
      <c r="BP38" s="231" t="str">
        <f>'MLK2-4'!AA37</f>
        <v>NAFILA baik  dalam memahami langkah-langkah pengawasan kelestarian lingkungan hidup</v>
      </c>
      <c r="BQ38" s="232">
        <f>'MLK3-4'!Y37</f>
        <v>80</v>
      </c>
      <c r="BR38" s="232" t="str">
        <f>'MLK3-4'!Z37</f>
        <v>B</v>
      </c>
      <c r="BS38" s="231" t="str">
        <f>'MLK3-4'!AE37</f>
        <v xml:space="preserve">NAFILA baik  dalam merespon instruksi sangat sederhana dengan tindakan secara berterima dalam konteks sekolah  </v>
      </c>
    </row>
    <row r="39" spans="1:71" ht="129.94999999999999" customHeight="1">
      <c r="A39" s="227">
        <v>34</v>
      </c>
      <c r="B39" s="227" t="str">
        <f>SISWA!B39</f>
        <v>1718250040338</v>
      </c>
      <c r="C39" s="228" t="str">
        <f>SISWA!C39</f>
        <v>NAZZALA PUTRI NURLAYLA</v>
      </c>
      <c r="D39" s="229" t="str">
        <f>SPIRIT!P38</f>
        <v xml:space="preserve">Ananda NAZZALA baik dalam  ketaatan beribadah,  berperilaku syukur,  berdoa sebelum dan sesudah melakukan kegiatan,  toleransi dalam beribadah, </v>
      </c>
      <c r="E39" s="229" t="str">
        <f>SOSIAL!T38</f>
        <v xml:space="preserve">Ananda NAZZALA baik dalam sikap jujur, disiplin, tanggung jawab, santun, peduli, percaya diri, </v>
      </c>
      <c r="F39" s="230">
        <f>'PAI3'!CI39</f>
        <v>80</v>
      </c>
      <c r="G39" s="230" t="str">
        <f>'PAI3'!CJ39</f>
        <v>B</v>
      </c>
      <c r="H39" s="231" t="str">
        <f>'PAI3'!CO39</f>
        <v>NAZZALA sangat baik  dalam memahami makna Q.S. at-Tīn dan Q.S. al-Mā’ūn dengan benar., dan  cukup baik  dalam memahami nama-nama Rasul Allah dan Rasul Ulul ‘Azmi.</v>
      </c>
      <c r="I39" s="230">
        <f>'PKN3'!U38</f>
        <v>85</v>
      </c>
      <c r="J39" s="230" t="str">
        <f>'PKN3'!V38</f>
        <v>B</v>
      </c>
      <c r="K39" s="229" t="str">
        <f>'PKN3'!AA38</f>
        <v xml:space="preserve">NAZZALA baik  dalam memahami hak, kewajiban dan tanggung jawab sebagai warga dalam kehidupan sehari-hari.
</v>
      </c>
      <c r="L39" s="232">
        <f>BIND3!U38</f>
        <v>89</v>
      </c>
      <c r="M39" s="232" t="str">
        <f>BIND3!V38</f>
        <v>A</v>
      </c>
      <c r="N39" s="231" t="str">
        <f>BIND3!AA38</f>
        <v>NAZZALA sangat baik  dalam meringkas teks penjelasan (eksplanasi) dari media cetak atau elektronik.</v>
      </c>
      <c r="O39" s="232">
        <f>'MTK3'!U38</f>
        <v>75</v>
      </c>
      <c r="P39" s="232" t="str">
        <f>'MTK3'!V38</f>
        <v>C</v>
      </c>
      <c r="Q39" s="231" t="str">
        <f>'MTK3'!AA38</f>
        <v xml:space="preserve">NAZZALA cukup baik  dalam menjelaskan, dan menentukan volume bangun ruang dengan menggunakan satuan volume (seperti kubus satuan) serta hubungan pangkat tiga dengan akar pangkat tiga
</v>
      </c>
      <c r="R39" s="232">
        <f>'IPA3'!U38</f>
        <v>85</v>
      </c>
      <c r="S39" s="232" t="str">
        <f>'IPA3'!V38</f>
        <v>B</v>
      </c>
      <c r="T39" s="231" t="str">
        <f>'IPA3'!AA38</f>
        <v xml:space="preserve">NAZZALA baik  dalam menerapkan konsep perpindahan kalor dalam kehidupan sehari-hari.
</v>
      </c>
      <c r="U39" s="232">
        <f>'IPS3'!U38</f>
        <v>83</v>
      </c>
      <c r="V39" s="232" t="str">
        <f>'IPS3'!V38</f>
        <v>B</v>
      </c>
      <c r="W39" s="231" t="str">
        <f>'IPS3'!AA38</f>
        <v>NAZZALA baik  dalam Mengidentifikasi karakteristik geografis Indonesia sebagai negara kepulauan/maritim dan agraris serta pengaruhnya terhadap kehidupan ekonomi, sosial, budaya, komunikasi, serta transportasi.</v>
      </c>
      <c r="X39" s="232">
        <f>SBDP3!U38</f>
        <v>95</v>
      </c>
      <c r="Y39" s="232" t="str">
        <f>SBDP3!V38</f>
        <v>A</v>
      </c>
      <c r="Z39" s="231" t="str">
        <f>SBDP3!AA38</f>
        <v>NAZZALA sangat baik  dalam memahami gambar cerita</v>
      </c>
      <c r="AA39" s="232">
        <f>PJOK3!U38</f>
        <v>89</v>
      </c>
      <c r="AB39" s="232" t="str">
        <f>PJOK3!V38</f>
        <v>A</v>
      </c>
      <c r="AC39" s="231" t="str">
        <f>PJOK3!AA38</f>
        <v xml:space="preserve">NAZZALA sangat baik  dalam memahami kombinasi pola gerak dominan (bertumpu, bergantung, keseimbangan, berpindah/lokomotor, tolakan, putaran, ayunan, melayang, dan mendarat) untuk membentuk keterampilan dasar senam menggunakan alat
</v>
      </c>
      <c r="AD39" s="232">
        <f>'MLK1-3'!U38</f>
        <v>82</v>
      </c>
      <c r="AE39" s="232" t="str">
        <f>'MLK1-3'!V38</f>
        <v>B</v>
      </c>
      <c r="AF39" s="233" t="str">
        <f>'MLK1-3'!AA38</f>
        <v>NAZZALA baik  dalam memahami teks kawih tentang bangga sebagai bangsa Indonesia</v>
      </c>
      <c r="AG39" s="232">
        <f>'MLK2-3'!X38</f>
        <v>97</v>
      </c>
      <c r="AH39" s="232" t="str">
        <f>'MLK2-3'!Y38</f>
        <v>A</v>
      </c>
      <c r="AI39" s="231" t="str">
        <f>'MLK2-3'!AD38</f>
        <v xml:space="preserve">NAZZALA sangat baik  dalam merespon instruksi sangat sederhana dengan tindakan secara berterima dalam konteks sekolah  </v>
      </c>
      <c r="AJ39" s="232">
        <f>'MLK3-3'!W38</f>
        <v>89</v>
      </c>
      <c r="AK39" s="232" t="str">
        <f>'MLK3-3'!X38</f>
        <v>A</v>
      </c>
      <c r="AL39" s="233" t="str">
        <f>'MLK3-3'!AC38</f>
        <v xml:space="preserve">NAZZALA sangat baik  dalam merespon instruksi sangat sederhana dengan tindakan secara berterima dalam konteks sekolah  , dan  sangat baik  dalam bercakap-cakap untuk menyertai tindakan secara berterima yang melibatkan tindak tutur: memberi contoh melakukan sesuatu, memberi aba-aba, dan memberi petunjuk 
</v>
      </c>
      <c r="AM39" s="232">
        <f>'PAI4'!CI39</f>
        <v>90</v>
      </c>
      <c r="AN39" s="232" t="str">
        <f>'PAI4'!CJ39</f>
        <v>A</v>
      </c>
      <c r="AO39" s="233" t="str">
        <f>'PAI4'!CO39</f>
        <v>NAZZALA sangat baik  dalam membaca Q.S. at-Tīn dan Q.S. al-Mā’ūn dengan tartil.</v>
      </c>
      <c r="AP39" s="232">
        <f>'PKN4'!U38</f>
        <v>85</v>
      </c>
      <c r="AQ39" s="232" t="str">
        <f>'PKN4'!V38</f>
        <v>B</v>
      </c>
      <c r="AR39" s="231" t="str">
        <f>'PKN4'!AA38</f>
        <v>NAZZALA baik  dalam menjelaskan hak, kewajiban, dan tanggung  jawab sebagai warga masyarakat dalam kehidupan sehari-hari</v>
      </c>
      <c r="AS39" s="232">
        <f>BIND4!U38</f>
        <v>89</v>
      </c>
      <c r="AT39" s="232" t="str">
        <f>BIND4!V38</f>
        <v>A</v>
      </c>
      <c r="AU39" s="231" t="str">
        <f>BIND4!AA38</f>
        <v xml:space="preserve">NAZZALA sangat baik  dalam menyajikan ringkasan teks penjelasan (eksplanasi) dari media cetak atau elektronik dengan menggunakan kosakata baku dan kalimat efektif secara lisan, tulis, dan visual.
</v>
      </c>
      <c r="AV39" s="232">
        <f>'MTK4'!U38</f>
        <v>75</v>
      </c>
      <c r="AW39" s="232" t="str">
        <f>'MTK4'!V38</f>
        <v>C</v>
      </c>
      <c r="AX39" s="231" t="str">
        <f>'MTK4'!AA38</f>
        <v xml:space="preserve">NAZZALA cukup baik  dalam menyelesaikan masalah yang berkaitan dengan volume bangun ruang dengan menggunakan satuan volume (seperti kubus satuan) melibatkan pangkat tiga dan akar pangkat tiga
</v>
      </c>
      <c r="AY39" s="232">
        <f>'IPA4'!U38</f>
        <v>85</v>
      </c>
      <c r="AZ39" s="232" t="str">
        <f>'IPA4'!V38</f>
        <v>B</v>
      </c>
      <c r="BA39" s="231" t="str">
        <f>'IPA4'!AA38</f>
        <v>NAZZALA baik  dalam melaporkan hasil pengamatan tentang perpindahan kalor.</v>
      </c>
      <c r="BB39" s="232">
        <f>'IPS4'!U38</f>
        <v>83</v>
      </c>
      <c r="BC39" s="232" t="str">
        <f>'IPS4'!V38</f>
        <v>B</v>
      </c>
      <c r="BD39" s="231" t="str">
        <f>'IPS4'!AA38</f>
        <v>NAZZALA baik  dalam menyajikan hasil identifikasi karakteristik geografis Indonesia sebagai negara kepulauan/maritim dan agraris serta pengaruhnya terhadap kehidupan ekonomi, sosial, budaya, komunikasi, serta transportasi.</v>
      </c>
      <c r="BE39" s="232">
        <f>SBDP4!U38</f>
        <v>95</v>
      </c>
      <c r="BF39" s="232" t="str">
        <f>SBDP4!V38</f>
        <v>A</v>
      </c>
      <c r="BG39" s="231" t="str">
        <f>SBDP4!AA38</f>
        <v>NAZZALA sangat baik  dalam membuat gambar cerita</v>
      </c>
      <c r="BH39" s="232">
        <f>PJOK4!U38</f>
        <v>90</v>
      </c>
      <c r="BI39" s="232" t="str">
        <f>PJOK4!V38</f>
        <v>A</v>
      </c>
      <c r="BJ39" s="233" t="str">
        <f>PJOK4!AA38</f>
        <v>NAZZALA sangat baik  dalam menerapkan konsep pemeliharaan diri dan orang lain dari penyakit menular dan tidak menular, dan  baik  dalam mempraktikkan salah satu gaya renang dengan koordinasi yang baik pada jarak tertentu</v>
      </c>
      <c r="BK39" s="232">
        <f>'MLK1-4'!U38</f>
        <v>82</v>
      </c>
      <c r="BL39" s="232" t="str">
        <f>'MLK1-4'!V38</f>
        <v>B</v>
      </c>
      <c r="BM39" s="231" t="str">
        <f>'MLK1-4'!AA38</f>
        <v>NAZZALA baik  dalam melantunkan dan menceritakan isi kawih tentang bangga sebagai bangsa Indonesia</v>
      </c>
      <c r="BN39" s="232">
        <f>'MLK2-4'!U38</f>
        <v>97</v>
      </c>
      <c r="BO39" s="232" t="str">
        <f>'MLK2-4'!V38</f>
        <v>A</v>
      </c>
      <c r="BP39" s="231" t="str">
        <f>'MLK2-4'!AA38</f>
        <v>NAZZALA sangat baik  dalam memahami langkah-langkah pengawasan kelestarian lingkungan hidup</v>
      </c>
      <c r="BQ39" s="232">
        <f>'MLK3-4'!Y38</f>
        <v>88</v>
      </c>
      <c r="BR39" s="232" t="str">
        <f>'MLK3-4'!Z38</f>
        <v>A</v>
      </c>
      <c r="BS39" s="231" t="str">
        <f>'MLK3-4'!AE38</f>
        <v xml:space="preserve">NAZZALA sangat baik  dalam merespon instruksi sangat sederhana dengan tindakan secara berterima dalam konteks sekolah  </v>
      </c>
    </row>
    <row r="40" spans="1:71" ht="129.94999999999999" customHeight="1">
      <c r="A40" s="227">
        <v>35</v>
      </c>
      <c r="B40" s="227" t="str">
        <f>SISWA!B40</f>
        <v>1718250040339</v>
      </c>
      <c r="C40" s="228" t="str">
        <f>SISWA!C40</f>
        <v>RAFAREL RADIFAN PUTRA</v>
      </c>
      <c r="D40" s="229" t="str">
        <f>SPIRIT!P39</f>
        <v xml:space="preserve">Ananda RAFAREL baik dalam  ketaatan beribadah,  berperilaku syukur,  berdoa sebelum dan sesudah melakukan kegiatan,  toleransi dalam beribadah, </v>
      </c>
      <c r="E40" s="229" t="str">
        <f>SOSIAL!T39</f>
        <v xml:space="preserve">Ananda RAFAREL baik dalam sikap jujur, disiplin, tanggung jawab, santun, peduli, percaya diri, </v>
      </c>
      <c r="F40" s="230">
        <f>'PAI3'!CI40</f>
        <v>76</v>
      </c>
      <c r="G40" s="230" t="str">
        <f>'PAI3'!CJ40</f>
        <v>C</v>
      </c>
      <c r="H40" s="231" t="str">
        <f>'PAI3'!CO40</f>
        <v>RAFAREL sangat baik  dalam memahami makna Q.S. at-Tīn dan Q.S. al-Mā’ūn dengan benar., dan  perlu bimbingan  dalam memahami makna sederhana dalam kehidupan sehari-hari.</v>
      </c>
      <c r="I40" s="230">
        <f>'PKN3'!U39</f>
        <v>88</v>
      </c>
      <c r="J40" s="230" t="str">
        <f>'PKN3'!V39</f>
        <v>A</v>
      </c>
      <c r="K40" s="229" t="str">
        <f>'PKN3'!AA39</f>
        <v xml:space="preserve">RAFAREL sangat baik  dalam memahami hak, kewajiban dan tanggung jawab sebagai warga dalam kehidupan sehari-hari.
</v>
      </c>
      <c r="L40" s="232">
        <f>BIND3!U39</f>
        <v>81</v>
      </c>
      <c r="M40" s="232" t="str">
        <f>BIND3!V39</f>
        <v>B</v>
      </c>
      <c r="N40" s="231" t="str">
        <f>BIND3!AA39</f>
        <v>RAFAREL baik  dalam meringkas teks penjelasan (eksplanasi) dari media cetak atau elektronik.</v>
      </c>
      <c r="O40" s="232">
        <f>'MTK3'!U39</f>
        <v>75</v>
      </c>
      <c r="P40" s="232" t="str">
        <f>'MTK3'!V39</f>
        <v>C</v>
      </c>
      <c r="Q40" s="231" t="str">
        <f>'MTK3'!AA39</f>
        <v xml:space="preserve">RAFAREL cukup baik  dalam menjelaskan, dan menentukan volume bangun ruang dengan menggunakan satuan volume (seperti kubus satuan) serta hubungan pangkat tiga dengan akar pangkat tiga
</v>
      </c>
      <c r="R40" s="232">
        <f>'IPA3'!U39</f>
        <v>73</v>
      </c>
      <c r="S40" s="232" t="str">
        <f>'IPA3'!V39</f>
        <v>C</v>
      </c>
      <c r="T40" s="231" t="str">
        <f>'IPA3'!AA39</f>
        <v xml:space="preserve">RAFAREL cukup baik  dalam menerapkan konsep perpindahan kalor dalam kehidupan sehari-hari.
</v>
      </c>
      <c r="U40" s="232">
        <f>'IPS3'!U39</f>
        <v>78</v>
      </c>
      <c r="V40" s="232" t="str">
        <f>'IPS3'!V39</f>
        <v>B</v>
      </c>
      <c r="W40" s="231" t="str">
        <f>'IPS3'!AA39</f>
        <v>RAFAREL baik  dalam Mengidentifikasi karakteristik geografis Indonesia sebagai negara kepulauan/maritim dan agraris serta pengaruhnya terhadap kehidupan ekonomi, sosial, budaya, komunikasi, serta transportasi.</v>
      </c>
      <c r="X40" s="232">
        <f>SBDP3!U39</f>
        <v>90</v>
      </c>
      <c r="Y40" s="232" t="str">
        <f>SBDP3!V39</f>
        <v>A</v>
      </c>
      <c r="Z40" s="231" t="str">
        <f>SBDP3!AA39</f>
        <v>RAFAREL sangat baik  dalam memahami gambar cerita</v>
      </c>
      <c r="AA40" s="232">
        <f>PJOK3!U39</f>
        <v>86</v>
      </c>
      <c r="AB40" s="232" t="str">
        <f>PJOK3!V39</f>
        <v>B</v>
      </c>
      <c r="AC40" s="231" t="str">
        <f>PJOK3!AA39</f>
        <v xml:space="preserve">RAFAREL baik  dalam memahami kombinasi pola gerak dominan (bertumpu, bergantung, keseimbangan, berpindah/lokomotor, tolakan, putaran, ayunan, melayang, dan mendarat) untuk membentuk keterampilan dasar senam menggunakan alat
</v>
      </c>
      <c r="AD40" s="232">
        <f>'MLK1-3'!U39</f>
        <v>85</v>
      </c>
      <c r="AE40" s="232" t="str">
        <f>'MLK1-3'!V39</f>
        <v>B</v>
      </c>
      <c r="AF40" s="233" t="str">
        <f>'MLK1-3'!AA39</f>
        <v>RAFAREL baik  dalam memahami teks kawih tentang bangga sebagai bangsa Indonesia</v>
      </c>
      <c r="AG40" s="232">
        <f>'MLK2-3'!X39</f>
        <v>97</v>
      </c>
      <c r="AH40" s="232" t="str">
        <f>'MLK2-3'!Y39</f>
        <v>A</v>
      </c>
      <c r="AI40" s="231" t="str">
        <f>'MLK2-3'!AD39</f>
        <v xml:space="preserve">RAFAREL sangat baik  dalam merespon instruksi sangat sederhana dengan tindakan secara berterima dalam konteks sekolah  </v>
      </c>
      <c r="AJ40" s="232">
        <f>'MLK3-3'!W39</f>
        <v>73</v>
      </c>
      <c r="AK40" s="232" t="str">
        <f>'MLK3-3'!X39</f>
        <v>C</v>
      </c>
      <c r="AL40" s="233" t="str">
        <f>'MLK3-3'!AC39</f>
        <v xml:space="preserve">RAFAREL cukup baik  dalam merespon instruksi sangat sederhana dengan tindakan secara berterima dalam konteks sekolah  , dan  cukup baik  dalam membaca nyaring dengan ucapan, tekanan, dan intonasi secara tepat dan berterima yang melibatkan: kata, frasa, kalimat sangat sederhana, dan teks sangat sederhana 
</v>
      </c>
      <c r="AM40" s="232">
        <f>'PAI4'!CI40</f>
        <v>80</v>
      </c>
      <c r="AN40" s="232" t="str">
        <f>'PAI4'!CJ40</f>
        <v>B</v>
      </c>
      <c r="AO40" s="233" t="str">
        <f>'PAI4'!CO40</f>
        <v>RAFAREL baik  dalam membaca Q.S. at-Tīn dan Q.S. al-Mā’ūn dengan tartil.</v>
      </c>
      <c r="AP40" s="232">
        <f>'PKN4'!U39</f>
        <v>88</v>
      </c>
      <c r="AQ40" s="232" t="str">
        <f>'PKN4'!V39</f>
        <v>A</v>
      </c>
      <c r="AR40" s="231" t="str">
        <f>'PKN4'!AA39</f>
        <v>RAFAREL sangat baik  dalam menjelaskan hak, kewajiban, dan tanggung  jawab sebagai warga masyarakat dalam kehidupan sehari-hari</v>
      </c>
      <c r="AS40" s="232">
        <f>BIND4!U39</f>
        <v>81</v>
      </c>
      <c r="AT40" s="232" t="str">
        <f>BIND4!V39</f>
        <v>B</v>
      </c>
      <c r="AU40" s="231" t="str">
        <f>BIND4!AA39</f>
        <v xml:space="preserve">RAFAREL baik  dalam menyajikan ringkasan teks penjelasan (eksplanasi) dari media cetak atau elektronik dengan menggunakan kosakata baku dan kalimat efektif secara lisan, tulis, dan visual.
</v>
      </c>
      <c r="AV40" s="232">
        <f>'MTK4'!U39</f>
        <v>75</v>
      </c>
      <c r="AW40" s="232" t="str">
        <f>'MTK4'!V39</f>
        <v>C</v>
      </c>
      <c r="AX40" s="231" t="str">
        <f>'MTK4'!AA39</f>
        <v xml:space="preserve">RAFAREL cukup baik  dalam menyelesaikan masalah yang berkaitan dengan volume bangun ruang dengan menggunakan satuan volume (seperti kubus satuan) melibatkan pangkat tiga dan akar pangkat tiga
</v>
      </c>
      <c r="AY40" s="232">
        <f>'IPA4'!U39</f>
        <v>73</v>
      </c>
      <c r="AZ40" s="232" t="str">
        <f>'IPA4'!V39</f>
        <v>C</v>
      </c>
      <c r="BA40" s="231" t="str">
        <f>'IPA4'!AA39</f>
        <v>RAFAREL cukup baik  dalam melaporkan hasil pengamatan tentang perpindahan kalor.</v>
      </c>
      <c r="BB40" s="232">
        <f>'IPS4'!U39</f>
        <v>78</v>
      </c>
      <c r="BC40" s="232" t="str">
        <f>'IPS4'!V39</f>
        <v>B</v>
      </c>
      <c r="BD40" s="231" t="str">
        <f>'IPS4'!AA39</f>
        <v>RAFAREL baik  dalam menyajikan hasil identifikasi karakteristik geografis Indonesia sebagai negara kepulauan/maritim dan agraris serta pengaruhnya terhadap kehidupan ekonomi, sosial, budaya, komunikasi, serta transportasi.</v>
      </c>
      <c r="BE40" s="232">
        <f>SBDP4!U39</f>
        <v>90</v>
      </c>
      <c r="BF40" s="232" t="str">
        <f>SBDP4!V39</f>
        <v>A</v>
      </c>
      <c r="BG40" s="231" t="str">
        <f>SBDP4!AA39</f>
        <v>RAFAREL sangat baik  dalam membuat gambar cerita</v>
      </c>
      <c r="BH40" s="232">
        <f>PJOK4!U39</f>
        <v>88</v>
      </c>
      <c r="BI40" s="232" t="str">
        <f>PJOK4!V39</f>
        <v>A</v>
      </c>
      <c r="BJ40" s="233" t="str">
        <f>PJOK4!AA39</f>
        <v>RAFAREL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40" s="232">
        <f>'MLK1-4'!U39</f>
        <v>85</v>
      </c>
      <c r="BL40" s="232" t="str">
        <f>'MLK1-4'!V39</f>
        <v>B</v>
      </c>
      <c r="BM40" s="231" t="str">
        <f>'MLK1-4'!AA39</f>
        <v>RAFAREL baik  dalam melantunkan dan menceritakan isi kawih tentang bangga sebagai bangsa Indonesia</v>
      </c>
      <c r="BN40" s="232">
        <f>'MLK2-4'!U39</f>
        <v>97</v>
      </c>
      <c r="BO40" s="232" t="str">
        <f>'MLK2-4'!V39</f>
        <v>A</v>
      </c>
      <c r="BP40" s="231" t="str">
        <f>'MLK2-4'!AA39</f>
        <v>RAFAREL sangat baik  dalam memahami langkah-langkah pengawasan kelestarian lingkungan hidup</v>
      </c>
      <c r="BQ40" s="232">
        <f>'MLK3-4'!Y39</f>
        <v>70</v>
      </c>
      <c r="BR40" s="232" t="str">
        <f>'MLK3-4'!Z39</f>
        <v>C</v>
      </c>
      <c r="BS40" s="231" t="str">
        <f>'MLK3-4'!AE39</f>
        <v xml:space="preserve">RAFAREL cukup baik  dalam merespon instruksi sangat sederhana dengan tindakan secara berterima dalam konteks sekolah  </v>
      </c>
    </row>
    <row r="41" spans="1:71" ht="129.94999999999999" customHeight="1">
      <c r="A41" s="227">
        <v>36</v>
      </c>
      <c r="B41" s="227" t="str">
        <f>SISWA!B41</f>
        <v>1718250040340</v>
      </c>
      <c r="C41" s="228" t="str">
        <f>SISWA!C41</f>
        <v>RAKHA ZAHRAN SUTRISNO</v>
      </c>
      <c r="D41" s="229" t="str">
        <f>SPIRIT!P40</f>
        <v xml:space="preserve">Ananda RAKHA baik dalam  ketaatan beribadah,  berperilaku syukur,  berdoa sebelum dan sesudah melakukan kegiatan,  toleransi dalam beribadah, </v>
      </c>
      <c r="E41" s="229" t="str">
        <f>SOSIAL!T40</f>
        <v xml:space="preserve">Ananda RAKHA baik dalam sikap jujur, disiplin, tanggung jawab, santun, peduli, percaya diri, </v>
      </c>
      <c r="F41" s="230">
        <f>'PAI3'!CI41</f>
        <v>77</v>
      </c>
      <c r="G41" s="230" t="str">
        <f>'PAI3'!CJ41</f>
        <v>B</v>
      </c>
      <c r="H41" s="231" t="str">
        <f>'PAI3'!CO41</f>
        <v>RAKHA baik  dalam memahami pelaksanaan salat tarawih dan tadarus al-Qur'an., dan  cukup baik  dalam memahami nama-nama Rasul Allah dan Rasul Ulul ‘Azmi.</v>
      </c>
      <c r="I41" s="230">
        <f>'PKN3'!U40</f>
        <v>93</v>
      </c>
      <c r="J41" s="230" t="str">
        <f>'PKN3'!V40</f>
        <v>A</v>
      </c>
      <c r="K41" s="229" t="str">
        <f>'PKN3'!AA40</f>
        <v xml:space="preserve">RAKHA sangat baik  dalam memahami hak, kewajiban dan tanggung jawab sebagai warga dalam kehidupan sehari-hari.
</v>
      </c>
      <c r="L41" s="232">
        <f>BIND3!U40</f>
        <v>86</v>
      </c>
      <c r="M41" s="232" t="str">
        <f>BIND3!V40</f>
        <v>B</v>
      </c>
      <c r="N41" s="231" t="str">
        <f>BIND3!AA40</f>
        <v>RAKHA baik  dalam meringkas teks penjelasan (eksplanasi) dari media cetak atau elektronik.</v>
      </c>
      <c r="O41" s="232">
        <f>'MTK3'!U40</f>
        <v>70</v>
      </c>
      <c r="P41" s="232" t="str">
        <f>'MTK3'!V40</f>
        <v>C</v>
      </c>
      <c r="Q41" s="231" t="str">
        <f>'MTK3'!AA40</f>
        <v xml:space="preserve">RAKHA cukup baik  dalam menjelaskan, dan menentukan volume bangun ruang dengan menggunakan satuan volume (seperti kubus satuan) serta hubungan pangkat tiga dengan akar pangkat tiga
</v>
      </c>
      <c r="R41" s="232">
        <f>'IPA3'!U40</f>
        <v>75</v>
      </c>
      <c r="S41" s="232" t="str">
        <f>'IPA3'!V40</f>
        <v>C</v>
      </c>
      <c r="T41" s="231" t="str">
        <f>'IPA3'!AA40</f>
        <v xml:space="preserve">RAKHA cukup baik  dalam menerapkan konsep perpindahan kalor dalam kehidupan sehari-hari.
</v>
      </c>
      <c r="U41" s="232">
        <f>'IPS3'!U40</f>
        <v>83</v>
      </c>
      <c r="V41" s="232" t="str">
        <f>'IPS3'!V40</f>
        <v>B</v>
      </c>
      <c r="W41" s="231" t="str">
        <f>'IPS3'!AA40</f>
        <v>RAKHA baik  dalam Mengidentifikasi karakteristik geografis Indonesia sebagai negara kepulauan/maritim dan agraris serta pengaruhnya terhadap kehidupan ekonomi, sosial, budaya, komunikasi, serta transportasi.</v>
      </c>
      <c r="X41" s="232">
        <f>SBDP3!U40</f>
        <v>98</v>
      </c>
      <c r="Y41" s="232" t="str">
        <f>SBDP3!V40</f>
        <v>A</v>
      </c>
      <c r="Z41" s="231" t="str">
        <f>SBDP3!AA40</f>
        <v>RAKHA sangat baik  dalam memahami gambar cerita</v>
      </c>
      <c r="AA41" s="232">
        <f>PJOK3!U40</f>
        <v>87</v>
      </c>
      <c r="AB41" s="232" t="str">
        <f>PJOK3!V40</f>
        <v>B</v>
      </c>
      <c r="AC41" s="231" t="str">
        <f>PJOK3!AA40</f>
        <v xml:space="preserve">RAKHA sangat baik  dalam memahami kombinasi pola gerak dominan (bertumpu, bergantung, keseimbangan, berpindah/lokomotor, tolakan, putaran, ayunan, melayang, dan mendarat) untuk membentuk keterampilan dasar senam menggunakan alat
</v>
      </c>
      <c r="AD41" s="232">
        <f>'MLK1-3'!U40</f>
        <v>82</v>
      </c>
      <c r="AE41" s="232" t="str">
        <f>'MLK1-3'!V40</f>
        <v>B</v>
      </c>
      <c r="AF41" s="233" t="str">
        <f>'MLK1-3'!AA40</f>
        <v>RAKHA baik  dalam memahami teks kawih tentang bangga sebagai bangsa Indonesia</v>
      </c>
      <c r="AG41" s="232">
        <f>'MLK2-3'!X40</f>
        <v>94</v>
      </c>
      <c r="AH41" s="232" t="str">
        <f>'MLK2-3'!Y40</f>
        <v>A</v>
      </c>
      <c r="AI41" s="231" t="str">
        <f>'MLK2-3'!AD40</f>
        <v xml:space="preserve">RAKHA sangat baik  dalam merespon instruksi sangat sederhana dengan tindakan secara berterima dalam konteks sekolah  </v>
      </c>
      <c r="AJ41" s="232">
        <f>'MLK3-3'!W40</f>
        <v>88</v>
      </c>
      <c r="AK41" s="232" t="str">
        <f>'MLK3-3'!X40</f>
        <v>A</v>
      </c>
      <c r="AL41" s="233" t="str">
        <f>'MLK3-3'!AC40</f>
        <v xml:space="preserve">RAKHA sangat baik  dalam merespon instruksi sangat sederhana dengan tindakan secara berterima dalam konteks sekolah  , dan  baik  dalam membaca nyaring dengan ucapan, tekanan, dan intonasi secara tepat dan berterima yang melibatkan: kata, frasa, kalimat sangat sederhana, dan teks sangat sederhana 
</v>
      </c>
      <c r="AM41" s="232">
        <f>'PAI4'!CI41</f>
        <v>90</v>
      </c>
      <c r="AN41" s="232" t="str">
        <f>'PAI4'!CJ41</f>
        <v>A</v>
      </c>
      <c r="AO41" s="233" t="str">
        <f>'PAI4'!CO41</f>
        <v>RAKHA sangat baik  dalam membaca Q.S. at-Tīn dan Q.S. al-Mā’ūn dengan tartil.</v>
      </c>
      <c r="AP41" s="232">
        <f>'PKN4'!U40</f>
        <v>93</v>
      </c>
      <c r="AQ41" s="232" t="str">
        <f>'PKN4'!V40</f>
        <v>A</v>
      </c>
      <c r="AR41" s="231" t="str">
        <f>'PKN4'!AA40</f>
        <v>RAKHA sangat baik  dalam menjelaskan hak, kewajiban, dan tanggung  jawab sebagai warga masyarakat dalam kehidupan sehari-hari</v>
      </c>
      <c r="AS41" s="232">
        <f>BIND4!U40</f>
        <v>86</v>
      </c>
      <c r="AT41" s="232" t="str">
        <f>BIND4!V40</f>
        <v>B</v>
      </c>
      <c r="AU41" s="231" t="str">
        <f>BIND4!AA40</f>
        <v xml:space="preserve">RAKHA baik  dalam menyajikan ringkasan teks penjelasan (eksplanasi) dari media cetak atau elektronik dengan menggunakan kosakata baku dan kalimat efektif secara lisan, tulis, dan visual.
</v>
      </c>
      <c r="AV41" s="232">
        <f>'MTK4'!U40</f>
        <v>70</v>
      </c>
      <c r="AW41" s="232" t="str">
        <f>'MTK4'!V40</f>
        <v>C</v>
      </c>
      <c r="AX41" s="231" t="str">
        <f>'MTK4'!AA40</f>
        <v xml:space="preserve">RAKHA cukup baik  dalam menyelesaikan masalah yang berkaitan dengan volume bangun ruang dengan menggunakan satuan volume (seperti kubus satuan) melibatkan pangkat tiga dan akar pangkat tiga
</v>
      </c>
      <c r="AY41" s="232">
        <f>'IPA4'!U40</f>
        <v>75</v>
      </c>
      <c r="AZ41" s="232" t="str">
        <f>'IPA4'!V40</f>
        <v>C</v>
      </c>
      <c r="BA41" s="231" t="str">
        <f>'IPA4'!AA40</f>
        <v>RAKHA cukup baik  dalam melaporkan hasil pengamatan tentang perpindahan kalor.</v>
      </c>
      <c r="BB41" s="232">
        <f>'IPS4'!U40</f>
        <v>83</v>
      </c>
      <c r="BC41" s="232" t="str">
        <f>'IPS4'!V40</f>
        <v>B</v>
      </c>
      <c r="BD41" s="231" t="str">
        <f>'IPS4'!AA40</f>
        <v>RAKHA baik  dalam menyajikan hasil identifikasi karakteristik geografis Indonesia sebagai negara kepulauan/maritim dan agraris serta pengaruhnya terhadap kehidupan ekonomi, sosial, budaya, komunikasi, serta transportasi.</v>
      </c>
      <c r="BE41" s="232">
        <f>SBDP4!U40</f>
        <v>98</v>
      </c>
      <c r="BF41" s="232" t="str">
        <f>SBDP4!V40</f>
        <v>A</v>
      </c>
      <c r="BG41" s="231" t="str">
        <f>SBDP4!AA40</f>
        <v>RAKHA sangat baik  dalam membuat gambar cerita</v>
      </c>
      <c r="BH41" s="232">
        <f>PJOK4!U40</f>
        <v>87</v>
      </c>
      <c r="BI41" s="232" t="str">
        <f>PJOK4!V40</f>
        <v>B</v>
      </c>
      <c r="BJ41" s="233" t="str">
        <f>PJOK4!AA40</f>
        <v>RAKHA sangat baik  dalam menerapkan konsep pemeliharaan diri dan orang lain dari penyakit menular dan tidak menular, dan  baik  dalam mempraktikkan pengunaan kombinasi gerak dasar langkah dan ayunan lengan mengikuti irama (ketukan) tanpa/dengan musik dalam aktivitas gerak berirama</v>
      </c>
      <c r="BK41" s="232">
        <f>'MLK1-4'!U40</f>
        <v>82</v>
      </c>
      <c r="BL41" s="232" t="str">
        <f>'MLK1-4'!V40</f>
        <v>B</v>
      </c>
      <c r="BM41" s="231" t="str">
        <f>'MLK1-4'!AA40</f>
        <v>RAKHA baik  dalam melantunkan dan menceritakan isi kawih tentang bangga sebagai bangsa Indonesia</v>
      </c>
      <c r="BN41" s="232">
        <f>'MLK2-4'!U40</f>
        <v>94</v>
      </c>
      <c r="BO41" s="232" t="str">
        <f>'MLK2-4'!V40</f>
        <v>A</v>
      </c>
      <c r="BP41" s="231" t="str">
        <f>'MLK2-4'!AA40</f>
        <v>RAKHA sangat baik  dalam memahami langkah-langkah pengawasan kelestarian lingkungan hidup</v>
      </c>
      <c r="BQ41" s="232">
        <f>'MLK3-4'!Y40</f>
        <v>90</v>
      </c>
      <c r="BR41" s="232" t="str">
        <f>'MLK3-4'!Z40</f>
        <v>A</v>
      </c>
      <c r="BS41" s="231" t="str">
        <f>'MLK3-4'!AE40</f>
        <v xml:space="preserve">RAKHA sangat baik  dalam merespon instruksi sangat sederhana dengan tindakan secara berterima dalam konteks sekolah  </v>
      </c>
    </row>
    <row r="42" spans="1:71" ht="163.5" customHeight="1">
      <c r="A42" s="227">
        <v>37</v>
      </c>
      <c r="B42" s="227" t="str">
        <f>SISWA!B42</f>
        <v>1718250040341</v>
      </c>
      <c r="C42" s="228" t="str">
        <f>SISWA!C42</f>
        <v>RYU FRIKLI</v>
      </c>
      <c r="D42" s="229" t="str">
        <f>SPIRIT!P41</f>
        <v xml:space="preserve">Ananda RYU baik dalam  ketaatan beribadah,  berperilaku syukur,  berdoa sebelum dan sesudah melakukan kegiatan,  toleransi dalam beribadah, </v>
      </c>
      <c r="E42" s="229" t="str">
        <f>SOSIAL!T41</f>
        <v xml:space="preserve">Ananda RYU baik dalam sikap jujur, disiplin, tanggung jawab, santun, peduli, percaya diri, </v>
      </c>
      <c r="F42" s="230">
        <f>'PAI3'!CI42</f>
        <v>74</v>
      </c>
      <c r="G42" s="230" t="str">
        <f>'PAI3'!CJ42</f>
        <v>C</v>
      </c>
      <c r="H42" s="231" t="str">
        <f>'PAI3'!CO42</f>
        <v>RYU cukup baik  dalam memahami nama-nama Rasul Allah dan Rasul Ulul ‘Azmi., dan  cukup baik  dalam memahami makna Q.S. at-Tīn dan Q.S. al-Mā’ūn dengan benar.</v>
      </c>
      <c r="I42" s="230">
        <f>'PKN3'!U41</f>
        <v>70</v>
      </c>
      <c r="J42" s="230" t="str">
        <f>'PKN3'!V41</f>
        <v>C</v>
      </c>
      <c r="K42" s="229" t="str">
        <f>'PKN3'!AA41</f>
        <v xml:space="preserve">RYU cukup baik  dalam memahami hak, kewajiban dan tanggung jawab sebagai warga dalam kehidupan sehari-hari.
</v>
      </c>
      <c r="L42" s="232">
        <f>BIND3!U41</f>
        <v>83</v>
      </c>
      <c r="M42" s="232" t="str">
        <f>BIND3!V41</f>
        <v>B</v>
      </c>
      <c r="N42" s="231" t="str">
        <f>BIND3!AA41</f>
        <v>RYU baik  dalam meringkas teks penjelasan (eksplanasi) dari media cetak atau elektronik.</v>
      </c>
      <c r="O42" s="232">
        <f>'MTK3'!U41</f>
        <v>65</v>
      </c>
      <c r="P42" s="232" t="str">
        <f>'MTK3'!V41</f>
        <v>C</v>
      </c>
      <c r="Q42" s="231" t="str">
        <f>'MTK3'!AA41</f>
        <v xml:space="preserve">RYU cukup baik  dalam menjelaskan, dan menentukan volume bangun ruang dengan menggunakan satuan volume (seperti kubus satuan) serta hubungan pangkat tiga dengan akar pangkat tiga
</v>
      </c>
      <c r="R42" s="232">
        <f>'IPA3'!U41</f>
        <v>78</v>
      </c>
      <c r="S42" s="232" t="str">
        <f>'IPA3'!V41</f>
        <v>B</v>
      </c>
      <c r="T42" s="231" t="str">
        <f>'IPA3'!AA41</f>
        <v xml:space="preserve">RYU baik  dalam menerapkan konsep perpindahan kalor dalam kehidupan sehari-hari.
</v>
      </c>
      <c r="U42" s="232">
        <f>'IPS3'!U41</f>
        <v>73</v>
      </c>
      <c r="V42" s="232" t="str">
        <f>'IPS3'!V41</f>
        <v>C</v>
      </c>
      <c r="W42" s="231" t="str">
        <f>'IPS3'!AA41</f>
        <v>RYU cukup baik  dalam Mengidentifikasi karakteristik geografis Indonesia sebagai negara kepulauan/maritim dan agraris serta pengaruhnya terhadap kehidupan ekonomi, sosial, budaya, komunikasi, serta transportasi.</v>
      </c>
      <c r="X42" s="232">
        <f>SBDP3!U41</f>
        <v>85</v>
      </c>
      <c r="Y42" s="232" t="str">
        <f>SBDP3!V41</f>
        <v>B</v>
      </c>
      <c r="Z42" s="231" t="str">
        <f>SBDP3!AA41</f>
        <v>RYU baik  dalam memahami gambar cerita</v>
      </c>
      <c r="AA42" s="232">
        <f>PJOK3!U41</f>
        <v>85</v>
      </c>
      <c r="AB42" s="232" t="str">
        <f>PJOK3!V41</f>
        <v>B</v>
      </c>
      <c r="AC42" s="231" t="str">
        <f>PJOK3!AA41</f>
        <v xml:space="preserve">RYU baik  dalam memahami kombinasi pola gerak dominan (bertumpu, bergantung, keseimbangan, berpindah/lokomotor, tolakan, putaran, ayunan, melayang, dan mendarat) untuk membentuk keterampilan dasar senam menggunakan alat
</v>
      </c>
      <c r="AD42" s="232">
        <f>'MLK1-3'!U41</f>
        <v>65</v>
      </c>
      <c r="AE42" s="232" t="str">
        <f>'MLK1-3'!V41</f>
        <v>C</v>
      </c>
      <c r="AF42" s="233" t="str">
        <f>'MLK1-3'!AA41</f>
        <v>RYU cukup baik  dalam memahami teks kawih tentang bangga sebagai bangsa Indonesia</v>
      </c>
      <c r="AG42" s="232">
        <f>'MLK2-3'!X41</f>
        <v>85</v>
      </c>
      <c r="AH42" s="232" t="str">
        <f>'MLK2-3'!Y41</f>
        <v>B</v>
      </c>
      <c r="AI42" s="231" t="str">
        <f>'MLK2-3'!AD41</f>
        <v xml:space="preserve">RYU baik  dalam merespon instruksi sangat sederhana dengan tindakan secara berterima dalam konteks sekolah  </v>
      </c>
      <c r="AJ42" s="232">
        <f>'MLK3-3'!W41</f>
        <v>70</v>
      </c>
      <c r="AK42" s="232" t="str">
        <f>'MLK3-3'!X41</f>
        <v>C</v>
      </c>
      <c r="AL42" s="233" t="str">
        <f>'MLK3-3'!AC41</f>
        <v xml:space="preserve">RYU cukup baik  dalam merespon instruksi sangat sederhana dengan tindakan secara berterima dalam konteks sekolah  </v>
      </c>
      <c r="AM42" s="232">
        <f>'PAI4'!CI42</f>
        <v>80</v>
      </c>
      <c r="AN42" s="232" t="str">
        <f>'PAI4'!CJ42</f>
        <v>B</v>
      </c>
      <c r="AO42" s="233" t="str">
        <f>'PAI4'!CO42</f>
        <v>RYU baik  dalam membaca Q.S. at-Tīn dan Q.S. al-Mā’ūn dengan tartil.</v>
      </c>
      <c r="AP42" s="232">
        <f>'PKN4'!U41</f>
        <v>70</v>
      </c>
      <c r="AQ42" s="232" t="str">
        <f>'PKN4'!V41</f>
        <v>C</v>
      </c>
      <c r="AR42" s="231" t="str">
        <f>'PKN4'!AA41</f>
        <v>RYU cukup baik  dalam menjelaskan hak, kewajiban, dan tanggung  jawab sebagai warga masyarakat dalam kehidupan sehari-hari</v>
      </c>
      <c r="AS42" s="232">
        <f>BIND4!U41</f>
        <v>83</v>
      </c>
      <c r="AT42" s="232" t="str">
        <f>BIND4!V41</f>
        <v>B</v>
      </c>
      <c r="AU42" s="231" t="str">
        <f>BIND4!AA41</f>
        <v xml:space="preserve">RYU baik  dalam menyajikan ringkasan teks penjelasan (eksplanasi) dari media cetak atau elektronik dengan menggunakan kosakata baku dan kalimat efektif secara lisan, tulis, dan visual.
</v>
      </c>
      <c r="AV42" s="232">
        <f>'MTK4'!U41</f>
        <v>65</v>
      </c>
      <c r="AW42" s="232" t="str">
        <f>'MTK4'!V41</f>
        <v>C</v>
      </c>
      <c r="AX42" s="231" t="str">
        <f>'MTK4'!AA41</f>
        <v xml:space="preserve">RYU cukup baik  dalam menyelesaikan masalah yang berkaitan dengan volume bangun ruang dengan menggunakan satuan volume (seperti kubus satuan) melibatkan pangkat tiga dan akar pangkat tiga
</v>
      </c>
      <c r="AY42" s="232">
        <f>'IPA4'!U41</f>
        <v>78</v>
      </c>
      <c r="AZ42" s="232" t="str">
        <f>'IPA4'!V41</f>
        <v>B</v>
      </c>
      <c r="BA42" s="231" t="str">
        <f>'IPA4'!AA41</f>
        <v>RYU baik  dalam melaporkan hasil pengamatan tentang perpindahan kalor.</v>
      </c>
      <c r="BB42" s="232">
        <f>'IPS4'!U41</f>
        <v>73</v>
      </c>
      <c r="BC42" s="232" t="str">
        <f>'IPS4'!V41</f>
        <v>C</v>
      </c>
      <c r="BD42" s="231" t="str">
        <f>'IPS4'!AA41</f>
        <v>RYU cukup baik  dalam menyajikan hasil identifikasi karakteristik geografis Indonesia sebagai negara kepulauan/maritim dan agraris serta pengaruhnya terhadap kehidupan ekonomi, sosial, budaya, komunikasi, serta transportasi.</v>
      </c>
      <c r="BE42" s="232">
        <f>SBDP4!U41</f>
        <v>85</v>
      </c>
      <c r="BF42" s="232" t="str">
        <f>SBDP4!V41</f>
        <v>B</v>
      </c>
      <c r="BG42" s="231" t="str">
        <f>SBDP4!AA41</f>
        <v>RYU baik  dalam membuat gambar cerita</v>
      </c>
      <c r="BH42" s="232">
        <f>PJOK4!U41</f>
        <v>88</v>
      </c>
      <c r="BI42" s="232" t="str">
        <f>PJOK4!V41</f>
        <v>A</v>
      </c>
      <c r="BJ42" s="233" t="str">
        <f>PJOK4!AA41</f>
        <v>RYU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BK42" s="232">
        <f>'MLK1-4'!U41</f>
        <v>65</v>
      </c>
      <c r="BL42" s="232" t="str">
        <f>'MLK1-4'!V41</f>
        <v>C</v>
      </c>
      <c r="BM42" s="231" t="str">
        <f>'MLK1-4'!AA41</f>
        <v>RYU cukup baik  dalam melantunkan dan menceritakan isi kawih tentang bangga sebagai bangsa Indonesia</v>
      </c>
      <c r="BN42" s="232">
        <f>'MLK2-4'!U41</f>
        <v>85</v>
      </c>
      <c r="BO42" s="232" t="str">
        <f>'MLK2-4'!V41</f>
        <v>B</v>
      </c>
      <c r="BP42" s="231" t="str">
        <f>'MLK2-4'!AA41</f>
        <v>RYU baik  dalam memahami langkah-langkah pengawasan kelestarian lingkungan hidup</v>
      </c>
      <c r="BQ42" s="232">
        <f>'MLK3-4'!Y41</f>
        <v>70</v>
      </c>
      <c r="BR42" s="232" t="str">
        <f>'MLK3-4'!Z41</f>
        <v>C</v>
      </c>
      <c r="BS42" s="231" t="str">
        <f>'MLK3-4'!AE41</f>
        <v xml:space="preserve">RYU cukup baik  dalam merespon instruksi sangat sederhana dengan tindakan secara berterima dalam konteks sekolah  </v>
      </c>
    </row>
    <row r="43" spans="1:71" ht="108.75" customHeight="1">
      <c r="A43" s="227">
        <v>38</v>
      </c>
      <c r="B43" s="227" t="str">
        <f>SISWA!B43</f>
        <v>1718250040342</v>
      </c>
      <c r="C43" s="228" t="str">
        <f>SISWA!C43</f>
        <v>SAEPUL RAHAYU</v>
      </c>
      <c r="D43" s="229" t="str">
        <f>SPIRIT!P42</f>
        <v xml:space="preserve">Ananda SAEPUL baik dalam  ketaatan beribadah,  berperilaku syukur,  berdoa sebelum dan sesudah melakukan kegiatan,  toleransi dalam beribadah, </v>
      </c>
      <c r="E43" s="229" t="str">
        <f>SOSIAL!T42</f>
        <v xml:space="preserve">Ananda SAEPUL baik dalam sikap jujur, disiplin, tanggung jawab, santun, peduli, percaya diri, </v>
      </c>
      <c r="F43" s="230">
        <f>'PAI3'!CI43</f>
        <v>82</v>
      </c>
      <c r="G43" s="230" t="str">
        <f>'PAI3'!CJ43</f>
        <v>B</v>
      </c>
      <c r="H43" s="231" t="str">
        <f>'PAI3'!CO43</f>
        <v>SAEPUL sangat baik  dalam memahami makna Q.S. at-Tīn dan Q.S. al-Mā’ūn dengan benar., dan  baik  dalam memahami nama-nama Rasul Allah dan Rasul Ulul ‘Azmi.</v>
      </c>
      <c r="I43" s="230">
        <f>'PKN3'!U42</f>
        <v>83</v>
      </c>
      <c r="J43" s="230" t="str">
        <f>'PKN3'!V42</f>
        <v>B</v>
      </c>
      <c r="K43" s="229" t="str">
        <f>'PKN3'!AA42</f>
        <v xml:space="preserve">SAEPUL baik  dalam memahami hak, kewajiban dan tanggung jawab sebagai warga dalam kehidupan sehari-hari.
</v>
      </c>
      <c r="L43" s="232">
        <f>BIND3!U42</f>
        <v>82</v>
      </c>
      <c r="M43" s="232" t="str">
        <f>BIND3!V42</f>
        <v>B</v>
      </c>
      <c r="N43" s="231" t="str">
        <f>BIND3!AA42</f>
        <v>SAEPUL baik  dalam meringkas teks penjelasan (eksplanasi) dari media cetak atau elektronik.</v>
      </c>
      <c r="O43" s="232">
        <f>'MTK3'!U42</f>
        <v>70</v>
      </c>
      <c r="P43" s="232" t="str">
        <f>'MTK3'!V42</f>
        <v>C</v>
      </c>
      <c r="Q43" s="231" t="str">
        <f>'MTK3'!AA42</f>
        <v xml:space="preserve">SAEPUL cukup baik  dalam menjelaskan, dan menentukan volume bangun ruang dengan menggunakan satuan volume (seperti kubus satuan) serta hubungan pangkat tiga dengan akar pangkat tiga
</v>
      </c>
      <c r="R43" s="232">
        <f>'IPA3'!U42</f>
        <v>88</v>
      </c>
      <c r="S43" s="232" t="str">
        <f>'IPA3'!V42</f>
        <v>A</v>
      </c>
      <c r="T43" s="231" t="str">
        <f>'IPA3'!AA42</f>
        <v xml:space="preserve">SAEPUL sangat baik  dalam menerapkan konsep perpindahan kalor dalam kehidupan sehari-hari.
</v>
      </c>
      <c r="U43" s="232">
        <f>'IPS3'!U42</f>
        <v>85</v>
      </c>
      <c r="V43" s="232" t="str">
        <f>'IPS3'!V42</f>
        <v>B</v>
      </c>
      <c r="W43" s="231" t="str">
        <f>'IPS3'!AA42</f>
        <v>SAEPUL baik  dalam Mengidentifikasi karakteristik geografis Indonesia sebagai negara kepulauan/maritim dan agraris serta pengaruhnya terhadap kehidupan ekonomi, sosial, budaya, komunikasi, serta transportasi.</v>
      </c>
      <c r="X43" s="232">
        <f>SBDP3!U42</f>
        <v>88</v>
      </c>
      <c r="Y43" s="232" t="str">
        <f>SBDP3!V42</f>
        <v>A</v>
      </c>
      <c r="Z43" s="231" t="str">
        <f>SBDP3!AA42</f>
        <v>SAEPUL sangat baik  dalam memahami gambar cerita</v>
      </c>
      <c r="AA43" s="232">
        <f>PJOK3!U42</f>
        <v>89</v>
      </c>
      <c r="AB43" s="232" t="str">
        <f>PJOK3!V42</f>
        <v>A</v>
      </c>
      <c r="AC43" s="231" t="str">
        <f>PJOK3!AA42</f>
        <v xml:space="preserve">SAEPUL sangat baik  dalam memahami kombinasi pola gerak dominan (bertumpu, bergantung, keseimbangan, berpindah/lokomotor, tolakan, putaran, ayunan, melayang, dan mendarat) untuk membentuk keterampilan dasar senam menggunakan alat
</v>
      </c>
      <c r="AD43" s="232">
        <f>'MLK1-3'!U42</f>
        <v>71</v>
      </c>
      <c r="AE43" s="232" t="str">
        <f>'MLK1-3'!V42</f>
        <v>C</v>
      </c>
      <c r="AF43" s="233" t="str">
        <f>'MLK1-3'!AA42</f>
        <v>SAEPUL cukup baik  dalam memahami teks kawih tentang bangga sebagai bangsa Indonesia</v>
      </c>
      <c r="AG43" s="232">
        <f>'MLK2-3'!X42</f>
        <v>91</v>
      </c>
      <c r="AH43" s="232" t="str">
        <f>'MLK2-3'!Y42</f>
        <v>A</v>
      </c>
      <c r="AI43" s="231" t="str">
        <f>'MLK2-3'!AD42</f>
        <v xml:space="preserve">SAEPUL sangat baik  dalam merespon instruksi sangat sederhana dengan tindakan secara berterima dalam konteks sekolah  </v>
      </c>
      <c r="AJ43" s="232">
        <f>'MLK3-3'!W42</f>
        <v>70</v>
      </c>
      <c r="AK43" s="232" t="str">
        <f>'MLK3-3'!X42</f>
        <v>C</v>
      </c>
      <c r="AL43" s="233" t="str">
        <f>'MLK3-3'!AC42</f>
        <v xml:space="preserve">SAEPUL cukup baik  dalam merespon instruksi sangat sederhana dengan tindakan secara berterima dalam konteks sekolah  </v>
      </c>
      <c r="AM43" s="232">
        <f>'PAI4'!CI43</f>
        <v>88</v>
      </c>
      <c r="AN43" s="232" t="str">
        <f>'PAI4'!CJ43</f>
        <v>A</v>
      </c>
      <c r="AO43" s="233" t="str">
        <f>'PAI4'!CO43</f>
        <v>SAEPUL sangat baik  dalam membaca Q.S. at-Tīn dan Q.S. al-Mā’ūn dengan tartil.</v>
      </c>
      <c r="AP43" s="232">
        <f>'PKN4'!U42</f>
        <v>83</v>
      </c>
      <c r="AQ43" s="232" t="str">
        <f>'PKN4'!V42</f>
        <v>B</v>
      </c>
      <c r="AR43" s="231" t="str">
        <f>'PKN4'!AA42</f>
        <v>SAEPUL baik  dalam menjelaskan hak, kewajiban, dan tanggung  jawab sebagai warga masyarakat dalam kehidupan sehari-hari</v>
      </c>
      <c r="AS43" s="232">
        <f>BIND4!U42</f>
        <v>82</v>
      </c>
      <c r="AT43" s="232" t="str">
        <f>BIND4!V42</f>
        <v>B</v>
      </c>
      <c r="AU43" s="231" t="str">
        <f>BIND4!AA42</f>
        <v xml:space="preserve">SAEPUL baik  dalam menyajikan ringkasan teks penjelasan (eksplanasi) dari media cetak atau elektronik dengan menggunakan kosakata baku dan kalimat efektif secara lisan, tulis, dan visual.
</v>
      </c>
      <c r="AV43" s="232">
        <f>'MTK4'!U42</f>
        <v>70</v>
      </c>
      <c r="AW43" s="232" t="str">
        <f>'MTK4'!V42</f>
        <v>C</v>
      </c>
      <c r="AX43" s="231" t="str">
        <f>'MTK4'!AA42</f>
        <v xml:space="preserve">SAEPUL cukup baik  dalam menyelesaikan masalah yang berkaitan dengan volume bangun ruang dengan menggunakan satuan volume (seperti kubus satuan) melibatkan pangkat tiga dan akar pangkat tiga
</v>
      </c>
      <c r="AY43" s="232">
        <f>'IPA4'!U42</f>
        <v>88</v>
      </c>
      <c r="AZ43" s="232" t="str">
        <f>'IPA4'!V42</f>
        <v>A</v>
      </c>
      <c r="BA43" s="231" t="str">
        <f>'IPA4'!AA42</f>
        <v>SAEPUL sangat baik  dalam melaporkan hasil pengamatan tentang perpindahan kalor.</v>
      </c>
      <c r="BB43" s="232">
        <f>'IPS4'!U42</f>
        <v>85</v>
      </c>
      <c r="BC43" s="232" t="str">
        <f>'IPS4'!V42</f>
        <v>B</v>
      </c>
      <c r="BD43" s="231" t="str">
        <f>'IPS4'!AA42</f>
        <v>SAEPUL baik  dalam menyajikan hasil identifikasi karakteristik geografis Indonesia sebagai negara kepulauan/maritim dan agraris serta pengaruhnya terhadap kehidupan ekonomi, sosial, budaya, komunikasi, serta transportasi.</v>
      </c>
      <c r="BE43" s="232">
        <f>SBDP4!U42</f>
        <v>88</v>
      </c>
      <c r="BF43" s="232" t="str">
        <f>SBDP4!V42</f>
        <v>A</v>
      </c>
      <c r="BG43" s="231" t="str">
        <f>SBDP4!AA42</f>
        <v>SAEPUL sangat baik  dalam membuat gambar cerita</v>
      </c>
      <c r="BH43" s="232">
        <f>PJOK4!U42</f>
        <v>90</v>
      </c>
      <c r="BI43" s="232" t="str">
        <f>PJOK4!V42</f>
        <v>A</v>
      </c>
      <c r="BJ43" s="233" t="str">
        <f>PJOK4!AA42</f>
        <v>SAEPUL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43" s="232">
        <f>'MLK1-4'!U42</f>
        <v>71</v>
      </c>
      <c r="BL43" s="232" t="str">
        <f>'MLK1-4'!V42</f>
        <v>C</v>
      </c>
      <c r="BM43" s="231" t="str">
        <f>'MLK1-4'!AA42</f>
        <v>SAEPUL cukup baik  dalam melantunkan dan menceritakan isi kawih tentang bangga sebagai bangsa Indonesia</v>
      </c>
      <c r="BN43" s="232">
        <f>'MLK2-4'!U42</f>
        <v>91</v>
      </c>
      <c r="BO43" s="232" t="str">
        <f>'MLK2-4'!V42</f>
        <v>A</v>
      </c>
      <c r="BP43" s="231" t="str">
        <f>'MLK2-4'!AA42</f>
        <v>SAEPUL sangat baik  dalam memahami langkah-langkah pengawasan kelestarian lingkungan hidup</v>
      </c>
      <c r="BQ43" s="232">
        <f>'MLK3-4'!Y42</f>
        <v>70</v>
      </c>
      <c r="BR43" s="232" t="str">
        <f>'MLK3-4'!Z42</f>
        <v>C</v>
      </c>
      <c r="BS43" s="231" t="str">
        <f>'MLK3-4'!AE42</f>
        <v xml:space="preserve">SAEPUL cukup baik  dalam merespon instruksi sangat sederhana dengan tindakan secara berterima dalam konteks sekolah  </v>
      </c>
    </row>
    <row r="44" spans="1:71" ht="108.75" customHeight="1">
      <c r="A44" s="227">
        <v>39</v>
      </c>
      <c r="B44" s="227" t="str">
        <f>SISWA!B44</f>
        <v>1718250040343</v>
      </c>
      <c r="C44" s="228" t="str">
        <f>SISWA!C44</f>
        <v>SALMA KHAIRUNISA</v>
      </c>
      <c r="D44" s="229" t="str">
        <f>SPIRIT!P43</f>
        <v xml:space="preserve">Ananda SALMA baik dalam  ketaatan beribadah,  berperilaku syukur,  berdoa sebelum dan sesudah melakukan kegiatan,  toleransi dalam beribadah, </v>
      </c>
      <c r="E44" s="229" t="str">
        <f>SOSIAL!T43</f>
        <v xml:space="preserve">Ananda SALMA baik dalam sikap jujur, disiplin, tanggung jawab, santun, peduli, percaya diri, </v>
      </c>
      <c r="F44" s="230">
        <f>'PAI3'!CI44</f>
        <v>75</v>
      </c>
      <c r="G44" s="230" t="str">
        <f>'PAI3'!CJ44</f>
        <v>C</v>
      </c>
      <c r="H44" s="231" t="str">
        <f>'PAI3'!CO44</f>
        <v>SALMA baik  dalam memahami pelaksanaan salat tarawih dan tadarus al-Qur'an., dan  perlu bimbingan  dalam memahami makna ikhlas beramal dalam kehidupan sehari-hari</v>
      </c>
      <c r="I44" s="230">
        <f>'PKN3'!U43</f>
        <v>78</v>
      </c>
      <c r="J44" s="230" t="str">
        <f>'PKN3'!V43</f>
        <v>B</v>
      </c>
      <c r="K44" s="229" t="str">
        <f>'PKN3'!AA43</f>
        <v xml:space="preserve">SALMA baik  dalam memahami hak, kewajiban dan tanggung jawab sebagai warga dalam kehidupan sehari-hari.
</v>
      </c>
      <c r="L44" s="232">
        <f>BIND3!U43</f>
        <v>85</v>
      </c>
      <c r="M44" s="232" t="str">
        <f>BIND3!V43</f>
        <v>B</v>
      </c>
      <c r="N44" s="231" t="str">
        <f>BIND3!AA43</f>
        <v>SALMA baik  dalam meringkas teks penjelasan (eksplanasi) dari media cetak atau elektronik.</v>
      </c>
      <c r="O44" s="232">
        <f>'MTK3'!U43</f>
        <v>70</v>
      </c>
      <c r="P44" s="232" t="str">
        <f>'MTK3'!V43</f>
        <v>C</v>
      </c>
      <c r="Q44" s="231" t="str">
        <f>'MTK3'!AA43</f>
        <v xml:space="preserve">SALMA cukup baik  dalam menjelaskan, dan menentukan volume bangun ruang dengan menggunakan satuan volume (seperti kubus satuan) serta hubungan pangkat tiga dengan akar pangkat tiga
</v>
      </c>
      <c r="R44" s="232">
        <f>'IPA3'!U43</f>
        <v>78</v>
      </c>
      <c r="S44" s="232" t="str">
        <f>'IPA3'!V43</f>
        <v>B</v>
      </c>
      <c r="T44" s="231" t="str">
        <f>'IPA3'!AA43</f>
        <v xml:space="preserve">SALMA baik  dalam menerapkan konsep perpindahan kalor dalam kehidupan sehari-hari.
</v>
      </c>
      <c r="U44" s="232">
        <f>'IPS3'!U43</f>
        <v>78</v>
      </c>
      <c r="V44" s="232" t="str">
        <f>'IPS3'!V43</f>
        <v>B</v>
      </c>
      <c r="W44" s="231" t="str">
        <f>'IPS3'!AA43</f>
        <v>SALMA baik  dalam Mengidentifikasi karakteristik geografis Indonesia sebagai negara kepulauan/maritim dan agraris serta pengaruhnya terhadap kehidupan ekonomi, sosial, budaya, komunikasi, serta transportasi.</v>
      </c>
      <c r="X44" s="232">
        <f>SBDP3!U43</f>
        <v>80</v>
      </c>
      <c r="Y44" s="232" t="str">
        <f>SBDP3!V43</f>
        <v>B</v>
      </c>
      <c r="Z44" s="231" t="str">
        <f>SBDP3!AA43</f>
        <v>SALMA baik  dalam memahami gambar cerita</v>
      </c>
      <c r="AA44" s="232">
        <f>PJOK3!U43</f>
        <v>84</v>
      </c>
      <c r="AB44" s="232" t="str">
        <f>PJOK3!V43</f>
        <v>B</v>
      </c>
      <c r="AC44" s="231" t="str">
        <f>PJOK3!AA43</f>
        <v xml:space="preserve">SALMA baik  dalam memahami kombinasi pola gerak dominan (bertumpu, bergantung, keseimbangan, berpindah/lokomotor, tolakan, putaran, ayunan, melayang, dan mendarat) untuk membentuk keterampilan dasar senam menggunakan alat
</v>
      </c>
      <c r="AD44" s="232">
        <f>'MLK1-3'!U43</f>
        <v>71</v>
      </c>
      <c r="AE44" s="232" t="str">
        <f>'MLK1-3'!V43</f>
        <v>C</v>
      </c>
      <c r="AF44" s="233" t="str">
        <f>'MLK1-3'!AA43</f>
        <v>SALMA cukup baik  dalam memahami teks kawih tentang bangga sebagai bangsa Indonesia</v>
      </c>
      <c r="AG44" s="232">
        <f>'MLK2-3'!X43</f>
        <v>91</v>
      </c>
      <c r="AH44" s="232" t="str">
        <f>'MLK2-3'!Y43</f>
        <v>A</v>
      </c>
      <c r="AI44" s="231" t="str">
        <f>'MLK2-3'!AD43</f>
        <v xml:space="preserve">SALMA sangat baik  dalam merespon instruksi sangat sederhana dengan tindakan secara berterima dalam konteks sekolah  </v>
      </c>
      <c r="AJ44" s="232">
        <f>'MLK3-3'!W43</f>
        <v>75</v>
      </c>
      <c r="AK44" s="232" t="str">
        <f>'MLK3-3'!X43</f>
        <v>C</v>
      </c>
      <c r="AL44" s="233" t="str">
        <f>'MLK3-3'!AC43</f>
        <v xml:space="preserve">SALMA baik  dalam merespon instruksi sangat sederhana dengan tindakan secara berterima dalam konteks sekolah  , dan  cukup baik  dalam mengeja kalimat sangat sederhana secara tepat dan berterima </v>
      </c>
      <c r="AM44" s="232">
        <f>'PAI4'!CI44</f>
        <v>90</v>
      </c>
      <c r="AN44" s="232" t="str">
        <f>'PAI4'!CJ44</f>
        <v>A</v>
      </c>
      <c r="AO44" s="233" t="str">
        <f>'PAI4'!CO44</f>
        <v>SALMA sangat baik  dalam membaca Q.S. at-Tīn dan Q.S. al-Mā’ūn dengan tartil.</v>
      </c>
      <c r="AP44" s="232">
        <f>'PKN4'!U43</f>
        <v>78</v>
      </c>
      <c r="AQ44" s="232" t="str">
        <f>'PKN4'!V43</f>
        <v>B</v>
      </c>
      <c r="AR44" s="231" t="str">
        <f>'PKN4'!AA43</f>
        <v>SALMA baik  dalam menjelaskan hak, kewajiban, dan tanggung  jawab sebagai warga masyarakat dalam kehidupan sehari-hari</v>
      </c>
      <c r="AS44" s="232">
        <f>BIND4!U43</f>
        <v>85</v>
      </c>
      <c r="AT44" s="232" t="str">
        <f>BIND4!V43</f>
        <v>B</v>
      </c>
      <c r="AU44" s="231" t="str">
        <f>BIND4!AA43</f>
        <v xml:space="preserve">SALMA baik  dalam menyajikan ringkasan teks penjelasan (eksplanasi) dari media cetak atau elektronik dengan menggunakan kosakata baku dan kalimat efektif secara lisan, tulis, dan visual.
</v>
      </c>
      <c r="AV44" s="232">
        <f>'MTK4'!U43</f>
        <v>70</v>
      </c>
      <c r="AW44" s="232" t="str">
        <f>'MTK4'!V43</f>
        <v>C</v>
      </c>
      <c r="AX44" s="231" t="str">
        <f>'MTK4'!AA43</f>
        <v xml:space="preserve">SALMA cukup baik  dalam menyelesaikan masalah yang berkaitan dengan volume bangun ruang dengan menggunakan satuan volume (seperti kubus satuan) melibatkan pangkat tiga dan akar pangkat tiga
</v>
      </c>
      <c r="AY44" s="232">
        <f>'IPA4'!U43</f>
        <v>78</v>
      </c>
      <c r="AZ44" s="232" t="str">
        <f>'IPA4'!V43</f>
        <v>B</v>
      </c>
      <c r="BA44" s="231" t="str">
        <f>'IPA4'!AA43</f>
        <v>SALMA baik  dalam melaporkan hasil pengamatan tentang perpindahan kalor.</v>
      </c>
      <c r="BB44" s="232">
        <f>'IPS4'!U43</f>
        <v>78</v>
      </c>
      <c r="BC44" s="232" t="str">
        <f>'IPS4'!V43</f>
        <v>B</v>
      </c>
      <c r="BD44" s="231" t="str">
        <f>'IPS4'!AA43</f>
        <v>SALMA baik  dalam menyajikan hasil identifikasi karakteristik geografis Indonesia sebagai negara kepulauan/maritim dan agraris serta pengaruhnya terhadap kehidupan ekonomi, sosial, budaya, komunikasi, serta transportasi.</v>
      </c>
      <c r="BE44" s="232">
        <f>SBDP4!U43</f>
        <v>80</v>
      </c>
      <c r="BF44" s="232" t="str">
        <f>SBDP4!V43</f>
        <v>B</v>
      </c>
      <c r="BG44" s="231" t="str">
        <f>SBDP4!AA43</f>
        <v>SALMA baik  dalam membuat gambar cerita</v>
      </c>
      <c r="BH44" s="232">
        <f>PJOK4!U43</f>
        <v>87</v>
      </c>
      <c r="BI44" s="232" t="str">
        <f>PJOK4!V43</f>
        <v>B</v>
      </c>
      <c r="BJ44" s="233" t="str">
        <f>PJOK4!AA43</f>
        <v>SALMA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44" s="232">
        <f>'MLK1-4'!U43</f>
        <v>71</v>
      </c>
      <c r="BL44" s="232" t="str">
        <f>'MLK1-4'!V43</f>
        <v>C</v>
      </c>
      <c r="BM44" s="231" t="str">
        <f>'MLK1-4'!AA43</f>
        <v>SALMA cukup baik  dalam melantunkan dan menceritakan isi kawih tentang bangga sebagai bangsa Indonesia</v>
      </c>
      <c r="BN44" s="232">
        <f>'MLK2-4'!U43</f>
        <v>91</v>
      </c>
      <c r="BO44" s="232" t="str">
        <f>'MLK2-4'!V43</f>
        <v>A</v>
      </c>
      <c r="BP44" s="231" t="str">
        <f>'MLK2-4'!AA43</f>
        <v>SALMA sangat baik  dalam memahami langkah-langkah pengawasan kelestarian lingkungan hidup</v>
      </c>
      <c r="BQ44" s="232">
        <f>'MLK3-4'!Y43</f>
        <v>70</v>
      </c>
      <c r="BR44" s="232" t="str">
        <f>'MLK3-4'!Z43</f>
        <v>C</v>
      </c>
      <c r="BS44" s="231" t="str">
        <f>'MLK3-4'!AE43</f>
        <v xml:space="preserve">SALMA cukup baik  dalam merespon instruksi sangat sederhana dengan tindakan secara berterima dalam konteks sekolah  </v>
      </c>
    </row>
    <row r="45" spans="1:71" ht="108.75" customHeight="1">
      <c r="A45" s="227">
        <v>40</v>
      </c>
      <c r="B45" s="227" t="str">
        <f>SISWA!B45</f>
        <v>1718250040344</v>
      </c>
      <c r="C45" s="228" t="str">
        <f>SISWA!C45</f>
        <v>SYAKILA PUTRI APRILIA</v>
      </c>
      <c r="D45" s="229" t="str">
        <f>SPIRIT!P44</f>
        <v xml:space="preserve">Ananda SYAKILA baik dalam  ketaatan beribadah,  berperilaku syukur,  berdoa sebelum dan sesudah melakukan kegiatan,  toleransi dalam beribadah, </v>
      </c>
      <c r="E45" s="229" t="str">
        <f>SOSIAL!T44</f>
        <v xml:space="preserve">Ananda SYAKILA baik dalam sikap jujur, disiplin, tanggung jawab, santun, peduli, percaya diri, </v>
      </c>
      <c r="F45" s="230">
        <f>'PAI3'!CI45</f>
        <v>81</v>
      </c>
      <c r="G45" s="230" t="str">
        <f>'PAI3'!CJ45</f>
        <v>B</v>
      </c>
      <c r="H45" s="231" t="str">
        <f>'PAI3'!CO45</f>
        <v>SYAKILA sangat baik  dalam memahami makna Q.S. at-Tīn dan Q.S. al-Mā’ūn dengan benar., dan  cukup baik  dalam memahami nama-nama Rasul Allah dan Rasul Ulul ‘Azmi.</v>
      </c>
      <c r="I45" s="230">
        <f>'PKN3'!U44</f>
        <v>90</v>
      </c>
      <c r="J45" s="230" t="str">
        <f>'PKN3'!V44</f>
        <v>A</v>
      </c>
      <c r="K45" s="229" t="str">
        <f>'PKN3'!AA44</f>
        <v xml:space="preserve">SYAKILA sangat baik  dalam memahami hak, kewajiban dan tanggung jawab sebagai warga dalam kehidupan sehari-hari.
</v>
      </c>
      <c r="L45" s="232">
        <f>BIND3!U44</f>
        <v>91</v>
      </c>
      <c r="M45" s="232" t="str">
        <f>BIND3!V44</f>
        <v>A</v>
      </c>
      <c r="N45" s="231" t="str">
        <f>BIND3!AA44</f>
        <v>SYAKILA sangat baik  dalam meringkas teks penjelasan (eksplanasi) dari media cetak atau elektronik.</v>
      </c>
      <c r="O45" s="232">
        <f>'MTK3'!U44</f>
        <v>75</v>
      </c>
      <c r="P45" s="232" t="str">
        <f>'MTK3'!V44</f>
        <v>C</v>
      </c>
      <c r="Q45" s="231" t="str">
        <f>'MTK3'!AA44</f>
        <v xml:space="preserve">SYAKILA cukup baik  dalam menjelaskan, dan menentukan volume bangun ruang dengan menggunakan satuan volume (seperti kubus satuan) serta hubungan pangkat tiga dengan akar pangkat tiga
</v>
      </c>
      <c r="R45" s="232">
        <f>'IPA3'!U44</f>
        <v>90</v>
      </c>
      <c r="S45" s="232" t="str">
        <f>'IPA3'!V44</f>
        <v>A</v>
      </c>
      <c r="T45" s="231" t="str">
        <f>'IPA3'!AA44</f>
        <v xml:space="preserve">SYAKILA sangat baik  dalam menerapkan konsep perpindahan kalor dalam kehidupan sehari-hari.
</v>
      </c>
      <c r="U45" s="232">
        <f>'IPS3'!U44</f>
        <v>88</v>
      </c>
      <c r="V45" s="232" t="str">
        <f>'IPS3'!V44</f>
        <v>A</v>
      </c>
      <c r="W45" s="231" t="str">
        <f>'IPS3'!AA44</f>
        <v>SYAKILA sangat baik  dalam Mengidentifikasi karakteristik geografis Indonesia sebagai negara kepulauan/maritim dan agraris serta pengaruhnya terhadap kehidupan ekonomi, sosial, budaya, komunikasi, serta transportasi.</v>
      </c>
      <c r="X45" s="232">
        <f>SBDP3!U44</f>
        <v>90</v>
      </c>
      <c r="Y45" s="232" t="str">
        <f>SBDP3!V44</f>
        <v>A</v>
      </c>
      <c r="Z45" s="231" t="str">
        <f>SBDP3!AA44</f>
        <v>SYAKILA sangat baik  dalam memahami gambar cerita</v>
      </c>
      <c r="AA45" s="232">
        <f>PJOK3!U44</f>
        <v>87</v>
      </c>
      <c r="AB45" s="232" t="str">
        <f>PJOK3!V44</f>
        <v>B</v>
      </c>
      <c r="AC45" s="231" t="str">
        <f>PJOK3!AA44</f>
        <v xml:space="preserve">SYAKILA baik  dalam memahami kombinasi pola gerak dominan (bertumpu, bergantung, keseimbangan, berpindah/lokomotor, tolakan, putaran, ayunan, melayang, dan mendarat) untuk membentuk keterampilan dasar senam menggunakan alat
</v>
      </c>
      <c r="AD45" s="232">
        <f>'MLK1-3'!U44</f>
        <v>77</v>
      </c>
      <c r="AE45" s="232" t="str">
        <f>'MLK1-3'!V44</f>
        <v>B</v>
      </c>
      <c r="AF45" s="233" t="str">
        <f>'MLK1-3'!AA44</f>
        <v>SYAKILA baik  dalam memahami teks kawih tentang bangga sebagai bangsa Indonesia</v>
      </c>
      <c r="AG45" s="232">
        <f>'MLK2-3'!X44</f>
        <v>97</v>
      </c>
      <c r="AH45" s="232" t="str">
        <f>'MLK2-3'!Y44</f>
        <v>A</v>
      </c>
      <c r="AI45" s="231" t="str">
        <f>'MLK2-3'!AD44</f>
        <v xml:space="preserve">SYAKILA sangat baik  dalam merespon instruksi sangat sederhana dengan tindakan secara berterima dalam konteks sekolah  </v>
      </c>
      <c r="AJ45" s="232">
        <f>'MLK3-3'!W44</f>
        <v>92</v>
      </c>
      <c r="AK45" s="232" t="str">
        <f>'MLK3-3'!X44</f>
        <v>A</v>
      </c>
      <c r="AL45" s="233" t="str">
        <f>'MLK3-3'!AC44</f>
        <v xml:space="preserve">SYAKILA sangat baik  dalam mengeja kalimat sangat sederhana secara tepat dan berterima , dan  sangat baik  dalam merespon instruksi sangat sederhana dengan tindakan secara berterima dalam konteks sekolah  </v>
      </c>
      <c r="AM45" s="232">
        <f>'PAI4'!CI45</f>
        <v>88</v>
      </c>
      <c r="AN45" s="232" t="str">
        <f>'PAI4'!CJ45</f>
        <v>A</v>
      </c>
      <c r="AO45" s="233" t="str">
        <f>'PAI4'!CO45</f>
        <v>SYAKILA sangat baik  dalam membaca Q.S. at-Tīn dan Q.S. al-Mā’ūn dengan tartil.</v>
      </c>
      <c r="AP45" s="232">
        <f>'PKN4'!U44</f>
        <v>90</v>
      </c>
      <c r="AQ45" s="232" t="str">
        <f>'PKN4'!V44</f>
        <v>A</v>
      </c>
      <c r="AR45" s="231" t="str">
        <f>'PKN4'!AA44</f>
        <v>SYAKILA sangat baik  dalam menjelaskan hak, kewajiban, dan tanggung  jawab sebagai warga masyarakat dalam kehidupan sehari-hari</v>
      </c>
      <c r="AS45" s="232">
        <f>BIND4!U44</f>
        <v>91</v>
      </c>
      <c r="AT45" s="232" t="str">
        <f>BIND4!V44</f>
        <v>A</v>
      </c>
      <c r="AU45" s="231" t="str">
        <f>BIND4!AA44</f>
        <v xml:space="preserve">SYAKILA sangat baik  dalam menyajikan ringkasan teks penjelasan (eksplanasi) dari media cetak atau elektronik dengan menggunakan kosakata baku dan kalimat efektif secara lisan, tulis, dan visual.
</v>
      </c>
      <c r="AV45" s="232">
        <f>'MTK4'!U44</f>
        <v>75</v>
      </c>
      <c r="AW45" s="232" t="str">
        <f>'MTK4'!V44</f>
        <v>C</v>
      </c>
      <c r="AX45" s="231" t="str">
        <f>'MTK4'!AA44</f>
        <v xml:space="preserve">SYAKILA cukup baik  dalam menyelesaikan masalah yang berkaitan dengan volume bangun ruang dengan menggunakan satuan volume (seperti kubus satuan) melibatkan pangkat tiga dan akar pangkat tiga
</v>
      </c>
      <c r="AY45" s="232">
        <f>'IPA4'!U44</f>
        <v>90</v>
      </c>
      <c r="AZ45" s="232" t="str">
        <f>'IPA4'!V44</f>
        <v>A</v>
      </c>
      <c r="BA45" s="231" t="str">
        <f>'IPA4'!AA44</f>
        <v>SYAKILA sangat baik  dalam melaporkan hasil pengamatan tentang perpindahan kalor.</v>
      </c>
      <c r="BB45" s="232">
        <f>'IPS4'!U44</f>
        <v>88</v>
      </c>
      <c r="BC45" s="232" t="str">
        <f>'IPS4'!V44</f>
        <v>A</v>
      </c>
      <c r="BD45" s="231" t="str">
        <f>'IPS4'!AA44</f>
        <v>SYAKILA sangat baik  dalam menyajikan hasil identifikasi karakteristik geografis Indonesia sebagai negara kepulauan/maritim dan agraris serta pengaruhnya terhadap kehidupan ekonomi, sosial, budaya, komunikasi, serta transportasi.</v>
      </c>
      <c r="BE45" s="232">
        <f>SBDP4!U44</f>
        <v>90</v>
      </c>
      <c r="BF45" s="232" t="str">
        <f>SBDP4!V44</f>
        <v>A</v>
      </c>
      <c r="BG45" s="231" t="str">
        <f>SBDP4!AA44</f>
        <v>SYAKILA sangat baik  dalam membuat gambar cerita</v>
      </c>
      <c r="BH45" s="232">
        <f>PJOK4!U44</f>
        <v>85</v>
      </c>
      <c r="BI45" s="232" t="str">
        <f>PJOK4!V44</f>
        <v>B</v>
      </c>
      <c r="BJ45" s="233" t="str">
        <f>PJOK4!AA44</f>
        <v xml:space="preserve">SYAKILA sangat baik  dalam menerapkan konsep pemeliharaan diri dan orang lain dari penyakit menular dan tidak menular, dan  baik  dalam mempraktikkan kombinasi pola gerak dominan (bertumpu, bergantung, keseimbangan, berpindah/ lokomotor, tolakan, putaran, ayunan, melayang, dan mendarat) untuk membentuk keterampilan dasar senam menggunakan alat
</v>
      </c>
      <c r="BK45" s="232">
        <f>'MLK1-4'!U44</f>
        <v>77</v>
      </c>
      <c r="BL45" s="232" t="str">
        <f>'MLK1-4'!V44</f>
        <v>B</v>
      </c>
      <c r="BM45" s="231" t="str">
        <f>'MLK1-4'!AA44</f>
        <v>SYAKILA baik  dalam melantunkan dan menceritakan isi kawih tentang bangga sebagai bangsa Indonesia</v>
      </c>
      <c r="BN45" s="232">
        <f>'MLK2-4'!U44</f>
        <v>97</v>
      </c>
      <c r="BO45" s="232" t="str">
        <f>'MLK2-4'!V44</f>
        <v>A</v>
      </c>
      <c r="BP45" s="231" t="str">
        <f>'MLK2-4'!AA44</f>
        <v>SYAKILA sangat baik  dalam memahami langkah-langkah pengawasan kelestarian lingkungan hidup</v>
      </c>
      <c r="BQ45" s="232">
        <f>'MLK3-4'!Y44</f>
        <v>92</v>
      </c>
      <c r="BR45" s="232" t="str">
        <f>'MLK3-4'!Z44</f>
        <v>A</v>
      </c>
      <c r="BS45" s="231" t="str">
        <f>'MLK3-4'!AE44</f>
        <v xml:space="preserve">SYAKILA sangat baik  dalam merespon instruksi sangat sederhana dengan tindakan secara berterima dalam konteks sekolah  </v>
      </c>
    </row>
    <row r="46" spans="1:71" ht="108.75" customHeight="1">
      <c r="A46" s="227">
        <v>41</v>
      </c>
      <c r="B46" s="227" t="str">
        <f>SISWA!B46</f>
        <v>1718250040345</v>
      </c>
      <c r="C46" s="228" t="str">
        <f>SISWA!C46</f>
        <v>SYIFA FADILLA KHOERUNNISA</v>
      </c>
      <c r="D46" s="229" t="str">
        <f>SPIRIT!P45</f>
        <v xml:space="preserve">Ananda SYIFA baik dalam  ketaatan beribadah,  berperilaku syukur,  berdoa sebelum dan sesudah melakukan kegiatan,  toleransi dalam beribadah, </v>
      </c>
      <c r="E46" s="229" t="str">
        <f>SOSIAL!T45</f>
        <v xml:space="preserve">Ananda SYIFA baik dalam sikap jujur, disiplin, tanggung jawab, santun, peduli, percaya diri, </v>
      </c>
      <c r="F46" s="230">
        <f>'PAI3'!CI46</f>
        <v>77</v>
      </c>
      <c r="G46" s="230" t="str">
        <f>'PAI3'!CJ46</f>
        <v>B</v>
      </c>
      <c r="H46" s="231" t="str">
        <f>'PAI3'!CO46</f>
        <v>SYIFA baik  dalam memahami pelaksanaan salat tarawih dan tadarus al-Qur'an., dan  cukup baik  dalam memahami nama-nama Rasul Allah dan Rasul Ulul ‘Azmi.</v>
      </c>
      <c r="I46" s="230">
        <f>'PKN3'!U45</f>
        <v>73</v>
      </c>
      <c r="J46" s="230" t="str">
        <f>'PKN3'!V45</f>
        <v>C</v>
      </c>
      <c r="K46" s="229" t="str">
        <f>'PKN3'!AA45</f>
        <v xml:space="preserve">SYIFA cukup baik  dalam memahami hak, kewajiban dan tanggung jawab sebagai warga dalam kehidupan sehari-hari.
</v>
      </c>
      <c r="L46" s="232">
        <f>BIND3!U45</f>
        <v>75</v>
      </c>
      <c r="M46" s="232" t="str">
        <f>BIND3!V45</f>
        <v>C</v>
      </c>
      <c r="N46" s="231" t="str">
        <f>BIND3!AA45</f>
        <v>SYIFA cukup baik  dalam meringkas teks penjelasan (eksplanasi) dari media cetak atau elektronik.</v>
      </c>
      <c r="O46" s="232">
        <f>'MTK3'!U45</f>
        <v>70</v>
      </c>
      <c r="P46" s="232" t="str">
        <f>'MTK3'!V45</f>
        <v>C</v>
      </c>
      <c r="Q46" s="231" t="str">
        <f>'MTK3'!AA45</f>
        <v xml:space="preserve">SYIFA cukup baik  dalam menjelaskan, dan menentukan volume bangun ruang dengan menggunakan satuan volume (seperti kubus satuan) serta hubungan pangkat tiga dengan akar pangkat tiga
</v>
      </c>
      <c r="R46" s="232">
        <f>'IPA3'!U45</f>
        <v>80</v>
      </c>
      <c r="S46" s="232" t="str">
        <f>'IPA3'!V45</f>
        <v>B</v>
      </c>
      <c r="T46" s="231" t="str">
        <f>'IPA3'!AA45</f>
        <v xml:space="preserve">SYIFA baik  dalam menerapkan konsep perpindahan kalor dalam kehidupan sehari-hari.
</v>
      </c>
      <c r="U46" s="232">
        <f>'IPS3'!U45</f>
        <v>88</v>
      </c>
      <c r="V46" s="232" t="str">
        <f>'IPS3'!V45</f>
        <v>A</v>
      </c>
      <c r="W46" s="231" t="str">
        <f>'IPS3'!AA45</f>
        <v>SYIFA sangat baik  dalam Mengidentifikasi karakteristik geografis Indonesia sebagai negara kepulauan/maritim dan agraris serta pengaruhnya terhadap kehidupan ekonomi, sosial, budaya, komunikasi, serta transportasi.</v>
      </c>
      <c r="X46" s="232">
        <f>SBDP3!U45</f>
        <v>85</v>
      </c>
      <c r="Y46" s="232" t="str">
        <f>SBDP3!V45</f>
        <v>B</v>
      </c>
      <c r="Z46" s="231" t="str">
        <f>SBDP3!AA45</f>
        <v>SYIFA baik  dalam memahami gambar cerita</v>
      </c>
      <c r="AA46" s="232">
        <f>PJOK3!U45</f>
        <v>86</v>
      </c>
      <c r="AB46" s="232" t="str">
        <f>PJOK3!V45</f>
        <v>B</v>
      </c>
      <c r="AC46" s="231" t="str">
        <f>PJOK3!AA45</f>
        <v xml:space="preserve">SYIFA baik  dalam memahami kombinasi pola gerak dominan (bertumpu, bergantung, keseimbangan, berpindah/lokomotor, tolakan, putaran, ayunan, melayang, dan mendarat) untuk membentuk keterampilan dasar senam menggunakan alat
</v>
      </c>
      <c r="AD46" s="232">
        <f>'MLK1-3'!U45</f>
        <v>85</v>
      </c>
      <c r="AE46" s="232" t="str">
        <f>'MLK1-3'!V45</f>
        <v>B</v>
      </c>
      <c r="AF46" s="233" t="str">
        <f>'MLK1-3'!AA45</f>
        <v>SYIFA baik  dalam memahami teks kawih tentang bangga sebagai bangsa Indonesia</v>
      </c>
      <c r="AG46" s="232">
        <f>'MLK2-3'!X45</f>
        <v>85</v>
      </c>
      <c r="AH46" s="232" t="str">
        <f>'MLK2-3'!Y45</f>
        <v>B</v>
      </c>
      <c r="AI46" s="231" t="str">
        <f>'MLK2-3'!AD45</f>
        <v xml:space="preserve">SYIFA baik  dalam merespon instruksi sangat sederhana dengan tindakan secara berterima dalam konteks sekolah  </v>
      </c>
      <c r="AJ46" s="232">
        <f>'MLK3-3'!W45</f>
        <v>75</v>
      </c>
      <c r="AK46" s="232" t="str">
        <f>'MLK3-3'!X45</f>
        <v>C</v>
      </c>
      <c r="AL46" s="233" t="str">
        <f>'MLK3-3'!AC45</f>
        <v xml:space="preserve">SYIFA baik  dalam merespon instruksi sangat sederhana dengan tindakan secara berterima dalam konteks sekolah  , dan  cukup baik  dalam mengeja kalimat sangat sederhana secara tepat dan berterima </v>
      </c>
      <c r="AM46" s="232">
        <f>'PAI4'!CI46</f>
        <v>85</v>
      </c>
      <c r="AN46" s="232" t="str">
        <f>'PAI4'!CJ46</f>
        <v>B</v>
      </c>
      <c r="AO46" s="233" t="str">
        <f>'PAI4'!CO46</f>
        <v>SYIFA baik  dalam membaca Q.S. at-Tīn dan Q.S. al-Mā’ūn dengan tartil.</v>
      </c>
      <c r="AP46" s="232">
        <f>'PKN4'!U45</f>
        <v>73</v>
      </c>
      <c r="AQ46" s="232" t="str">
        <f>'PKN4'!V45</f>
        <v>C</v>
      </c>
      <c r="AR46" s="231" t="str">
        <f>'PKN4'!AA45</f>
        <v>SYIFA cukup baik  dalam menjelaskan hak, kewajiban, dan tanggung  jawab sebagai warga masyarakat dalam kehidupan sehari-hari</v>
      </c>
      <c r="AS46" s="232">
        <f>BIND4!U45</f>
        <v>75</v>
      </c>
      <c r="AT46" s="232" t="str">
        <f>BIND4!V45</f>
        <v>C</v>
      </c>
      <c r="AU46" s="231" t="str">
        <f>BIND4!AA45</f>
        <v xml:space="preserve">SYIFA cukup baik  dalam menyajikan ringkasan teks penjelasan (eksplanasi) dari media cetak atau elektronik dengan menggunakan kosakata baku dan kalimat efektif secara lisan, tulis, dan visual.
</v>
      </c>
      <c r="AV46" s="232">
        <f>'MTK4'!U45</f>
        <v>70</v>
      </c>
      <c r="AW46" s="232" t="str">
        <f>'MTK4'!V45</f>
        <v>C</v>
      </c>
      <c r="AX46" s="231" t="str">
        <f>'MTK4'!AA45</f>
        <v xml:space="preserve">SYIFA cukup baik  dalam menyelesaikan masalah yang berkaitan dengan volume bangun ruang dengan menggunakan satuan volume (seperti kubus satuan) melibatkan pangkat tiga dan akar pangkat tiga
</v>
      </c>
      <c r="AY46" s="232">
        <f>'IPA4'!U45</f>
        <v>80</v>
      </c>
      <c r="AZ46" s="232" t="str">
        <f>'IPA4'!V45</f>
        <v>B</v>
      </c>
      <c r="BA46" s="231" t="str">
        <f>'IPA4'!AA45</f>
        <v>SYIFA baik  dalam melaporkan hasil pengamatan tentang perpindahan kalor.</v>
      </c>
      <c r="BB46" s="232">
        <f>'IPS4'!U45</f>
        <v>88</v>
      </c>
      <c r="BC46" s="232" t="str">
        <f>'IPS4'!V45</f>
        <v>A</v>
      </c>
      <c r="BD46" s="231" t="str">
        <f>'IPS4'!AA45</f>
        <v>SYIFA sangat baik  dalam menyajikan hasil identifikasi karakteristik geografis Indonesia sebagai negara kepulauan/maritim dan agraris serta pengaruhnya terhadap kehidupan ekonomi, sosial, budaya, komunikasi, serta transportasi.</v>
      </c>
      <c r="BE46" s="232">
        <f>SBDP4!U45</f>
        <v>85</v>
      </c>
      <c r="BF46" s="232" t="str">
        <f>SBDP4!V45</f>
        <v>B</v>
      </c>
      <c r="BG46" s="231" t="str">
        <f>SBDP4!AA45</f>
        <v>SYIFA baik  dalam membuat gambar cerita</v>
      </c>
      <c r="BH46" s="232">
        <f>PJOK4!U45</f>
        <v>87</v>
      </c>
      <c r="BI46" s="232" t="str">
        <f>PJOK4!V45</f>
        <v>B</v>
      </c>
      <c r="BJ46" s="233" t="str">
        <f>PJOK4!AA45</f>
        <v>SYIFA sangat baik  dalam menerapkan konsep pemeliharaan diri dan orang lain dari penyakit menular dan tidak menular, dan  baik  dalam mempraktikkan pengunaan kombinasi gerak dasar langkah dan ayunan lengan mengikuti irama (ketukan) tanpa/dengan musik dalam aktivitas gerak berirama</v>
      </c>
      <c r="BK46" s="232">
        <f>'MLK1-4'!U45</f>
        <v>85</v>
      </c>
      <c r="BL46" s="232" t="str">
        <f>'MLK1-4'!V45</f>
        <v>B</v>
      </c>
      <c r="BM46" s="231" t="str">
        <f>'MLK1-4'!AA45</f>
        <v>SYIFA baik  dalam melantunkan dan menceritakan isi kawih tentang bangga sebagai bangsa Indonesia</v>
      </c>
      <c r="BN46" s="232">
        <f>'MLK2-4'!U45</f>
        <v>85</v>
      </c>
      <c r="BO46" s="232" t="str">
        <f>'MLK2-4'!V45</f>
        <v>B</v>
      </c>
      <c r="BP46" s="231" t="str">
        <f>'MLK2-4'!AA45</f>
        <v>SYIFA baik  dalam memahami langkah-langkah pengawasan kelestarian lingkungan hidup</v>
      </c>
      <c r="BQ46" s="232">
        <f>'MLK3-4'!Y45</f>
        <v>70</v>
      </c>
      <c r="BR46" s="232" t="str">
        <f>'MLK3-4'!Z45</f>
        <v>C</v>
      </c>
      <c r="BS46" s="231" t="str">
        <f>'MLK3-4'!AE45</f>
        <v xml:space="preserve">SYIFA cukup baik  dalam merespon instruksi sangat sederhana dengan tindakan secara berterima dalam konteks sekolah  </v>
      </c>
    </row>
    <row r="47" spans="1:71" ht="108.75" customHeight="1">
      <c r="A47" s="227">
        <v>42</v>
      </c>
      <c r="B47" s="227" t="str">
        <f>SISWA!B47</f>
        <v>1718250040346</v>
      </c>
      <c r="C47" s="228" t="str">
        <f>SISWA!C47</f>
        <v>WAFDAN MUHAMMAD AMADDA</v>
      </c>
      <c r="D47" s="229" t="str">
        <f>SPIRIT!P46</f>
        <v xml:space="preserve">Ananda WAFDAN baik dalam  ketaatan beribadah,  berperilaku syukur,  berdoa sebelum dan sesudah melakukan kegiatan,  toleransi dalam beribadah, </v>
      </c>
      <c r="E47" s="229" t="str">
        <f>SOSIAL!T46</f>
        <v xml:space="preserve">Ananda WAFDAN baik dalam sikap jujur, disiplin, tanggung jawab, santun, peduli, percaya diri, </v>
      </c>
      <c r="F47" s="230">
        <f>'PAI3'!CI47</f>
        <v>80</v>
      </c>
      <c r="G47" s="230" t="str">
        <f>'PAI3'!CJ47</f>
        <v>B</v>
      </c>
      <c r="H47" s="231" t="str">
        <f>'PAI3'!CO47</f>
        <v>WAFDAN sangat baik  dalam memahami makna Q.S. at-Tīn dan Q.S. al-Mā’ūn dengan benar., dan  cukup baik  dalam memahami nama-nama Rasul Allah dan Rasul Ulul ‘Azmi.</v>
      </c>
      <c r="I47" s="230">
        <f>'PKN3'!U46</f>
        <v>85</v>
      </c>
      <c r="J47" s="230" t="str">
        <f>'PKN3'!V46</f>
        <v>B</v>
      </c>
      <c r="K47" s="229" t="str">
        <f>'PKN3'!AA46</f>
        <v xml:space="preserve">WAFDAN baik  dalam memahami hak, kewajiban dan tanggung jawab sebagai warga dalam kehidupan sehari-hari.
</v>
      </c>
      <c r="L47" s="232">
        <f>BIND3!U46</f>
        <v>92</v>
      </c>
      <c r="M47" s="232" t="str">
        <f>BIND3!V46</f>
        <v>A</v>
      </c>
      <c r="N47" s="231" t="str">
        <f>BIND3!AA46</f>
        <v>WAFDAN sangat baik  dalam meringkas teks penjelasan (eksplanasi) dari media cetak atau elektronik.</v>
      </c>
      <c r="O47" s="232">
        <f>'MTK3'!U46</f>
        <v>75</v>
      </c>
      <c r="P47" s="232" t="str">
        <f>'MTK3'!V46</f>
        <v>C</v>
      </c>
      <c r="Q47" s="231" t="str">
        <f>'MTK3'!AA46</f>
        <v xml:space="preserve">WAFDAN cukup baik  dalam menjelaskan, dan menentukan volume bangun ruang dengan menggunakan satuan volume (seperti kubus satuan) serta hubungan pangkat tiga dengan akar pangkat tiga
</v>
      </c>
      <c r="R47" s="232">
        <f>'IPA3'!U46</f>
        <v>90</v>
      </c>
      <c r="S47" s="232" t="str">
        <f>'IPA3'!V46</f>
        <v>A</v>
      </c>
      <c r="T47" s="231" t="str">
        <f>'IPA3'!AA46</f>
        <v xml:space="preserve">WAFDAN sangat baik  dalam menerapkan konsep perpindahan kalor dalam kehidupan sehari-hari.
</v>
      </c>
      <c r="U47" s="232">
        <f>'IPS3'!U46</f>
        <v>83</v>
      </c>
      <c r="V47" s="232" t="str">
        <f>'IPS3'!V46</f>
        <v>B</v>
      </c>
      <c r="W47" s="231" t="str">
        <f>'IPS3'!AA46</f>
        <v>WAFDAN baik  dalam Mengidentifikasi karakteristik geografis Indonesia sebagai negara kepulauan/maritim dan agraris serta pengaruhnya terhadap kehidupan ekonomi, sosial, budaya, komunikasi, serta transportasi.</v>
      </c>
      <c r="X47" s="232">
        <f>SBDP3!U46</f>
        <v>93</v>
      </c>
      <c r="Y47" s="232" t="str">
        <f>SBDP3!V46</f>
        <v>A</v>
      </c>
      <c r="Z47" s="231" t="str">
        <f>SBDP3!AA46</f>
        <v>WAFDAN sangat baik  dalam memahami gambar cerita</v>
      </c>
      <c r="AA47" s="232">
        <f>PJOK3!U46</f>
        <v>89</v>
      </c>
      <c r="AB47" s="232" t="str">
        <f>PJOK3!V46</f>
        <v>A</v>
      </c>
      <c r="AC47" s="231" t="str">
        <f>PJOK3!AA46</f>
        <v xml:space="preserve">WAFDAN sangat baik  dalam memahami kombinasi pola gerak dominan (bertumpu, bergantung, keseimbangan, berpindah/lokomotor, tolakan, putaran, ayunan, melayang, dan mendarat) untuk membentuk keterampilan dasar senam menggunakan alat
</v>
      </c>
      <c r="AD47" s="232">
        <f>'MLK1-3'!U46</f>
        <v>94</v>
      </c>
      <c r="AE47" s="232" t="str">
        <f>'MLK1-3'!V46</f>
        <v>A</v>
      </c>
      <c r="AF47" s="233" t="str">
        <f>'MLK1-3'!AA46</f>
        <v>WAFDAN sangat baik  dalam memahami teks kawih tentang bangga sebagai bangsa Indonesia</v>
      </c>
      <c r="AG47" s="232">
        <f>'MLK2-3'!X46</f>
        <v>100</v>
      </c>
      <c r="AH47" s="232" t="str">
        <f>'MLK2-3'!Y46</f>
        <v>A</v>
      </c>
      <c r="AI47" s="231" t="str">
        <f>'MLK2-3'!AD46</f>
        <v xml:space="preserve">WAFDAN sangat baik  dalam merespon instruksi sangat sederhana dengan tindakan secara berterima dalam konteks sekolah  </v>
      </c>
      <c r="AJ47" s="232">
        <f>'MLK3-3'!W46</f>
        <v>88</v>
      </c>
      <c r="AK47" s="232" t="str">
        <f>'MLK3-3'!X46</f>
        <v>A</v>
      </c>
      <c r="AL47" s="233" t="str">
        <f>'MLK3-3'!AC46</f>
        <v xml:space="preserve">WAFDAN sangat baik  dalam mengeja kalimat sangat sederhana secara tepat dan berterima , dan  baik  dalam bercakap-cakap untuk menyertai tindakan secara berterima yang melibatkan tindak tutur: memberi contoh melakukan sesuatu, memberi aba-aba, dan memberi petunjuk 
</v>
      </c>
      <c r="AM47" s="232">
        <f>'PAI4'!CI47</f>
        <v>90</v>
      </c>
      <c r="AN47" s="232" t="str">
        <f>'PAI4'!CJ47</f>
        <v>A</v>
      </c>
      <c r="AO47" s="233" t="str">
        <f>'PAI4'!CO47</f>
        <v>WAFDAN sangat baik  dalam membaca Q.S. at-Tīn dan Q.S. al-Mā’ūn dengan tartil.</v>
      </c>
      <c r="AP47" s="232">
        <f>'PKN4'!U46</f>
        <v>85</v>
      </c>
      <c r="AQ47" s="232" t="str">
        <f>'PKN4'!V46</f>
        <v>B</v>
      </c>
      <c r="AR47" s="231" t="str">
        <f>'PKN4'!AA46</f>
        <v>WAFDAN baik  dalam menjelaskan hak, kewajiban, dan tanggung  jawab sebagai warga masyarakat dalam kehidupan sehari-hari</v>
      </c>
      <c r="AS47" s="232">
        <f>BIND4!U46</f>
        <v>92</v>
      </c>
      <c r="AT47" s="232" t="str">
        <f>BIND4!V46</f>
        <v>A</v>
      </c>
      <c r="AU47" s="231" t="str">
        <f>BIND4!AA46</f>
        <v xml:space="preserve">WAFDAN sangat baik  dalam menyajikan ringkasan teks penjelasan (eksplanasi) dari media cetak atau elektronik dengan menggunakan kosakata baku dan kalimat efektif secara lisan, tulis, dan visual.
</v>
      </c>
      <c r="AV47" s="232">
        <f>'MTK4'!U46</f>
        <v>75</v>
      </c>
      <c r="AW47" s="232" t="str">
        <f>'MTK4'!V46</f>
        <v>C</v>
      </c>
      <c r="AX47" s="231" t="str">
        <f>'MTK4'!AA46</f>
        <v xml:space="preserve">WAFDAN cukup baik  dalam menyelesaikan masalah yang berkaitan dengan volume bangun ruang dengan menggunakan satuan volume (seperti kubus satuan) melibatkan pangkat tiga dan akar pangkat tiga
</v>
      </c>
      <c r="AY47" s="232">
        <f>'IPA4'!U46</f>
        <v>90</v>
      </c>
      <c r="AZ47" s="232" t="str">
        <f>'IPA4'!V46</f>
        <v>A</v>
      </c>
      <c r="BA47" s="231" t="str">
        <f>'IPA4'!AA46</f>
        <v>WAFDAN sangat baik  dalam melaporkan hasil pengamatan tentang perpindahan kalor.</v>
      </c>
      <c r="BB47" s="232">
        <f>'IPS4'!U46</f>
        <v>83</v>
      </c>
      <c r="BC47" s="232" t="str">
        <f>'IPS4'!V46</f>
        <v>B</v>
      </c>
      <c r="BD47" s="231" t="str">
        <f>'IPS4'!AA46</f>
        <v>WAFDAN baik  dalam menyajikan hasil identifikasi karakteristik geografis Indonesia sebagai negara kepulauan/maritim dan agraris serta pengaruhnya terhadap kehidupan ekonomi, sosial, budaya, komunikasi, serta transportasi.</v>
      </c>
      <c r="BE47" s="232">
        <f>SBDP4!U46</f>
        <v>93</v>
      </c>
      <c r="BF47" s="232" t="str">
        <f>SBDP4!V46</f>
        <v>A</v>
      </c>
      <c r="BG47" s="231" t="str">
        <f>SBDP4!AA46</f>
        <v>WAFDAN sangat baik  dalam membuat gambar cerita</v>
      </c>
      <c r="BH47" s="232">
        <f>PJOK4!U46</f>
        <v>87</v>
      </c>
      <c r="BI47" s="232" t="str">
        <f>PJOK4!V46</f>
        <v>B</v>
      </c>
      <c r="BJ47" s="233" t="str">
        <f>PJOK4!AA46</f>
        <v>WAFDAN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47" s="232">
        <f>'MLK1-4'!U46</f>
        <v>94</v>
      </c>
      <c r="BL47" s="232" t="str">
        <f>'MLK1-4'!V46</f>
        <v>A</v>
      </c>
      <c r="BM47" s="231" t="str">
        <f>'MLK1-4'!AA46</f>
        <v>WAFDAN sangat baik  dalam melantunkan dan menceritakan isi kawih tentang bangga sebagai bangsa Indonesia</v>
      </c>
      <c r="BN47" s="232">
        <f>'MLK2-4'!U46</f>
        <v>100</v>
      </c>
      <c r="BO47" s="232" t="str">
        <f>'MLK2-4'!V46</f>
        <v>A</v>
      </c>
      <c r="BP47" s="231" t="str">
        <f>'MLK2-4'!AA46</f>
        <v>WAFDAN sangat baik  dalam memahami langkah-langkah pengawasan kelestarian lingkungan hidup</v>
      </c>
      <c r="BQ47" s="232">
        <f>'MLK3-4'!Y46</f>
        <v>85</v>
      </c>
      <c r="BR47" s="232" t="str">
        <f>'MLK3-4'!Z46</f>
        <v>B</v>
      </c>
      <c r="BS47" s="231" t="str">
        <f>'MLK3-4'!AE46</f>
        <v xml:space="preserve">WAFDAN baik  dalam merespon instruksi sangat sederhana dengan tindakan secara berterima dalam konteks sekolah  </v>
      </c>
    </row>
    <row r="48" spans="1:71" ht="108.75" customHeight="1">
      <c r="A48" s="227">
        <v>43</v>
      </c>
      <c r="B48" s="227" t="str">
        <f>SISWA!B48</f>
        <v>1718250040347</v>
      </c>
      <c r="C48" s="228" t="str">
        <f>SISWA!C48</f>
        <v>ZEVA ABDEE SUGARA</v>
      </c>
      <c r="D48" s="229" t="str">
        <f>SPIRIT!P47</f>
        <v xml:space="preserve">Ananda ZEVA baik dalam  ketaatan beribadah,  berperilaku syukur,  berdoa sebelum dan sesudah melakukan kegiatan,  toleransi dalam beribadah, </v>
      </c>
      <c r="E48" s="229" t="str">
        <f>SOSIAL!T47</f>
        <v xml:space="preserve">Ananda ZEVA baik dalam sikap jujur, disiplin, tanggung jawab, santun, peduli, percaya diri, </v>
      </c>
      <c r="F48" s="230">
        <f>'PAI3'!CI48</f>
        <v>80</v>
      </c>
      <c r="G48" s="230" t="str">
        <f>'PAI3'!CJ48</f>
        <v>B</v>
      </c>
      <c r="H48" s="231" t="str">
        <f>'PAI3'!CO48</f>
        <v>ZEVA sangat baik  dalam memahami makna Q.S. at-Tīn dan Q.S. al-Mā’ūn dengan benar., dan  cukup baik  dalam memahami makna sederhana dalam kehidupan sehari-hari.</v>
      </c>
      <c r="I48" s="230">
        <f>'PKN3'!U47</f>
        <v>85</v>
      </c>
      <c r="J48" s="230" t="str">
        <f>'PKN3'!V47</f>
        <v>B</v>
      </c>
      <c r="K48" s="229" t="str">
        <f>'PKN3'!AA47</f>
        <v xml:space="preserve">ZEVA baik  dalam memahami hak, kewajiban dan tanggung jawab sebagai warga dalam kehidupan sehari-hari.
</v>
      </c>
      <c r="L48" s="232">
        <f>BIND3!U47</f>
        <v>81</v>
      </c>
      <c r="M48" s="232" t="str">
        <f>BIND3!V47</f>
        <v>B</v>
      </c>
      <c r="N48" s="231" t="str">
        <f>BIND3!AA47</f>
        <v>ZEVA baik  dalam meringkas teks penjelasan (eksplanasi) dari media cetak atau elektronik.</v>
      </c>
      <c r="O48" s="232">
        <f>'MTK3'!U47</f>
        <v>75</v>
      </c>
      <c r="P48" s="232" t="str">
        <f>'MTK3'!V47</f>
        <v>C</v>
      </c>
      <c r="Q48" s="231" t="str">
        <f>'MTK3'!AA47</f>
        <v xml:space="preserve">ZEVA cukup baik  dalam menjelaskan, dan menentukan volume bangun ruang dengan menggunakan satuan volume (seperti kubus satuan) serta hubungan pangkat tiga dengan akar pangkat tiga
</v>
      </c>
      <c r="R48" s="232">
        <f>'IPA3'!U47</f>
        <v>95</v>
      </c>
      <c r="S48" s="232" t="str">
        <f>'IPA3'!V47</f>
        <v>A</v>
      </c>
      <c r="T48" s="231" t="str">
        <f>'IPA3'!AA47</f>
        <v xml:space="preserve">ZEVA sangat baik  dalam menerapkan konsep perpindahan kalor dalam kehidupan sehari-hari.
</v>
      </c>
      <c r="U48" s="232">
        <f>'IPS3'!U47</f>
        <v>90</v>
      </c>
      <c r="V48" s="232" t="str">
        <f>'IPS3'!V47</f>
        <v>A</v>
      </c>
      <c r="W48" s="231" t="str">
        <f>'IPS3'!AA47</f>
        <v>ZEVA sangat baik  dalam Mengidentifikasi karakteristik geografis Indonesia sebagai negara kepulauan/maritim dan agraris serta pengaruhnya terhadap kehidupan ekonomi, sosial, budaya, komunikasi, serta transportasi.</v>
      </c>
      <c r="X48" s="232">
        <f>SBDP3!U47</f>
        <v>93</v>
      </c>
      <c r="Y48" s="232" t="str">
        <f>SBDP3!V47</f>
        <v>A</v>
      </c>
      <c r="Z48" s="231" t="str">
        <f>SBDP3!AA47</f>
        <v>ZEVA sangat baik  dalam memahami gambar cerita</v>
      </c>
      <c r="AA48" s="232">
        <f>PJOK3!U47</f>
        <v>93</v>
      </c>
      <c r="AB48" s="232" t="str">
        <f>PJOK3!V47</f>
        <v>A</v>
      </c>
      <c r="AC48" s="231" t="str">
        <f>PJOK3!AA47</f>
        <v xml:space="preserve">ZEVA sangat baik  dalam memahami kombinasi pola gerak dominan (bertumpu, bergantung, keseimbangan, berpindah/lokomotor, tolakan, putaran, ayunan, melayang, dan mendarat) untuk membentuk keterampilan dasar senam menggunakan alat
</v>
      </c>
      <c r="AD48" s="232">
        <f>'MLK1-3'!U47</f>
        <v>85</v>
      </c>
      <c r="AE48" s="232" t="str">
        <f>'MLK1-3'!V47</f>
        <v>B</v>
      </c>
      <c r="AF48" s="233" t="str">
        <f>'MLK1-3'!AA47</f>
        <v>ZEVA baik  dalam memahami teks kawih tentang bangga sebagai bangsa Indonesia</v>
      </c>
      <c r="AG48" s="232">
        <f>'MLK2-3'!X47</f>
        <v>94</v>
      </c>
      <c r="AH48" s="232" t="str">
        <f>'MLK2-3'!Y47</f>
        <v>A</v>
      </c>
      <c r="AI48" s="231" t="str">
        <f>'MLK2-3'!AD47</f>
        <v xml:space="preserve">ZEVA sangat baik  dalam merespon instruksi sangat sederhana dengan tindakan secara berterima dalam konteks sekolah  </v>
      </c>
      <c r="AJ48" s="232">
        <f>'MLK3-3'!W47</f>
        <v>82</v>
      </c>
      <c r="AK48" s="232" t="str">
        <f>'MLK3-3'!X47</f>
        <v>B</v>
      </c>
      <c r="AL48" s="233" t="str">
        <f>'MLK3-3'!AC47</f>
        <v xml:space="preserve">ZEVA sangat baik  dalam bercakap-cakap untuk menyertai tindakan secara berterima yang melibatkan tindak tutur: memberi contoh melakukan sesuatu, memberi aba-aba, dan memberi petunjuk 
, dan  cukup baik  dalam mengeja kalimat sangat sederhana secara tepat dan berterima </v>
      </c>
      <c r="AM48" s="232">
        <f>'PAI4'!CI48</f>
        <v>80</v>
      </c>
      <c r="AN48" s="232" t="str">
        <f>'PAI4'!CJ48</f>
        <v>B</v>
      </c>
      <c r="AO48" s="233" t="str">
        <f>'PAI4'!CO48</f>
        <v>ZEVA baik  dalam membaca Q.S. at-Tīn dan Q.S. al-Mā’ūn dengan tartil.</v>
      </c>
      <c r="AP48" s="232">
        <f>'PKN4'!U47</f>
        <v>85</v>
      </c>
      <c r="AQ48" s="232" t="str">
        <f>'PKN4'!V47</f>
        <v>B</v>
      </c>
      <c r="AR48" s="231" t="str">
        <f>'PKN4'!AA47</f>
        <v>ZEVA baik  dalam menjelaskan hak, kewajiban, dan tanggung  jawab sebagai warga masyarakat dalam kehidupan sehari-hari</v>
      </c>
      <c r="AS48" s="232">
        <f>BIND4!U47</f>
        <v>81</v>
      </c>
      <c r="AT48" s="232" t="str">
        <f>BIND4!V47</f>
        <v>B</v>
      </c>
      <c r="AU48" s="231" t="str">
        <f>BIND4!AA47</f>
        <v xml:space="preserve">ZEVA baik  dalam menyajikan ringkasan teks penjelasan (eksplanasi) dari media cetak atau elektronik dengan menggunakan kosakata baku dan kalimat efektif secara lisan, tulis, dan visual.
</v>
      </c>
      <c r="AV48" s="232">
        <f>'MTK4'!U47</f>
        <v>75</v>
      </c>
      <c r="AW48" s="232" t="str">
        <f>'MTK4'!V47</f>
        <v>C</v>
      </c>
      <c r="AX48" s="231" t="str">
        <f>'MTK4'!AA47</f>
        <v xml:space="preserve">ZEVA cukup baik  dalam menyelesaikan masalah yang berkaitan dengan volume bangun ruang dengan menggunakan satuan volume (seperti kubus satuan) melibatkan pangkat tiga dan akar pangkat tiga
</v>
      </c>
      <c r="AY48" s="232">
        <f>'IPA4'!U47</f>
        <v>95</v>
      </c>
      <c r="AZ48" s="232" t="str">
        <f>'IPA4'!V47</f>
        <v>A</v>
      </c>
      <c r="BA48" s="231" t="str">
        <f>'IPA4'!AA47</f>
        <v>ZEVA sangat baik  dalam melaporkan hasil pengamatan tentang perpindahan kalor.</v>
      </c>
      <c r="BB48" s="232">
        <f>'IPS4'!U47</f>
        <v>90</v>
      </c>
      <c r="BC48" s="232" t="str">
        <f>'IPS4'!V47</f>
        <v>A</v>
      </c>
      <c r="BD48" s="231" t="str">
        <f>'IPS4'!AA47</f>
        <v>ZEVA sangat baik  dalam menyajikan hasil identifikasi karakteristik geografis Indonesia sebagai negara kepulauan/maritim dan agraris serta pengaruhnya terhadap kehidupan ekonomi, sosial, budaya, komunikasi, serta transportasi.</v>
      </c>
      <c r="BE48" s="232">
        <f>SBDP4!U47</f>
        <v>93</v>
      </c>
      <c r="BF48" s="232" t="str">
        <f>SBDP4!V47</f>
        <v>A</v>
      </c>
      <c r="BG48" s="231" t="str">
        <f>SBDP4!AA47</f>
        <v>ZEVA sangat baik  dalam membuat gambar cerita</v>
      </c>
      <c r="BH48" s="232">
        <f>PJOK4!U47</f>
        <v>92</v>
      </c>
      <c r="BI48" s="232" t="str">
        <f>PJOK4!V47</f>
        <v>A</v>
      </c>
      <c r="BJ48" s="233" t="str">
        <f>PJOK4!AA47</f>
        <v>ZEVA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48" s="232">
        <f>'MLK1-4'!U47</f>
        <v>85</v>
      </c>
      <c r="BL48" s="232" t="str">
        <f>'MLK1-4'!V47</f>
        <v>B</v>
      </c>
      <c r="BM48" s="231" t="str">
        <f>'MLK1-4'!AA47</f>
        <v>ZEVA baik  dalam melantunkan dan menceritakan isi kawih tentang bangga sebagai bangsa Indonesia</v>
      </c>
      <c r="BN48" s="232">
        <f>'MLK2-4'!U47</f>
        <v>94</v>
      </c>
      <c r="BO48" s="232" t="str">
        <f>'MLK2-4'!V47</f>
        <v>A</v>
      </c>
      <c r="BP48" s="231" t="str">
        <f>'MLK2-4'!AA47</f>
        <v>ZEVA sangat baik  dalam memahami langkah-langkah pengawasan kelestarian lingkungan hidup</v>
      </c>
      <c r="BQ48" s="232">
        <f>'MLK3-4'!Y47</f>
        <v>80</v>
      </c>
      <c r="BR48" s="232" t="str">
        <f>'MLK3-4'!Z47</f>
        <v>B</v>
      </c>
      <c r="BS48" s="231" t="str">
        <f>'MLK3-4'!AE47</f>
        <v xml:space="preserve">ZEVA baik  dalam merespon instruksi sangat sederhana dengan tindakan secara berterima dalam konteks sekolah  </v>
      </c>
    </row>
    <row r="49" spans="1:71" ht="108.75" customHeight="1">
      <c r="A49" s="227">
        <v>44</v>
      </c>
      <c r="B49" s="227">
        <f>SISWA!B49</f>
        <v>0</v>
      </c>
      <c r="C49" s="228">
        <f>SISWA!C49</f>
        <v>0</v>
      </c>
      <c r="D49" s="229" t="str">
        <f>SPIRIT!P48</f>
        <v xml:space="preserve">Ananda 0 baik dalam  ketaatan beribadah,  berperilaku syukur,  berdoa sebelum dan sesudah melakukan kegiatan,  toleransi dalam beribadah, </v>
      </c>
      <c r="E49" s="229" t="str">
        <f>SOSIAL!T48</f>
        <v xml:space="preserve">Ananda 0 baik dalam sikap jujur, disiplin, tanggung jawab, santun, peduli, percaya diri, </v>
      </c>
      <c r="F49" s="230" t="e">
        <f>'PAI3'!CI49</f>
        <v>#DIV/0!</v>
      </c>
      <c r="G49" s="230" t="e">
        <f>'PAI3'!CJ49</f>
        <v>#DIV/0!</v>
      </c>
      <c r="H49" s="231" t="str">
        <f>'PAI3'!CO49</f>
        <v xml:space="preserve"> </v>
      </c>
      <c r="I49" s="230" t="e">
        <f>'PKN3'!U48</f>
        <v>#DIV/0!</v>
      </c>
      <c r="J49" s="230" t="e">
        <f>'PKN3'!V48</f>
        <v>#DIV/0!</v>
      </c>
      <c r="K49" s="229" t="str">
        <f>'PKN3'!AA48</f>
        <v xml:space="preserve"> </v>
      </c>
      <c r="L49" s="232" t="e">
        <f>BIND3!U48</f>
        <v>#DIV/0!</v>
      </c>
      <c r="M49" s="232" t="e">
        <f>BIND3!V48</f>
        <v>#DIV/0!</v>
      </c>
      <c r="N49" s="231" t="str">
        <f>BIND3!AA48</f>
        <v xml:space="preserve"> </v>
      </c>
      <c r="O49" s="232" t="e">
        <f>'MTK3'!U48</f>
        <v>#DIV/0!</v>
      </c>
      <c r="P49" s="232" t="e">
        <f>'MTK3'!V48</f>
        <v>#DIV/0!</v>
      </c>
      <c r="Q49" s="231" t="str">
        <f>'MTK3'!AA48</f>
        <v xml:space="preserve"> </v>
      </c>
      <c r="R49" s="232" t="e">
        <f>'IPA3'!U48</f>
        <v>#DIV/0!</v>
      </c>
      <c r="S49" s="232" t="e">
        <f>'IPA3'!V48</f>
        <v>#DIV/0!</v>
      </c>
      <c r="T49" s="231" t="str">
        <f>'IPA3'!AA48</f>
        <v xml:space="preserve"> </v>
      </c>
      <c r="U49" s="232" t="e">
        <f>'IPS3'!U48</f>
        <v>#DIV/0!</v>
      </c>
      <c r="V49" s="232" t="e">
        <f>'IPS3'!V48</f>
        <v>#DIV/0!</v>
      </c>
      <c r="W49" s="231" t="str">
        <f>'IPS3'!AA48</f>
        <v xml:space="preserve"> </v>
      </c>
      <c r="X49" s="232" t="e">
        <f>SBDP3!U48</f>
        <v>#DIV/0!</v>
      </c>
      <c r="Y49" s="232" t="e">
        <f>SBDP3!V48</f>
        <v>#DIV/0!</v>
      </c>
      <c r="Z49" s="231" t="str">
        <f>SBDP3!AA48</f>
        <v xml:space="preserve"> </v>
      </c>
      <c r="AA49" s="232" t="e">
        <f>PJOK3!U48</f>
        <v>#DIV/0!</v>
      </c>
      <c r="AB49" s="232" t="e">
        <f>PJOK3!V48</f>
        <v>#DIV/0!</v>
      </c>
      <c r="AC49" s="231" t="str">
        <f>PJOK3!AA48</f>
        <v xml:space="preserve"> </v>
      </c>
      <c r="AD49" s="232" t="e">
        <f>'MLK1-3'!U48</f>
        <v>#DIV/0!</v>
      </c>
      <c r="AE49" s="232" t="e">
        <f>'MLK1-3'!V48</f>
        <v>#DIV/0!</v>
      </c>
      <c r="AF49" s="233" t="str">
        <f>'MLK1-3'!AA48</f>
        <v xml:space="preserve"> </v>
      </c>
      <c r="AG49" s="232" t="e">
        <f>'MLK2-3'!X48</f>
        <v>#DIV/0!</v>
      </c>
      <c r="AH49" s="232" t="e">
        <f>'MLK2-3'!Y48</f>
        <v>#DIV/0!</v>
      </c>
      <c r="AI49" s="231" t="str">
        <f>'MLK2-3'!AD48</f>
        <v xml:space="preserve"> </v>
      </c>
      <c r="AJ49" s="232" t="e">
        <f>'MLK3-3'!W48</f>
        <v>#DIV/0!</v>
      </c>
      <c r="AK49" s="232" t="e">
        <f>'MLK3-3'!X48</f>
        <v>#DIV/0!</v>
      </c>
      <c r="AL49" s="233" t="str">
        <f>'MLK3-3'!AC48</f>
        <v xml:space="preserve"> </v>
      </c>
      <c r="AM49" s="232" t="e">
        <f>'PAI4'!CI49</f>
        <v>#DIV/0!</v>
      </c>
      <c r="AN49" s="232" t="e">
        <f>'PAI4'!CJ49</f>
        <v>#DIV/0!</v>
      </c>
      <c r="AO49" s="233" t="str">
        <f>'PAI4'!CO49</f>
        <v xml:space="preserve"> </v>
      </c>
      <c r="AP49" s="232" t="e">
        <f>'PKN4'!U48</f>
        <v>#DIV/0!</v>
      </c>
      <c r="AQ49" s="232" t="e">
        <f>'PKN4'!V48</f>
        <v>#DIV/0!</v>
      </c>
      <c r="AR49" s="231" t="str">
        <f>'PKN4'!AA48</f>
        <v xml:space="preserve"> </v>
      </c>
      <c r="AS49" s="232" t="e">
        <f>BIND4!U48</f>
        <v>#DIV/0!</v>
      </c>
      <c r="AT49" s="232" t="e">
        <f>BIND4!V48</f>
        <v>#DIV/0!</v>
      </c>
      <c r="AU49" s="231" t="str">
        <f>BIND4!AA48</f>
        <v xml:space="preserve"> </v>
      </c>
      <c r="AV49" s="232" t="e">
        <f>'MTK4'!U48</f>
        <v>#DIV/0!</v>
      </c>
      <c r="AW49" s="232" t="e">
        <f>'MTK4'!V48</f>
        <v>#DIV/0!</v>
      </c>
      <c r="AX49" s="231" t="str">
        <f>'MTK4'!AA48</f>
        <v xml:space="preserve"> </v>
      </c>
      <c r="AY49" s="232" t="e">
        <f>'IPA4'!U48</f>
        <v>#DIV/0!</v>
      </c>
      <c r="AZ49" s="232" t="e">
        <f>'IPA4'!V48</f>
        <v>#DIV/0!</v>
      </c>
      <c r="BA49" s="231" t="str">
        <f>'IPA4'!AA48</f>
        <v xml:space="preserve"> </v>
      </c>
      <c r="BB49" s="232" t="e">
        <f>'IPS4'!U48</f>
        <v>#DIV/0!</v>
      </c>
      <c r="BC49" s="232" t="e">
        <f>'IPS4'!V48</f>
        <v>#DIV/0!</v>
      </c>
      <c r="BD49" s="231" t="str">
        <f>'IPS4'!AA48</f>
        <v xml:space="preserve"> </v>
      </c>
      <c r="BE49" s="232" t="e">
        <f>SBDP4!U48</f>
        <v>#DIV/0!</v>
      </c>
      <c r="BF49" s="232" t="e">
        <f>SBDP4!V48</f>
        <v>#DIV/0!</v>
      </c>
      <c r="BG49" s="231" t="str">
        <f>SBDP4!AA48</f>
        <v xml:space="preserve"> </v>
      </c>
      <c r="BH49" s="232" t="e">
        <f>PJOK4!U48</f>
        <v>#DIV/0!</v>
      </c>
      <c r="BI49" s="232" t="e">
        <f>PJOK4!V48</f>
        <v>#DIV/0!</v>
      </c>
      <c r="BJ49" s="233" t="str">
        <f>PJOK4!AA48</f>
        <v xml:space="preserve"> </v>
      </c>
      <c r="BK49" s="232" t="e">
        <f>'MLK1-4'!U48</f>
        <v>#DIV/0!</v>
      </c>
      <c r="BL49" s="232" t="e">
        <f>'MLK1-4'!V48</f>
        <v>#DIV/0!</v>
      </c>
      <c r="BM49" s="231" t="str">
        <f>'MLK1-4'!AA48</f>
        <v xml:space="preserve"> </v>
      </c>
      <c r="BN49" s="232" t="e">
        <f>'MLK2-4'!U48</f>
        <v>#DIV/0!</v>
      </c>
      <c r="BO49" s="232" t="e">
        <f>'MLK2-4'!V48</f>
        <v>#DIV/0!</v>
      </c>
      <c r="BP49" s="231" t="str">
        <f>'MLK2-4'!AA48</f>
        <v xml:space="preserve"> </v>
      </c>
      <c r="BQ49" s="232" t="e">
        <f>'MLK3-4'!Y48</f>
        <v>#DIV/0!</v>
      </c>
      <c r="BR49" s="232" t="e">
        <f>'MLK3-4'!Z48</f>
        <v>#DIV/0!</v>
      </c>
      <c r="BS49" s="231" t="str">
        <f>'MLK3-4'!AE48</f>
        <v xml:space="preserve"> </v>
      </c>
    </row>
    <row r="50" spans="1:71" ht="108.75" customHeight="1">
      <c r="A50" s="227">
        <v>45</v>
      </c>
      <c r="B50" s="227">
        <f>SISWA!B50</f>
        <v>0</v>
      </c>
      <c r="C50" s="228">
        <f>SISWA!C50</f>
        <v>0</v>
      </c>
      <c r="D50" s="229" t="str">
        <f>SPIRIT!P49</f>
        <v xml:space="preserve">Ananda 0 baik dalam  ketaatan beribadah,  berperilaku syukur,  berdoa sebelum dan sesudah melakukan kegiatan,  toleransi dalam beribadah, </v>
      </c>
      <c r="E50" s="229" t="str">
        <f>SOSIAL!T49</f>
        <v xml:space="preserve">Ananda 0 baik dalam sikap jujur, disiplin, tanggung jawab, santun, peduli, percaya diri, </v>
      </c>
      <c r="F50" s="230" t="e">
        <f>'PAI3'!CI50</f>
        <v>#DIV/0!</v>
      </c>
      <c r="G50" s="230" t="e">
        <f>'PAI3'!CJ50</f>
        <v>#DIV/0!</v>
      </c>
      <c r="H50" s="231" t="str">
        <f>'PAI3'!CO50</f>
        <v xml:space="preserve"> </v>
      </c>
      <c r="I50" s="230" t="e">
        <f>'PKN3'!U49</f>
        <v>#DIV/0!</v>
      </c>
      <c r="J50" s="230" t="e">
        <f>'PKN3'!V49</f>
        <v>#DIV/0!</v>
      </c>
      <c r="K50" s="229" t="str">
        <f>'PKN3'!AA49</f>
        <v xml:space="preserve"> </v>
      </c>
      <c r="L50" s="232" t="e">
        <f>BIND3!U49</f>
        <v>#DIV/0!</v>
      </c>
      <c r="M50" s="232" t="e">
        <f>BIND3!V49</f>
        <v>#DIV/0!</v>
      </c>
      <c r="N50" s="231" t="str">
        <f>BIND3!AA49</f>
        <v xml:space="preserve"> </v>
      </c>
      <c r="O50" s="232" t="e">
        <f>'MTK3'!U49</f>
        <v>#DIV/0!</v>
      </c>
      <c r="P50" s="232" t="e">
        <f>'MTK3'!V49</f>
        <v>#DIV/0!</v>
      </c>
      <c r="Q50" s="231" t="str">
        <f>'MTK3'!AA49</f>
        <v xml:space="preserve"> </v>
      </c>
      <c r="R50" s="232" t="e">
        <f>'IPA3'!U49</f>
        <v>#DIV/0!</v>
      </c>
      <c r="S50" s="232" t="e">
        <f>'IPA3'!V49</f>
        <v>#DIV/0!</v>
      </c>
      <c r="T50" s="231" t="str">
        <f>'IPA3'!AA49</f>
        <v xml:space="preserve"> </v>
      </c>
      <c r="U50" s="232" t="e">
        <f>'IPS3'!U49</f>
        <v>#DIV/0!</v>
      </c>
      <c r="V50" s="232" t="e">
        <f>'IPS3'!V49</f>
        <v>#DIV/0!</v>
      </c>
      <c r="W50" s="231" t="str">
        <f>'IPS3'!AA49</f>
        <v xml:space="preserve"> </v>
      </c>
      <c r="X50" s="232" t="e">
        <f>SBDP3!U49</f>
        <v>#DIV/0!</v>
      </c>
      <c r="Y50" s="232" t="e">
        <f>SBDP3!V49</f>
        <v>#DIV/0!</v>
      </c>
      <c r="Z50" s="231" t="str">
        <f>SBDP3!AA49</f>
        <v xml:space="preserve"> </v>
      </c>
      <c r="AA50" s="232" t="e">
        <f>PJOK3!U49</f>
        <v>#DIV/0!</v>
      </c>
      <c r="AB50" s="232" t="e">
        <f>PJOK3!V49</f>
        <v>#DIV/0!</v>
      </c>
      <c r="AC50" s="231" t="str">
        <f>PJOK3!AA49</f>
        <v xml:space="preserve"> </v>
      </c>
      <c r="AD50" s="232" t="e">
        <f>'MLK1-3'!U49</f>
        <v>#DIV/0!</v>
      </c>
      <c r="AE50" s="232" t="e">
        <f>'MLK1-3'!V49</f>
        <v>#DIV/0!</v>
      </c>
      <c r="AF50" s="233" t="str">
        <f>'MLK1-3'!AA49</f>
        <v xml:space="preserve"> </v>
      </c>
      <c r="AG50" s="232" t="e">
        <f>'MLK2-3'!X49</f>
        <v>#DIV/0!</v>
      </c>
      <c r="AH50" s="232" t="e">
        <f>'MLK2-3'!Y49</f>
        <v>#DIV/0!</v>
      </c>
      <c r="AI50" s="231" t="str">
        <f>'MLK2-3'!AD49</f>
        <v xml:space="preserve"> </v>
      </c>
      <c r="AJ50" s="232" t="e">
        <f>'MLK3-3'!W49</f>
        <v>#DIV/0!</v>
      </c>
      <c r="AK50" s="232" t="e">
        <f>'MLK3-3'!X49</f>
        <v>#DIV/0!</v>
      </c>
      <c r="AL50" s="233" t="str">
        <f>'MLK3-3'!AC49</f>
        <v xml:space="preserve"> </v>
      </c>
      <c r="AM50" s="232" t="e">
        <f>'PAI4'!CI50</f>
        <v>#DIV/0!</v>
      </c>
      <c r="AN50" s="232" t="e">
        <f>'PAI4'!CJ50</f>
        <v>#DIV/0!</v>
      </c>
      <c r="AO50" s="233" t="str">
        <f>'PAI4'!CO50</f>
        <v xml:space="preserve"> </v>
      </c>
      <c r="AP50" s="232" t="e">
        <f>'PKN4'!U49</f>
        <v>#DIV/0!</v>
      </c>
      <c r="AQ50" s="232" t="e">
        <f>'PKN4'!V49</f>
        <v>#DIV/0!</v>
      </c>
      <c r="AR50" s="231" t="str">
        <f>'PKN4'!AA49</f>
        <v xml:space="preserve"> </v>
      </c>
      <c r="AS50" s="232" t="e">
        <f>BIND4!U49</f>
        <v>#DIV/0!</v>
      </c>
      <c r="AT50" s="232" t="e">
        <f>BIND4!V49</f>
        <v>#DIV/0!</v>
      </c>
      <c r="AU50" s="231" t="str">
        <f>BIND4!AA49</f>
        <v xml:space="preserve"> </v>
      </c>
      <c r="AV50" s="232" t="e">
        <f>'MTK4'!U49</f>
        <v>#DIV/0!</v>
      </c>
      <c r="AW50" s="232" t="e">
        <f>'MTK4'!V49</f>
        <v>#DIV/0!</v>
      </c>
      <c r="AX50" s="231" t="str">
        <f>'MTK4'!AA49</f>
        <v xml:space="preserve"> </v>
      </c>
      <c r="AY50" s="232" t="e">
        <f>'IPA4'!U49</f>
        <v>#DIV/0!</v>
      </c>
      <c r="AZ50" s="232" t="e">
        <f>'IPA4'!V49</f>
        <v>#DIV/0!</v>
      </c>
      <c r="BA50" s="231" t="str">
        <f>'IPA4'!AA49</f>
        <v xml:space="preserve"> </v>
      </c>
      <c r="BB50" s="232" t="e">
        <f>'IPS4'!U49</f>
        <v>#DIV/0!</v>
      </c>
      <c r="BC50" s="232" t="e">
        <f>'IPS4'!V49</f>
        <v>#DIV/0!</v>
      </c>
      <c r="BD50" s="231" t="str">
        <f>'IPS4'!AA49</f>
        <v xml:space="preserve"> </v>
      </c>
      <c r="BE50" s="232" t="e">
        <f>SBDP4!U49</f>
        <v>#DIV/0!</v>
      </c>
      <c r="BF50" s="232" t="e">
        <f>SBDP4!V49</f>
        <v>#DIV/0!</v>
      </c>
      <c r="BG50" s="231" t="str">
        <f>SBDP4!AA49</f>
        <v xml:space="preserve"> </v>
      </c>
      <c r="BH50" s="232" t="e">
        <f>PJOK4!U49</f>
        <v>#DIV/0!</v>
      </c>
      <c r="BI50" s="232" t="e">
        <f>PJOK4!V49</f>
        <v>#DIV/0!</v>
      </c>
      <c r="BJ50" s="233" t="str">
        <f>PJOK4!AA49</f>
        <v xml:space="preserve"> </v>
      </c>
      <c r="BK50" s="232" t="e">
        <f>'MLK1-4'!U49</f>
        <v>#DIV/0!</v>
      </c>
      <c r="BL50" s="232" t="e">
        <f>'MLK1-4'!V49</f>
        <v>#DIV/0!</v>
      </c>
      <c r="BM50" s="231" t="str">
        <f>'MLK1-4'!AA49</f>
        <v xml:space="preserve"> </v>
      </c>
      <c r="BN50" s="232" t="e">
        <f>'MLK2-4'!U49</f>
        <v>#DIV/0!</v>
      </c>
      <c r="BO50" s="232" t="e">
        <f>'MLK2-4'!V49</f>
        <v>#DIV/0!</v>
      </c>
      <c r="BP50" s="231" t="str">
        <f>'MLK2-4'!AA49</f>
        <v xml:space="preserve"> </v>
      </c>
      <c r="BQ50" s="232" t="e">
        <f>'MLK3-4'!Y49</f>
        <v>#DIV/0!</v>
      </c>
      <c r="BR50" s="232" t="e">
        <f>'MLK3-4'!Z49</f>
        <v>#DIV/0!</v>
      </c>
      <c r="BS50" s="231" t="str">
        <f>'MLK3-4'!AE49</f>
        <v xml:space="preserve"> </v>
      </c>
    </row>
    <row r="51" spans="1:71" ht="108.75" customHeight="1">
      <c r="A51" s="227">
        <v>46</v>
      </c>
      <c r="B51" s="227">
        <f>SISWA!B51</f>
        <v>0</v>
      </c>
      <c r="C51" s="228">
        <f>SISWA!C51</f>
        <v>0</v>
      </c>
      <c r="D51" s="229" t="str">
        <f>SPIRIT!P50</f>
        <v xml:space="preserve">Ananda 0 baik dalam  ketaatan beribadah,  berperilaku syukur,  berdoa sebelum dan sesudah melakukan kegiatan,  toleransi dalam beribadah, </v>
      </c>
      <c r="E51" s="229" t="str">
        <f>SOSIAL!T50</f>
        <v xml:space="preserve">Ananda 0 baik dalam sikap jujur, disiplin, tanggung jawab, santun, peduli, percaya diri, </v>
      </c>
      <c r="F51" s="230" t="e">
        <f>'PAI3'!CI51</f>
        <v>#DIV/0!</v>
      </c>
      <c r="G51" s="230" t="e">
        <f>'PAI3'!CJ51</f>
        <v>#DIV/0!</v>
      </c>
      <c r="H51" s="231" t="str">
        <f>'PAI3'!CO51</f>
        <v xml:space="preserve"> </v>
      </c>
      <c r="I51" s="230" t="e">
        <f>'PKN3'!U50</f>
        <v>#DIV/0!</v>
      </c>
      <c r="J51" s="230" t="e">
        <f>'PKN3'!V50</f>
        <v>#DIV/0!</v>
      </c>
      <c r="K51" s="229" t="str">
        <f>'PKN3'!AA50</f>
        <v xml:space="preserve"> </v>
      </c>
      <c r="L51" s="232" t="e">
        <f>BIND3!U50</f>
        <v>#DIV/0!</v>
      </c>
      <c r="M51" s="232" t="e">
        <f>BIND3!V50</f>
        <v>#DIV/0!</v>
      </c>
      <c r="N51" s="231" t="str">
        <f>BIND3!AA50</f>
        <v xml:space="preserve"> </v>
      </c>
      <c r="O51" s="232" t="e">
        <f>'MTK3'!U50</f>
        <v>#DIV/0!</v>
      </c>
      <c r="P51" s="232" t="e">
        <f>'MTK3'!V50</f>
        <v>#DIV/0!</v>
      </c>
      <c r="Q51" s="231" t="str">
        <f>'MTK3'!AA50</f>
        <v xml:space="preserve"> </v>
      </c>
      <c r="R51" s="232" t="e">
        <f>'IPA3'!U50</f>
        <v>#DIV/0!</v>
      </c>
      <c r="S51" s="232" t="e">
        <f>'IPA3'!V50</f>
        <v>#DIV/0!</v>
      </c>
      <c r="T51" s="231" t="str">
        <f>'IPA3'!AA50</f>
        <v xml:space="preserve"> </v>
      </c>
      <c r="U51" s="232" t="e">
        <f>'IPS3'!U50</f>
        <v>#DIV/0!</v>
      </c>
      <c r="V51" s="232" t="e">
        <f>'IPS3'!V50</f>
        <v>#DIV/0!</v>
      </c>
      <c r="W51" s="231" t="str">
        <f>'IPS3'!AA50</f>
        <v xml:space="preserve"> </v>
      </c>
      <c r="X51" s="232" t="e">
        <f>SBDP3!U50</f>
        <v>#DIV/0!</v>
      </c>
      <c r="Y51" s="232" t="e">
        <f>SBDP3!V50</f>
        <v>#DIV/0!</v>
      </c>
      <c r="Z51" s="231" t="str">
        <f>SBDP3!AA50</f>
        <v xml:space="preserve"> </v>
      </c>
      <c r="AA51" s="232" t="e">
        <f>PJOK3!U50</f>
        <v>#DIV/0!</v>
      </c>
      <c r="AB51" s="232" t="e">
        <f>PJOK3!V50</f>
        <v>#DIV/0!</v>
      </c>
      <c r="AC51" s="231" t="str">
        <f>PJOK3!AA50</f>
        <v xml:space="preserve"> </v>
      </c>
      <c r="AD51" s="232" t="e">
        <f>'MLK1-3'!U50</f>
        <v>#DIV/0!</v>
      </c>
      <c r="AE51" s="232" t="e">
        <f>'MLK1-3'!V50</f>
        <v>#DIV/0!</v>
      </c>
      <c r="AF51" s="233" t="str">
        <f>'MLK1-3'!AA50</f>
        <v xml:space="preserve"> </v>
      </c>
      <c r="AG51" s="232" t="e">
        <f>'MLK2-3'!X50</f>
        <v>#DIV/0!</v>
      </c>
      <c r="AH51" s="232" t="e">
        <f>'MLK2-3'!Y50</f>
        <v>#DIV/0!</v>
      </c>
      <c r="AI51" s="231" t="str">
        <f>'MLK2-3'!AD50</f>
        <v xml:space="preserve"> </v>
      </c>
      <c r="AJ51" s="232" t="e">
        <f>'MLK3-3'!W50</f>
        <v>#DIV/0!</v>
      </c>
      <c r="AK51" s="232" t="e">
        <f>'MLK3-3'!X50</f>
        <v>#DIV/0!</v>
      </c>
      <c r="AL51" s="233" t="str">
        <f>'MLK3-3'!AC50</f>
        <v xml:space="preserve"> </v>
      </c>
      <c r="AM51" s="232" t="e">
        <f>'PAI4'!CI51</f>
        <v>#DIV/0!</v>
      </c>
      <c r="AN51" s="232" t="e">
        <f>'PAI4'!CJ51</f>
        <v>#DIV/0!</v>
      </c>
      <c r="AO51" s="233" t="str">
        <f>'PAI4'!CO51</f>
        <v xml:space="preserve"> </v>
      </c>
      <c r="AP51" s="232" t="e">
        <f>'PKN4'!U50</f>
        <v>#DIV/0!</v>
      </c>
      <c r="AQ51" s="232" t="e">
        <f>'PKN4'!V50</f>
        <v>#DIV/0!</v>
      </c>
      <c r="AR51" s="231" t="str">
        <f>'PKN4'!AA50</f>
        <v xml:space="preserve"> </v>
      </c>
      <c r="AS51" s="232" t="e">
        <f>BIND4!U50</f>
        <v>#DIV/0!</v>
      </c>
      <c r="AT51" s="232" t="e">
        <f>BIND4!V50</f>
        <v>#DIV/0!</v>
      </c>
      <c r="AU51" s="231" t="str">
        <f>BIND4!AA50</f>
        <v xml:space="preserve"> </v>
      </c>
      <c r="AV51" s="232" t="e">
        <f>'MTK4'!U50</f>
        <v>#DIV/0!</v>
      </c>
      <c r="AW51" s="232" t="e">
        <f>'MTK4'!V50</f>
        <v>#DIV/0!</v>
      </c>
      <c r="AX51" s="231" t="str">
        <f>'MTK4'!AA50</f>
        <v xml:space="preserve"> </v>
      </c>
      <c r="AY51" s="232" t="e">
        <f>'IPA4'!U50</f>
        <v>#DIV/0!</v>
      </c>
      <c r="AZ51" s="232" t="e">
        <f>'IPA4'!V50</f>
        <v>#DIV/0!</v>
      </c>
      <c r="BA51" s="231" t="str">
        <f>'IPA4'!AA50</f>
        <v xml:space="preserve"> </v>
      </c>
      <c r="BB51" s="232" t="e">
        <f>'IPS4'!U50</f>
        <v>#DIV/0!</v>
      </c>
      <c r="BC51" s="232" t="e">
        <f>'IPS4'!V50</f>
        <v>#DIV/0!</v>
      </c>
      <c r="BD51" s="231" t="str">
        <f>'IPS4'!AA50</f>
        <v xml:space="preserve"> </v>
      </c>
      <c r="BE51" s="232" t="e">
        <f>SBDP4!U50</f>
        <v>#DIV/0!</v>
      </c>
      <c r="BF51" s="232" t="e">
        <f>SBDP4!V50</f>
        <v>#DIV/0!</v>
      </c>
      <c r="BG51" s="231" t="str">
        <f>SBDP4!AA50</f>
        <v xml:space="preserve"> </v>
      </c>
      <c r="BH51" s="232" t="e">
        <f>PJOK4!U50</f>
        <v>#DIV/0!</v>
      </c>
      <c r="BI51" s="232" t="e">
        <f>PJOK4!V50</f>
        <v>#DIV/0!</v>
      </c>
      <c r="BJ51" s="233" t="str">
        <f>PJOK4!AA50</f>
        <v xml:space="preserve"> </v>
      </c>
      <c r="BK51" s="232" t="e">
        <f>'MLK1-4'!U50</f>
        <v>#DIV/0!</v>
      </c>
      <c r="BL51" s="232" t="e">
        <f>'MLK1-4'!V50</f>
        <v>#DIV/0!</v>
      </c>
      <c r="BM51" s="231" t="str">
        <f>'MLK1-4'!AA50</f>
        <v xml:space="preserve"> </v>
      </c>
      <c r="BN51" s="232" t="e">
        <f>'MLK2-4'!U50</f>
        <v>#DIV/0!</v>
      </c>
      <c r="BO51" s="232" t="e">
        <f>'MLK2-4'!V50</f>
        <v>#DIV/0!</v>
      </c>
      <c r="BP51" s="231" t="str">
        <f>'MLK2-4'!AA50</f>
        <v xml:space="preserve"> </v>
      </c>
      <c r="BQ51" s="232" t="e">
        <f>'MLK3-4'!Y50</f>
        <v>#DIV/0!</v>
      </c>
      <c r="BR51" s="232" t="e">
        <f>'MLK3-4'!Z50</f>
        <v>#DIV/0!</v>
      </c>
      <c r="BS51" s="231" t="str">
        <f>'MLK3-4'!AE50</f>
        <v xml:space="preserve"> </v>
      </c>
    </row>
    <row r="52" spans="1:71" ht="108.75" customHeight="1">
      <c r="A52" s="227">
        <v>47</v>
      </c>
      <c r="B52" s="227">
        <f>SISWA!B52</f>
        <v>0</v>
      </c>
      <c r="C52" s="228">
        <f>SISWA!C52</f>
        <v>0</v>
      </c>
      <c r="D52" s="229" t="str">
        <f>SPIRIT!P51</f>
        <v xml:space="preserve">Ananda 0 baik dalam  ketaatan beribadah,  berperilaku syukur,  berdoa sebelum dan sesudah melakukan kegiatan,  toleransi dalam beribadah, </v>
      </c>
      <c r="E52" s="229" t="str">
        <f>SOSIAL!T51</f>
        <v xml:space="preserve">Ananda 0 baik dalam sikap jujur, disiplin, tanggung jawab, santun, peduli, percaya diri, </v>
      </c>
      <c r="F52" s="230" t="e">
        <f>'PAI3'!CI52</f>
        <v>#DIV/0!</v>
      </c>
      <c r="G52" s="230" t="e">
        <f>'PAI3'!CJ52</f>
        <v>#DIV/0!</v>
      </c>
      <c r="H52" s="231" t="str">
        <f>'PAI3'!CO52</f>
        <v xml:space="preserve"> </v>
      </c>
      <c r="I52" s="230" t="e">
        <f>'PKN3'!U51</f>
        <v>#DIV/0!</v>
      </c>
      <c r="J52" s="230" t="e">
        <f>'PKN3'!V51</f>
        <v>#DIV/0!</v>
      </c>
      <c r="K52" s="229" t="str">
        <f>'PKN3'!AA51</f>
        <v xml:space="preserve"> </v>
      </c>
      <c r="L52" s="232" t="e">
        <f>BIND3!U51</f>
        <v>#DIV/0!</v>
      </c>
      <c r="M52" s="232" t="e">
        <f>BIND3!V51</f>
        <v>#DIV/0!</v>
      </c>
      <c r="N52" s="231" t="str">
        <f>BIND3!AA51</f>
        <v xml:space="preserve"> </v>
      </c>
      <c r="O52" s="232" t="e">
        <f>'MTK3'!U51</f>
        <v>#DIV/0!</v>
      </c>
      <c r="P52" s="232" t="e">
        <f>'MTK3'!V51</f>
        <v>#DIV/0!</v>
      </c>
      <c r="Q52" s="231" t="str">
        <f>'MTK3'!AA51</f>
        <v xml:space="preserve"> </v>
      </c>
      <c r="R52" s="232" t="e">
        <f>'IPA3'!U51</f>
        <v>#DIV/0!</v>
      </c>
      <c r="S52" s="232" t="e">
        <f>'IPA3'!V51</f>
        <v>#DIV/0!</v>
      </c>
      <c r="T52" s="231" t="str">
        <f>'IPA3'!AA51</f>
        <v xml:space="preserve"> </v>
      </c>
      <c r="U52" s="232" t="e">
        <f>'IPS3'!U51</f>
        <v>#DIV/0!</v>
      </c>
      <c r="V52" s="232" t="e">
        <f>'IPS3'!V51</f>
        <v>#DIV/0!</v>
      </c>
      <c r="W52" s="231" t="str">
        <f>'IPS3'!AA51</f>
        <v xml:space="preserve"> </v>
      </c>
      <c r="X52" s="232" t="e">
        <f>SBDP3!U51</f>
        <v>#DIV/0!</v>
      </c>
      <c r="Y52" s="232" t="e">
        <f>SBDP3!V51</f>
        <v>#DIV/0!</v>
      </c>
      <c r="Z52" s="231" t="str">
        <f>SBDP3!AA51</f>
        <v xml:space="preserve"> </v>
      </c>
      <c r="AA52" s="232" t="e">
        <f>PJOK3!U51</f>
        <v>#DIV/0!</v>
      </c>
      <c r="AB52" s="232" t="e">
        <f>PJOK3!V51</f>
        <v>#DIV/0!</v>
      </c>
      <c r="AC52" s="231" t="str">
        <f>PJOK3!AA51</f>
        <v xml:space="preserve"> </v>
      </c>
      <c r="AD52" s="232" t="e">
        <f>'MLK1-3'!U51</f>
        <v>#DIV/0!</v>
      </c>
      <c r="AE52" s="232" t="e">
        <f>'MLK1-3'!V51</f>
        <v>#DIV/0!</v>
      </c>
      <c r="AF52" s="233" t="str">
        <f>'MLK1-3'!AA51</f>
        <v xml:space="preserve"> </v>
      </c>
      <c r="AG52" s="232" t="e">
        <f>'MLK2-3'!X51</f>
        <v>#DIV/0!</v>
      </c>
      <c r="AH52" s="232" t="e">
        <f>'MLK2-3'!Y51</f>
        <v>#DIV/0!</v>
      </c>
      <c r="AI52" s="231" t="str">
        <f>'MLK2-3'!AD51</f>
        <v xml:space="preserve"> </v>
      </c>
      <c r="AJ52" s="232" t="e">
        <f>'MLK3-3'!W51</f>
        <v>#DIV/0!</v>
      </c>
      <c r="AK52" s="232" t="e">
        <f>'MLK3-3'!X51</f>
        <v>#DIV/0!</v>
      </c>
      <c r="AL52" s="233" t="str">
        <f>'MLK3-3'!AC51</f>
        <v xml:space="preserve"> </v>
      </c>
      <c r="AM52" s="232" t="e">
        <f>'PAI4'!CI52</f>
        <v>#DIV/0!</v>
      </c>
      <c r="AN52" s="232" t="e">
        <f>'PAI4'!CJ52</f>
        <v>#DIV/0!</v>
      </c>
      <c r="AO52" s="233" t="str">
        <f>'PAI4'!CO52</f>
        <v xml:space="preserve"> </v>
      </c>
      <c r="AP52" s="232" t="e">
        <f>'PKN4'!U51</f>
        <v>#DIV/0!</v>
      </c>
      <c r="AQ52" s="232" t="e">
        <f>'PKN4'!V51</f>
        <v>#DIV/0!</v>
      </c>
      <c r="AR52" s="231" t="str">
        <f>'PKN4'!AA51</f>
        <v xml:space="preserve"> </v>
      </c>
      <c r="AS52" s="232" t="e">
        <f>BIND4!U51</f>
        <v>#DIV/0!</v>
      </c>
      <c r="AT52" s="232" t="e">
        <f>BIND4!V51</f>
        <v>#DIV/0!</v>
      </c>
      <c r="AU52" s="231" t="str">
        <f>BIND4!AA51</f>
        <v xml:space="preserve"> </v>
      </c>
      <c r="AV52" s="232" t="e">
        <f>'MTK4'!U51</f>
        <v>#DIV/0!</v>
      </c>
      <c r="AW52" s="232" t="e">
        <f>'MTK4'!V51</f>
        <v>#DIV/0!</v>
      </c>
      <c r="AX52" s="231" t="str">
        <f>'MTK4'!AA51</f>
        <v xml:space="preserve"> </v>
      </c>
      <c r="AY52" s="232" t="e">
        <f>'IPA4'!U51</f>
        <v>#DIV/0!</v>
      </c>
      <c r="AZ52" s="232" t="e">
        <f>'IPA4'!V51</f>
        <v>#DIV/0!</v>
      </c>
      <c r="BA52" s="231" t="str">
        <f>'IPA4'!AA51</f>
        <v xml:space="preserve"> </v>
      </c>
      <c r="BB52" s="232" t="e">
        <f>'IPS4'!U51</f>
        <v>#DIV/0!</v>
      </c>
      <c r="BC52" s="232" t="e">
        <f>'IPS4'!V51</f>
        <v>#DIV/0!</v>
      </c>
      <c r="BD52" s="231" t="str">
        <f>'IPS4'!AA51</f>
        <v xml:space="preserve"> </v>
      </c>
      <c r="BE52" s="232" t="e">
        <f>SBDP4!U51</f>
        <v>#DIV/0!</v>
      </c>
      <c r="BF52" s="232" t="e">
        <f>SBDP4!V51</f>
        <v>#DIV/0!</v>
      </c>
      <c r="BG52" s="231" t="str">
        <f>SBDP4!AA51</f>
        <v xml:space="preserve"> </v>
      </c>
      <c r="BH52" s="232" t="e">
        <f>PJOK4!U51</f>
        <v>#DIV/0!</v>
      </c>
      <c r="BI52" s="232" t="e">
        <f>PJOK4!V51</f>
        <v>#DIV/0!</v>
      </c>
      <c r="BJ52" s="233" t="str">
        <f>PJOK4!AA51</f>
        <v xml:space="preserve"> </v>
      </c>
      <c r="BK52" s="232" t="e">
        <f>'MLK1-4'!U51</f>
        <v>#DIV/0!</v>
      </c>
      <c r="BL52" s="232" t="e">
        <f>'MLK1-4'!V51</f>
        <v>#DIV/0!</v>
      </c>
      <c r="BM52" s="231" t="str">
        <f>'MLK1-4'!AA51</f>
        <v xml:space="preserve"> </v>
      </c>
      <c r="BN52" s="232" t="e">
        <f>'MLK2-4'!U51</f>
        <v>#DIV/0!</v>
      </c>
      <c r="BO52" s="232" t="e">
        <f>'MLK2-4'!V51</f>
        <v>#DIV/0!</v>
      </c>
      <c r="BP52" s="231" t="str">
        <f>'MLK2-4'!AA51</f>
        <v xml:space="preserve"> </v>
      </c>
      <c r="BQ52" s="232" t="e">
        <f>'MLK3-4'!Y51</f>
        <v>#DIV/0!</v>
      </c>
      <c r="BR52" s="232" t="e">
        <f>'MLK3-4'!Z51</f>
        <v>#DIV/0!</v>
      </c>
      <c r="BS52" s="231" t="str">
        <f>'MLK3-4'!AE51</f>
        <v xml:space="preserve"> </v>
      </c>
    </row>
    <row r="53" spans="1:71" ht="108.75" customHeight="1">
      <c r="A53" s="227">
        <v>48</v>
      </c>
      <c r="B53" s="227">
        <f>SISWA!B53</f>
        <v>0</v>
      </c>
      <c r="C53" s="228">
        <f>SISWA!C53</f>
        <v>0</v>
      </c>
      <c r="D53" s="229" t="str">
        <f>SPIRIT!P52</f>
        <v xml:space="preserve">Ananda 0 baik dalam  ketaatan beribadah,  berperilaku syukur,  berdoa sebelum dan sesudah melakukan kegiatan,  toleransi dalam beribadah, </v>
      </c>
      <c r="E53" s="229" t="str">
        <f>SOSIAL!T52</f>
        <v xml:space="preserve">Ananda 0 baik dalam sikap jujur, disiplin, tanggung jawab, santun, peduli, percaya diri, </v>
      </c>
      <c r="F53" s="230" t="e">
        <f>'PAI3'!CI53</f>
        <v>#DIV/0!</v>
      </c>
      <c r="G53" s="230" t="e">
        <f>'PAI3'!CJ53</f>
        <v>#DIV/0!</v>
      </c>
      <c r="H53" s="231" t="str">
        <f>'PAI3'!CO53</f>
        <v xml:space="preserve"> </v>
      </c>
      <c r="I53" s="230" t="e">
        <f>'PKN3'!U52</f>
        <v>#DIV/0!</v>
      </c>
      <c r="J53" s="230" t="e">
        <f>'PKN3'!V52</f>
        <v>#DIV/0!</v>
      </c>
      <c r="K53" s="229" t="str">
        <f>'PKN3'!AA52</f>
        <v xml:space="preserve"> </v>
      </c>
      <c r="L53" s="232" t="e">
        <f>BIND3!U52</f>
        <v>#DIV/0!</v>
      </c>
      <c r="M53" s="232" t="e">
        <f>BIND3!V52</f>
        <v>#DIV/0!</v>
      </c>
      <c r="N53" s="231" t="str">
        <f>BIND3!AA52</f>
        <v xml:space="preserve"> </v>
      </c>
      <c r="O53" s="232" t="e">
        <f>'MTK3'!U52</f>
        <v>#DIV/0!</v>
      </c>
      <c r="P53" s="232" t="e">
        <f>'MTK3'!V52</f>
        <v>#DIV/0!</v>
      </c>
      <c r="Q53" s="231" t="str">
        <f>'MTK3'!AA52</f>
        <v xml:space="preserve"> </v>
      </c>
      <c r="R53" s="232" t="e">
        <f>'IPA3'!U52</f>
        <v>#DIV/0!</v>
      </c>
      <c r="S53" s="232" t="e">
        <f>'IPA3'!V52</f>
        <v>#DIV/0!</v>
      </c>
      <c r="T53" s="231" t="str">
        <f>'IPA3'!AA52</f>
        <v xml:space="preserve"> </v>
      </c>
      <c r="U53" s="232" t="e">
        <f>'IPS3'!U52</f>
        <v>#DIV/0!</v>
      </c>
      <c r="V53" s="232" t="e">
        <f>'IPS3'!V52</f>
        <v>#DIV/0!</v>
      </c>
      <c r="W53" s="231" t="str">
        <f>'IPS3'!AA52</f>
        <v xml:space="preserve"> </v>
      </c>
      <c r="X53" s="232" t="e">
        <f>SBDP3!U52</f>
        <v>#DIV/0!</v>
      </c>
      <c r="Y53" s="232" t="e">
        <f>SBDP3!V52</f>
        <v>#DIV/0!</v>
      </c>
      <c r="Z53" s="231" t="str">
        <f>SBDP3!AA52</f>
        <v xml:space="preserve"> </v>
      </c>
      <c r="AA53" s="232" t="e">
        <f>PJOK3!U52</f>
        <v>#DIV/0!</v>
      </c>
      <c r="AB53" s="232" t="e">
        <f>PJOK3!V52</f>
        <v>#DIV/0!</v>
      </c>
      <c r="AC53" s="231" t="str">
        <f>PJOK3!AA52</f>
        <v xml:space="preserve"> </v>
      </c>
      <c r="AD53" s="232" t="e">
        <f>'MLK1-3'!U52</f>
        <v>#DIV/0!</v>
      </c>
      <c r="AE53" s="232" t="e">
        <f>'MLK1-3'!V52</f>
        <v>#DIV/0!</v>
      </c>
      <c r="AF53" s="233" t="str">
        <f>'MLK1-3'!AA52</f>
        <v xml:space="preserve"> </v>
      </c>
      <c r="AG53" s="232" t="e">
        <f>'MLK2-3'!X52</f>
        <v>#DIV/0!</v>
      </c>
      <c r="AH53" s="232" t="e">
        <f>'MLK2-3'!Y52</f>
        <v>#DIV/0!</v>
      </c>
      <c r="AI53" s="231" t="str">
        <f>'MLK2-3'!AD52</f>
        <v xml:space="preserve"> </v>
      </c>
      <c r="AJ53" s="232" t="e">
        <f>'MLK3-3'!W52</f>
        <v>#DIV/0!</v>
      </c>
      <c r="AK53" s="232" t="e">
        <f>'MLK3-3'!X52</f>
        <v>#DIV/0!</v>
      </c>
      <c r="AL53" s="233" t="str">
        <f>'MLK3-3'!AC52</f>
        <v xml:space="preserve"> </v>
      </c>
      <c r="AM53" s="232" t="e">
        <f>'PAI4'!CI53</f>
        <v>#DIV/0!</v>
      </c>
      <c r="AN53" s="232" t="e">
        <f>'PAI4'!CJ53</f>
        <v>#DIV/0!</v>
      </c>
      <c r="AO53" s="233" t="str">
        <f>'PAI4'!CO53</f>
        <v xml:space="preserve"> </v>
      </c>
      <c r="AP53" s="232" t="e">
        <f>'PKN4'!U52</f>
        <v>#DIV/0!</v>
      </c>
      <c r="AQ53" s="232" t="e">
        <f>'PKN4'!V52</f>
        <v>#DIV/0!</v>
      </c>
      <c r="AR53" s="231" t="str">
        <f>'PKN4'!AA52</f>
        <v xml:space="preserve"> </v>
      </c>
      <c r="AS53" s="232" t="e">
        <f>BIND4!U52</f>
        <v>#DIV/0!</v>
      </c>
      <c r="AT53" s="232" t="e">
        <f>BIND4!V52</f>
        <v>#DIV/0!</v>
      </c>
      <c r="AU53" s="231" t="str">
        <f>BIND4!AA52</f>
        <v xml:space="preserve"> </v>
      </c>
      <c r="AV53" s="232" t="e">
        <f>'MTK4'!U52</f>
        <v>#DIV/0!</v>
      </c>
      <c r="AW53" s="232" t="e">
        <f>'MTK4'!V52</f>
        <v>#DIV/0!</v>
      </c>
      <c r="AX53" s="231" t="str">
        <f>'MTK4'!AA52</f>
        <v xml:space="preserve"> </v>
      </c>
      <c r="AY53" s="232" t="e">
        <f>'IPA4'!U52</f>
        <v>#DIV/0!</v>
      </c>
      <c r="AZ53" s="232" t="e">
        <f>'IPA4'!V52</f>
        <v>#DIV/0!</v>
      </c>
      <c r="BA53" s="231" t="str">
        <f>'IPA4'!AA52</f>
        <v xml:space="preserve"> </v>
      </c>
      <c r="BB53" s="232" t="e">
        <f>'IPS4'!U52</f>
        <v>#DIV/0!</v>
      </c>
      <c r="BC53" s="232" t="e">
        <f>'IPS4'!V52</f>
        <v>#DIV/0!</v>
      </c>
      <c r="BD53" s="231" t="str">
        <f>'IPS4'!AA52</f>
        <v xml:space="preserve"> </v>
      </c>
      <c r="BE53" s="232" t="e">
        <f>SBDP4!U52</f>
        <v>#DIV/0!</v>
      </c>
      <c r="BF53" s="232" t="e">
        <f>SBDP4!V52</f>
        <v>#DIV/0!</v>
      </c>
      <c r="BG53" s="231" t="str">
        <f>SBDP4!AA52</f>
        <v xml:space="preserve"> </v>
      </c>
      <c r="BH53" s="232" t="e">
        <f>PJOK4!U52</f>
        <v>#DIV/0!</v>
      </c>
      <c r="BI53" s="232" t="e">
        <f>PJOK4!V52</f>
        <v>#DIV/0!</v>
      </c>
      <c r="BJ53" s="233" t="str">
        <f>PJOK4!AA52</f>
        <v xml:space="preserve"> </v>
      </c>
      <c r="BK53" s="232" t="e">
        <f>'MLK1-4'!U52</f>
        <v>#DIV/0!</v>
      </c>
      <c r="BL53" s="232" t="e">
        <f>'MLK1-4'!V52</f>
        <v>#DIV/0!</v>
      </c>
      <c r="BM53" s="231" t="str">
        <f>'MLK1-4'!AA52</f>
        <v xml:space="preserve"> </v>
      </c>
      <c r="BN53" s="232" t="e">
        <f>'MLK2-4'!U52</f>
        <v>#DIV/0!</v>
      </c>
      <c r="BO53" s="232" t="e">
        <f>'MLK2-4'!V52</f>
        <v>#DIV/0!</v>
      </c>
      <c r="BP53" s="231" t="str">
        <f>'MLK2-4'!AA52</f>
        <v xml:space="preserve"> </v>
      </c>
      <c r="BQ53" s="232" t="e">
        <f>'MLK3-4'!Y52</f>
        <v>#DIV/0!</v>
      </c>
      <c r="BR53" s="232" t="e">
        <f>'MLK3-4'!Z52</f>
        <v>#DIV/0!</v>
      </c>
      <c r="BS53" s="231" t="str">
        <f>'MLK3-4'!AE52</f>
        <v xml:space="preserve"> </v>
      </c>
    </row>
    <row r="54" spans="1:71" ht="108.75" customHeight="1">
      <c r="A54" s="227">
        <v>49</v>
      </c>
      <c r="B54" s="227">
        <f>SISWA!B54</f>
        <v>0</v>
      </c>
      <c r="C54" s="228">
        <f>SISWA!C54</f>
        <v>0</v>
      </c>
      <c r="D54" s="229" t="str">
        <f>SPIRIT!P53</f>
        <v xml:space="preserve">Ananda 0 baik dalam  ketaatan beribadah,  berperilaku syukur,  berdoa sebelum dan sesudah melakukan kegiatan,  toleransi dalam beribadah, </v>
      </c>
      <c r="E54" s="229" t="str">
        <f>SOSIAL!T53</f>
        <v xml:space="preserve">Ananda 0 baik dalam sikap jujur, disiplin, tanggung jawab, santun, peduli, percaya diri, </v>
      </c>
      <c r="F54" s="230" t="e">
        <f>'PAI3'!CI54</f>
        <v>#DIV/0!</v>
      </c>
      <c r="G54" s="230" t="e">
        <f>'PAI3'!CJ54</f>
        <v>#DIV/0!</v>
      </c>
      <c r="H54" s="231" t="str">
        <f>'PAI3'!CO54</f>
        <v xml:space="preserve"> </v>
      </c>
      <c r="I54" s="230" t="e">
        <f>'PKN3'!U53</f>
        <v>#DIV/0!</v>
      </c>
      <c r="J54" s="230" t="e">
        <f>'PKN3'!V53</f>
        <v>#DIV/0!</v>
      </c>
      <c r="K54" s="229" t="str">
        <f>'PKN3'!AA53</f>
        <v xml:space="preserve"> </v>
      </c>
      <c r="L54" s="232" t="e">
        <f>BIND3!U53</f>
        <v>#DIV/0!</v>
      </c>
      <c r="M54" s="232" t="e">
        <f>BIND3!V53</f>
        <v>#DIV/0!</v>
      </c>
      <c r="N54" s="231" t="str">
        <f>BIND3!AA53</f>
        <v xml:space="preserve"> </v>
      </c>
      <c r="O54" s="232" t="e">
        <f>'MTK3'!U53</f>
        <v>#DIV/0!</v>
      </c>
      <c r="P54" s="232" t="e">
        <f>'MTK3'!V53</f>
        <v>#DIV/0!</v>
      </c>
      <c r="Q54" s="231" t="str">
        <f>'MTK3'!AA53</f>
        <v xml:space="preserve"> </v>
      </c>
      <c r="R54" s="232" t="e">
        <f>'IPA3'!U53</f>
        <v>#DIV/0!</v>
      </c>
      <c r="S54" s="232" t="e">
        <f>'IPA3'!V53</f>
        <v>#DIV/0!</v>
      </c>
      <c r="T54" s="231" t="str">
        <f>'IPA3'!AA53</f>
        <v xml:space="preserve"> </v>
      </c>
      <c r="U54" s="232" t="e">
        <f>'IPS3'!U53</f>
        <v>#DIV/0!</v>
      </c>
      <c r="V54" s="232" t="e">
        <f>'IPS3'!V53</f>
        <v>#DIV/0!</v>
      </c>
      <c r="W54" s="231" t="str">
        <f>'IPS3'!AA53</f>
        <v xml:space="preserve"> </v>
      </c>
      <c r="X54" s="232" t="e">
        <f>SBDP3!U53</f>
        <v>#DIV/0!</v>
      </c>
      <c r="Y54" s="232" t="e">
        <f>SBDP3!V53</f>
        <v>#DIV/0!</v>
      </c>
      <c r="Z54" s="231" t="str">
        <f>SBDP3!AA53</f>
        <v xml:space="preserve"> </v>
      </c>
      <c r="AA54" s="232" t="e">
        <f>PJOK3!U53</f>
        <v>#DIV/0!</v>
      </c>
      <c r="AB54" s="232" t="e">
        <f>PJOK3!V53</f>
        <v>#DIV/0!</v>
      </c>
      <c r="AC54" s="231" t="str">
        <f>PJOK3!AA53</f>
        <v xml:space="preserve"> </v>
      </c>
      <c r="AD54" s="232" t="e">
        <f>'MLK1-3'!U53</f>
        <v>#DIV/0!</v>
      </c>
      <c r="AE54" s="232" t="e">
        <f>'MLK1-3'!V53</f>
        <v>#DIV/0!</v>
      </c>
      <c r="AF54" s="233" t="str">
        <f>'MLK1-3'!AA53</f>
        <v xml:space="preserve"> </v>
      </c>
      <c r="AG54" s="232" t="e">
        <f>'MLK2-3'!X53</f>
        <v>#DIV/0!</v>
      </c>
      <c r="AH54" s="232" t="e">
        <f>'MLK2-3'!Y53</f>
        <v>#DIV/0!</v>
      </c>
      <c r="AI54" s="231" t="str">
        <f>'MLK2-3'!AD53</f>
        <v xml:space="preserve"> </v>
      </c>
      <c r="AJ54" s="232" t="e">
        <f>'MLK3-3'!W53</f>
        <v>#DIV/0!</v>
      </c>
      <c r="AK54" s="232" t="e">
        <f>'MLK3-3'!X53</f>
        <v>#DIV/0!</v>
      </c>
      <c r="AL54" s="233" t="str">
        <f>'MLK3-3'!AC53</f>
        <v xml:space="preserve"> </v>
      </c>
      <c r="AM54" s="232" t="e">
        <f>'PAI4'!CI54</f>
        <v>#DIV/0!</v>
      </c>
      <c r="AN54" s="232" t="e">
        <f>'PAI4'!CJ54</f>
        <v>#DIV/0!</v>
      </c>
      <c r="AO54" s="233" t="str">
        <f>'PAI4'!CO54</f>
        <v xml:space="preserve"> </v>
      </c>
      <c r="AP54" s="232" t="e">
        <f>'PKN4'!U53</f>
        <v>#DIV/0!</v>
      </c>
      <c r="AQ54" s="232" t="e">
        <f>'PKN4'!V53</f>
        <v>#DIV/0!</v>
      </c>
      <c r="AR54" s="231" t="str">
        <f>'PKN4'!AA53</f>
        <v xml:space="preserve"> </v>
      </c>
      <c r="AS54" s="232" t="e">
        <f>BIND4!U53</f>
        <v>#DIV/0!</v>
      </c>
      <c r="AT54" s="232" t="e">
        <f>BIND4!V53</f>
        <v>#DIV/0!</v>
      </c>
      <c r="AU54" s="231" t="str">
        <f>BIND4!AA53</f>
        <v xml:space="preserve"> </v>
      </c>
      <c r="AV54" s="232" t="e">
        <f>'MTK4'!U53</f>
        <v>#DIV/0!</v>
      </c>
      <c r="AW54" s="232" t="e">
        <f>'MTK4'!V53</f>
        <v>#DIV/0!</v>
      </c>
      <c r="AX54" s="231" t="str">
        <f>'MTK4'!AA53</f>
        <v xml:space="preserve"> </v>
      </c>
      <c r="AY54" s="232" t="e">
        <f>'IPA4'!U53</f>
        <v>#DIV/0!</v>
      </c>
      <c r="AZ54" s="232" t="e">
        <f>'IPA4'!V53</f>
        <v>#DIV/0!</v>
      </c>
      <c r="BA54" s="231" t="str">
        <f>'IPA4'!AA53</f>
        <v xml:space="preserve"> </v>
      </c>
      <c r="BB54" s="232" t="e">
        <f>'IPS4'!U53</f>
        <v>#DIV/0!</v>
      </c>
      <c r="BC54" s="232" t="e">
        <f>'IPS4'!V53</f>
        <v>#DIV/0!</v>
      </c>
      <c r="BD54" s="231" t="str">
        <f>'IPS4'!AA53</f>
        <v xml:space="preserve"> </v>
      </c>
      <c r="BE54" s="232" t="e">
        <f>SBDP4!U53</f>
        <v>#DIV/0!</v>
      </c>
      <c r="BF54" s="232" t="e">
        <f>SBDP4!V53</f>
        <v>#DIV/0!</v>
      </c>
      <c r="BG54" s="231" t="str">
        <f>SBDP4!AA53</f>
        <v xml:space="preserve"> </v>
      </c>
      <c r="BH54" s="232" t="e">
        <f>PJOK4!U53</f>
        <v>#DIV/0!</v>
      </c>
      <c r="BI54" s="232" t="e">
        <f>PJOK4!V53</f>
        <v>#DIV/0!</v>
      </c>
      <c r="BJ54" s="233" t="str">
        <f>PJOK4!AA53</f>
        <v xml:space="preserve"> </v>
      </c>
      <c r="BK54" s="232" t="e">
        <f>'MLK1-4'!U53</f>
        <v>#DIV/0!</v>
      </c>
      <c r="BL54" s="232" t="e">
        <f>'MLK1-4'!V53</f>
        <v>#DIV/0!</v>
      </c>
      <c r="BM54" s="231" t="str">
        <f>'MLK1-4'!AA53</f>
        <v xml:space="preserve"> </v>
      </c>
      <c r="BN54" s="232" t="e">
        <f>'MLK2-4'!U53</f>
        <v>#DIV/0!</v>
      </c>
      <c r="BO54" s="232" t="e">
        <f>'MLK2-4'!V53</f>
        <v>#DIV/0!</v>
      </c>
      <c r="BP54" s="231" t="str">
        <f>'MLK2-4'!AA53</f>
        <v xml:space="preserve"> </v>
      </c>
      <c r="BQ54" s="232" t="e">
        <f>'MLK3-4'!Y53</f>
        <v>#DIV/0!</v>
      </c>
      <c r="BR54" s="232" t="e">
        <f>'MLK3-4'!Z53</f>
        <v>#DIV/0!</v>
      </c>
      <c r="BS54" s="231" t="str">
        <f>'MLK3-4'!AE53</f>
        <v xml:space="preserve"> </v>
      </c>
    </row>
    <row r="55" spans="1:71" ht="108.75" customHeight="1">
      <c r="A55" s="227">
        <v>50</v>
      </c>
      <c r="B55" s="227">
        <f>SISWA!B55</f>
        <v>0</v>
      </c>
      <c r="C55" s="228">
        <f>SISWA!C55</f>
        <v>0</v>
      </c>
      <c r="D55" s="229" t="str">
        <f>SPIRIT!P54</f>
        <v xml:space="preserve">Ananda 0 baik dalam  ketaatan beribadah,  berperilaku syukur,  berdoa sebelum dan sesudah melakukan kegiatan,  toleransi dalam beribadah, </v>
      </c>
      <c r="E55" s="229" t="str">
        <f>SOSIAL!T54</f>
        <v xml:space="preserve">Ananda 0 baik dalam sikap jujur, disiplin, tanggung jawab, santun, peduli, percaya diri, </v>
      </c>
      <c r="F55" s="230" t="e">
        <f>'PAI3'!CI55</f>
        <v>#DIV/0!</v>
      </c>
      <c r="G55" s="230" t="e">
        <f>'PAI3'!CJ55</f>
        <v>#DIV/0!</v>
      </c>
      <c r="H55" s="231" t="str">
        <f>'PAI3'!CO55</f>
        <v xml:space="preserve"> </v>
      </c>
      <c r="I55" s="230" t="e">
        <f>'PKN3'!U54</f>
        <v>#DIV/0!</v>
      </c>
      <c r="J55" s="230" t="e">
        <f>'PKN3'!V54</f>
        <v>#DIV/0!</v>
      </c>
      <c r="K55" s="229" t="str">
        <f>'PKN3'!AA54</f>
        <v xml:space="preserve"> </v>
      </c>
      <c r="L55" s="232" t="e">
        <f>BIND3!U54</f>
        <v>#DIV/0!</v>
      </c>
      <c r="M55" s="232" t="e">
        <f>BIND3!V54</f>
        <v>#DIV/0!</v>
      </c>
      <c r="N55" s="231" t="str">
        <f>BIND3!AA54</f>
        <v xml:space="preserve"> </v>
      </c>
      <c r="O55" s="232" t="e">
        <f>'MTK3'!U54</f>
        <v>#DIV/0!</v>
      </c>
      <c r="P55" s="232" t="e">
        <f>'MTK3'!V54</f>
        <v>#DIV/0!</v>
      </c>
      <c r="Q55" s="231" t="str">
        <f>'MTK3'!AA54</f>
        <v xml:space="preserve"> </v>
      </c>
      <c r="R55" s="232" t="e">
        <f>'IPA3'!U54</f>
        <v>#DIV/0!</v>
      </c>
      <c r="S55" s="232" t="e">
        <f>'IPA3'!V54</f>
        <v>#DIV/0!</v>
      </c>
      <c r="T55" s="231" t="str">
        <f>'IPA3'!AA54</f>
        <v xml:space="preserve"> </v>
      </c>
      <c r="U55" s="232" t="e">
        <f>'IPS3'!U54</f>
        <v>#DIV/0!</v>
      </c>
      <c r="V55" s="232" t="e">
        <f>'IPS3'!V54</f>
        <v>#DIV/0!</v>
      </c>
      <c r="W55" s="231" t="str">
        <f>'IPS3'!AA54</f>
        <v xml:space="preserve"> </v>
      </c>
      <c r="X55" s="232" t="e">
        <f>SBDP3!U54</f>
        <v>#DIV/0!</v>
      </c>
      <c r="Y55" s="232" t="e">
        <f>SBDP3!V54</f>
        <v>#DIV/0!</v>
      </c>
      <c r="Z55" s="231" t="str">
        <f>SBDP3!AA54</f>
        <v xml:space="preserve"> </v>
      </c>
      <c r="AA55" s="232" t="e">
        <f>PJOK3!U54</f>
        <v>#DIV/0!</v>
      </c>
      <c r="AB55" s="232" t="e">
        <f>PJOK3!V54</f>
        <v>#DIV/0!</v>
      </c>
      <c r="AC55" s="231" t="str">
        <f>PJOK3!AA54</f>
        <v xml:space="preserve"> </v>
      </c>
      <c r="AD55" s="232" t="e">
        <f>'MLK1-3'!U54</f>
        <v>#DIV/0!</v>
      </c>
      <c r="AE55" s="232" t="e">
        <f>'MLK1-3'!V54</f>
        <v>#DIV/0!</v>
      </c>
      <c r="AF55" s="233" t="str">
        <f>'MLK1-3'!AA54</f>
        <v xml:space="preserve"> </v>
      </c>
      <c r="AG55" s="232" t="e">
        <f>'MLK2-3'!X54</f>
        <v>#DIV/0!</v>
      </c>
      <c r="AH55" s="232" t="e">
        <f>'MLK2-3'!Y54</f>
        <v>#DIV/0!</v>
      </c>
      <c r="AI55" s="231" t="str">
        <f>'MLK2-3'!AD54</f>
        <v xml:space="preserve"> </v>
      </c>
      <c r="AJ55" s="232" t="e">
        <f>'MLK3-3'!W54</f>
        <v>#DIV/0!</v>
      </c>
      <c r="AK55" s="232" t="e">
        <f>'MLK3-3'!X54</f>
        <v>#DIV/0!</v>
      </c>
      <c r="AL55" s="233" t="str">
        <f>'MLK3-3'!AC54</f>
        <v xml:space="preserve"> </v>
      </c>
      <c r="AM55" s="232" t="e">
        <f>'PAI4'!CI55</f>
        <v>#DIV/0!</v>
      </c>
      <c r="AN55" s="232" t="e">
        <f>'PAI4'!CJ55</f>
        <v>#DIV/0!</v>
      </c>
      <c r="AO55" s="233" t="str">
        <f>'PAI4'!CO55</f>
        <v xml:space="preserve"> </v>
      </c>
      <c r="AP55" s="232" t="e">
        <f>'PKN4'!U54</f>
        <v>#DIV/0!</v>
      </c>
      <c r="AQ55" s="232" t="e">
        <f>'PKN4'!V54</f>
        <v>#DIV/0!</v>
      </c>
      <c r="AR55" s="231" t="str">
        <f>'PKN4'!AA54</f>
        <v xml:space="preserve"> </v>
      </c>
      <c r="AS55" s="232" t="e">
        <f>BIND4!U54</f>
        <v>#DIV/0!</v>
      </c>
      <c r="AT55" s="232" t="e">
        <f>BIND4!V54</f>
        <v>#DIV/0!</v>
      </c>
      <c r="AU55" s="231" t="str">
        <f>BIND4!AA54</f>
        <v xml:space="preserve"> </v>
      </c>
      <c r="AV55" s="232" t="e">
        <f>'MTK4'!U54</f>
        <v>#DIV/0!</v>
      </c>
      <c r="AW55" s="232" t="e">
        <f>'MTK4'!V54</f>
        <v>#DIV/0!</v>
      </c>
      <c r="AX55" s="231" t="str">
        <f>'MTK4'!AA54</f>
        <v xml:space="preserve"> </v>
      </c>
      <c r="AY55" s="232" t="e">
        <f>'IPA4'!U54</f>
        <v>#DIV/0!</v>
      </c>
      <c r="AZ55" s="232" t="e">
        <f>'IPA4'!V54</f>
        <v>#DIV/0!</v>
      </c>
      <c r="BA55" s="231" t="str">
        <f>'IPA4'!AA54</f>
        <v xml:space="preserve"> </v>
      </c>
      <c r="BB55" s="232" t="e">
        <f>'IPS4'!U54</f>
        <v>#DIV/0!</v>
      </c>
      <c r="BC55" s="232" t="e">
        <f>'IPS4'!V54</f>
        <v>#DIV/0!</v>
      </c>
      <c r="BD55" s="231" t="str">
        <f>'IPS4'!AA54</f>
        <v xml:space="preserve"> </v>
      </c>
      <c r="BE55" s="232" t="e">
        <f>SBDP4!U54</f>
        <v>#DIV/0!</v>
      </c>
      <c r="BF55" s="232" t="e">
        <f>SBDP4!V54</f>
        <v>#DIV/0!</v>
      </c>
      <c r="BG55" s="231" t="str">
        <f>SBDP4!AA54</f>
        <v xml:space="preserve"> </v>
      </c>
      <c r="BH55" s="232" t="e">
        <f>PJOK4!U54</f>
        <v>#DIV/0!</v>
      </c>
      <c r="BI55" s="232" t="e">
        <f>PJOK4!V54</f>
        <v>#DIV/0!</v>
      </c>
      <c r="BJ55" s="233" t="str">
        <f>PJOK4!AA54</f>
        <v xml:space="preserve"> </v>
      </c>
      <c r="BK55" s="232" t="e">
        <f>'MLK1-4'!U54</f>
        <v>#DIV/0!</v>
      </c>
      <c r="BL55" s="232" t="e">
        <f>'MLK1-4'!V54</f>
        <v>#DIV/0!</v>
      </c>
      <c r="BM55" s="231" t="str">
        <f>'MLK1-4'!AA54</f>
        <v xml:space="preserve"> </v>
      </c>
      <c r="BN55" s="232" t="e">
        <f>'MLK2-4'!U54</f>
        <v>#DIV/0!</v>
      </c>
      <c r="BO55" s="232" t="e">
        <f>'MLK2-4'!V54</f>
        <v>#DIV/0!</v>
      </c>
      <c r="BP55" s="231" t="str">
        <f>'MLK2-4'!AA54</f>
        <v xml:space="preserve"> </v>
      </c>
      <c r="BQ55" s="232" t="e">
        <f>'MLK3-4'!Y54</f>
        <v>#DIV/0!</v>
      </c>
      <c r="BR55" s="232" t="e">
        <f>'MLK3-4'!Z54</f>
        <v>#DIV/0!</v>
      </c>
      <c r="BS55" s="231" t="str">
        <f>'MLK3-4'!AE54</f>
        <v xml:space="preserve"> </v>
      </c>
    </row>
  </sheetData>
  <sheetProtection password="C70C" sheet="1" objects="1" scenarios="1"/>
  <mergeCells count="30">
    <mergeCell ref="A1:AL1"/>
    <mergeCell ref="F2:AL2"/>
    <mergeCell ref="AM2:BS2"/>
    <mergeCell ref="A3:A4"/>
    <mergeCell ref="B3:B4"/>
    <mergeCell ref="C3:C4"/>
    <mergeCell ref="D3:D4"/>
    <mergeCell ref="E3:E4"/>
    <mergeCell ref="F3:H3"/>
    <mergeCell ref="I3:K3"/>
    <mergeCell ref="L3:N3"/>
    <mergeCell ref="O3:Q3"/>
    <mergeCell ref="X3:Z3"/>
    <mergeCell ref="AA3:AC3"/>
    <mergeCell ref="AD3:AF3"/>
    <mergeCell ref="R3:T3"/>
    <mergeCell ref="U3:W3"/>
    <mergeCell ref="AY3:BA3"/>
    <mergeCell ref="BB3:BD3"/>
    <mergeCell ref="BQ3:BS3"/>
    <mergeCell ref="AJ3:AL3"/>
    <mergeCell ref="AM3:AO3"/>
    <mergeCell ref="AP3:AR3"/>
    <mergeCell ref="AS3:AU3"/>
    <mergeCell ref="AV3:AX3"/>
    <mergeCell ref="BE3:BG3"/>
    <mergeCell ref="BH3:BJ3"/>
    <mergeCell ref="BK3:BM3"/>
    <mergeCell ref="BN3:BP3"/>
    <mergeCell ref="AG3:AI3"/>
  </mergeCells>
  <pageMargins left="0.7" right="0.7" top="0.75" bottom="0.75" header="0.3" footer="0.3"/>
  <pageSetup paperSize="256" orientation="portrait" horizontalDpi="4294967293"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BX55"/>
  <sheetViews>
    <sheetView zoomScale="85" zoomScaleNormal="85" workbookViewId="0">
      <pane xSplit="5" ySplit="5" topLeftCell="F6" activePane="bottomRight" state="frozen"/>
      <selection pane="topRight" activeCell="F1" sqref="F1"/>
      <selection pane="bottomLeft" activeCell="A6" sqref="A6"/>
      <selection pane="bottomRight" sqref="A1:AL1"/>
    </sheetView>
  </sheetViews>
  <sheetFormatPr defaultRowHeight="15"/>
  <cols>
    <col min="1" max="1" width="4.85546875" style="137" customWidth="1"/>
    <col min="2" max="2" width="9.140625" style="466"/>
    <col min="3" max="3" width="31" style="137" customWidth="1"/>
    <col min="4" max="4" width="23.140625" style="137" hidden="1" customWidth="1"/>
    <col min="5" max="5" width="20.140625" style="137" hidden="1" customWidth="1"/>
    <col min="6" max="6" width="4.28515625" style="137" customWidth="1"/>
    <col min="7" max="7" width="4.7109375" style="137" customWidth="1"/>
    <col min="8" max="8" width="20.140625" style="137" hidden="1" customWidth="1"/>
    <col min="9" max="10" width="4.7109375" style="137" customWidth="1"/>
    <col min="11" max="11" width="16.7109375" style="137" hidden="1" customWidth="1"/>
    <col min="12" max="13" width="4.7109375" style="137" customWidth="1"/>
    <col min="14" max="14" width="16.7109375" style="137" hidden="1" customWidth="1"/>
    <col min="15" max="16" width="4.7109375" style="137" customWidth="1"/>
    <col min="17" max="17" width="16.7109375" style="137" hidden="1" customWidth="1"/>
    <col min="18" max="19" width="4.5703125" style="137" customWidth="1"/>
    <col min="20" max="20" width="16.7109375" style="137" hidden="1" customWidth="1"/>
    <col min="21" max="22" width="5" style="137" customWidth="1"/>
    <col min="23" max="23" width="16.7109375" style="137" hidden="1" customWidth="1"/>
    <col min="24" max="25" width="4.7109375" style="137" customWidth="1"/>
    <col min="26" max="26" width="16.7109375" style="137" hidden="1" customWidth="1"/>
    <col min="27" max="28" width="4.7109375" style="137" customWidth="1"/>
    <col min="29" max="29" width="16.7109375" style="137" hidden="1" customWidth="1"/>
    <col min="30" max="31" width="4.7109375" style="137" customWidth="1"/>
    <col min="32" max="32" width="16.7109375" style="137" hidden="1" customWidth="1"/>
    <col min="33" max="34" width="4.7109375" style="137" customWidth="1"/>
    <col min="35" max="35" width="16.7109375" style="137" hidden="1" customWidth="1"/>
    <col min="36" max="37" width="4.7109375" style="137" customWidth="1"/>
    <col min="38" max="38" width="16.7109375" style="137" hidden="1" customWidth="1"/>
    <col min="39" max="39" width="5.7109375" style="137" customWidth="1"/>
    <col min="40" max="40" width="4.7109375" style="137" customWidth="1"/>
    <col min="41" max="41" width="16.7109375" style="137" hidden="1" customWidth="1"/>
    <col min="42" max="43" width="4.7109375" style="137" customWidth="1"/>
    <col min="44" max="44" width="16.7109375" style="137" hidden="1" customWidth="1"/>
    <col min="45" max="46" width="4.7109375" style="137" customWidth="1"/>
    <col min="47" max="47" width="16.7109375" style="137" hidden="1" customWidth="1"/>
    <col min="48" max="49" width="4.7109375" style="137" customWidth="1"/>
    <col min="50" max="50" width="16.7109375" style="137" hidden="1" customWidth="1"/>
    <col min="51" max="52" width="6" style="137" customWidth="1"/>
    <col min="53" max="53" width="16.7109375" style="137" hidden="1" customWidth="1"/>
    <col min="54" max="55" width="4.5703125" style="137" customWidth="1"/>
    <col min="56" max="56" width="16.7109375" style="137" hidden="1" customWidth="1"/>
    <col min="57" max="57" width="5" style="137" customWidth="1"/>
    <col min="58" max="58" width="4.7109375" style="137" customWidth="1"/>
    <col min="59" max="59" width="16.7109375" style="137" hidden="1" customWidth="1"/>
    <col min="60" max="61" width="4.7109375" style="137" customWidth="1"/>
    <col min="62" max="62" width="16.7109375" style="137" hidden="1" customWidth="1"/>
    <col min="63" max="64" width="4.7109375" style="137" customWidth="1"/>
    <col min="65" max="65" width="16.7109375" style="137" hidden="1" customWidth="1"/>
    <col min="66" max="67" width="4.7109375" style="137" customWidth="1"/>
    <col min="68" max="68" width="16.7109375" style="137" hidden="1" customWidth="1"/>
    <col min="69" max="70" width="4.7109375" style="137" customWidth="1"/>
    <col min="71" max="71" width="16.7109375" style="137" hidden="1" customWidth="1"/>
    <col min="72" max="72" width="8" style="137" customWidth="1"/>
    <col min="73" max="73" width="12.85546875" style="137" hidden="1" customWidth="1"/>
    <col min="74" max="74" width="9.140625" style="137" customWidth="1"/>
    <col min="75" max="75" width="9.140625" style="137"/>
    <col min="76" max="76" width="0" style="137" hidden="1" customWidth="1"/>
    <col min="77" max="16384" width="9.140625" style="137"/>
  </cols>
  <sheetData>
    <row r="1" spans="1:76" ht="42.75" customHeight="1">
      <c r="A1" s="791" t="s">
        <v>345</v>
      </c>
      <c r="B1" s="791"/>
      <c r="C1" s="791"/>
      <c r="D1" s="791"/>
      <c r="E1" s="791"/>
      <c r="F1" s="791"/>
      <c r="G1" s="791"/>
      <c r="H1" s="791"/>
      <c r="I1" s="791"/>
      <c r="J1" s="791"/>
      <c r="K1" s="791"/>
      <c r="L1" s="791"/>
      <c r="M1" s="791"/>
      <c r="N1" s="791"/>
      <c r="O1" s="791"/>
      <c r="P1" s="791"/>
      <c r="Q1" s="791"/>
      <c r="R1" s="791"/>
      <c r="S1" s="791"/>
      <c r="T1" s="791"/>
      <c r="U1" s="791"/>
      <c r="V1" s="791"/>
      <c r="W1" s="791"/>
      <c r="X1" s="791"/>
      <c r="Y1" s="791"/>
      <c r="Z1" s="791"/>
      <c r="AA1" s="791"/>
      <c r="AB1" s="791"/>
      <c r="AC1" s="791"/>
      <c r="AD1" s="791"/>
      <c r="AE1" s="791"/>
      <c r="AF1" s="791"/>
      <c r="AG1" s="791"/>
      <c r="AH1" s="791"/>
      <c r="AI1" s="791"/>
      <c r="AJ1" s="791"/>
      <c r="AK1" s="791"/>
      <c r="AL1" s="791"/>
    </row>
    <row r="2" spans="1:76" ht="23.25">
      <c r="F2" s="792" t="s">
        <v>114</v>
      </c>
      <c r="G2" s="792"/>
      <c r="H2" s="792"/>
      <c r="I2" s="792"/>
      <c r="J2" s="792"/>
      <c r="K2" s="792"/>
      <c r="L2" s="792"/>
      <c r="M2" s="792"/>
      <c r="N2" s="792"/>
      <c r="O2" s="792"/>
      <c r="P2" s="792"/>
      <c r="Q2" s="792"/>
      <c r="R2" s="792"/>
      <c r="S2" s="792"/>
      <c r="T2" s="792"/>
      <c r="U2" s="792"/>
      <c r="V2" s="792"/>
      <c r="W2" s="792"/>
      <c r="X2" s="792"/>
      <c r="Y2" s="792"/>
      <c r="Z2" s="792"/>
      <c r="AA2" s="792"/>
      <c r="AB2" s="792"/>
      <c r="AC2" s="792"/>
      <c r="AD2" s="792"/>
      <c r="AE2" s="792"/>
      <c r="AF2" s="792"/>
      <c r="AG2" s="792"/>
      <c r="AH2" s="792"/>
      <c r="AI2" s="792"/>
      <c r="AJ2" s="792"/>
      <c r="AK2" s="792"/>
      <c r="AL2" s="792"/>
      <c r="AM2" s="793" t="s">
        <v>115</v>
      </c>
      <c r="AN2" s="793"/>
      <c r="AO2" s="793"/>
      <c r="AP2" s="793"/>
      <c r="AQ2" s="793"/>
      <c r="AR2" s="793"/>
      <c r="AS2" s="793"/>
      <c r="AT2" s="793"/>
      <c r="AU2" s="793"/>
      <c r="AV2" s="793"/>
      <c r="AW2" s="793"/>
      <c r="AX2" s="793"/>
      <c r="AY2" s="793"/>
      <c r="AZ2" s="793"/>
      <c r="BA2" s="793"/>
      <c r="BB2" s="793"/>
      <c r="BC2" s="793"/>
      <c r="BD2" s="793"/>
      <c r="BE2" s="793"/>
      <c r="BF2" s="793"/>
      <c r="BG2" s="793"/>
      <c r="BH2" s="793"/>
      <c r="BI2" s="793"/>
      <c r="BJ2" s="793"/>
      <c r="BK2" s="793"/>
      <c r="BL2" s="793"/>
      <c r="BM2" s="793"/>
      <c r="BN2" s="793"/>
      <c r="BO2" s="793"/>
      <c r="BP2" s="793"/>
      <c r="BQ2" s="793"/>
      <c r="BR2" s="793"/>
      <c r="BS2" s="794"/>
      <c r="BT2" s="805" t="s">
        <v>357</v>
      </c>
      <c r="BU2" s="797" t="s">
        <v>346</v>
      </c>
      <c r="BV2" s="797" t="s">
        <v>346</v>
      </c>
      <c r="BW2" s="797" t="s">
        <v>347</v>
      </c>
      <c r="BX2" s="466">
        <f>DEPAN!G5</f>
        <v>8</v>
      </c>
    </row>
    <row r="3" spans="1:76">
      <c r="A3" s="795" t="s">
        <v>4</v>
      </c>
      <c r="B3" s="796" t="s">
        <v>5</v>
      </c>
      <c r="C3" s="795" t="s">
        <v>6</v>
      </c>
      <c r="D3" s="797" t="s">
        <v>116</v>
      </c>
      <c r="E3" s="797" t="s">
        <v>117</v>
      </c>
      <c r="F3" s="798" t="s">
        <v>118</v>
      </c>
      <c r="G3" s="799"/>
      <c r="H3" s="800"/>
      <c r="I3" s="801" t="s">
        <v>119</v>
      </c>
      <c r="J3" s="802"/>
      <c r="K3" s="802"/>
      <c r="L3" s="804" t="s">
        <v>120</v>
      </c>
      <c r="M3" s="804"/>
      <c r="N3" s="804"/>
      <c r="O3" s="801" t="s">
        <v>121</v>
      </c>
      <c r="P3" s="802"/>
      <c r="Q3" s="803"/>
      <c r="R3" s="801" t="s">
        <v>208</v>
      </c>
      <c r="S3" s="802"/>
      <c r="T3" s="802"/>
      <c r="U3" s="802" t="s">
        <v>209</v>
      </c>
      <c r="V3" s="802"/>
      <c r="W3" s="803"/>
      <c r="X3" s="801" t="s">
        <v>122</v>
      </c>
      <c r="Y3" s="802"/>
      <c r="Z3" s="803"/>
      <c r="AA3" s="801" t="s">
        <v>123</v>
      </c>
      <c r="AB3" s="802"/>
      <c r="AC3" s="803"/>
      <c r="AD3" s="801" t="s">
        <v>124</v>
      </c>
      <c r="AE3" s="802"/>
      <c r="AF3" s="803"/>
      <c r="AG3" s="801" t="s">
        <v>125</v>
      </c>
      <c r="AH3" s="802"/>
      <c r="AI3" s="803"/>
      <c r="AJ3" s="801" t="s">
        <v>133</v>
      </c>
      <c r="AK3" s="802"/>
      <c r="AL3" s="803"/>
      <c r="AM3" s="801" t="s">
        <v>118</v>
      </c>
      <c r="AN3" s="802"/>
      <c r="AO3" s="803"/>
      <c r="AP3" s="801" t="s">
        <v>126</v>
      </c>
      <c r="AQ3" s="802"/>
      <c r="AR3" s="803"/>
      <c r="AS3" s="801" t="s">
        <v>120</v>
      </c>
      <c r="AT3" s="802"/>
      <c r="AU3" s="803"/>
      <c r="AV3" s="801" t="s">
        <v>121</v>
      </c>
      <c r="AW3" s="802"/>
      <c r="AX3" s="803"/>
      <c r="AY3" s="801" t="s">
        <v>208</v>
      </c>
      <c r="AZ3" s="802"/>
      <c r="BA3" s="802"/>
      <c r="BB3" s="802" t="s">
        <v>209</v>
      </c>
      <c r="BC3" s="802"/>
      <c r="BD3" s="803"/>
      <c r="BE3" s="801" t="s">
        <v>122</v>
      </c>
      <c r="BF3" s="802"/>
      <c r="BG3" s="803"/>
      <c r="BH3" s="801" t="s">
        <v>123</v>
      </c>
      <c r="BI3" s="802"/>
      <c r="BJ3" s="803"/>
      <c r="BK3" s="801" t="s">
        <v>124</v>
      </c>
      <c r="BL3" s="802"/>
      <c r="BM3" s="803"/>
      <c r="BN3" s="801" t="s">
        <v>127</v>
      </c>
      <c r="BO3" s="802"/>
      <c r="BP3" s="803"/>
      <c r="BQ3" s="801" t="s">
        <v>132</v>
      </c>
      <c r="BR3" s="802"/>
      <c r="BS3" s="802"/>
      <c r="BT3" s="805"/>
      <c r="BU3" s="797"/>
      <c r="BV3" s="797"/>
      <c r="BW3" s="797"/>
      <c r="BX3" s="506">
        <f>DEPAN!J5</f>
        <v>3</v>
      </c>
    </row>
    <row r="4" spans="1:76" ht="45">
      <c r="A4" s="795"/>
      <c r="B4" s="796"/>
      <c r="C4" s="795"/>
      <c r="D4" s="797"/>
      <c r="E4" s="797" t="s">
        <v>128</v>
      </c>
      <c r="F4" s="145" t="s">
        <v>13</v>
      </c>
      <c r="G4" s="467" t="s">
        <v>14</v>
      </c>
      <c r="H4" s="145" t="s">
        <v>129</v>
      </c>
      <c r="I4" s="145" t="s">
        <v>13</v>
      </c>
      <c r="J4" s="467" t="s">
        <v>14</v>
      </c>
      <c r="K4" s="468" t="s">
        <v>129</v>
      </c>
      <c r="L4" s="145" t="s">
        <v>13</v>
      </c>
      <c r="M4" s="467" t="s">
        <v>14</v>
      </c>
      <c r="N4" s="145" t="s">
        <v>129</v>
      </c>
      <c r="O4" s="145" t="s">
        <v>13</v>
      </c>
      <c r="P4" s="467" t="s">
        <v>14</v>
      </c>
      <c r="Q4" s="145" t="s">
        <v>129</v>
      </c>
      <c r="R4" s="145" t="s">
        <v>13</v>
      </c>
      <c r="S4" s="467" t="s">
        <v>14</v>
      </c>
      <c r="T4" s="145" t="s">
        <v>129</v>
      </c>
      <c r="U4" s="145" t="s">
        <v>13</v>
      </c>
      <c r="V4" s="467" t="s">
        <v>14</v>
      </c>
      <c r="W4" s="145" t="s">
        <v>129</v>
      </c>
      <c r="X4" s="145" t="s">
        <v>13</v>
      </c>
      <c r="Y4" s="149" t="s">
        <v>14</v>
      </c>
      <c r="Z4" s="469" t="s">
        <v>129</v>
      </c>
      <c r="AA4" s="145" t="s">
        <v>13</v>
      </c>
      <c r="AB4" s="149" t="s">
        <v>14</v>
      </c>
      <c r="AC4" s="469" t="s">
        <v>129</v>
      </c>
      <c r="AD4" s="145" t="s">
        <v>13</v>
      </c>
      <c r="AE4" s="149" t="s">
        <v>14</v>
      </c>
      <c r="AF4" s="469" t="s">
        <v>129</v>
      </c>
      <c r="AG4" s="145" t="s">
        <v>13</v>
      </c>
      <c r="AH4" s="149" t="s">
        <v>14</v>
      </c>
      <c r="AI4" s="469" t="s">
        <v>129</v>
      </c>
      <c r="AJ4" s="145" t="s">
        <v>13</v>
      </c>
      <c r="AK4" s="149" t="s">
        <v>14</v>
      </c>
      <c r="AL4" s="469" t="s">
        <v>129</v>
      </c>
      <c r="AM4" s="145" t="s">
        <v>13</v>
      </c>
      <c r="AN4" s="149" t="s">
        <v>14</v>
      </c>
      <c r="AO4" s="469" t="s">
        <v>129</v>
      </c>
      <c r="AP4" s="145" t="s">
        <v>13</v>
      </c>
      <c r="AQ4" s="149" t="s">
        <v>14</v>
      </c>
      <c r="AR4" s="469" t="s">
        <v>129</v>
      </c>
      <c r="AS4" s="145" t="s">
        <v>13</v>
      </c>
      <c r="AT4" s="149" t="s">
        <v>14</v>
      </c>
      <c r="AU4" s="469" t="s">
        <v>129</v>
      </c>
      <c r="AV4" s="145" t="s">
        <v>13</v>
      </c>
      <c r="AW4" s="149" t="s">
        <v>14</v>
      </c>
      <c r="AX4" s="469" t="s">
        <v>129</v>
      </c>
      <c r="AY4" s="145" t="s">
        <v>13</v>
      </c>
      <c r="AZ4" s="467" t="s">
        <v>14</v>
      </c>
      <c r="BA4" s="145" t="s">
        <v>129</v>
      </c>
      <c r="BB4" s="145" t="s">
        <v>13</v>
      </c>
      <c r="BC4" s="467" t="s">
        <v>14</v>
      </c>
      <c r="BD4" s="145" t="s">
        <v>129</v>
      </c>
      <c r="BE4" s="145" t="s">
        <v>13</v>
      </c>
      <c r="BF4" s="149" t="s">
        <v>14</v>
      </c>
      <c r="BG4" s="469" t="s">
        <v>129</v>
      </c>
      <c r="BH4" s="145" t="s">
        <v>13</v>
      </c>
      <c r="BI4" s="149" t="s">
        <v>14</v>
      </c>
      <c r="BJ4" s="469" t="s">
        <v>129</v>
      </c>
      <c r="BK4" s="145" t="s">
        <v>13</v>
      </c>
      <c r="BL4" s="149" t="s">
        <v>14</v>
      </c>
      <c r="BM4" s="469" t="s">
        <v>129</v>
      </c>
      <c r="BN4" s="145" t="s">
        <v>13</v>
      </c>
      <c r="BO4" s="149" t="s">
        <v>14</v>
      </c>
      <c r="BP4" s="469" t="s">
        <v>129</v>
      </c>
      <c r="BQ4" s="145" t="s">
        <v>13</v>
      </c>
      <c r="BR4" s="149" t="s">
        <v>14</v>
      </c>
      <c r="BS4" s="469" t="s">
        <v>129</v>
      </c>
      <c r="BT4" s="805"/>
      <c r="BU4" s="797"/>
      <c r="BV4" s="797"/>
      <c r="BW4" s="797"/>
      <c r="BX4" s="469">
        <f>(BX2+BX3)*2</f>
        <v>22</v>
      </c>
    </row>
    <row r="5" spans="1:76">
      <c r="A5" s="470">
        <v>1</v>
      </c>
      <c r="B5" s="470">
        <v>2</v>
      </c>
      <c r="C5" s="470">
        <v>3</v>
      </c>
      <c r="D5" s="470">
        <v>4</v>
      </c>
      <c r="E5" s="470">
        <v>5</v>
      </c>
      <c r="F5" s="470">
        <v>6</v>
      </c>
      <c r="G5" s="470">
        <v>7</v>
      </c>
      <c r="H5" s="470">
        <v>8</v>
      </c>
      <c r="I5" s="470">
        <v>9</v>
      </c>
      <c r="J5" s="470">
        <v>10</v>
      </c>
      <c r="K5" s="470">
        <v>11</v>
      </c>
      <c r="L5" s="470">
        <v>12</v>
      </c>
      <c r="M5" s="470">
        <v>13</v>
      </c>
      <c r="N5" s="470">
        <v>14</v>
      </c>
      <c r="O5" s="470">
        <v>15</v>
      </c>
      <c r="P5" s="470">
        <v>16</v>
      </c>
      <c r="Q5" s="470">
        <v>17</v>
      </c>
      <c r="R5" s="470">
        <v>18</v>
      </c>
      <c r="S5" s="470">
        <v>19</v>
      </c>
      <c r="T5" s="470">
        <v>20</v>
      </c>
      <c r="U5" s="470">
        <v>21</v>
      </c>
      <c r="V5" s="470">
        <v>22</v>
      </c>
      <c r="W5" s="470">
        <v>23</v>
      </c>
      <c r="X5" s="470">
        <v>24</v>
      </c>
      <c r="Y5" s="470">
        <v>25</v>
      </c>
      <c r="Z5" s="470">
        <v>26</v>
      </c>
      <c r="AA5" s="470">
        <v>27</v>
      </c>
      <c r="AB5" s="470">
        <v>28</v>
      </c>
      <c r="AC5" s="470">
        <v>29</v>
      </c>
      <c r="AD5" s="470">
        <v>30</v>
      </c>
      <c r="AE5" s="470">
        <v>31</v>
      </c>
      <c r="AF5" s="470">
        <v>32</v>
      </c>
      <c r="AG5" s="470">
        <v>33</v>
      </c>
      <c r="AH5" s="470">
        <v>34</v>
      </c>
      <c r="AI5" s="470">
        <v>35</v>
      </c>
      <c r="AJ5" s="470">
        <v>36</v>
      </c>
      <c r="AK5" s="470">
        <v>37</v>
      </c>
      <c r="AL5" s="470">
        <v>38</v>
      </c>
      <c r="AM5" s="470">
        <v>39</v>
      </c>
      <c r="AN5" s="470">
        <v>40</v>
      </c>
      <c r="AO5" s="470">
        <v>41</v>
      </c>
      <c r="AP5" s="470">
        <v>42</v>
      </c>
      <c r="AQ5" s="470">
        <v>43</v>
      </c>
      <c r="AR5" s="470">
        <v>44</v>
      </c>
      <c r="AS5" s="470">
        <v>45</v>
      </c>
      <c r="AT5" s="470">
        <v>46</v>
      </c>
      <c r="AU5" s="470">
        <v>47</v>
      </c>
      <c r="AV5" s="470">
        <v>48</v>
      </c>
      <c r="AW5" s="470">
        <v>49</v>
      </c>
      <c r="AX5" s="470">
        <v>50</v>
      </c>
      <c r="AY5" s="470">
        <v>51</v>
      </c>
      <c r="AZ5" s="470">
        <v>52</v>
      </c>
      <c r="BA5" s="470">
        <v>53</v>
      </c>
      <c r="BB5" s="470">
        <v>54</v>
      </c>
      <c r="BC5" s="470">
        <v>55</v>
      </c>
      <c r="BD5" s="470">
        <v>56</v>
      </c>
      <c r="BE5" s="470">
        <v>57</v>
      </c>
      <c r="BF5" s="470">
        <v>58</v>
      </c>
      <c r="BG5" s="470">
        <v>59</v>
      </c>
      <c r="BH5" s="470">
        <v>60</v>
      </c>
      <c r="BI5" s="470">
        <v>61</v>
      </c>
      <c r="BJ5" s="470">
        <v>62</v>
      </c>
      <c r="BK5" s="470">
        <v>63</v>
      </c>
      <c r="BL5" s="470">
        <v>64</v>
      </c>
      <c r="BM5" s="470">
        <v>65</v>
      </c>
      <c r="BN5" s="470">
        <v>66</v>
      </c>
      <c r="BO5" s="470">
        <v>67</v>
      </c>
      <c r="BP5" s="470">
        <v>68</v>
      </c>
      <c r="BQ5" s="470">
        <v>69</v>
      </c>
      <c r="BR5" s="470">
        <v>70</v>
      </c>
      <c r="BS5" s="470">
        <v>71</v>
      </c>
      <c r="BT5" s="504"/>
    </row>
    <row r="6" spans="1:76" ht="20.25" customHeight="1">
      <c r="A6" s="146">
        <v>1</v>
      </c>
      <c r="B6" s="146" t="str">
        <f>SISWA!B6</f>
        <v>1718250040305</v>
      </c>
      <c r="C6" s="471" t="str">
        <f>SISWA!C6</f>
        <v>ABDANI YAHYA</v>
      </c>
      <c r="D6" s="472" t="str">
        <f>SPIRIT!P5</f>
        <v xml:space="preserve">Ananda YAHYA baik dalam  ketaatan beribadah,  berperilaku syukur,  berdoa sebelum dan sesudah melakukan kegiatan,  toleransi dalam beribadah, </v>
      </c>
      <c r="E6" s="472" t="str">
        <f>SOSIAL!T5</f>
        <v xml:space="preserve">Ananda YAHYA baik dalam sikap jujur, disiplin, tanggung jawab, santun, peduli, percaya diri, </v>
      </c>
      <c r="F6" s="473">
        <f>IFERROR('PAI3'!CI6,"")</f>
        <v>81</v>
      </c>
      <c r="G6" s="473" t="str">
        <f>IFERROR('PAI3'!CJ6,"")</f>
        <v>B</v>
      </c>
      <c r="H6" s="474" t="str">
        <f>'PAI3'!CO6</f>
        <v>YAHYA sangat baik  dalam memahami makna Q.S. at-Tīn dan Q.S. al-Mā’ūn dengan benar., dan  cukup baik  dalam memahami makna sederhana dalam kehidupan sehari-hari.</v>
      </c>
      <c r="I6" s="473">
        <f>IFERROR('PKN3'!U5,"")</f>
        <v>95</v>
      </c>
      <c r="J6" s="473" t="str">
        <f>IFERROR('PKN3'!V5,"")</f>
        <v>A</v>
      </c>
      <c r="K6" s="472" t="str">
        <f>'PKN3'!AA5</f>
        <v xml:space="preserve">YAHYA sangat baik  dalam memahami hak, kewajiban dan tanggung jawab sebagai warga dalam kehidupan sehari-hari.
</v>
      </c>
      <c r="L6" s="475">
        <f>IFERROR(BIND3!U5,"")</f>
        <v>93</v>
      </c>
      <c r="M6" s="475" t="str">
        <f>IFERROR(BIND3!V5,"")</f>
        <v>A</v>
      </c>
      <c r="N6" s="474" t="str">
        <f>BIND3!AA5</f>
        <v>YAHYA sangat baik  dalam meringkas teks penjelasan (eksplanasi) dari media cetak atau elektronik.</v>
      </c>
      <c r="O6" s="475">
        <f>IFERROR('MTK3'!U5,"")</f>
        <v>85</v>
      </c>
      <c r="P6" s="475" t="str">
        <f>IFERROR('MTK3'!V5,"")</f>
        <v>B</v>
      </c>
      <c r="Q6" s="474" t="str">
        <f>'MTK3'!AA5</f>
        <v xml:space="preserve">YAHYA baik  dalam menjelaskan, dan menentukan volume bangun ruang dengan menggunakan satuan volume (seperti kubus satuan) serta hubungan pangkat tiga dengan akar pangkat tiga
</v>
      </c>
      <c r="R6" s="475">
        <f>IFERROR('IPA3'!U5,"")</f>
        <v>93</v>
      </c>
      <c r="S6" s="475" t="str">
        <f>IFERROR('IPA3'!V5,"")</f>
        <v>A</v>
      </c>
      <c r="T6" s="474" t="str">
        <f>'IPA3'!AA5</f>
        <v xml:space="preserve">YAHYA sangat baik  dalam menerapkan konsep perpindahan kalor dalam kehidupan sehari-hari.
</v>
      </c>
      <c r="U6" s="475">
        <f>IFERROR('IPS3'!U5,"")</f>
        <v>88</v>
      </c>
      <c r="V6" s="475" t="str">
        <f>IFERROR('IPS3'!V5,"")</f>
        <v>A</v>
      </c>
      <c r="W6" s="474" t="str">
        <f>'IPS3'!AA5</f>
        <v>YAHYA sangat baik  dalam Mengidentifikasi karakteristik geografis Indonesia sebagai negara kepulauan/maritim dan agraris serta pengaruhnya terhadap kehidupan ekonomi, sosial, budaya, komunikasi, serta transportasi.</v>
      </c>
      <c r="X6" s="475">
        <f>IFERROR(SBDP3!U5,"")</f>
        <v>95</v>
      </c>
      <c r="Y6" s="475" t="str">
        <f>IFERROR(SBDP3!V5,"")</f>
        <v>A</v>
      </c>
      <c r="Z6" s="474" t="str">
        <f>SBDP3!AA5</f>
        <v>YAHYA sangat baik  dalam memahami gambar cerita</v>
      </c>
      <c r="AA6" s="475">
        <f>IFERROR(PJOK3!U5,"")</f>
        <v>89</v>
      </c>
      <c r="AB6" s="475" t="str">
        <f>IFERROR(PJOK3!V5,"")</f>
        <v>A</v>
      </c>
      <c r="AC6" s="474" t="str">
        <f>PJOK3!AA5</f>
        <v xml:space="preserve">YAHYA sangat baik  dalam memahami kombinasi pola gerak dominan (bertumpu, bergantung, keseimbangan, berpindah/lokomotor, tolakan, putaran, ayunan, melayang, dan mendarat) untuk membentuk keterampilan dasar senam menggunakan alat
</v>
      </c>
      <c r="AD6" s="475">
        <f>IFERROR('MLK1-3'!U5,"")</f>
        <v>85</v>
      </c>
      <c r="AE6" s="475" t="str">
        <f>IFERROR('MLK1-3'!V5,"")</f>
        <v>B</v>
      </c>
      <c r="AF6" s="476" t="str">
        <f>'MLK1-3'!AA5</f>
        <v>YAHYA baik  dalam memahami teks kawih tentang bangga sebagai bangsa Indonesia</v>
      </c>
      <c r="AG6" s="475">
        <f>IFERROR('MLK2-3'!X5,"")</f>
        <v>97</v>
      </c>
      <c r="AH6" s="475" t="str">
        <f>IFERROR('MLK2-3'!Y5,"")</f>
        <v>A</v>
      </c>
      <c r="AI6" s="474" t="str">
        <f>'MLK2-3'!AD5</f>
        <v xml:space="preserve">YAHYA sangat baik  dalam merespon instruksi sangat sederhana dengan tindakan secara berterima dalam konteks sekolah  </v>
      </c>
      <c r="AJ6" s="475">
        <f>IFERROR('MLK3-3'!W5,"")</f>
        <v>97</v>
      </c>
      <c r="AK6" s="475" t="str">
        <f>IFERROR('MLK3-3'!X5,"")</f>
        <v>A</v>
      </c>
      <c r="AL6" s="476" t="str">
        <f>'MLK3-3'!AC5</f>
        <v xml:space="preserve">YAHYA sangat baik  dalam merespon instruksi sangat sederhana dengan tindakan secara berterima dalam konteks sekolah  , dan  sangat baik  dalam membaca nyaring dengan ucapan, tekanan, dan intonasi secara tepat dan berterima yang melibatkan: kata, frasa, kalimat sangat sederhana, dan teks sangat sederhana 
</v>
      </c>
      <c r="AM6" s="475">
        <f>IFERROR('PAI4'!CI6,"")</f>
        <v>90</v>
      </c>
      <c r="AN6" s="475" t="str">
        <f>IFERROR('PAI4'!CJ6,"")</f>
        <v>A</v>
      </c>
      <c r="AO6" s="476" t="str">
        <f>'PAI4'!CO6</f>
        <v>YAHYA sangat baik  dalam membaca Q.S. at-Tīn dan Q.S. al-Mā’ūn dengan tartil.</v>
      </c>
      <c r="AP6" s="475">
        <f>IFERROR('PKN4'!U5,"")</f>
        <v>95</v>
      </c>
      <c r="AQ6" s="475" t="str">
        <f>IFERROR('PKN4'!V5,"")</f>
        <v>A</v>
      </c>
      <c r="AR6" s="474" t="str">
        <f>'PKN4'!AA5</f>
        <v>YAHYA sangat baik  dalam menjelaskan hak, kewajiban, dan tanggung  jawab sebagai warga masyarakat dalam kehidupan sehari-hari</v>
      </c>
      <c r="AS6" s="475">
        <f>IFERROR(BIND4!U5,"")</f>
        <v>93</v>
      </c>
      <c r="AT6" s="475" t="str">
        <f>IFERROR(BIND4!V5,"")</f>
        <v>A</v>
      </c>
      <c r="AU6" s="474" t="str">
        <f>BIND4!AA5</f>
        <v xml:space="preserve">YAHYA sangat baik  dalam menyajikan ringkasan teks penjelasan (eksplanasi) dari media cetak atau elektronik dengan menggunakan kosakata baku dan kalimat efektif secara lisan, tulis, dan visual.
</v>
      </c>
      <c r="AV6" s="475">
        <f>IFERROR('MTK4'!U5,"")</f>
        <v>85</v>
      </c>
      <c r="AW6" s="475" t="str">
        <f>IFERROR('MTK4'!V5,"")</f>
        <v>B</v>
      </c>
      <c r="AX6" s="474" t="str">
        <f>'MTK4'!AA5</f>
        <v xml:space="preserve">YAHYA baik  dalam menyelesaikan masalah yang berkaitan dengan volume bangun ruang dengan menggunakan satuan volume (seperti kubus satuan) melibatkan pangkat tiga dan akar pangkat tiga
</v>
      </c>
      <c r="AY6" s="475">
        <f>IFERROR('IPA4'!U5,"")</f>
        <v>93</v>
      </c>
      <c r="AZ6" s="475" t="str">
        <f>IFERROR('IPA4'!V5,"")</f>
        <v>A</v>
      </c>
      <c r="BA6" s="474" t="str">
        <f>'IPA4'!AA5</f>
        <v>YAHYA sangat baik  dalam melaporkan hasil pengamatan tentang perpindahan kalor.</v>
      </c>
      <c r="BB6" s="475">
        <f>IFERROR('IPS4'!U5,"")</f>
        <v>88</v>
      </c>
      <c r="BC6" s="475" t="str">
        <f>IFERROR('IPS4'!V5,"")</f>
        <v>A</v>
      </c>
      <c r="BD6" s="474" t="str">
        <f>'IPS4'!AA5</f>
        <v>YAHYA sangat baik  dalam menyajikan hasil identifikasi karakteristik geografis Indonesia sebagai negara kepulauan/maritim dan agraris serta pengaruhnya terhadap kehidupan ekonomi, sosial, budaya, komunikasi, serta transportasi.</v>
      </c>
      <c r="BE6" s="475">
        <f>IFERROR(SBDP4!U5,"")</f>
        <v>95</v>
      </c>
      <c r="BF6" s="475" t="str">
        <f>IFERROR(SBDP4!V5,"")</f>
        <v>A</v>
      </c>
      <c r="BG6" s="474" t="str">
        <f>SBDP4!AA5</f>
        <v>YAHYA sangat baik  dalam membuat gambar cerita</v>
      </c>
      <c r="BH6" s="475">
        <f>IFERROR(PJOK4!U5,"")</f>
        <v>89</v>
      </c>
      <c r="BI6" s="475" t="str">
        <f>IFERROR(PJOK4!V5,"")</f>
        <v>A</v>
      </c>
      <c r="BJ6" s="476" t="str">
        <f>PJOK4!AA5</f>
        <v>YAHYA sangat baik  dalam mempraktikkan salah satu gaya renang dengan koordinasi yang baik pada jarak tertentu, dan  baik  dalam memaparkan bahaya merokok, meminum minuman keras, dan mengonsumsi narkotika, zat-zat aditif (NAPZA) dan obat berbahaya lainnya terhadap kesehatan tubuh</v>
      </c>
      <c r="BK6" s="475">
        <f>IFERROR('MLK1-4'!U5,"")</f>
        <v>85</v>
      </c>
      <c r="BL6" s="475" t="str">
        <f>IFERROR('MLK1-4'!V5,"")</f>
        <v>B</v>
      </c>
      <c r="BM6" s="474" t="str">
        <f>'MLK1-4'!AA5</f>
        <v>YAHYA baik  dalam melantunkan dan menceritakan isi kawih tentang bangga sebagai bangsa Indonesia</v>
      </c>
      <c r="BN6" s="475">
        <f>IFERROR('MLK2-4'!U5,"")</f>
        <v>97</v>
      </c>
      <c r="BO6" s="475" t="str">
        <f>IFERROR('MLK2-4'!V5,"")</f>
        <v>A</v>
      </c>
      <c r="BP6" s="474" t="str">
        <f>'MLK2-4'!AA5</f>
        <v>YAHYA sangat baik  dalam memahami langkah-langkah pengawasan kelestarian lingkungan hidup</v>
      </c>
      <c r="BQ6" s="475">
        <f>IFERROR('MLK3-4'!Y5,"")</f>
        <v>95</v>
      </c>
      <c r="BR6" s="475" t="str">
        <f>IFERROR('MLK3-4'!Z5,"")</f>
        <v>A</v>
      </c>
      <c r="BS6" s="474" t="str">
        <f>'MLK3-4'!AE5</f>
        <v xml:space="preserve">YAHYA sangat baik  dalam merespon instruksi sangat sederhana dengan tindakan secara berterima dalam konteks sekolah  </v>
      </c>
      <c r="BT6" s="475">
        <f>IFERROR(BU6/$BX$4,"")</f>
        <v>87.36363636363636</v>
      </c>
      <c r="BU6" s="505">
        <f t="shared" ref="BU6:BU55" si="0">SUM(I6,L6,O6,R6,U6,X6,AA6,AD6,AG6,AJ6,AM6,AP6,AS6,AV6,AY6,BB6,BE6,BH6,BK6,BN6,BQ6)</f>
        <v>1922</v>
      </c>
      <c r="BV6" s="477">
        <f>IFERROR(BU6,"")</f>
        <v>1922</v>
      </c>
      <c r="BW6" s="478">
        <f>IFERROR(RANK(BV6,$BV$6:$BV$55,0),"")</f>
        <v>3</v>
      </c>
    </row>
    <row r="7" spans="1:76" ht="20.25" customHeight="1">
      <c r="A7" s="146">
        <v>2</v>
      </c>
      <c r="B7" s="146" t="str">
        <f>SISWA!B7</f>
        <v>1718250040306</v>
      </c>
      <c r="C7" s="471" t="str">
        <f>SISWA!C7</f>
        <v>ADHWA BARIQ RAMDAENI BADRUL YAMAN</v>
      </c>
      <c r="D7" s="472" t="str">
        <f>SPIRIT!P6</f>
        <v xml:space="preserve">Ananda ADHWA baik dalam  ketaatan beribadah,  berperilaku syukur,  berdoa sebelum dan sesudah melakukan kegiatan,  toleransi dalam beribadah, </v>
      </c>
      <c r="E7" s="472" t="str">
        <f>SOSIAL!T6</f>
        <v xml:space="preserve">Ananda ADHWA baik dalam sikap jujur, disiplin, tanggung jawab, santun, peduli, percaya diri, </v>
      </c>
      <c r="F7" s="473">
        <f>IFERROR('PAI3'!CI7,"")</f>
        <v>80</v>
      </c>
      <c r="G7" s="473" t="str">
        <f>IFERROR('PAI3'!CJ7,"")</f>
        <v>B</v>
      </c>
      <c r="H7" s="474" t="str">
        <f>'PAI3'!CO7</f>
        <v>ADHWA baik  dalam memahami pelaksanaan salat tarawih dan tadarus al-Qur'an., dan  cukup baik  dalam memahami nama-nama Rasul Allah dan Rasul Ulul ‘Azmi.</v>
      </c>
      <c r="I7" s="473">
        <f>IFERROR('PKN3'!U6,"")</f>
        <v>90</v>
      </c>
      <c r="J7" s="473" t="str">
        <f>IFERROR('PKN3'!V6,"")</f>
        <v>A</v>
      </c>
      <c r="K7" s="472" t="str">
        <f>'PKN3'!AA6</f>
        <v xml:space="preserve">ADHWA sangat baik  dalam memahami hak, kewajiban dan tanggung jawab sebagai warga dalam kehidupan sehari-hari.
</v>
      </c>
      <c r="L7" s="475">
        <f>IFERROR(BIND3!U6,"")</f>
        <v>88</v>
      </c>
      <c r="M7" s="475" t="str">
        <f>IFERROR(BIND3!V6,"")</f>
        <v>A</v>
      </c>
      <c r="N7" s="474" t="str">
        <f>BIND3!AA6</f>
        <v>ADHWA sangat baik  dalam meringkas teks penjelasan (eksplanasi) dari media cetak atau elektronik.</v>
      </c>
      <c r="O7" s="475">
        <f>IFERROR('MTK3'!U6,"")</f>
        <v>85</v>
      </c>
      <c r="P7" s="475" t="str">
        <f>IFERROR('MTK3'!V6,"")</f>
        <v>B</v>
      </c>
      <c r="Q7" s="474" t="str">
        <f>'MTK3'!AA6</f>
        <v xml:space="preserve">ADHWA baik  dalam menjelaskan, dan menentukan volume bangun ruang dengan menggunakan satuan volume (seperti kubus satuan) serta hubungan pangkat tiga dengan akar pangkat tiga
</v>
      </c>
      <c r="R7" s="475">
        <f>IFERROR('IPA3'!U6,"")</f>
        <v>95</v>
      </c>
      <c r="S7" s="475" t="str">
        <f>IFERROR('IPA3'!V6,"")</f>
        <v>A</v>
      </c>
      <c r="T7" s="474" t="str">
        <f>'IPA3'!AA6</f>
        <v xml:space="preserve">ADHWA sangat baik  dalam menerapkan konsep perpindahan kalor dalam kehidupan sehari-hari.
</v>
      </c>
      <c r="U7" s="475">
        <f>IFERROR('IPS3'!U6,"")</f>
        <v>85</v>
      </c>
      <c r="V7" s="475" t="str">
        <f>IFERROR('IPS3'!V6,"")</f>
        <v>B</v>
      </c>
      <c r="W7" s="474" t="str">
        <f>'IPS3'!AA6</f>
        <v>ADHWA baik  dalam Mengidentifikasi karakteristik geografis Indonesia sebagai negara kepulauan/maritim dan agraris serta pengaruhnya terhadap kehidupan ekonomi, sosial, budaya, komunikasi, serta transportasi.</v>
      </c>
      <c r="X7" s="475">
        <f>IFERROR(SBDP3!U6,"")</f>
        <v>95</v>
      </c>
      <c r="Y7" s="475" t="str">
        <f>IFERROR(SBDP3!V6,"")</f>
        <v>A</v>
      </c>
      <c r="Z7" s="474" t="str">
        <f>SBDP3!AA6</f>
        <v>ADHWA sangat baik  dalam memahami gambar cerita</v>
      </c>
      <c r="AA7" s="475">
        <f>IFERROR(PJOK3!U6,"")</f>
        <v>89</v>
      </c>
      <c r="AB7" s="475" t="str">
        <f>IFERROR(PJOK3!V6,"")</f>
        <v>A</v>
      </c>
      <c r="AC7" s="474" t="str">
        <f>PJOK3!AA6</f>
        <v xml:space="preserve">ADHWA sangat baik  dalam memahami kombinasi pola gerak dominan (bertumpu, bergantung, keseimbangan, berpindah/lokomotor, tolakan, putaran, ayunan, melayang, dan mendarat) untuk membentuk keterampilan dasar senam menggunakan alat
</v>
      </c>
      <c r="AD7" s="475">
        <f>IFERROR('MLK1-3'!U6,"")</f>
        <v>82</v>
      </c>
      <c r="AE7" s="475" t="str">
        <f>IFERROR('MLK1-3'!V6,"")</f>
        <v>B</v>
      </c>
      <c r="AF7" s="476" t="str">
        <f>'MLK1-3'!AA6</f>
        <v>ADHWA baik  dalam memahami teks kawih tentang bangga sebagai bangsa Indonesia</v>
      </c>
      <c r="AG7" s="475">
        <f>IFERROR('MLK2-3'!X6,"")</f>
        <v>97</v>
      </c>
      <c r="AH7" s="475" t="str">
        <f>IFERROR('MLK2-3'!Y6,"")</f>
        <v>A</v>
      </c>
      <c r="AI7" s="474" t="str">
        <f>'MLK2-3'!AD6</f>
        <v xml:space="preserve">ADHWA sangat baik  dalam merespon instruksi sangat sederhana dengan tindakan secara berterima dalam konteks sekolah  </v>
      </c>
      <c r="AJ7" s="475">
        <f>IFERROR('MLK3-3'!W6,"")</f>
        <v>90</v>
      </c>
      <c r="AK7" s="475" t="str">
        <f>IFERROR('MLK3-3'!X6,"")</f>
        <v>A</v>
      </c>
      <c r="AL7" s="476" t="str">
        <f>'MLK3-3'!AC6</f>
        <v xml:space="preserve">ADHWA sangat baik  dalam membaca nyaring dengan ucapan, tekanan, dan intonasi secara tepat dan berterima yang melibatkan: kata, frasa, kalimat sangat sederhana, dan teks sangat sederhana 
, dan  baik  dalam merespon instruksi sangat sederhana dengan tindakan secara berterima dalam konteks sekolah  </v>
      </c>
      <c r="AM7" s="475">
        <f>IFERROR('PAI4'!CI7,"")</f>
        <v>90</v>
      </c>
      <c r="AN7" s="475" t="str">
        <f>IFERROR('PAI4'!CJ7,"")</f>
        <v>A</v>
      </c>
      <c r="AO7" s="476" t="str">
        <f>'PAI4'!CO7</f>
        <v>ADHWA sangat baik  dalam membaca Q.S. at-Tīn dan Q.S. al-Mā’ūn dengan tartil.</v>
      </c>
      <c r="AP7" s="475">
        <f>IFERROR('PKN4'!U6,"")</f>
        <v>90</v>
      </c>
      <c r="AQ7" s="475" t="str">
        <f>IFERROR('PKN4'!V6,"")</f>
        <v>A</v>
      </c>
      <c r="AR7" s="474" t="str">
        <f>'PKN4'!AA6</f>
        <v>ADHWA sangat baik  dalam menjelaskan hak, kewajiban, dan tanggung  jawab sebagai warga masyarakat dalam kehidupan sehari-hari</v>
      </c>
      <c r="AS7" s="475">
        <f>IFERROR(BIND4!U6,"")</f>
        <v>88</v>
      </c>
      <c r="AT7" s="475" t="str">
        <f>IFERROR(BIND4!V6,"")</f>
        <v>A</v>
      </c>
      <c r="AU7" s="474" t="str">
        <f>BIND4!AA6</f>
        <v xml:space="preserve">ADHWA sangat baik  dalam menyajikan ringkasan teks penjelasan (eksplanasi) dari media cetak atau elektronik dengan menggunakan kosakata baku dan kalimat efektif secara lisan, tulis, dan visual.
</v>
      </c>
      <c r="AV7" s="475">
        <f>IFERROR('MTK4'!U6,"")</f>
        <v>80</v>
      </c>
      <c r="AW7" s="475" t="str">
        <f>IFERROR('MTK4'!V6,"")</f>
        <v>B</v>
      </c>
      <c r="AX7" s="474" t="str">
        <f>'MTK4'!AA6</f>
        <v xml:space="preserve">ADHWA baik  dalam menyelesaikan masalah yang berkaitan dengan volume bangun ruang dengan menggunakan satuan volume (seperti kubus satuan) melibatkan pangkat tiga dan akar pangkat tiga
</v>
      </c>
      <c r="AY7" s="475">
        <f>IFERROR('IPA4'!U6,"")</f>
        <v>95</v>
      </c>
      <c r="AZ7" s="475" t="str">
        <f>IFERROR('IPA4'!V6,"")</f>
        <v>A</v>
      </c>
      <c r="BA7" s="474" t="str">
        <f>'IPA4'!AA6</f>
        <v>ADHWA sangat baik  dalam melaporkan hasil pengamatan tentang perpindahan kalor.</v>
      </c>
      <c r="BB7" s="475">
        <f>IFERROR('IPS4'!U6,"")</f>
        <v>85</v>
      </c>
      <c r="BC7" s="475" t="str">
        <f>IFERROR('IPS4'!V6,"")</f>
        <v>B</v>
      </c>
      <c r="BD7" s="474" t="str">
        <f>'IPS4'!AA6</f>
        <v>ADHWA baik  dalam menyajikan hasil identifikasi karakteristik geografis Indonesia sebagai negara kepulauan/maritim dan agraris serta pengaruhnya terhadap kehidupan ekonomi, sosial, budaya, komunikasi, serta transportasi.</v>
      </c>
      <c r="BE7" s="475">
        <f>IFERROR(SBDP4!U6,"")</f>
        <v>95</v>
      </c>
      <c r="BF7" s="475" t="str">
        <f>IFERROR(SBDP4!V6,"")</f>
        <v>A</v>
      </c>
      <c r="BG7" s="474" t="str">
        <f>SBDP4!AA6</f>
        <v>ADHWA sangat baik  dalam membuat gambar cerita</v>
      </c>
      <c r="BH7" s="475">
        <f>IFERROR(PJOK4!U6,"")</f>
        <v>88</v>
      </c>
      <c r="BI7" s="475" t="str">
        <f>IFERROR(PJOK4!V6,"")</f>
        <v>A</v>
      </c>
      <c r="BJ7" s="476" t="str">
        <f>PJOK4!AA6</f>
        <v>ADHWA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BK7" s="475">
        <f>IFERROR('MLK1-4'!U6,"")</f>
        <v>82</v>
      </c>
      <c r="BL7" s="475" t="str">
        <f>IFERROR('MLK1-4'!V6,"")</f>
        <v>B</v>
      </c>
      <c r="BM7" s="474" t="str">
        <f>'MLK1-4'!AA6</f>
        <v>ADHWA baik  dalam melantunkan dan menceritakan isi kawih tentang bangga sebagai bangsa Indonesia</v>
      </c>
      <c r="BN7" s="475">
        <f>IFERROR('MLK2-4'!U6,"")</f>
        <v>97</v>
      </c>
      <c r="BO7" s="475" t="str">
        <f>IFERROR('MLK2-4'!V6,"")</f>
        <v>A</v>
      </c>
      <c r="BP7" s="474" t="str">
        <f>'MLK2-4'!AA6</f>
        <v>ADHWA sangat baik  dalam memahami langkah-langkah pengawasan kelestarian lingkungan hidup</v>
      </c>
      <c r="BQ7" s="475">
        <f>IFERROR('MLK3-4'!Y6,"")</f>
        <v>90</v>
      </c>
      <c r="BR7" s="475" t="str">
        <f>IFERROR('MLK3-4'!Z6,"")</f>
        <v>A</v>
      </c>
      <c r="BS7" s="474" t="str">
        <f>'MLK3-4'!AE6</f>
        <v xml:space="preserve">ADHWA sangat baik  dalam merespon instruksi sangat sederhana dengan tindakan secara berterima dalam konteks sekolah  </v>
      </c>
      <c r="BT7" s="475">
        <f t="shared" ref="BT7:BT55" si="1">IFERROR(BU7/$BX$4,"")</f>
        <v>85.272727272727266</v>
      </c>
      <c r="BU7" s="505">
        <f t="shared" si="0"/>
        <v>1876</v>
      </c>
      <c r="BV7" s="477">
        <f t="shared" ref="BV7:BV55" si="2">IFERROR(BU7,"")</f>
        <v>1876</v>
      </c>
      <c r="BW7" s="478">
        <f t="shared" ref="BW7:BW55" si="3">IFERROR(RANK(BV7,$BV$6:$BV$55,0),"")</f>
        <v>6</v>
      </c>
    </row>
    <row r="8" spans="1:76" ht="20.25" customHeight="1">
      <c r="A8" s="146">
        <v>3</v>
      </c>
      <c r="B8" s="146" t="str">
        <f>SISWA!B8</f>
        <v xml:space="preserve"> 1718250040307</v>
      </c>
      <c r="C8" s="471" t="str">
        <f>SISWA!C8</f>
        <v>ANDHIKA ALDIYANSYAH</v>
      </c>
      <c r="D8" s="472" t="str">
        <f>SPIRIT!P7</f>
        <v xml:space="preserve">Ananda ANDHIKA baik dalam  ketaatan beribadah,  berperilaku syukur,  berdoa sebelum dan sesudah melakukan kegiatan,  toleransi dalam beribadah, </v>
      </c>
      <c r="E8" s="472" t="str">
        <f>SOSIAL!T7</f>
        <v xml:space="preserve">Ananda ANDHIKA baik dalam sikap jujur, disiplin, tanggung jawab, santun, peduli, percaya diri, </v>
      </c>
      <c r="F8" s="473">
        <f>IFERROR('PAI3'!CI8,"")</f>
        <v>85</v>
      </c>
      <c r="G8" s="473" t="str">
        <f>IFERROR('PAI3'!CJ8,"")</f>
        <v>B</v>
      </c>
      <c r="H8" s="474" t="str">
        <f>'PAI3'!CO8</f>
        <v>ANDHIKA sangat baik  dalam memahami makna Q.S. at-Tīn dan Q.S. al-Mā’ūn dengan benar., dan  cukup baik  dalam memahami makna sederhana dalam kehidupan sehari-hari.</v>
      </c>
      <c r="I8" s="473">
        <f>IFERROR('PKN3'!U7,"")</f>
        <v>90</v>
      </c>
      <c r="J8" s="473" t="str">
        <f>IFERROR('PKN3'!V7,"")</f>
        <v>A</v>
      </c>
      <c r="K8" s="472" t="str">
        <f>'PKN3'!AA7</f>
        <v xml:space="preserve">ANDHIKA sangat baik  dalam memahami hak, kewajiban dan tanggung jawab sebagai warga dalam kehidupan sehari-hari.
</v>
      </c>
      <c r="L8" s="475">
        <f>IFERROR(BIND3!U7,"")</f>
        <v>89</v>
      </c>
      <c r="M8" s="475" t="str">
        <f>IFERROR(BIND3!V7,"")</f>
        <v>A</v>
      </c>
      <c r="N8" s="474" t="str">
        <f>BIND3!AA7</f>
        <v>ANDHIKA sangat baik  dalam meringkas teks penjelasan (eksplanasi) dari media cetak atau elektronik.</v>
      </c>
      <c r="O8" s="475">
        <f>IFERROR('MTK3'!U7,"")</f>
        <v>75</v>
      </c>
      <c r="P8" s="475" t="str">
        <f>IFERROR('MTK3'!V7,"")</f>
        <v>C</v>
      </c>
      <c r="Q8" s="474" t="str">
        <f>'MTK3'!AA7</f>
        <v xml:space="preserve">ANDHIKA cukup baik  dalam menjelaskan, dan menentukan volume bangun ruang dengan menggunakan satuan volume (seperti kubus satuan) serta hubungan pangkat tiga dengan akar pangkat tiga
</v>
      </c>
      <c r="R8" s="475">
        <f>IFERROR('IPA3'!U7,"")</f>
        <v>88</v>
      </c>
      <c r="S8" s="475" t="str">
        <f>IFERROR('IPA3'!V7,"")</f>
        <v>A</v>
      </c>
      <c r="T8" s="474" t="str">
        <f>'IPA3'!AA7</f>
        <v xml:space="preserve">ANDHIKA sangat baik  dalam menerapkan konsep perpindahan kalor dalam kehidupan sehari-hari.
</v>
      </c>
      <c r="U8" s="475">
        <f>IFERROR('IPS3'!U7,"")</f>
        <v>83</v>
      </c>
      <c r="V8" s="475" t="str">
        <f>IFERROR('IPS3'!V7,"")</f>
        <v>B</v>
      </c>
      <c r="W8" s="474" t="str">
        <f>'IPS3'!AA7</f>
        <v>ANDHIKA baik  dalam Mengidentifikasi karakteristik geografis Indonesia sebagai negara kepulauan/maritim dan agraris serta pengaruhnya terhadap kehidupan ekonomi, sosial, budaya, komunikasi, serta transportasi.</v>
      </c>
      <c r="X8" s="475">
        <f>IFERROR(SBDP3!U7,"")</f>
        <v>98</v>
      </c>
      <c r="Y8" s="475" t="str">
        <f>IFERROR(SBDP3!V7,"")</f>
        <v>A</v>
      </c>
      <c r="Z8" s="474" t="str">
        <f>SBDP3!AA7</f>
        <v>ANDHIKA sangat baik  dalam memahami gambar cerita</v>
      </c>
      <c r="AA8" s="475">
        <f>IFERROR(PJOK3!U7,"")</f>
        <v>85</v>
      </c>
      <c r="AB8" s="475" t="str">
        <f>IFERROR(PJOK3!V7,"")</f>
        <v>B</v>
      </c>
      <c r="AC8" s="474" t="str">
        <f>PJOK3!AA7</f>
        <v xml:space="preserve">ANDHIKA baik  dalam memahami kombinasi pola gerak dominan (bertumpu, bergantung, keseimbangan, berpindah/lokomotor, tolakan, putaran, ayunan, melayang, dan mendarat) untuk membentuk keterampilan dasar senam menggunakan alat
</v>
      </c>
      <c r="AD8" s="475">
        <f>IFERROR('MLK1-3'!U7,"")</f>
        <v>74</v>
      </c>
      <c r="AE8" s="475" t="str">
        <f>IFERROR('MLK1-3'!V7,"")</f>
        <v>C</v>
      </c>
      <c r="AF8" s="476" t="str">
        <f>'MLK1-3'!AA7</f>
        <v>ANDHIKA cukup baik  dalam memahami teks kawih tentang bangga sebagai bangsa Indonesia</v>
      </c>
      <c r="AG8" s="475">
        <f>IFERROR('MLK2-3'!X7,"")</f>
        <v>88</v>
      </c>
      <c r="AH8" s="475" t="str">
        <f>IFERROR('MLK2-3'!Y7,"")</f>
        <v>A</v>
      </c>
      <c r="AI8" s="474" t="str">
        <f>'MLK2-3'!AD7</f>
        <v xml:space="preserve">ANDHIKA sangat baik  dalam merespon instruksi sangat sederhana dengan tindakan secara berterima dalam konteks sekolah  </v>
      </c>
      <c r="AJ8" s="475">
        <f>IFERROR('MLK3-3'!W7,"")</f>
        <v>92</v>
      </c>
      <c r="AK8" s="475" t="str">
        <f>IFERROR('MLK3-3'!X7,"")</f>
        <v>A</v>
      </c>
      <c r="AL8" s="476" t="str">
        <f>'MLK3-3'!AC7</f>
        <v xml:space="preserve">ANDHIKA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M8" s="475">
        <f>IFERROR('PAI4'!CI8,"")</f>
        <v>89</v>
      </c>
      <c r="AN8" s="475" t="str">
        <f>IFERROR('PAI4'!CJ8,"")</f>
        <v>A</v>
      </c>
      <c r="AO8" s="476" t="str">
        <f>'PAI4'!CO8</f>
        <v>ANDHIKA sangat baik  dalam membaca Q.S. at-Tīn dan Q.S. al-Mā’ūn dengan tartil.</v>
      </c>
      <c r="AP8" s="475">
        <f>IFERROR('PKN4'!U7,"")</f>
        <v>90</v>
      </c>
      <c r="AQ8" s="475" t="str">
        <f>IFERROR('PKN4'!V7,"")</f>
        <v>A</v>
      </c>
      <c r="AR8" s="474" t="str">
        <f>'PKN4'!AA7</f>
        <v>ANDHIKA sangat baik  dalam menjelaskan hak, kewajiban, dan tanggung  jawab sebagai warga masyarakat dalam kehidupan sehari-hari</v>
      </c>
      <c r="AS8" s="475">
        <f>IFERROR(BIND4!U7,"")</f>
        <v>89</v>
      </c>
      <c r="AT8" s="475" t="str">
        <f>IFERROR(BIND4!V7,"")</f>
        <v>A</v>
      </c>
      <c r="AU8" s="474" t="str">
        <f>BIND4!AA7</f>
        <v xml:space="preserve">ANDHIKA sangat baik  dalam menyajikan ringkasan teks penjelasan (eksplanasi) dari media cetak atau elektronik dengan menggunakan kosakata baku dan kalimat efektif secara lisan, tulis, dan visual.
</v>
      </c>
      <c r="AV8" s="475">
        <f>IFERROR('MTK4'!U7,"")</f>
        <v>75</v>
      </c>
      <c r="AW8" s="475" t="str">
        <f>IFERROR('MTK4'!V7,"")</f>
        <v>C</v>
      </c>
      <c r="AX8" s="474" t="str">
        <f>'MTK4'!AA7</f>
        <v xml:space="preserve">ANDHIKA cukup baik  dalam menyelesaikan masalah yang berkaitan dengan volume bangun ruang dengan menggunakan satuan volume (seperti kubus satuan) melibatkan pangkat tiga dan akar pangkat tiga
</v>
      </c>
      <c r="AY8" s="475">
        <f>IFERROR('IPA4'!U7,"")</f>
        <v>88</v>
      </c>
      <c r="AZ8" s="475" t="str">
        <f>IFERROR('IPA4'!V7,"")</f>
        <v>A</v>
      </c>
      <c r="BA8" s="474" t="str">
        <f>'IPA4'!AA7</f>
        <v>ANDHIKA sangat baik  dalam melaporkan hasil pengamatan tentang perpindahan kalor.</v>
      </c>
      <c r="BB8" s="475">
        <f>IFERROR('IPS4'!U7,"")</f>
        <v>83</v>
      </c>
      <c r="BC8" s="475" t="str">
        <f>IFERROR('IPS4'!V7,"")</f>
        <v>B</v>
      </c>
      <c r="BD8" s="474" t="str">
        <f>'IPS4'!AA7</f>
        <v>ANDHIKA baik  dalam menyajikan hasil identifikasi karakteristik geografis Indonesia sebagai negara kepulauan/maritim dan agraris serta pengaruhnya terhadap kehidupan ekonomi, sosial, budaya, komunikasi, serta transportasi.</v>
      </c>
      <c r="BE8" s="475">
        <f>IFERROR(SBDP4!U7,"")</f>
        <v>98</v>
      </c>
      <c r="BF8" s="475" t="str">
        <f>IFERROR(SBDP4!V7,"")</f>
        <v>A</v>
      </c>
      <c r="BG8" s="474" t="str">
        <f>SBDP4!AA7</f>
        <v>ANDHIKA sangat baik  dalam membuat gambar cerita</v>
      </c>
      <c r="BH8" s="475">
        <f>IFERROR(PJOK4!U7,"")</f>
        <v>83</v>
      </c>
      <c r="BI8" s="475" t="str">
        <f>IFERROR(PJOK4!V7,"")</f>
        <v>B</v>
      </c>
      <c r="BJ8" s="476" t="str">
        <f>PJOK4!AA7</f>
        <v>ANDHIKA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BK8" s="475">
        <f>IFERROR('MLK1-4'!U7,"")</f>
        <v>74</v>
      </c>
      <c r="BL8" s="475" t="str">
        <f>IFERROR('MLK1-4'!V7,"")</f>
        <v>C</v>
      </c>
      <c r="BM8" s="474" t="str">
        <f>'MLK1-4'!AA7</f>
        <v>ANDHIKA cukup baik  dalam melantunkan dan menceritakan isi kawih tentang bangga sebagai bangsa Indonesia</v>
      </c>
      <c r="BN8" s="475">
        <f>IFERROR('MLK2-4'!U7,"")</f>
        <v>88</v>
      </c>
      <c r="BO8" s="475" t="str">
        <f>IFERROR('MLK2-4'!V7,"")</f>
        <v>A</v>
      </c>
      <c r="BP8" s="474" t="str">
        <f>'MLK2-4'!AA7</f>
        <v>ANDHIKA sangat baik  dalam memahami langkah-langkah pengawasan kelestarian lingkungan hidup</v>
      </c>
      <c r="BQ8" s="475">
        <f>IFERROR('MLK3-4'!Y7,"")</f>
        <v>90</v>
      </c>
      <c r="BR8" s="475" t="str">
        <f>IFERROR('MLK3-4'!Z7,"")</f>
        <v>A</v>
      </c>
      <c r="BS8" s="474" t="str">
        <f>'MLK3-4'!AE7</f>
        <v xml:space="preserve">ANDHIKA sangat baik  dalam merespon instruksi sangat sederhana dengan tindakan secara berterima dalam konteks sekolah  </v>
      </c>
      <c r="BT8" s="475">
        <f t="shared" si="1"/>
        <v>82.227272727272734</v>
      </c>
      <c r="BU8" s="505">
        <f t="shared" si="0"/>
        <v>1809</v>
      </c>
      <c r="BV8" s="477">
        <f t="shared" si="2"/>
        <v>1809</v>
      </c>
      <c r="BW8" s="478">
        <f t="shared" si="3"/>
        <v>19</v>
      </c>
    </row>
    <row r="9" spans="1:76" ht="20.25" customHeight="1">
      <c r="A9" s="146">
        <v>4</v>
      </c>
      <c r="B9" s="146" t="str">
        <f>SISWA!B9</f>
        <v xml:space="preserve"> 1718250040308</v>
      </c>
      <c r="C9" s="471" t="str">
        <f>SISWA!C9</f>
        <v>ANGGARA</v>
      </c>
      <c r="D9" s="472" t="str">
        <f>SPIRIT!P8</f>
        <v xml:space="preserve">Ananda ANGGARA baik dalam  ketaatan beribadah,  berperilaku syukur,  berdoa sebelum dan sesudah melakukan kegiatan,  toleransi dalam beribadah, </v>
      </c>
      <c r="E9" s="472" t="str">
        <f>SOSIAL!T8</f>
        <v xml:space="preserve">Ananda ANGGARA baik dalam sikap jujur, disiplin, tanggung jawab, santun, peduli, percaya diri, </v>
      </c>
      <c r="F9" s="473">
        <f>IFERROR('PAI3'!CI9,"")</f>
        <v>83</v>
      </c>
      <c r="G9" s="473" t="str">
        <f>IFERROR('PAI3'!CJ9,"")</f>
        <v>B</v>
      </c>
      <c r="H9" s="474" t="str">
        <f>'PAI3'!CO9</f>
        <v>ANGGARA sangat baik  dalam memahami makna Q.S. at-Tīn dan Q.S. al-Mā’ūn dengan benar., dan  cukup baik  dalam memahami kisah keteladanan Luqman sebagaimana terdapat dalam al-Qur'an.</v>
      </c>
      <c r="I9" s="473">
        <f>IFERROR('PKN3'!U8,"")</f>
        <v>85</v>
      </c>
      <c r="J9" s="473" t="str">
        <f>IFERROR('PKN3'!V8,"")</f>
        <v>B</v>
      </c>
      <c r="K9" s="472" t="str">
        <f>'PKN3'!AA8</f>
        <v xml:space="preserve">ANGGARA baik  dalam memahami hak, kewajiban dan tanggung jawab sebagai warga dalam kehidupan sehari-hari.
</v>
      </c>
      <c r="L9" s="475">
        <f>IFERROR(BIND3!U8,"")</f>
        <v>82</v>
      </c>
      <c r="M9" s="475" t="str">
        <f>IFERROR(BIND3!V8,"")</f>
        <v>B</v>
      </c>
      <c r="N9" s="474" t="str">
        <f>BIND3!AA8</f>
        <v>ANGGARA baik  dalam meringkas teks penjelasan (eksplanasi) dari media cetak atau elektronik.</v>
      </c>
      <c r="O9" s="475">
        <f>IFERROR('MTK3'!U8,"")</f>
        <v>70</v>
      </c>
      <c r="P9" s="475" t="str">
        <f>IFERROR('MTK3'!V8,"")</f>
        <v>C</v>
      </c>
      <c r="Q9" s="474" t="str">
        <f>'MTK3'!AA8</f>
        <v xml:space="preserve">ANGGARA cukup baik  dalam menjelaskan, dan menentukan volume bangun ruang dengan menggunakan satuan volume (seperti kubus satuan) serta hubungan pangkat tiga dengan akar pangkat tiga
</v>
      </c>
      <c r="R9" s="475">
        <f>IFERROR('IPA3'!U8,"")</f>
        <v>85</v>
      </c>
      <c r="S9" s="475" t="str">
        <f>IFERROR('IPA3'!V8,"")</f>
        <v>B</v>
      </c>
      <c r="T9" s="474" t="str">
        <f>'IPA3'!AA8</f>
        <v xml:space="preserve">ANGGARA baik  dalam menerapkan konsep perpindahan kalor dalam kehidupan sehari-hari.
</v>
      </c>
      <c r="U9" s="475">
        <f>IFERROR('IPS3'!U8,"")</f>
        <v>83</v>
      </c>
      <c r="V9" s="475" t="str">
        <f>IFERROR('IPS3'!V8,"")</f>
        <v>B</v>
      </c>
      <c r="W9" s="474" t="str">
        <f>'IPS3'!AA8</f>
        <v>ANGGARA baik  dalam Mengidentifikasi karakteristik geografis Indonesia sebagai negara kepulauan/maritim dan agraris serta pengaruhnya terhadap kehidupan ekonomi, sosial, budaya, komunikasi, serta transportasi.</v>
      </c>
      <c r="X9" s="475">
        <f>IFERROR(SBDP3!U8,"")</f>
        <v>90</v>
      </c>
      <c r="Y9" s="475" t="str">
        <f>IFERROR(SBDP3!V8,"")</f>
        <v>A</v>
      </c>
      <c r="Z9" s="474" t="str">
        <f>SBDP3!AA8</f>
        <v>ANGGARA sangat baik  dalam memahami gambar cerita</v>
      </c>
      <c r="AA9" s="475">
        <f>IFERROR(PJOK3!U8,"")</f>
        <v>86</v>
      </c>
      <c r="AB9" s="475" t="str">
        <f>IFERROR(PJOK3!V8,"")</f>
        <v>B</v>
      </c>
      <c r="AC9" s="474" t="str">
        <f>PJOK3!AA8</f>
        <v xml:space="preserve">ANGGARA baik  dalam memahami kombinasi pola gerak dominan (bertumpu, bergantung, keseimbangan, berpindah/lokomotor, tolakan, putaran, ayunan, melayang, dan mendarat) untuk membentuk keterampilan dasar senam menggunakan alat
</v>
      </c>
      <c r="AD9" s="475">
        <f>IFERROR('MLK1-3'!U8,"")</f>
        <v>77</v>
      </c>
      <c r="AE9" s="475" t="str">
        <f>IFERROR('MLK1-3'!V8,"")</f>
        <v>B</v>
      </c>
      <c r="AF9" s="476" t="str">
        <f>'MLK1-3'!AA8</f>
        <v>ANGGARA baik  dalam memahami teks kawih tentang bangga sebagai bangsa Indonesia</v>
      </c>
      <c r="AG9" s="475">
        <f>IFERROR('MLK2-3'!X8,"")</f>
        <v>88</v>
      </c>
      <c r="AH9" s="475" t="str">
        <f>IFERROR('MLK2-3'!Y8,"")</f>
        <v>A</v>
      </c>
      <c r="AI9" s="474" t="str">
        <f>'MLK2-3'!AD8</f>
        <v xml:space="preserve">ANGGARA sangat baik  dalam merespon instruksi sangat sederhana dengan tindakan secara berterima dalam konteks sekolah  </v>
      </c>
      <c r="AJ9" s="475">
        <f>IFERROR('MLK3-3'!W8,"")</f>
        <v>75</v>
      </c>
      <c r="AK9" s="475" t="str">
        <f>IFERROR('MLK3-3'!X8,"")</f>
        <v>C</v>
      </c>
      <c r="AL9" s="476" t="str">
        <f>'MLK3-3'!AC8</f>
        <v xml:space="preserve">ANGGARA baik  dalam membaca nyaring dengan ucapan, tekanan, dan intonasi secara tepat dan berterima yang melibatkan: kata, frasa, kalimat sangat sederhana, dan teks sangat sederhana 
, dan  cukup baik  dalam bercakap-cakap untuk menyertai tindakan secara berterima yang melibatkan tindak tutur: memberi contoh melakukan sesuatu, memberi aba-aba, dan memberi petunjuk 
</v>
      </c>
      <c r="AM9" s="475">
        <f>IFERROR('PAI4'!CI9,"")</f>
        <v>90</v>
      </c>
      <c r="AN9" s="475" t="str">
        <f>IFERROR('PAI4'!CJ9,"")</f>
        <v>A</v>
      </c>
      <c r="AO9" s="476" t="str">
        <f>'PAI4'!CO9</f>
        <v>ANGGARA sangat baik  dalam membaca Q.S. at-Tīn dan Q.S. al-Mā’ūn dengan tartil.</v>
      </c>
      <c r="AP9" s="475">
        <f>IFERROR('PKN4'!U8,"")</f>
        <v>85</v>
      </c>
      <c r="AQ9" s="475" t="str">
        <f>IFERROR('PKN4'!V8,"")</f>
        <v>B</v>
      </c>
      <c r="AR9" s="474" t="str">
        <f>'PKN4'!AA8</f>
        <v>ANGGARA baik  dalam menjelaskan hak, kewajiban, dan tanggung  jawab sebagai warga masyarakat dalam kehidupan sehari-hari</v>
      </c>
      <c r="AS9" s="475">
        <f>IFERROR(BIND4!U8,"")</f>
        <v>82</v>
      </c>
      <c r="AT9" s="475" t="str">
        <f>IFERROR(BIND4!V8,"")</f>
        <v>B</v>
      </c>
      <c r="AU9" s="474" t="str">
        <f>BIND4!AA8</f>
        <v xml:space="preserve">ANGGARA baik  dalam menyajikan ringkasan teks penjelasan (eksplanasi) dari media cetak atau elektronik dengan menggunakan kosakata baku dan kalimat efektif secara lisan, tulis, dan visual.
</v>
      </c>
      <c r="AV9" s="475">
        <f>IFERROR('MTK4'!U8,"")</f>
        <v>70</v>
      </c>
      <c r="AW9" s="475" t="str">
        <f>IFERROR('MTK4'!V8,"")</f>
        <v>C</v>
      </c>
      <c r="AX9" s="474" t="str">
        <f>'MTK4'!AA8</f>
        <v xml:space="preserve">ANGGARA cukup baik  dalam menyelesaikan masalah yang berkaitan dengan volume bangun ruang dengan menggunakan satuan volume (seperti kubus satuan) melibatkan pangkat tiga dan akar pangkat tiga
</v>
      </c>
      <c r="AY9" s="475">
        <f>IFERROR('IPA4'!U8,"")</f>
        <v>85</v>
      </c>
      <c r="AZ9" s="475" t="str">
        <f>IFERROR('IPA4'!V8,"")</f>
        <v>B</v>
      </c>
      <c r="BA9" s="474" t="str">
        <f>'IPA4'!AA8</f>
        <v>ANGGARA baik  dalam melaporkan hasil pengamatan tentang perpindahan kalor.</v>
      </c>
      <c r="BB9" s="475">
        <f>IFERROR('IPS4'!U8,"")</f>
        <v>83</v>
      </c>
      <c r="BC9" s="475" t="str">
        <f>IFERROR('IPS4'!V8,"")</f>
        <v>B</v>
      </c>
      <c r="BD9" s="474" t="str">
        <f>'IPS4'!AA8</f>
        <v>ANGGARA baik  dalam menyajikan hasil identifikasi karakteristik geografis Indonesia sebagai negara kepulauan/maritim dan agraris serta pengaruhnya terhadap kehidupan ekonomi, sosial, budaya, komunikasi, serta transportasi.</v>
      </c>
      <c r="BE9" s="475">
        <f>IFERROR(SBDP4!U8,"")</f>
        <v>90</v>
      </c>
      <c r="BF9" s="475" t="str">
        <f>IFERROR(SBDP4!V8,"")</f>
        <v>A</v>
      </c>
      <c r="BG9" s="474" t="str">
        <f>SBDP4!AA8</f>
        <v>ANGGARA sangat baik  dalam membuat gambar cerita</v>
      </c>
      <c r="BH9" s="475">
        <f>IFERROR(PJOK4!U8,"")</f>
        <v>88</v>
      </c>
      <c r="BI9" s="475" t="str">
        <f>IFERROR(PJOK4!V8,"")</f>
        <v>A</v>
      </c>
      <c r="BJ9" s="476" t="str">
        <f>PJOK4!AA8</f>
        <v>ANGGARA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9" s="475">
        <f>IFERROR('MLK1-4'!U8,"")</f>
        <v>77</v>
      </c>
      <c r="BL9" s="475" t="str">
        <f>IFERROR('MLK1-4'!V8,"")</f>
        <v>B</v>
      </c>
      <c r="BM9" s="474" t="str">
        <f>'MLK1-4'!AA8</f>
        <v>ANGGARA baik  dalam melantunkan dan menceritakan isi kawih tentang bangga sebagai bangsa Indonesia</v>
      </c>
      <c r="BN9" s="475">
        <f>IFERROR('MLK2-4'!U8,"")</f>
        <v>88</v>
      </c>
      <c r="BO9" s="475" t="str">
        <f>IFERROR('MLK2-4'!V8,"")</f>
        <v>A</v>
      </c>
      <c r="BP9" s="474" t="str">
        <f>'MLK2-4'!AA8</f>
        <v>ANGGARA sangat baik  dalam memahami langkah-langkah pengawasan kelestarian lingkungan hidup</v>
      </c>
      <c r="BQ9" s="475">
        <f>IFERROR('MLK3-4'!Y8,"")</f>
        <v>77</v>
      </c>
      <c r="BR9" s="475" t="str">
        <f>IFERROR('MLK3-4'!Z8,"")</f>
        <v>B</v>
      </c>
      <c r="BS9" s="474" t="str">
        <f>'MLK3-4'!AE8</f>
        <v xml:space="preserve">ANGGARA baik  dalam merespon instruksi sangat sederhana dengan tindakan secara berterima dalam konteks sekolah  </v>
      </c>
      <c r="BT9" s="475">
        <f t="shared" si="1"/>
        <v>78.909090909090907</v>
      </c>
      <c r="BU9" s="505">
        <f t="shared" si="0"/>
        <v>1736</v>
      </c>
      <c r="BV9" s="477">
        <f t="shared" si="2"/>
        <v>1736</v>
      </c>
      <c r="BW9" s="478">
        <f t="shared" si="3"/>
        <v>31</v>
      </c>
    </row>
    <row r="10" spans="1:76" ht="20.25" customHeight="1">
      <c r="A10" s="146">
        <v>5</v>
      </c>
      <c r="B10" s="146" t="str">
        <f>SISWA!B10</f>
        <v>1718250040309</v>
      </c>
      <c r="C10" s="471" t="str">
        <f>SISWA!C10</f>
        <v>ARIA RAY ANDARA</v>
      </c>
      <c r="D10" s="472" t="str">
        <f>SPIRIT!P9</f>
        <v xml:space="preserve">Ananda ARIA baik dalam  ketaatan beribadah,  berperilaku syukur,  berdoa sebelum dan sesudah melakukan kegiatan,  toleransi dalam beribadah, </v>
      </c>
      <c r="E10" s="472" t="str">
        <f>SOSIAL!T9</f>
        <v xml:space="preserve">Ananda ARIA baik dalam sikap jujur, disiplin, tanggung jawab, santun, peduli, percaya diri, </v>
      </c>
      <c r="F10" s="473">
        <f>IFERROR('PAI3'!CI10,"")</f>
        <v>84</v>
      </c>
      <c r="G10" s="473" t="str">
        <f>IFERROR('PAI3'!CJ10,"")</f>
        <v>B</v>
      </c>
      <c r="H10" s="474" t="str">
        <f>'PAI3'!CO10</f>
        <v>ARIA sangat baik  dalam memahami makna Q.S. at-Tīn dan Q.S. al-Mā’ūn dengan benar., dan  baik  dalam memahami nama-nama Rasul Allah dan Rasul Ulul ‘Azmi.</v>
      </c>
      <c r="I10" s="473">
        <f>IFERROR('PKN3'!U9,"")</f>
        <v>90</v>
      </c>
      <c r="J10" s="473" t="str">
        <f>IFERROR('PKN3'!V9,"")</f>
        <v>A</v>
      </c>
      <c r="K10" s="472" t="str">
        <f>'PKN3'!AA9</f>
        <v xml:space="preserve">ARIA sangat baik  dalam memahami hak, kewajiban dan tanggung jawab sebagai warga dalam kehidupan sehari-hari.
</v>
      </c>
      <c r="L10" s="475">
        <f>IFERROR(BIND3!U9,"")</f>
        <v>86</v>
      </c>
      <c r="M10" s="475" t="str">
        <f>IFERROR(BIND3!V9,"")</f>
        <v>B</v>
      </c>
      <c r="N10" s="474" t="str">
        <f>BIND3!AA9</f>
        <v>ARIA baik  dalam meringkas teks penjelasan (eksplanasi) dari media cetak atau elektronik.</v>
      </c>
      <c r="O10" s="475">
        <f>IFERROR('MTK3'!U9,"")</f>
        <v>70</v>
      </c>
      <c r="P10" s="475" t="str">
        <f>IFERROR('MTK3'!V9,"")</f>
        <v>C</v>
      </c>
      <c r="Q10" s="474" t="str">
        <f>'MTK3'!AA9</f>
        <v xml:space="preserve">ARIA cukup baik  dalam menjelaskan, dan menentukan volume bangun ruang dengan menggunakan satuan volume (seperti kubus satuan) serta hubungan pangkat tiga dengan akar pangkat tiga
</v>
      </c>
      <c r="R10" s="475">
        <f>IFERROR('IPA3'!U9,"")</f>
        <v>83</v>
      </c>
      <c r="S10" s="475" t="str">
        <f>IFERROR('IPA3'!V9,"")</f>
        <v>B</v>
      </c>
      <c r="T10" s="474" t="str">
        <f>'IPA3'!AA9</f>
        <v xml:space="preserve">ARIA baik  dalam menerapkan konsep perpindahan kalor dalam kehidupan sehari-hari.
</v>
      </c>
      <c r="U10" s="475">
        <f>IFERROR('IPS3'!U9,"")</f>
        <v>80</v>
      </c>
      <c r="V10" s="475" t="str">
        <f>IFERROR('IPS3'!V9,"")</f>
        <v>B</v>
      </c>
      <c r="W10" s="474" t="str">
        <f>'IPS3'!AA9</f>
        <v>ARIA baik  dalam Mengidentifikasi karakteristik geografis Indonesia sebagai negara kepulauan/maritim dan agraris serta pengaruhnya terhadap kehidupan ekonomi, sosial, budaya, komunikasi, serta transportasi.</v>
      </c>
      <c r="X10" s="475">
        <f>IFERROR(SBDP3!U9,"")</f>
        <v>93</v>
      </c>
      <c r="Y10" s="475" t="str">
        <f>IFERROR(SBDP3!V9,"")</f>
        <v>A</v>
      </c>
      <c r="Z10" s="474" t="str">
        <f>SBDP3!AA9</f>
        <v>ARIA sangat baik  dalam memahami gambar cerita</v>
      </c>
      <c r="AA10" s="475">
        <f>IFERROR(PJOK3!U9,"")</f>
        <v>88</v>
      </c>
      <c r="AB10" s="475" t="str">
        <f>IFERROR(PJOK3!V9,"")</f>
        <v>A</v>
      </c>
      <c r="AC10" s="474" t="str">
        <f>PJOK3!AA9</f>
        <v xml:space="preserve">ARIA sangat baik  dalam memahami kombinasi pola gerak dominan (bertumpu, bergantung, keseimbangan, berpindah/lokomotor, tolakan, putaran, ayunan, melayang, dan mendarat) untuk membentuk keterampilan dasar senam menggunakan alat
</v>
      </c>
      <c r="AD10" s="475">
        <f>IFERROR('MLK1-3'!U9,"")</f>
        <v>82</v>
      </c>
      <c r="AE10" s="475" t="str">
        <f>IFERROR('MLK1-3'!V9,"")</f>
        <v>B</v>
      </c>
      <c r="AF10" s="476" t="str">
        <f>'MLK1-3'!AA9</f>
        <v>ARIA baik  dalam memahami teks kawih tentang bangga sebagai bangsa Indonesia</v>
      </c>
      <c r="AG10" s="475">
        <f>IFERROR('MLK2-3'!X9,"")</f>
        <v>91</v>
      </c>
      <c r="AH10" s="475" t="str">
        <f>IFERROR('MLK2-3'!Y9,"")</f>
        <v>A</v>
      </c>
      <c r="AI10" s="474" t="str">
        <f>'MLK2-3'!AD9</f>
        <v xml:space="preserve">ARIA sangat baik  dalam merespon instruksi sangat sederhana dengan tindakan secara berterima dalam konteks sekolah  </v>
      </c>
      <c r="AJ10" s="475">
        <f>IFERROR('MLK3-3'!W9,"")</f>
        <v>79</v>
      </c>
      <c r="AK10" s="475" t="str">
        <f>IFERROR('MLK3-3'!X9,"")</f>
        <v>B</v>
      </c>
      <c r="AL10" s="476" t="str">
        <f>'MLK3-3'!AC9</f>
        <v xml:space="preserve">ARIA baik  dalam bercakap-cakap untuk menyertai tindakan secara berterima yang melibatkan tindak tutur: memberi contoh melakukan sesuatu, memberi aba-aba, dan memberi petunjuk 
, dan  cukup baik  dalam membaca nyaring dengan ucapan, tekanan, dan intonasi secara tepat dan berterima yang melibatkan: kata, frasa, kalimat sangat sederhana, dan teks sangat sederhana 
</v>
      </c>
      <c r="AM10" s="475">
        <f>IFERROR('PAI4'!CI10,"")</f>
        <v>90</v>
      </c>
      <c r="AN10" s="475" t="str">
        <f>IFERROR('PAI4'!CJ10,"")</f>
        <v>A</v>
      </c>
      <c r="AO10" s="476" t="str">
        <f>'PAI4'!CO10</f>
        <v>ARIA sangat baik  dalam membaca Q.S. at-Tīn dan Q.S. al-Mā’ūn dengan tartil.</v>
      </c>
      <c r="AP10" s="475">
        <f>IFERROR('PKN4'!U9,"")</f>
        <v>90</v>
      </c>
      <c r="AQ10" s="475" t="str">
        <f>IFERROR('PKN4'!V9,"")</f>
        <v>A</v>
      </c>
      <c r="AR10" s="474" t="str">
        <f>'PKN4'!AA9</f>
        <v>ARIA sangat baik  dalam menjelaskan hak, kewajiban, dan tanggung  jawab sebagai warga masyarakat dalam kehidupan sehari-hari</v>
      </c>
      <c r="AS10" s="475">
        <f>IFERROR(BIND4!U9,"")</f>
        <v>86</v>
      </c>
      <c r="AT10" s="475" t="str">
        <f>IFERROR(BIND4!V9,"")</f>
        <v>B</v>
      </c>
      <c r="AU10" s="474" t="str">
        <f>BIND4!AA9</f>
        <v xml:space="preserve">ARIA baik  dalam menyajikan ringkasan teks penjelasan (eksplanasi) dari media cetak atau elektronik dengan menggunakan kosakata baku dan kalimat efektif secara lisan, tulis, dan visual.
</v>
      </c>
      <c r="AV10" s="475">
        <f>IFERROR('MTK4'!U9,"")</f>
        <v>70</v>
      </c>
      <c r="AW10" s="475" t="str">
        <f>IFERROR('MTK4'!V9,"")</f>
        <v>C</v>
      </c>
      <c r="AX10" s="474" t="str">
        <f>'MTK4'!AA9</f>
        <v xml:space="preserve">ARIA cukup baik  dalam menyelesaikan masalah yang berkaitan dengan volume bangun ruang dengan menggunakan satuan volume (seperti kubus satuan) melibatkan pangkat tiga dan akar pangkat tiga
</v>
      </c>
      <c r="AY10" s="475">
        <f>IFERROR('IPA4'!U9,"")</f>
        <v>83</v>
      </c>
      <c r="AZ10" s="475" t="str">
        <f>IFERROR('IPA4'!V9,"")</f>
        <v>B</v>
      </c>
      <c r="BA10" s="474" t="str">
        <f>'IPA4'!AA9</f>
        <v>ARIA baik  dalam melaporkan hasil pengamatan tentang perpindahan kalor.</v>
      </c>
      <c r="BB10" s="475">
        <f>IFERROR('IPS4'!U9,"")</f>
        <v>80</v>
      </c>
      <c r="BC10" s="475" t="str">
        <f>IFERROR('IPS4'!V9,"")</f>
        <v>B</v>
      </c>
      <c r="BD10" s="474" t="str">
        <f>'IPS4'!AA9</f>
        <v>ARIA baik  dalam menyajikan hasil identifikasi karakteristik geografis Indonesia sebagai negara kepulauan/maritim dan agraris serta pengaruhnya terhadap kehidupan ekonomi, sosial, budaya, komunikasi, serta transportasi.</v>
      </c>
      <c r="BE10" s="475">
        <f>IFERROR(SBDP4!U9,"")</f>
        <v>93</v>
      </c>
      <c r="BF10" s="475" t="str">
        <f>IFERROR(SBDP4!V9,"")</f>
        <v>A</v>
      </c>
      <c r="BG10" s="474" t="str">
        <f>SBDP4!AA9</f>
        <v>ARIA sangat baik  dalam membuat gambar cerita</v>
      </c>
      <c r="BH10" s="475">
        <f>IFERROR(PJOK4!U9,"")</f>
        <v>87</v>
      </c>
      <c r="BI10" s="475" t="str">
        <f>IFERROR(PJOK4!V9,"")</f>
        <v>B</v>
      </c>
      <c r="BJ10" s="476" t="str">
        <f>PJOK4!AA9</f>
        <v>ARIA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10" s="475">
        <f>IFERROR('MLK1-4'!U9,"")</f>
        <v>82</v>
      </c>
      <c r="BL10" s="475" t="str">
        <f>IFERROR('MLK1-4'!V9,"")</f>
        <v>B</v>
      </c>
      <c r="BM10" s="474" t="str">
        <f>'MLK1-4'!AA9</f>
        <v>ARIA baik  dalam melantunkan dan menceritakan isi kawih tentang bangga sebagai bangsa Indonesia</v>
      </c>
      <c r="BN10" s="475">
        <f>IFERROR('MLK2-4'!U9,"")</f>
        <v>91</v>
      </c>
      <c r="BO10" s="475" t="str">
        <f>IFERROR('MLK2-4'!V9,"")</f>
        <v>A</v>
      </c>
      <c r="BP10" s="474" t="str">
        <f>'MLK2-4'!AA9</f>
        <v>ARIA sangat baik  dalam memahami langkah-langkah pengawasan kelestarian lingkungan hidup</v>
      </c>
      <c r="BQ10" s="475">
        <f>IFERROR('MLK3-4'!Y9,"")</f>
        <v>76</v>
      </c>
      <c r="BR10" s="475" t="str">
        <f>IFERROR('MLK3-4'!Z9,"")</f>
        <v>C</v>
      </c>
      <c r="BS10" s="474" t="str">
        <f>'MLK3-4'!AE9</f>
        <v xml:space="preserve">ARIA cukup baik  dalam merespon instruksi sangat sederhana dengan tindakan secara berterima dalam konteks sekolah  </v>
      </c>
      <c r="BT10" s="475">
        <f t="shared" si="1"/>
        <v>80.454545454545453</v>
      </c>
      <c r="BU10" s="505">
        <f t="shared" si="0"/>
        <v>1770</v>
      </c>
      <c r="BV10" s="477">
        <f t="shared" si="2"/>
        <v>1770</v>
      </c>
      <c r="BW10" s="478">
        <f t="shared" si="3"/>
        <v>29</v>
      </c>
    </row>
    <row r="11" spans="1:76" ht="20.25" customHeight="1">
      <c r="A11" s="146">
        <v>6</v>
      </c>
      <c r="B11" s="146" t="str">
        <f>SISWA!B11</f>
        <v>1718250040310</v>
      </c>
      <c r="C11" s="471" t="str">
        <f>SISWA!C11</f>
        <v>CAHAYA MAHARANI</v>
      </c>
      <c r="D11" s="472" t="str">
        <f>SPIRIT!P10</f>
        <v xml:space="preserve">Ananda CAHAYA baik dalam  ketaatan beribadah,  berperilaku syukur,  berdoa sebelum dan sesudah melakukan kegiatan,  toleransi dalam beribadah, </v>
      </c>
      <c r="E11" s="472" t="str">
        <f>SOSIAL!T10</f>
        <v xml:space="preserve">Ananda CAHAYA baik dalam sikap jujur, disiplin, tanggung jawab, santun, peduli, percaya diri, </v>
      </c>
      <c r="F11" s="473">
        <f>IFERROR('PAI3'!CI11,"")</f>
        <v>84</v>
      </c>
      <c r="G11" s="473" t="str">
        <f>IFERROR('PAI3'!CJ11,"")</f>
        <v>B</v>
      </c>
      <c r="H11" s="474" t="str">
        <f>'PAI3'!CO11</f>
        <v>CAHAYA sangat baik  dalam memahami makna Q.S. at-Tīn dan Q.S. al-Mā’ūn dengan benar., dan  cukup baik  dalam memahami makna sederhana dalam kehidupan sehari-hari.</v>
      </c>
      <c r="I11" s="473">
        <f>IFERROR('PKN3'!U10,"")</f>
        <v>90</v>
      </c>
      <c r="J11" s="473" t="str">
        <f>IFERROR('PKN3'!V10,"")</f>
        <v>A</v>
      </c>
      <c r="K11" s="472" t="str">
        <f>'PKN3'!AA10</f>
        <v xml:space="preserve">CAHAYA sangat baik  dalam memahami hak, kewajiban dan tanggung jawab sebagai warga dalam kehidupan sehari-hari.
</v>
      </c>
      <c r="L11" s="475">
        <f>IFERROR(BIND3!U10,"")</f>
        <v>84</v>
      </c>
      <c r="M11" s="475" t="str">
        <f>IFERROR(BIND3!V10,"")</f>
        <v>B</v>
      </c>
      <c r="N11" s="474" t="str">
        <f>BIND3!AA10</f>
        <v>CAHAYA baik  dalam meringkas teks penjelasan (eksplanasi) dari media cetak atau elektronik.</v>
      </c>
      <c r="O11" s="475">
        <f>IFERROR('MTK3'!U10,"")</f>
        <v>75</v>
      </c>
      <c r="P11" s="475" t="str">
        <f>IFERROR('MTK3'!V10,"")</f>
        <v>C</v>
      </c>
      <c r="Q11" s="474" t="str">
        <f>'MTK3'!AA10</f>
        <v xml:space="preserve">CAHAYA cukup baik  dalam menjelaskan, dan menentukan volume bangun ruang dengan menggunakan satuan volume (seperti kubus satuan) serta hubungan pangkat tiga dengan akar pangkat tiga
</v>
      </c>
      <c r="R11" s="475">
        <f>IFERROR('IPA3'!U10,"")</f>
        <v>88</v>
      </c>
      <c r="S11" s="475" t="str">
        <f>IFERROR('IPA3'!V10,"")</f>
        <v>A</v>
      </c>
      <c r="T11" s="474" t="str">
        <f>'IPA3'!AA10</f>
        <v xml:space="preserve">CAHAYA sangat baik  dalam menerapkan konsep perpindahan kalor dalam kehidupan sehari-hari.
</v>
      </c>
      <c r="U11" s="475">
        <f>IFERROR('IPS3'!U10,"")</f>
        <v>85</v>
      </c>
      <c r="V11" s="475" t="str">
        <f>IFERROR('IPS3'!V10,"")</f>
        <v>B</v>
      </c>
      <c r="W11" s="474" t="str">
        <f>'IPS3'!AA10</f>
        <v>CAHAYA baik  dalam Mengidentifikasi karakteristik geografis Indonesia sebagai negara kepulauan/maritim dan agraris serta pengaruhnya terhadap kehidupan ekonomi, sosial, budaya, komunikasi, serta transportasi.</v>
      </c>
      <c r="X11" s="475">
        <f>IFERROR(SBDP3!U10,"")</f>
        <v>90</v>
      </c>
      <c r="Y11" s="475" t="str">
        <f>IFERROR(SBDP3!V10,"")</f>
        <v>A</v>
      </c>
      <c r="Z11" s="474" t="str">
        <f>SBDP3!AA10</f>
        <v>CAHAYA sangat baik  dalam memahami gambar cerita</v>
      </c>
      <c r="AA11" s="475">
        <f>IFERROR(PJOK3!U10,"")</f>
        <v>84</v>
      </c>
      <c r="AB11" s="475" t="str">
        <f>IFERROR(PJOK3!V10,"")</f>
        <v>B</v>
      </c>
      <c r="AC11" s="474" t="str">
        <f>PJOK3!AA10</f>
        <v xml:space="preserve">CAHAYA baik  dalam memahami kombinasi pola gerak dominan (bertumpu, bergantung, keseimbangan, berpindah/lokomotor, tolakan, putaran, ayunan, melayang, dan mendarat) untuk membentuk keterampilan dasar senam menggunakan alat
</v>
      </c>
      <c r="AD11" s="475">
        <f>IFERROR('MLK1-3'!U10,"")</f>
        <v>71</v>
      </c>
      <c r="AE11" s="475" t="str">
        <f>IFERROR('MLK1-3'!V10,"")</f>
        <v>C</v>
      </c>
      <c r="AF11" s="476" t="str">
        <f>'MLK1-3'!AA10</f>
        <v>CAHAYA cukup baik  dalam memahami teks kawih tentang bangga sebagai bangsa Indonesia</v>
      </c>
      <c r="AG11" s="475">
        <f>IFERROR('MLK2-3'!X10,"")</f>
        <v>88</v>
      </c>
      <c r="AH11" s="475" t="str">
        <f>IFERROR('MLK2-3'!Y10,"")</f>
        <v>A</v>
      </c>
      <c r="AI11" s="474" t="str">
        <f>'MLK2-3'!AD10</f>
        <v xml:space="preserve">CAHAYA sangat baik  dalam merespon instruksi sangat sederhana dengan tindakan secara berterima dalam konteks sekolah  </v>
      </c>
      <c r="AJ11" s="475">
        <f>IFERROR('MLK3-3'!W10,"")</f>
        <v>87</v>
      </c>
      <c r="AK11" s="475" t="str">
        <f>IFERROR('MLK3-3'!X10,"")</f>
        <v>B</v>
      </c>
      <c r="AL11" s="476" t="str">
        <f>'MLK3-3'!AC10</f>
        <v xml:space="preserve">CAHAYA sangat baik  dalam merespon instruksi sangat sederhana dengan tindakan secara berterima dalam konteks sekolah  , dan  baik  dalam mengeja kalimat sangat sederhana secara tepat dan berterima </v>
      </c>
      <c r="AM11" s="475">
        <f>IFERROR('PAI4'!CI11,"")</f>
        <v>90</v>
      </c>
      <c r="AN11" s="475" t="str">
        <f>IFERROR('PAI4'!CJ11,"")</f>
        <v>A</v>
      </c>
      <c r="AO11" s="476" t="str">
        <f>'PAI4'!CO11</f>
        <v>CAHAYA sangat baik  dalam membaca Q.S. at-Tīn dan Q.S. al-Mā’ūn dengan tartil.</v>
      </c>
      <c r="AP11" s="475">
        <f>IFERROR('PKN4'!U10,"")</f>
        <v>90</v>
      </c>
      <c r="AQ11" s="475" t="str">
        <f>IFERROR('PKN4'!V10,"")</f>
        <v>A</v>
      </c>
      <c r="AR11" s="474" t="str">
        <f>'PKN4'!AA10</f>
        <v>CAHAYA sangat baik  dalam menjelaskan hak, kewajiban, dan tanggung  jawab sebagai warga masyarakat dalam kehidupan sehari-hari</v>
      </c>
      <c r="AS11" s="475">
        <f>IFERROR(BIND4!U10,"")</f>
        <v>84</v>
      </c>
      <c r="AT11" s="475" t="str">
        <f>IFERROR(BIND4!V10,"")</f>
        <v>B</v>
      </c>
      <c r="AU11" s="474" t="str">
        <f>BIND4!AA10</f>
        <v xml:space="preserve">CAHAYA baik  dalam menyajikan ringkasan teks penjelasan (eksplanasi) dari media cetak atau elektronik dengan menggunakan kosakata baku dan kalimat efektif secara lisan, tulis, dan visual.
</v>
      </c>
      <c r="AV11" s="475">
        <f>IFERROR('MTK4'!U10,"")</f>
        <v>75</v>
      </c>
      <c r="AW11" s="475" t="str">
        <f>IFERROR('MTK4'!V10,"")</f>
        <v>C</v>
      </c>
      <c r="AX11" s="474" t="str">
        <f>'MTK4'!AA10</f>
        <v xml:space="preserve">CAHAYA cukup baik  dalam menyelesaikan masalah yang berkaitan dengan volume bangun ruang dengan menggunakan satuan volume (seperti kubus satuan) melibatkan pangkat tiga dan akar pangkat tiga
</v>
      </c>
      <c r="AY11" s="475">
        <f>IFERROR('IPA4'!U10,"")</f>
        <v>88</v>
      </c>
      <c r="AZ11" s="475" t="str">
        <f>IFERROR('IPA4'!V10,"")</f>
        <v>A</v>
      </c>
      <c r="BA11" s="474" t="str">
        <f>'IPA4'!AA10</f>
        <v>CAHAYA sangat baik  dalam melaporkan hasil pengamatan tentang perpindahan kalor.</v>
      </c>
      <c r="BB11" s="475">
        <f>IFERROR('IPS4'!U10,"")</f>
        <v>85</v>
      </c>
      <c r="BC11" s="475" t="str">
        <f>IFERROR('IPS4'!V10,"")</f>
        <v>B</v>
      </c>
      <c r="BD11" s="474" t="str">
        <f>'IPS4'!AA10</f>
        <v>CAHAYA baik  dalam menyajikan hasil identifikasi karakteristik geografis Indonesia sebagai negara kepulauan/maritim dan agraris serta pengaruhnya terhadap kehidupan ekonomi, sosial, budaya, komunikasi, serta transportasi.</v>
      </c>
      <c r="BE11" s="475">
        <f>IFERROR(SBDP4!U10,"")</f>
        <v>90</v>
      </c>
      <c r="BF11" s="475" t="str">
        <f>IFERROR(SBDP4!V10,"")</f>
        <v>A</v>
      </c>
      <c r="BG11" s="474" t="str">
        <f>SBDP4!AA10</f>
        <v>CAHAYA sangat baik  dalam membuat gambar cerita</v>
      </c>
      <c r="BH11" s="475">
        <f>IFERROR(PJOK4!U10,"")</f>
        <v>85</v>
      </c>
      <c r="BI11" s="475" t="str">
        <f>IFERROR(PJOK4!V10,"")</f>
        <v>B</v>
      </c>
      <c r="BJ11" s="476" t="str">
        <f>PJOK4!AA10</f>
        <v>CAHAYA sangat baik  dalam mempraktikkan kombinasi pola gerak dominan (bertumpu, bergantung, keseimbangan, berpindah/ lokomotor, tolakan, putaran, ayunan, melayang, dan mendarat) untuk membentuk keterampilan dasar senam menggunakan alat
, dan  baik  dalam menerapkan konsep pemeliharaan diri dan orang lain dari penyakit menular dan tidak menular</v>
      </c>
      <c r="BK11" s="475">
        <f>IFERROR('MLK1-4'!U10,"")</f>
        <v>71</v>
      </c>
      <c r="BL11" s="475" t="str">
        <f>IFERROR('MLK1-4'!V10,"")</f>
        <v>C</v>
      </c>
      <c r="BM11" s="474" t="str">
        <f>'MLK1-4'!AA10</f>
        <v>CAHAYA cukup baik  dalam melantunkan dan menceritakan isi kawih tentang bangga sebagai bangsa Indonesia</v>
      </c>
      <c r="BN11" s="475">
        <f>IFERROR('MLK2-4'!U10,"")</f>
        <v>88</v>
      </c>
      <c r="BO11" s="475" t="str">
        <f>IFERROR('MLK2-4'!V10,"")</f>
        <v>A</v>
      </c>
      <c r="BP11" s="474" t="str">
        <f>'MLK2-4'!AA10</f>
        <v>CAHAYA sangat baik  dalam memahami langkah-langkah pengawasan kelestarian lingkungan hidup</v>
      </c>
      <c r="BQ11" s="475">
        <f>IFERROR('MLK3-4'!Y10,"")</f>
        <v>85</v>
      </c>
      <c r="BR11" s="475" t="str">
        <f>IFERROR('MLK3-4'!Z10,"")</f>
        <v>B</v>
      </c>
      <c r="BS11" s="474" t="str">
        <f>'MLK3-4'!AE10</f>
        <v xml:space="preserve">CAHAYA baik  dalam merespon instruksi sangat sederhana dengan tindakan secara berterima dalam konteks sekolah  </v>
      </c>
      <c r="BT11" s="475">
        <f t="shared" si="1"/>
        <v>80.590909090909093</v>
      </c>
      <c r="BU11" s="505">
        <f t="shared" si="0"/>
        <v>1773</v>
      </c>
      <c r="BV11" s="477">
        <f t="shared" si="2"/>
        <v>1773</v>
      </c>
      <c r="BW11" s="478">
        <f t="shared" si="3"/>
        <v>28</v>
      </c>
    </row>
    <row r="12" spans="1:76" ht="20.25" customHeight="1">
      <c r="A12" s="146">
        <v>7</v>
      </c>
      <c r="B12" s="146" t="str">
        <f>SISWA!B12</f>
        <v>1718250040311</v>
      </c>
      <c r="C12" s="471" t="str">
        <f>SISWA!C12</f>
        <v>CALISTA NABILA</v>
      </c>
      <c r="D12" s="472" t="str">
        <f>SPIRIT!P11</f>
        <v xml:space="preserve">Ananda CALISTA baik dalam  ketaatan beribadah,  berperilaku syukur,  berdoa sebelum dan sesudah melakukan kegiatan,  toleransi dalam beribadah, </v>
      </c>
      <c r="E12" s="472" t="str">
        <f>SOSIAL!T11</f>
        <v xml:space="preserve">Ananda CALISTA baik dalam sikap jujur, disiplin, tanggung jawab, santun, peduli, percaya diri, </v>
      </c>
      <c r="F12" s="473">
        <f>IFERROR('PAI3'!CI12,"")</f>
        <v>76</v>
      </c>
      <c r="G12" s="473" t="str">
        <f>IFERROR('PAI3'!CJ12,"")</f>
        <v>C</v>
      </c>
      <c r="H12" s="474" t="str">
        <f>'PAI3'!CO12</f>
        <v>CALISTA baik  dalam memahami makna sederhana dalam kehidupan sehari-hari., dan  cukup baik  dalam memahami makna Q.S. at-Tīn dan Q.S. al-Mā’ūn dengan benar.</v>
      </c>
      <c r="I12" s="473">
        <f>IFERROR('PKN3'!U11,"")</f>
        <v>83</v>
      </c>
      <c r="J12" s="473" t="str">
        <f>IFERROR('PKN3'!V11,"")</f>
        <v>B</v>
      </c>
      <c r="K12" s="472" t="str">
        <f>'PKN3'!AA11</f>
        <v xml:space="preserve">CALISTA baik  dalam memahami hak, kewajiban dan tanggung jawab sebagai warga dalam kehidupan sehari-hari.
</v>
      </c>
      <c r="L12" s="475">
        <f>IFERROR(BIND3!U11,"")</f>
        <v>80</v>
      </c>
      <c r="M12" s="475" t="str">
        <f>IFERROR(BIND3!V11,"")</f>
        <v>B</v>
      </c>
      <c r="N12" s="474" t="str">
        <f>BIND3!AA11</f>
        <v>CALISTA baik  dalam meringkas teks penjelasan (eksplanasi) dari media cetak atau elektronik.</v>
      </c>
      <c r="O12" s="475">
        <f>IFERROR('MTK3'!U11,"")</f>
        <v>65</v>
      </c>
      <c r="P12" s="475" t="str">
        <f>IFERROR('MTK3'!V11,"")</f>
        <v>C</v>
      </c>
      <c r="Q12" s="474" t="str">
        <f>'MTK3'!AA11</f>
        <v xml:space="preserve">CALISTA cukup baik  dalam menjelaskan, dan menentukan volume bangun ruang dengan menggunakan satuan volume (seperti kubus satuan) serta hubungan pangkat tiga dengan akar pangkat tiga
</v>
      </c>
      <c r="R12" s="475">
        <f>IFERROR('IPA3'!U11,"")</f>
        <v>70</v>
      </c>
      <c r="S12" s="475" t="str">
        <f>IFERROR('IPA3'!V11,"")</f>
        <v>C</v>
      </c>
      <c r="T12" s="474" t="str">
        <f>'IPA3'!AA11</f>
        <v xml:space="preserve">CALISTA cukup baik  dalam menerapkan konsep perpindahan kalor dalam kehidupan sehari-hari.
</v>
      </c>
      <c r="U12" s="475">
        <f>IFERROR('IPS3'!U11,"")</f>
        <v>80</v>
      </c>
      <c r="V12" s="475" t="str">
        <f>IFERROR('IPS3'!V11,"")</f>
        <v>B</v>
      </c>
      <c r="W12" s="474" t="str">
        <f>'IPS3'!AA11</f>
        <v>CALISTA baik  dalam Mengidentifikasi karakteristik geografis Indonesia sebagai negara kepulauan/maritim dan agraris serta pengaruhnya terhadap kehidupan ekonomi, sosial, budaya, komunikasi, serta transportasi.</v>
      </c>
      <c r="X12" s="475">
        <f>IFERROR(SBDP3!U11,"")</f>
        <v>83</v>
      </c>
      <c r="Y12" s="475" t="str">
        <f>IFERROR(SBDP3!V11,"")</f>
        <v>B</v>
      </c>
      <c r="Z12" s="474" t="str">
        <f>SBDP3!AA11</f>
        <v>CALISTA baik  dalam memahami gambar cerita</v>
      </c>
      <c r="AA12" s="475">
        <f>IFERROR(PJOK3!U11,"")</f>
        <v>79</v>
      </c>
      <c r="AB12" s="475" t="str">
        <f>IFERROR(PJOK3!V11,"")</f>
        <v>B</v>
      </c>
      <c r="AC12" s="474" t="str">
        <f>PJOK3!AA11</f>
        <v xml:space="preserve">CALISTA baik  dalam memahami kombinasi pola gerak dominan (bertumpu, bergantung, keseimbangan, berpindah/lokomotor, tolakan, putaran, ayunan, melayang, dan mendarat) untuk membentuk keterampilan dasar senam menggunakan alat
</v>
      </c>
      <c r="AD12" s="475">
        <f>IFERROR('MLK1-3'!U11,"")</f>
        <v>80</v>
      </c>
      <c r="AE12" s="475" t="str">
        <f>IFERROR('MLK1-3'!V11,"")</f>
        <v>B</v>
      </c>
      <c r="AF12" s="476" t="str">
        <f>'MLK1-3'!AA11</f>
        <v>CALISTA baik  dalam memahami teks kawih tentang bangga sebagai bangsa Indonesia</v>
      </c>
      <c r="AG12" s="475">
        <f>IFERROR('MLK2-3'!X11,"")</f>
        <v>85</v>
      </c>
      <c r="AH12" s="475" t="str">
        <f>IFERROR('MLK2-3'!Y11,"")</f>
        <v>B</v>
      </c>
      <c r="AI12" s="474" t="str">
        <f>'MLK2-3'!AD11</f>
        <v xml:space="preserve">CALISTA baik  dalam merespon instruksi sangat sederhana dengan tindakan secara berterima dalam konteks sekolah  </v>
      </c>
      <c r="AJ12" s="475">
        <f>IFERROR('MLK3-3'!W11,"")</f>
        <v>73</v>
      </c>
      <c r="AK12" s="475" t="str">
        <f>IFERROR('MLK3-3'!X11,"")</f>
        <v>C</v>
      </c>
      <c r="AL12" s="476" t="str">
        <f>'MLK3-3'!AC11</f>
        <v xml:space="preserve">CALISTA baik  dalam membaca nyaring dengan ucapan, tekanan, dan intonasi secara tepat dan berterima yang melibatkan: kata, frasa, kalimat sangat sederhana, dan teks sangat sederhana 
, dan  cukup baik  dalam merespon instruksi sangat sederhana dengan tindakan secara berterima dalam konteks sekolah  </v>
      </c>
      <c r="AM12" s="475">
        <f>IFERROR('PAI4'!CI12,"")</f>
        <v>85</v>
      </c>
      <c r="AN12" s="475" t="str">
        <f>IFERROR('PAI4'!CJ12,"")</f>
        <v>B</v>
      </c>
      <c r="AO12" s="476" t="str">
        <f>'PAI4'!CO12</f>
        <v>CALISTA baik  dalam membaca Q.S. at-Tīn dan Q.S. al-Mā’ūn dengan tartil.</v>
      </c>
      <c r="AP12" s="475">
        <f>IFERROR('PKN4'!U11,"")</f>
        <v>83</v>
      </c>
      <c r="AQ12" s="475" t="str">
        <f>IFERROR('PKN4'!V11,"")</f>
        <v>B</v>
      </c>
      <c r="AR12" s="474" t="str">
        <f>'PKN4'!AA11</f>
        <v>CALISTA baik  dalam menjelaskan hak, kewajiban, dan tanggung  jawab sebagai warga masyarakat dalam kehidupan sehari-hari</v>
      </c>
      <c r="AS12" s="475">
        <f>IFERROR(BIND4!U11,"")</f>
        <v>80</v>
      </c>
      <c r="AT12" s="475" t="str">
        <f>IFERROR(BIND4!V11,"")</f>
        <v>B</v>
      </c>
      <c r="AU12" s="474" t="str">
        <f>BIND4!AA11</f>
        <v xml:space="preserve">CALISTA baik  dalam menyajikan ringkasan teks penjelasan (eksplanasi) dari media cetak atau elektronik dengan menggunakan kosakata baku dan kalimat efektif secara lisan, tulis, dan visual.
</v>
      </c>
      <c r="AV12" s="475">
        <f>IFERROR('MTK4'!U11,"")</f>
        <v>65</v>
      </c>
      <c r="AW12" s="475" t="str">
        <f>IFERROR('MTK4'!V11,"")</f>
        <v>C</v>
      </c>
      <c r="AX12" s="474" t="str">
        <f>'MTK4'!AA11</f>
        <v xml:space="preserve">CALISTA cukup baik  dalam menyelesaikan masalah yang berkaitan dengan volume bangun ruang dengan menggunakan satuan volume (seperti kubus satuan) melibatkan pangkat tiga dan akar pangkat tiga
</v>
      </c>
      <c r="AY12" s="475">
        <f>IFERROR('IPA4'!U11,"")</f>
        <v>70</v>
      </c>
      <c r="AZ12" s="475" t="str">
        <f>IFERROR('IPA4'!V11,"")</f>
        <v>C</v>
      </c>
      <c r="BA12" s="474" t="str">
        <f>'IPA4'!AA11</f>
        <v>CALISTA cukup baik  dalam melaporkan hasil pengamatan tentang perpindahan kalor.</v>
      </c>
      <c r="BB12" s="475">
        <f>IFERROR('IPS4'!U11,"")</f>
        <v>80</v>
      </c>
      <c r="BC12" s="475" t="str">
        <f>IFERROR('IPS4'!V11,"")</f>
        <v>B</v>
      </c>
      <c r="BD12" s="474" t="str">
        <f>'IPS4'!AA11</f>
        <v>CALISTA baik  dalam menyajikan hasil identifikasi karakteristik geografis Indonesia sebagai negara kepulauan/maritim dan agraris serta pengaruhnya terhadap kehidupan ekonomi, sosial, budaya, komunikasi, serta transportasi.</v>
      </c>
      <c r="BE12" s="475">
        <f>IFERROR(SBDP4!U11,"")</f>
        <v>83</v>
      </c>
      <c r="BF12" s="475" t="str">
        <f>IFERROR(SBDP4!V11,"")</f>
        <v>B</v>
      </c>
      <c r="BG12" s="474" t="str">
        <f>SBDP4!AA11</f>
        <v>CALISTA baik  dalam membuat gambar cerita</v>
      </c>
      <c r="BH12" s="475">
        <f>IFERROR(PJOK4!U11,"")</f>
        <v>83</v>
      </c>
      <c r="BI12" s="475" t="str">
        <f>IFERROR(PJOK4!V11,"")</f>
        <v>B</v>
      </c>
      <c r="BJ12" s="476" t="str">
        <f>PJOK4!AA11</f>
        <v>CALISTA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12" s="475">
        <f>IFERROR('MLK1-4'!U11,"")</f>
        <v>80</v>
      </c>
      <c r="BL12" s="475" t="str">
        <f>IFERROR('MLK1-4'!V11,"")</f>
        <v>B</v>
      </c>
      <c r="BM12" s="474" t="str">
        <f>'MLK1-4'!AA11</f>
        <v>CALISTA baik  dalam melantunkan dan menceritakan isi kawih tentang bangga sebagai bangsa Indonesia</v>
      </c>
      <c r="BN12" s="475">
        <f>IFERROR('MLK2-4'!U11,"")</f>
        <v>85</v>
      </c>
      <c r="BO12" s="475" t="str">
        <f>IFERROR('MLK2-4'!V11,"")</f>
        <v>B</v>
      </c>
      <c r="BP12" s="474" t="str">
        <f>'MLK2-4'!AA11</f>
        <v>CALISTA baik  dalam memahami langkah-langkah pengawasan kelestarian lingkungan hidup</v>
      </c>
      <c r="BQ12" s="475">
        <f>IFERROR('MLK3-4'!Y11,"")</f>
        <v>70</v>
      </c>
      <c r="BR12" s="475" t="str">
        <f>IFERROR('MLK3-4'!Z11,"")</f>
        <v>C</v>
      </c>
      <c r="BS12" s="474" t="str">
        <f>'MLK3-4'!AE11</f>
        <v xml:space="preserve">CALISTA cukup baik  dalam merespon instruksi sangat sederhana dengan tindakan secara berterima dalam konteks sekolah  </v>
      </c>
      <c r="BT12" s="475">
        <f t="shared" si="1"/>
        <v>74.63636363636364</v>
      </c>
      <c r="BU12" s="505">
        <f t="shared" si="0"/>
        <v>1642</v>
      </c>
      <c r="BV12" s="477">
        <f t="shared" si="2"/>
        <v>1642</v>
      </c>
      <c r="BW12" s="478">
        <f t="shared" si="3"/>
        <v>42</v>
      </c>
    </row>
    <row r="13" spans="1:76" ht="20.25" customHeight="1">
      <c r="A13" s="146">
        <v>8</v>
      </c>
      <c r="B13" s="146" t="str">
        <f>SISWA!B13</f>
        <v>1718250040312</v>
      </c>
      <c r="C13" s="471" t="str">
        <f>SISWA!C13</f>
        <v>CARISSA VIRGIE NAFISHA</v>
      </c>
      <c r="D13" s="472" t="str">
        <f>SPIRIT!P12</f>
        <v xml:space="preserve">Ananda CARISSA baik dalam  ketaatan beribadah,  berperilaku syukur,  berdoa sebelum dan sesudah melakukan kegiatan,  toleransi dalam beribadah, </v>
      </c>
      <c r="E13" s="472" t="str">
        <f>SOSIAL!T12</f>
        <v xml:space="preserve">Ananda CARISSA baik dalam sikap jujur, disiplin, tanggung jawab, santun, peduli, percaya diri, </v>
      </c>
      <c r="F13" s="473">
        <f>IFERROR('PAI3'!CI13,"")</f>
        <v>83</v>
      </c>
      <c r="G13" s="473" t="str">
        <f>IFERROR('PAI3'!CJ13,"")</f>
        <v>B</v>
      </c>
      <c r="H13" s="474" t="str">
        <f>'PAI3'!CO13</f>
        <v>CARISSA sangat baik  dalam memahami makna Q.S. at-Tīn dan Q.S. al-Mā’ūn dengan benar., dan  cukup baik  dalam memahami makna sederhana dalam kehidupan sehari-hari.</v>
      </c>
      <c r="I13" s="473">
        <f>IFERROR('PKN3'!U12,"")</f>
        <v>93</v>
      </c>
      <c r="J13" s="473" t="str">
        <f>IFERROR('PKN3'!V12,"")</f>
        <v>A</v>
      </c>
      <c r="K13" s="472" t="str">
        <f>'PKN3'!AA12</f>
        <v xml:space="preserve">CARISSA sangat baik  dalam memahami hak, kewajiban dan tanggung jawab sebagai warga dalam kehidupan sehari-hari.
</v>
      </c>
      <c r="L13" s="475">
        <f>IFERROR(BIND3!U12,"")</f>
        <v>90</v>
      </c>
      <c r="M13" s="475" t="str">
        <f>IFERROR(BIND3!V12,"")</f>
        <v>A</v>
      </c>
      <c r="N13" s="474" t="str">
        <f>BIND3!AA12</f>
        <v>CARISSA sangat baik  dalam meringkas teks penjelasan (eksplanasi) dari media cetak atau elektronik.</v>
      </c>
      <c r="O13" s="475">
        <f>IFERROR('MTK3'!U12,"")</f>
        <v>80</v>
      </c>
      <c r="P13" s="475" t="str">
        <f>IFERROR('MTK3'!V12,"")</f>
        <v>B</v>
      </c>
      <c r="Q13" s="474" t="str">
        <f>'MTK3'!AA12</f>
        <v xml:space="preserve">CARISSA baik  dalam menjelaskan, dan menentukan volume bangun ruang dengan menggunakan satuan volume (seperti kubus satuan) serta hubungan pangkat tiga dengan akar pangkat tiga
</v>
      </c>
      <c r="R13" s="475">
        <f>IFERROR('IPA3'!U12,"")</f>
        <v>80</v>
      </c>
      <c r="S13" s="475" t="str">
        <f>IFERROR('IPA3'!V12,"")</f>
        <v>B</v>
      </c>
      <c r="T13" s="474" t="str">
        <f>'IPA3'!AA12</f>
        <v xml:space="preserve">CARISSA baik  dalam menerapkan konsep perpindahan kalor dalam kehidupan sehari-hari.
</v>
      </c>
      <c r="U13" s="475">
        <f>IFERROR('IPS3'!U12,"")</f>
        <v>85</v>
      </c>
      <c r="V13" s="475" t="str">
        <f>IFERROR('IPS3'!V12,"")</f>
        <v>B</v>
      </c>
      <c r="W13" s="474" t="str">
        <f>'IPS3'!AA12</f>
        <v>CARISSA baik  dalam Mengidentifikasi karakteristik geografis Indonesia sebagai negara kepulauan/maritim dan agraris serta pengaruhnya terhadap kehidupan ekonomi, sosial, budaya, komunikasi, serta transportasi.</v>
      </c>
      <c r="X13" s="475">
        <f>IFERROR(SBDP3!U12,"")</f>
        <v>93</v>
      </c>
      <c r="Y13" s="475" t="str">
        <f>IFERROR(SBDP3!V12,"")</f>
        <v>A</v>
      </c>
      <c r="Z13" s="474" t="str">
        <f>SBDP3!AA12</f>
        <v>CARISSA sangat baik  dalam memahami gambar cerita</v>
      </c>
      <c r="AA13" s="475">
        <f>IFERROR(PJOK3!U12,"")</f>
        <v>84</v>
      </c>
      <c r="AB13" s="475" t="str">
        <f>IFERROR(PJOK3!V12,"")</f>
        <v>B</v>
      </c>
      <c r="AC13" s="474" t="str">
        <f>PJOK3!AA12</f>
        <v xml:space="preserve">CARISSA baik  dalam memahami kombinasi pola gerak dominan (bertumpu, bergantung, keseimbangan, berpindah/lokomotor, tolakan, putaran, ayunan, melayang, dan mendarat) untuk membentuk keterampilan dasar senam menggunakan alat
</v>
      </c>
      <c r="AD13" s="475">
        <f>IFERROR('MLK1-3'!U12,"")</f>
        <v>88</v>
      </c>
      <c r="AE13" s="475" t="str">
        <f>IFERROR('MLK1-3'!V12,"")</f>
        <v>A</v>
      </c>
      <c r="AF13" s="476" t="str">
        <f>'MLK1-3'!AA12</f>
        <v>CARISSA sangat baik  dalam memahami teks kawih tentang bangga sebagai bangsa Indonesia</v>
      </c>
      <c r="AG13" s="475">
        <f>IFERROR('MLK2-3'!X12,"")</f>
        <v>100</v>
      </c>
      <c r="AH13" s="475" t="str">
        <f>IFERROR('MLK2-3'!Y12,"")</f>
        <v>A</v>
      </c>
      <c r="AI13" s="474" t="str">
        <f>'MLK2-3'!AD12</f>
        <v xml:space="preserve">CARISSA sangat baik  dalam merespon instruksi sangat sederhana dengan tindakan secara berterima dalam konteks sekolah  </v>
      </c>
      <c r="AJ13" s="475">
        <f>IFERROR('MLK3-3'!W12,"")</f>
        <v>91</v>
      </c>
      <c r="AK13" s="475" t="str">
        <f>IFERROR('MLK3-3'!X12,"")</f>
        <v>A</v>
      </c>
      <c r="AL13" s="476" t="str">
        <f>'MLK3-3'!AC12</f>
        <v xml:space="preserve">CARISSA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M13" s="475">
        <f>IFERROR('PAI4'!CI13,"")</f>
        <v>85</v>
      </c>
      <c r="AN13" s="475" t="str">
        <f>IFERROR('PAI4'!CJ13,"")</f>
        <v>B</v>
      </c>
      <c r="AO13" s="476" t="str">
        <f>'PAI4'!CO13</f>
        <v>CARISSA baik  dalam membaca Q.S. at-Tīn dan Q.S. al-Mā’ūn dengan tartil.</v>
      </c>
      <c r="AP13" s="475">
        <f>IFERROR('PKN4'!U12,"")</f>
        <v>93</v>
      </c>
      <c r="AQ13" s="475" t="str">
        <f>IFERROR('PKN4'!V12,"")</f>
        <v>A</v>
      </c>
      <c r="AR13" s="474" t="str">
        <f>'PKN4'!AA12</f>
        <v>CARISSA sangat baik  dalam menjelaskan hak, kewajiban, dan tanggung  jawab sebagai warga masyarakat dalam kehidupan sehari-hari</v>
      </c>
      <c r="AS13" s="475">
        <f>IFERROR(BIND4!U12,"")</f>
        <v>90</v>
      </c>
      <c r="AT13" s="475" t="str">
        <f>IFERROR(BIND4!V12,"")</f>
        <v>A</v>
      </c>
      <c r="AU13" s="474" t="str">
        <f>BIND4!AA12</f>
        <v xml:space="preserve">CARISSA sangat baik  dalam menyajikan ringkasan teks penjelasan (eksplanasi) dari media cetak atau elektronik dengan menggunakan kosakata baku dan kalimat efektif secara lisan, tulis, dan visual.
</v>
      </c>
      <c r="AV13" s="475">
        <f>IFERROR('MTK4'!U12,"")</f>
        <v>80</v>
      </c>
      <c r="AW13" s="475" t="str">
        <f>IFERROR('MTK4'!V12,"")</f>
        <v>B</v>
      </c>
      <c r="AX13" s="474" t="str">
        <f>'MTK4'!AA12</f>
        <v xml:space="preserve">CARISSA baik  dalam menyelesaikan masalah yang berkaitan dengan volume bangun ruang dengan menggunakan satuan volume (seperti kubus satuan) melibatkan pangkat tiga dan akar pangkat tiga
</v>
      </c>
      <c r="AY13" s="475">
        <f>IFERROR('IPA4'!U12,"")</f>
        <v>80</v>
      </c>
      <c r="AZ13" s="475" t="str">
        <f>IFERROR('IPA4'!V12,"")</f>
        <v>B</v>
      </c>
      <c r="BA13" s="474" t="str">
        <f>'IPA4'!AA12</f>
        <v>CARISSA baik  dalam melaporkan hasil pengamatan tentang perpindahan kalor.</v>
      </c>
      <c r="BB13" s="475">
        <f>IFERROR('IPS4'!U12,"")</f>
        <v>85</v>
      </c>
      <c r="BC13" s="475" t="str">
        <f>IFERROR('IPS4'!V12,"")</f>
        <v>B</v>
      </c>
      <c r="BD13" s="474" t="str">
        <f>'IPS4'!AA12</f>
        <v>CARISSA baik  dalam menyajikan hasil identifikasi karakteristik geografis Indonesia sebagai negara kepulauan/maritim dan agraris serta pengaruhnya terhadap kehidupan ekonomi, sosial, budaya, komunikasi, serta transportasi.</v>
      </c>
      <c r="BE13" s="475">
        <f>IFERROR(SBDP4!U12,"")</f>
        <v>93</v>
      </c>
      <c r="BF13" s="475" t="str">
        <f>IFERROR(SBDP4!V12,"")</f>
        <v>A</v>
      </c>
      <c r="BG13" s="474" t="str">
        <f>SBDP4!AA12</f>
        <v>CARISSA sangat baik  dalam membuat gambar cerita</v>
      </c>
      <c r="BH13" s="475">
        <f>IFERROR(PJOK4!U12,"")</f>
        <v>86</v>
      </c>
      <c r="BI13" s="475" t="str">
        <f>IFERROR(PJOK4!V12,"")</f>
        <v>B</v>
      </c>
      <c r="BJ13" s="476" t="str">
        <f>PJOK4!AA12</f>
        <v>CARISSA sangat baik  dalam mempraktikkan pengunaan kombinasi gerak dasar langkah dan ayunan lengan mengikuti irama (ketukan) tanpa/dengan musik dalam aktivitas gerak berirama, dan  baik  dalam memaparkan bahaya merokok, meminum minuman keras, dan mengonsumsi narkotika, zat-zat aditif (NAPZA) dan obat berbahaya lainnya terhadap kesehatan tubuh</v>
      </c>
      <c r="BK13" s="475">
        <f>IFERROR('MLK1-4'!U12,"")</f>
        <v>88</v>
      </c>
      <c r="BL13" s="475" t="str">
        <f>IFERROR('MLK1-4'!V12,"")</f>
        <v>A</v>
      </c>
      <c r="BM13" s="474" t="str">
        <f>'MLK1-4'!AA12</f>
        <v>CARISSA sangat baik  dalam melantunkan dan menceritakan isi kawih tentang bangga sebagai bangsa Indonesia</v>
      </c>
      <c r="BN13" s="475">
        <f>IFERROR('MLK2-4'!U12,"")</f>
        <v>100</v>
      </c>
      <c r="BO13" s="475" t="str">
        <f>IFERROR('MLK2-4'!V12,"")</f>
        <v>A</v>
      </c>
      <c r="BP13" s="474" t="str">
        <f>'MLK2-4'!AA12</f>
        <v>CARISSA sangat baik  dalam memahami langkah-langkah pengawasan kelestarian lingkungan hidup</v>
      </c>
      <c r="BQ13" s="475">
        <f>IFERROR('MLK3-4'!Y12,"")</f>
        <v>90</v>
      </c>
      <c r="BR13" s="475" t="str">
        <f>IFERROR('MLK3-4'!Z12,"")</f>
        <v>A</v>
      </c>
      <c r="BS13" s="474" t="str">
        <f>'MLK3-4'!AE12</f>
        <v xml:space="preserve">CARISSA sangat baik  dalam merespon instruksi sangat sederhana dengan tindakan secara berterima dalam konteks sekolah  </v>
      </c>
      <c r="BT13" s="475">
        <f t="shared" si="1"/>
        <v>84.272727272727266</v>
      </c>
      <c r="BU13" s="505">
        <f t="shared" si="0"/>
        <v>1854</v>
      </c>
      <c r="BV13" s="477">
        <f t="shared" si="2"/>
        <v>1854</v>
      </c>
      <c r="BW13" s="478">
        <f t="shared" si="3"/>
        <v>9</v>
      </c>
    </row>
    <row r="14" spans="1:76" ht="20.25" customHeight="1">
      <c r="A14" s="146">
        <v>9</v>
      </c>
      <c r="B14" s="146" t="str">
        <f>SISWA!B14</f>
        <v>1718250040313</v>
      </c>
      <c r="C14" s="471" t="str">
        <f>SISWA!C14</f>
        <v>CHAIDAR AHMAD FAISAL HARAHAP</v>
      </c>
      <c r="D14" s="472" t="str">
        <f>SPIRIT!P13</f>
        <v xml:space="preserve">Ananda CHAIDAR baik dalam  ketaatan beribadah,  berperilaku syukur,  berdoa sebelum dan sesudah melakukan kegiatan,  toleransi dalam beribadah, </v>
      </c>
      <c r="E14" s="472" t="str">
        <f>SOSIAL!T13</f>
        <v xml:space="preserve">Ananda CHAIDAR baik dalam sikap jujur, disiplin, tanggung jawab, santun, peduli, percaya diri, </v>
      </c>
      <c r="F14" s="473">
        <f>IFERROR('PAI3'!CI14,"")</f>
        <v>81</v>
      </c>
      <c r="G14" s="473" t="str">
        <f>IFERROR('PAI3'!CJ14,"")</f>
        <v>B</v>
      </c>
      <c r="H14" s="474" t="str">
        <f>'PAI3'!CO14</f>
        <v>CHAIDAR sangat baik  dalam memahami makna Q.S. at-Tīn dan Q.S. al-Mā’ūn dengan benar., dan  cukup baik  dalam memahami nama-nama Rasul Allah dan Rasul Ulul ‘Azmi.</v>
      </c>
      <c r="I14" s="473">
        <f>IFERROR('PKN3'!U13,"")</f>
        <v>95</v>
      </c>
      <c r="J14" s="473" t="str">
        <f>IFERROR('PKN3'!V13,"")</f>
        <v>A</v>
      </c>
      <c r="K14" s="472" t="str">
        <f>'PKN3'!AA13</f>
        <v xml:space="preserve">CHAIDAR sangat baik  dalam memahami hak, kewajiban dan tanggung jawab sebagai warga dalam kehidupan sehari-hari.
</v>
      </c>
      <c r="L14" s="475">
        <f>IFERROR(BIND3!U13,"")</f>
        <v>84</v>
      </c>
      <c r="M14" s="475" t="str">
        <f>IFERROR(BIND3!V13,"")</f>
        <v>B</v>
      </c>
      <c r="N14" s="474" t="str">
        <f>BIND3!AA13</f>
        <v>CHAIDAR baik  dalam meringkas teks penjelasan (eksplanasi) dari media cetak atau elektronik.</v>
      </c>
      <c r="O14" s="475">
        <f>IFERROR('MTK3'!U13,"")</f>
        <v>75</v>
      </c>
      <c r="P14" s="475" t="str">
        <f>IFERROR('MTK3'!V13,"")</f>
        <v>C</v>
      </c>
      <c r="Q14" s="474" t="str">
        <f>'MTK3'!AA13</f>
        <v xml:space="preserve">CHAIDAR cukup baik  dalam menjelaskan, dan menentukan volume bangun ruang dengan menggunakan satuan volume (seperti kubus satuan) serta hubungan pangkat tiga dengan akar pangkat tiga
</v>
      </c>
      <c r="R14" s="475">
        <f>IFERROR('IPA3'!U13,"")</f>
        <v>83</v>
      </c>
      <c r="S14" s="475" t="str">
        <f>IFERROR('IPA3'!V13,"")</f>
        <v>B</v>
      </c>
      <c r="T14" s="474" t="str">
        <f>'IPA3'!AA13</f>
        <v xml:space="preserve">CHAIDAR baik  dalam menerapkan konsep perpindahan kalor dalam kehidupan sehari-hari.
</v>
      </c>
      <c r="U14" s="475">
        <f>IFERROR('IPS3'!U13,"")</f>
        <v>88</v>
      </c>
      <c r="V14" s="475" t="str">
        <f>IFERROR('IPS3'!V13,"")</f>
        <v>A</v>
      </c>
      <c r="W14" s="474" t="str">
        <f>'IPS3'!AA13</f>
        <v>CHAIDAR sangat baik  dalam Mengidentifikasi karakteristik geografis Indonesia sebagai negara kepulauan/maritim dan agraris serta pengaruhnya terhadap kehidupan ekonomi, sosial, budaya, komunikasi, serta transportasi.</v>
      </c>
      <c r="X14" s="475">
        <f>IFERROR(SBDP3!U13,"")</f>
        <v>95</v>
      </c>
      <c r="Y14" s="475" t="str">
        <f>IFERROR(SBDP3!V13,"")</f>
        <v>A</v>
      </c>
      <c r="Z14" s="474" t="str">
        <f>SBDP3!AA13</f>
        <v>CHAIDAR sangat baik  dalam memahami gambar cerita</v>
      </c>
      <c r="AA14" s="475">
        <f>IFERROR(PJOK3!U13,"")</f>
        <v>84</v>
      </c>
      <c r="AB14" s="475" t="str">
        <f>IFERROR(PJOK3!V13,"")</f>
        <v>B</v>
      </c>
      <c r="AC14" s="474" t="str">
        <f>PJOK3!AA13</f>
        <v xml:space="preserve">CHAIDAR baik  dalam memahami kombinasi pola gerak dominan (bertumpu, bergantung, keseimbangan, berpindah/lokomotor, tolakan, putaran, ayunan, melayang, dan mendarat) untuk membentuk keterampilan dasar senam menggunakan alat
</v>
      </c>
      <c r="AD14" s="475">
        <f>IFERROR('MLK1-3'!U13,"")</f>
        <v>82</v>
      </c>
      <c r="AE14" s="475" t="str">
        <f>IFERROR('MLK1-3'!V13,"")</f>
        <v>B</v>
      </c>
      <c r="AF14" s="476" t="str">
        <f>'MLK1-3'!AA13</f>
        <v>CHAIDAR baik  dalam memahami teks kawih tentang bangga sebagai bangsa Indonesia</v>
      </c>
      <c r="AG14" s="475">
        <f>IFERROR('MLK2-3'!X13,"")</f>
        <v>94</v>
      </c>
      <c r="AH14" s="475" t="str">
        <f>IFERROR('MLK2-3'!Y13,"")</f>
        <v>A</v>
      </c>
      <c r="AI14" s="474" t="str">
        <f>'MLK2-3'!AD13</f>
        <v xml:space="preserve">CHAIDAR sangat baik  dalam merespon instruksi sangat sederhana dengan tindakan secara berterima dalam konteks sekolah  </v>
      </c>
      <c r="AJ14" s="475">
        <f>IFERROR('MLK3-3'!W13,"")</f>
        <v>88</v>
      </c>
      <c r="AK14" s="475" t="str">
        <f>IFERROR('MLK3-3'!X13,"")</f>
        <v>A</v>
      </c>
      <c r="AL14" s="476" t="str">
        <f>'MLK3-3'!AC13</f>
        <v xml:space="preserve">CHAIDAR sangat baik  dalam merespon instruksi sangat sederhana dengan tindakan secara berterima dalam konteks sekolah  , dan  baik  dalam bercakap-cakap untuk menyertai tindakan secara berterima yang melibatkan tindak tutur: memberi contoh melakukan sesuatu, memberi aba-aba, dan memberi petunjuk 
</v>
      </c>
      <c r="AM14" s="475">
        <f>IFERROR('PAI4'!CI14,"")</f>
        <v>90</v>
      </c>
      <c r="AN14" s="475" t="str">
        <f>IFERROR('PAI4'!CJ14,"")</f>
        <v>A</v>
      </c>
      <c r="AO14" s="476" t="str">
        <f>'PAI4'!CO14</f>
        <v>CHAIDAR sangat baik  dalam membaca Q.S. at-Tīn dan Q.S. al-Mā’ūn dengan tartil.</v>
      </c>
      <c r="AP14" s="475">
        <f>IFERROR('PKN4'!U13,"")</f>
        <v>95</v>
      </c>
      <c r="AQ14" s="475" t="str">
        <f>IFERROR('PKN4'!V13,"")</f>
        <v>A</v>
      </c>
      <c r="AR14" s="474" t="str">
        <f>'PKN4'!AA13</f>
        <v>CHAIDAR sangat baik  dalam menjelaskan hak, kewajiban, dan tanggung  jawab sebagai warga masyarakat dalam kehidupan sehari-hari</v>
      </c>
      <c r="AS14" s="475">
        <f>IFERROR(BIND4!U13,"")</f>
        <v>84</v>
      </c>
      <c r="AT14" s="475" t="str">
        <f>IFERROR(BIND4!V13,"")</f>
        <v>B</v>
      </c>
      <c r="AU14" s="474" t="str">
        <f>BIND4!AA13</f>
        <v xml:space="preserve">CHAIDAR baik  dalam menyajikan ringkasan teks penjelasan (eksplanasi) dari media cetak atau elektronik dengan menggunakan kosakata baku dan kalimat efektif secara lisan, tulis, dan visual.
</v>
      </c>
      <c r="AV14" s="475">
        <f>IFERROR('MTK4'!U13,"")</f>
        <v>75</v>
      </c>
      <c r="AW14" s="475" t="str">
        <f>IFERROR('MTK4'!V13,"")</f>
        <v>C</v>
      </c>
      <c r="AX14" s="474" t="str">
        <f>'MTK4'!AA13</f>
        <v xml:space="preserve">CHAIDAR cukup baik  dalam menyelesaikan masalah yang berkaitan dengan volume bangun ruang dengan menggunakan satuan volume (seperti kubus satuan) melibatkan pangkat tiga dan akar pangkat tiga
</v>
      </c>
      <c r="AY14" s="475">
        <f>IFERROR('IPA4'!U13,"")</f>
        <v>83</v>
      </c>
      <c r="AZ14" s="475" t="str">
        <f>IFERROR('IPA4'!V13,"")</f>
        <v>B</v>
      </c>
      <c r="BA14" s="474" t="str">
        <f>'IPA4'!AA13</f>
        <v>CHAIDAR baik  dalam melaporkan hasil pengamatan tentang perpindahan kalor.</v>
      </c>
      <c r="BB14" s="475">
        <f>IFERROR('IPS4'!U13,"")</f>
        <v>88</v>
      </c>
      <c r="BC14" s="475" t="str">
        <f>IFERROR('IPS4'!V13,"")</f>
        <v>A</v>
      </c>
      <c r="BD14" s="474" t="str">
        <f>'IPS4'!AA13</f>
        <v>CHAIDAR sangat baik  dalam menyajikan hasil identifikasi karakteristik geografis Indonesia sebagai negara kepulauan/maritim dan agraris serta pengaruhnya terhadap kehidupan ekonomi, sosial, budaya, komunikasi, serta transportasi.</v>
      </c>
      <c r="BE14" s="475">
        <f>IFERROR(SBDP4!U13,"")</f>
        <v>95</v>
      </c>
      <c r="BF14" s="475" t="str">
        <f>IFERROR(SBDP4!V13,"")</f>
        <v>A</v>
      </c>
      <c r="BG14" s="474" t="str">
        <f>SBDP4!AA13</f>
        <v>CHAIDAR sangat baik  dalam membuat gambar cerita</v>
      </c>
      <c r="BH14" s="475">
        <f>IFERROR(PJOK4!U13,"")</f>
        <v>82</v>
      </c>
      <c r="BI14" s="475" t="str">
        <f>IFERROR(PJOK4!V13,"")</f>
        <v>B</v>
      </c>
      <c r="BJ14" s="476" t="str">
        <f>PJOK4!AA13</f>
        <v>CHAIDAR sangat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BK14" s="475">
        <f>IFERROR('MLK1-4'!U13,"")</f>
        <v>82</v>
      </c>
      <c r="BL14" s="475" t="str">
        <f>IFERROR('MLK1-4'!V13,"")</f>
        <v>B</v>
      </c>
      <c r="BM14" s="474" t="str">
        <f>'MLK1-4'!AA13</f>
        <v>CHAIDAR baik  dalam melantunkan dan menceritakan isi kawih tentang bangga sebagai bangsa Indonesia</v>
      </c>
      <c r="BN14" s="475">
        <f>IFERROR('MLK2-4'!U13,"")</f>
        <v>94</v>
      </c>
      <c r="BO14" s="475" t="str">
        <f>IFERROR('MLK2-4'!V13,"")</f>
        <v>A</v>
      </c>
      <c r="BP14" s="474" t="str">
        <f>'MLK2-4'!AA13</f>
        <v>CHAIDAR sangat baik  dalam memahami langkah-langkah pengawasan kelestarian lingkungan hidup</v>
      </c>
      <c r="BQ14" s="475">
        <f>IFERROR('MLK3-4'!Y13,"")</f>
        <v>85</v>
      </c>
      <c r="BR14" s="475" t="str">
        <f>IFERROR('MLK3-4'!Z13,"")</f>
        <v>B</v>
      </c>
      <c r="BS14" s="474" t="str">
        <f>'MLK3-4'!AE13</f>
        <v xml:space="preserve">CHAIDAR baik  dalam merespon instruksi sangat sederhana dengan tindakan secara berterima dalam konteks sekolah  </v>
      </c>
      <c r="BT14" s="475">
        <f t="shared" si="1"/>
        <v>82.772727272727266</v>
      </c>
      <c r="BU14" s="505">
        <f t="shared" si="0"/>
        <v>1821</v>
      </c>
      <c r="BV14" s="477">
        <f t="shared" si="2"/>
        <v>1821</v>
      </c>
      <c r="BW14" s="478">
        <f t="shared" si="3"/>
        <v>17</v>
      </c>
    </row>
    <row r="15" spans="1:76" ht="20.25" customHeight="1">
      <c r="A15" s="146">
        <v>10</v>
      </c>
      <c r="B15" s="146" t="str">
        <f>SISWA!B15</f>
        <v>1718250040314</v>
      </c>
      <c r="C15" s="471" t="str">
        <f>SISWA!C15</f>
        <v>DAVKA MAULANA FABIANDRA</v>
      </c>
      <c r="D15" s="472" t="str">
        <f>SPIRIT!P14</f>
        <v xml:space="preserve">Ananda DAVKA baik dalam  ketaatan beribadah,  berperilaku syukur,  berdoa sebelum dan sesudah melakukan kegiatan,  toleransi dalam beribadah, </v>
      </c>
      <c r="E15" s="472" t="str">
        <f>SOSIAL!T14</f>
        <v xml:space="preserve">Ananda DAVKA baik dalam sikap jujur, disiplin, tanggung jawab, santun, peduli, percaya diri, </v>
      </c>
      <c r="F15" s="473">
        <f>IFERROR('PAI3'!CI15,"")</f>
        <v>83</v>
      </c>
      <c r="G15" s="473" t="str">
        <f>IFERROR('PAI3'!CJ15,"")</f>
        <v>B</v>
      </c>
      <c r="H15" s="474" t="str">
        <f>'PAI3'!CO15</f>
        <v>DAVKA sangat baik  dalam memahami makna Q.S. at-Tīn dan Q.S. al-Mā’ūn dengan benar., dan  cukup baik  dalam memahami nama-nama Rasul Allah dan Rasul Ulul ‘Azmi.</v>
      </c>
      <c r="I15" s="473">
        <f>IFERROR('PKN3'!U14,"")</f>
        <v>90</v>
      </c>
      <c r="J15" s="473" t="str">
        <f>IFERROR('PKN3'!V14,"")</f>
        <v>A</v>
      </c>
      <c r="K15" s="472" t="str">
        <f>'PKN3'!AA14</f>
        <v xml:space="preserve">DAVKA sangat baik  dalam memahami hak, kewajiban dan tanggung jawab sebagai warga dalam kehidupan sehari-hari.
</v>
      </c>
      <c r="L15" s="475">
        <f>IFERROR(BIND3!U14,"")</f>
        <v>85</v>
      </c>
      <c r="M15" s="475" t="str">
        <f>IFERROR(BIND3!V14,"")</f>
        <v>B</v>
      </c>
      <c r="N15" s="474" t="str">
        <f>BIND3!AA14</f>
        <v>DAVKA baik  dalam meringkas teks penjelasan (eksplanasi) dari media cetak atau elektronik.</v>
      </c>
      <c r="O15" s="475">
        <f>IFERROR('MTK3'!U14,"")</f>
        <v>75</v>
      </c>
      <c r="P15" s="475" t="str">
        <f>IFERROR('MTK3'!V14,"")</f>
        <v>C</v>
      </c>
      <c r="Q15" s="474" t="str">
        <f>'MTK3'!AA14</f>
        <v xml:space="preserve">DAVKA cukup baik  dalam menjelaskan, dan menentukan volume bangun ruang dengan menggunakan satuan volume (seperti kubus satuan) serta hubungan pangkat tiga dengan akar pangkat tiga
</v>
      </c>
      <c r="R15" s="475">
        <f>IFERROR('IPA3'!U14,"")</f>
        <v>83</v>
      </c>
      <c r="S15" s="475" t="str">
        <f>IFERROR('IPA3'!V14,"")</f>
        <v>B</v>
      </c>
      <c r="T15" s="474" t="str">
        <f>'IPA3'!AA14</f>
        <v xml:space="preserve">DAVKA baik  dalam menerapkan konsep perpindahan kalor dalam kehidupan sehari-hari.
</v>
      </c>
      <c r="U15" s="475">
        <f>IFERROR('IPS3'!U14,"")</f>
        <v>90</v>
      </c>
      <c r="V15" s="475" t="str">
        <f>IFERROR('IPS3'!V14,"")</f>
        <v>A</v>
      </c>
      <c r="W15" s="474" t="str">
        <f>'IPS3'!AA14</f>
        <v>DAVKA sangat baik  dalam Mengidentifikasi karakteristik geografis Indonesia sebagai negara kepulauan/maritim dan agraris serta pengaruhnya terhadap kehidupan ekonomi, sosial, budaya, komunikasi, serta transportasi.</v>
      </c>
      <c r="X15" s="475">
        <f>IFERROR(SBDP3!U14,"")</f>
        <v>98</v>
      </c>
      <c r="Y15" s="475" t="str">
        <f>IFERROR(SBDP3!V14,"")</f>
        <v>A</v>
      </c>
      <c r="Z15" s="474" t="str">
        <f>SBDP3!AA14</f>
        <v>DAVKA sangat baik  dalam memahami gambar cerita</v>
      </c>
      <c r="AA15" s="475">
        <f>IFERROR(PJOK3!U14,"")</f>
        <v>86</v>
      </c>
      <c r="AB15" s="475" t="str">
        <f>IFERROR(PJOK3!V14,"")</f>
        <v>B</v>
      </c>
      <c r="AC15" s="474" t="str">
        <f>PJOK3!AA14</f>
        <v xml:space="preserve">DAVKA baik  dalam memahami kombinasi pola gerak dominan (bertumpu, bergantung, keseimbangan, berpindah/lokomotor, tolakan, putaran, ayunan, melayang, dan mendarat) untuk membentuk keterampilan dasar senam menggunakan alat
</v>
      </c>
      <c r="AD15" s="475">
        <f>IFERROR('MLK1-3'!U14,"")</f>
        <v>77</v>
      </c>
      <c r="AE15" s="475" t="str">
        <f>IFERROR('MLK1-3'!V14,"")</f>
        <v>B</v>
      </c>
      <c r="AF15" s="476" t="str">
        <f>'MLK1-3'!AA14</f>
        <v>DAVKA baik  dalam memahami teks kawih tentang bangga sebagai bangsa Indonesia</v>
      </c>
      <c r="AG15" s="475">
        <f>IFERROR('MLK2-3'!X14,"")</f>
        <v>91</v>
      </c>
      <c r="AH15" s="475" t="str">
        <f>IFERROR('MLK2-3'!Y14,"")</f>
        <v>A</v>
      </c>
      <c r="AI15" s="474" t="str">
        <f>'MLK2-3'!AD14</f>
        <v xml:space="preserve">DAVKA sangat baik  dalam merespon instruksi sangat sederhana dengan tindakan secara berterima dalam konteks sekolah  </v>
      </c>
      <c r="AJ15" s="475">
        <f>IFERROR('MLK3-3'!W14,"")</f>
        <v>91</v>
      </c>
      <c r="AK15" s="475" t="str">
        <f>IFERROR('MLK3-3'!X14,"")</f>
        <v>A</v>
      </c>
      <c r="AL15" s="476" t="str">
        <f>'MLK3-3'!AC14</f>
        <v xml:space="preserve">DAVKA sangat baik  dalam membaca nyaring dengan ucapan, tekanan, dan intonasi secara tepat dan berterima yang melibatkan: kata, frasa, kalimat sangat sederhana, dan teks sangat sederhana 
, dan  sangat baik  dalam bercakap-cakap untuk menyertai tindakan secara berterima yang melibatkan tindak tutur: memberi contoh melakukan sesuatu, memberi aba-aba, dan memberi petunjuk 
</v>
      </c>
      <c r="AM15" s="475">
        <f>IFERROR('PAI4'!CI15,"")</f>
        <v>90</v>
      </c>
      <c r="AN15" s="475" t="str">
        <f>IFERROR('PAI4'!CJ15,"")</f>
        <v>A</v>
      </c>
      <c r="AO15" s="476" t="str">
        <f>'PAI4'!CO15</f>
        <v>DAVKA sangat baik  dalam membaca Q.S. at-Tīn dan Q.S. al-Mā’ūn dengan tartil.</v>
      </c>
      <c r="AP15" s="475">
        <f>IFERROR('PKN4'!U14,"")</f>
        <v>90</v>
      </c>
      <c r="AQ15" s="475" t="str">
        <f>IFERROR('PKN4'!V14,"")</f>
        <v>A</v>
      </c>
      <c r="AR15" s="474" t="str">
        <f>'PKN4'!AA14</f>
        <v>DAVKA sangat baik  dalam menjelaskan hak, kewajiban, dan tanggung  jawab sebagai warga masyarakat dalam kehidupan sehari-hari</v>
      </c>
      <c r="AS15" s="475">
        <f>IFERROR(BIND4!U14,"")</f>
        <v>85</v>
      </c>
      <c r="AT15" s="475" t="str">
        <f>IFERROR(BIND4!V14,"")</f>
        <v>B</v>
      </c>
      <c r="AU15" s="474" t="str">
        <f>BIND4!AA14</f>
        <v xml:space="preserve">DAVKA baik  dalam menyajikan ringkasan teks penjelasan (eksplanasi) dari media cetak atau elektronik dengan menggunakan kosakata baku dan kalimat efektif secara lisan, tulis, dan visual.
</v>
      </c>
      <c r="AV15" s="475">
        <f>IFERROR('MTK4'!U14,"")</f>
        <v>75</v>
      </c>
      <c r="AW15" s="475" t="str">
        <f>IFERROR('MTK4'!V14,"")</f>
        <v>C</v>
      </c>
      <c r="AX15" s="474" t="str">
        <f>'MTK4'!AA14</f>
        <v xml:space="preserve">DAVKA cukup baik  dalam menyelesaikan masalah yang berkaitan dengan volume bangun ruang dengan menggunakan satuan volume (seperti kubus satuan) melibatkan pangkat tiga dan akar pangkat tiga
</v>
      </c>
      <c r="AY15" s="475">
        <f>IFERROR('IPA4'!U14,"")</f>
        <v>83</v>
      </c>
      <c r="AZ15" s="475" t="str">
        <f>IFERROR('IPA4'!V14,"")</f>
        <v>B</v>
      </c>
      <c r="BA15" s="474" t="str">
        <f>'IPA4'!AA14</f>
        <v>DAVKA baik  dalam melaporkan hasil pengamatan tentang perpindahan kalor.</v>
      </c>
      <c r="BB15" s="475">
        <f>IFERROR('IPS4'!U14,"")</f>
        <v>90</v>
      </c>
      <c r="BC15" s="475" t="str">
        <f>IFERROR('IPS4'!V14,"")</f>
        <v>A</v>
      </c>
      <c r="BD15" s="474" t="str">
        <f>'IPS4'!AA14</f>
        <v>DAVKA sangat baik  dalam menyajikan hasil identifikasi karakteristik geografis Indonesia sebagai negara kepulauan/maritim dan agraris serta pengaruhnya terhadap kehidupan ekonomi, sosial, budaya, komunikasi, serta transportasi.</v>
      </c>
      <c r="BE15" s="475">
        <f>IFERROR(SBDP4!U14,"")</f>
        <v>98</v>
      </c>
      <c r="BF15" s="475" t="str">
        <f>IFERROR(SBDP4!V14,"")</f>
        <v>A</v>
      </c>
      <c r="BG15" s="474" t="str">
        <f>SBDP4!AA14</f>
        <v>DAVKA sangat baik  dalam membuat gambar cerita</v>
      </c>
      <c r="BH15" s="475">
        <f>IFERROR(PJOK4!U14,"")</f>
        <v>88</v>
      </c>
      <c r="BI15" s="475" t="str">
        <f>IFERROR(PJOK4!V14,"")</f>
        <v>A</v>
      </c>
      <c r="BJ15" s="476" t="str">
        <f>PJOK4!AA14</f>
        <v>DAVKA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15" s="475">
        <f>IFERROR('MLK1-4'!U14,"")</f>
        <v>77</v>
      </c>
      <c r="BL15" s="475" t="str">
        <f>IFERROR('MLK1-4'!V14,"")</f>
        <v>B</v>
      </c>
      <c r="BM15" s="474" t="str">
        <f>'MLK1-4'!AA14</f>
        <v>DAVKA baik  dalam melantunkan dan menceritakan isi kawih tentang bangga sebagai bangsa Indonesia</v>
      </c>
      <c r="BN15" s="475">
        <f>IFERROR('MLK2-4'!U14,"")</f>
        <v>91</v>
      </c>
      <c r="BO15" s="475" t="str">
        <f>IFERROR('MLK2-4'!V14,"")</f>
        <v>A</v>
      </c>
      <c r="BP15" s="474" t="str">
        <f>'MLK2-4'!AA14</f>
        <v>DAVKA sangat baik  dalam memahami langkah-langkah pengawasan kelestarian lingkungan hidup</v>
      </c>
      <c r="BQ15" s="475">
        <f>IFERROR('MLK3-4'!Y14,"")</f>
        <v>90</v>
      </c>
      <c r="BR15" s="475" t="str">
        <f>IFERROR('MLK3-4'!Z14,"")</f>
        <v>A</v>
      </c>
      <c r="BS15" s="474" t="str">
        <f>'MLK3-4'!AE14</f>
        <v xml:space="preserve">DAVKA sangat baik  dalam merespon instruksi sangat sederhana dengan tindakan secara berterima dalam konteks sekolah  </v>
      </c>
      <c r="BT15" s="475">
        <f t="shared" si="1"/>
        <v>82.86363636363636</v>
      </c>
      <c r="BU15" s="505">
        <f t="shared" si="0"/>
        <v>1823</v>
      </c>
      <c r="BV15" s="477">
        <f t="shared" si="2"/>
        <v>1823</v>
      </c>
      <c r="BW15" s="478">
        <f t="shared" si="3"/>
        <v>15</v>
      </c>
    </row>
    <row r="16" spans="1:76" ht="20.25" customHeight="1">
      <c r="A16" s="146">
        <v>11</v>
      </c>
      <c r="B16" s="146" t="str">
        <f>SISWA!B16</f>
        <v>1718250040315</v>
      </c>
      <c r="C16" s="471" t="str">
        <f>SISWA!C16</f>
        <v>DZIBRIL RYUKAI AL MALIKULMULKI</v>
      </c>
      <c r="D16" s="472" t="str">
        <f>SPIRIT!P15</f>
        <v xml:space="preserve">Ananda DZIBRIL baik dalam  ketaatan beribadah,  berperilaku syukur,  berdoa sebelum dan sesudah melakukan kegiatan,  toleransi dalam beribadah, </v>
      </c>
      <c r="E16" s="472" t="str">
        <f>SOSIAL!T15</f>
        <v xml:space="preserve">Ananda DZIBRIL baik dalam sikap jujur, disiplin, tanggung jawab, santun, peduli, percaya diri, </v>
      </c>
      <c r="F16" s="473">
        <f>IFERROR('PAI3'!CI16,"")</f>
        <v>79</v>
      </c>
      <c r="G16" s="473" t="str">
        <f>IFERROR('PAI3'!CJ16,"")</f>
        <v>B</v>
      </c>
      <c r="H16" s="474" t="str">
        <f>'PAI3'!CO16</f>
        <v>DZIBRIL sangat baik  dalam memahami makna Q.S. at-Tīn dan Q.S. al-Mā’ūn dengan benar., dan  cukup baik  dalam memahami nama-nama Rasul Allah dan Rasul Ulul ‘Azmi.</v>
      </c>
      <c r="I16" s="473">
        <f>IFERROR('PKN3'!U15,"")</f>
        <v>88</v>
      </c>
      <c r="J16" s="473" t="str">
        <f>IFERROR('PKN3'!V15,"")</f>
        <v>A</v>
      </c>
      <c r="K16" s="472" t="str">
        <f>'PKN3'!AA15</f>
        <v xml:space="preserve">DZIBRIL sangat baik  dalam memahami hak, kewajiban dan tanggung jawab sebagai warga dalam kehidupan sehari-hari.
</v>
      </c>
      <c r="L16" s="475">
        <f>IFERROR(BIND3!U15,"")</f>
        <v>81</v>
      </c>
      <c r="M16" s="475" t="str">
        <f>IFERROR(BIND3!V15,"")</f>
        <v>B</v>
      </c>
      <c r="N16" s="474" t="str">
        <f>BIND3!AA15</f>
        <v>DZIBRIL baik  dalam meringkas teks penjelasan (eksplanasi) dari media cetak atau elektronik.</v>
      </c>
      <c r="O16" s="475">
        <f>IFERROR('MTK3'!U15,"")</f>
        <v>70</v>
      </c>
      <c r="P16" s="475" t="str">
        <f>IFERROR('MTK3'!V15,"")</f>
        <v>C</v>
      </c>
      <c r="Q16" s="474" t="str">
        <f>'MTK3'!AA15</f>
        <v xml:space="preserve">DZIBRIL cukup baik  dalam menjelaskan, dan menentukan volume bangun ruang dengan menggunakan satuan volume (seperti kubus satuan) serta hubungan pangkat tiga dengan akar pangkat tiga
</v>
      </c>
      <c r="R16" s="475">
        <f>IFERROR('IPA3'!U15,"")</f>
        <v>73</v>
      </c>
      <c r="S16" s="475" t="str">
        <f>IFERROR('IPA3'!V15,"")</f>
        <v>C</v>
      </c>
      <c r="T16" s="474" t="str">
        <f>'IPA3'!AA15</f>
        <v xml:space="preserve">DZIBRIL cukup baik  dalam menerapkan konsep perpindahan kalor dalam kehidupan sehari-hari.
</v>
      </c>
      <c r="U16" s="475">
        <f>IFERROR('IPS3'!U15,"")</f>
        <v>78</v>
      </c>
      <c r="V16" s="475" t="str">
        <f>IFERROR('IPS3'!V15,"")</f>
        <v>B</v>
      </c>
      <c r="W16" s="474" t="str">
        <f>'IPS3'!AA15</f>
        <v>DZIBRIL baik  dalam Mengidentifikasi karakteristik geografis Indonesia sebagai negara kepulauan/maritim dan agraris serta pengaruhnya terhadap kehidupan ekonomi, sosial, budaya, komunikasi, serta transportasi.</v>
      </c>
      <c r="X16" s="475">
        <f>IFERROR(SBDP3!U15,"")</f>
        <v>80</v>
      </c>
      <c r="Y16" s="475" t="str">
        <f>IFERROR(SBDP3!V15,"")</f>
        <v>B</v>
      </c>
      <c r="Z16" s="474" t="str">
        <f>SBDP3!AA15</f>
        <v>DZIBRIL baik  dalam memahami gambar cerita</v>
      </c>
      <c r="AA16" s="475">
        <f>IFERROR(PJOK3!U15,"")</f>
        <v>84</v>
      </c>
      <c r="AB16" s="475" t="str">
        <f>IFERROR(PJOK3!V15,"")</f>
        <v>B</v>
      </c>
      <c r="AC16" s="474" t="str">
        <f>PJOK3!AA15</f>
        <v xml:space="preserve">DZIBRIL baik  dalam memahami kombinasi pola gerak dominan (bertumpu, bergantung, keseimbangan, berpindah/lokomotor, tolakan, putaran, ayunan, melayang, dan mendarat) untuk membentuk keterampilan dasar senam menggunakan alat
</v>
      </c>
      <c r="AD16" s="475">
        <f>IFERROR('MLK1-3'!U15,"")</f>
        <v>77</v>
      </c>
      <c r="AE16" s="475" t="str">
        <f>IFERROR('MLK1-3'!V15,"")</f>
        <v>B</v>
      </c>
      <c r="AF16" s="476" t="str">
        <f>'MLK1-3'!AA15</f>
        <v>DZIBRIL baik  dalam memahami teks kawih tentang bangga sebagai bangsa Indonesia</v>
      </c>
      <c r="AG16" s="475">
        <f>IFERROR('MLK2-3'!X15,"")</f>
        <v>88</v>
      </c>
      <c r="AH16" s="475" t="str">
        <f>IFERROR('MLK2-3'!Y15,"")</f>
        <v>A</v>
      </c>
      <c r="AI16" s="474" t="str">
        <f>'MLK2-3'!AD15</f>
        <v xml:space="preserve">DZIBRIL sangat baik  dalam merespon instruksi sangat sederhana dengan tindakan secara berterima dalam konteks sekolah  </v>
      </c>
      <c r="AJ16" s="475">
        <f>IFERROR('MLK3-3'!W15,"")</f>
        <v>75</v>
      </c>
      <c r="AK16" s="475" t="str">
        <f>IFERROR('MLK3-3'!X15,"")</f>
        <v>C</v>
      </c>
      <c r="AL16" s="476" t="str">
        <f>'MLK3-3'!AC15</f>
        <v xml:space="preserve">DZIBRIL baik  dalam merespon instruksi sangat sederhana dengan tindakan secara berterima dalam konteks sekolah  , dan  cukup baik  dalam mengeja kalimat sangat sederhana secara tepat dan berterima </v>
      </c>
      <c r="AM16" s="475">
        <f>IFERROR('PAI4'!CI16,"")</f>
        <v>83</v>
      </c>
      <c r="AN16" s="475" t="str">
        <f>IFERROR('PAI4'!CJ16,"")</f>
        <v>B</v>
      </c>
      <c r="AO16" s="476" t="str">
        <f>'PAI4'!CO16</f>
        <v>DZIBRIL baik  dalam membaca Q.S. at-Tīn dan Q.S. al-Mā’ūn dengan tartil.</v>
      </c>
      <c r="AP16" s="475">
        <f>IFERROR('PKN4'!U15,"")</f>
        <v>88</v>
      </c>
      <c r="AQ16" s="475" t="str">
        <f>IFERROR('PKN4'!V15,"")</f>
        <v>A</v>
      </c>
      <c r="AR16" s="474" t="str">
        <f>'PKN4'!AA15</f>
        <v>DZIBRIL sangat baik  dalam menjelaskan hak, kewajiban, dan tanggung  jawab sebagai warga masyarakat dalam kehidupan sehari-hari</v>
      </c>
      <c r="AS16" s="475">
        <f>IFERROR(BIND4!U15,"")</f>
        <v>81</v>
      </c>
      <c r="AT16" s="475" t="str">
        <f>IFERROR(BIND4!V15,"")</f>
        <v>B</v>
      </c>
      <c r="AU16" s="474" t="str">
        <f>BIND4!AA15</f>
        <v xml:space="preserve">DZIBRIL baik  dalam menyajikan ringkasan teks penjelasan (eksplanasi) dari media cetak atau elektronik dengan menggunakan kosakata baku dan kalimat efektif secara lisan, tulis, dan visual.
</v>
      </c>
      <c r="AV16" s="475">
        <f>IFERROR('MTK4'!U15,"")</f>
        <v>70</v>
      </c>
      <c r="AW16" s="475" t="str">
        <f>IFERROR('MTK4'!V15,"")</f>
        <v>C</v>
      </c>
      <c r="AX16" s="474" t="str">
        <f>'MTK4'!AA15</f>
        <v xml:space="preserve">DZIBRIL cukup baik  dalam menyelesaikan masalah yang berkaitan dengan volume bangun ruang dengan menggunakan satuan volume (seperti kubus satuan) melibatkan pangkat tiga dan akar pangkat tiga
</v>
      </c>
      <c r="AY16" s="475">
        <f>IFERROR('IPA4'!U15,"")</f>
        <v>73</v>
      </c>
      <c r="AZ16" s="475" t="str">
        <f>IFERROR('IPA4'!V15,"")</f>
        <v>C</v>
      </c>
      <c r="BA16" s="474" t="str">
        <f>'IPA4'!AA15</f>
        <v>DZIBRIL cukup baik  dalam melaporkan hasil pengamatan tentang perpindahan kalor.</v>
      </c>
      <c r="BB16" s="475">
        <f>IFERROR('IPS4'!U15,"")</f>
        <v>78</v>
      </c>
      <c r="BC16" s="475" t="str">
        <f>IFERROR('IPS4'!V15,"")</f>
        <v>B</v>
      </c>
      <c r="BD16" s="474" t="str">
        <f>'IPS4'!AA15</f>
        <v>DZIBRIL baik  dalam menyajikan hasil identifikasi karakteristik geografis Indonesia sebagai negara kepulauan/maritim dan agraris serta pengaruhnya terhadap kehidupan ekonomi, sosial, budaya, komunikasi, serta transportasi.</v>
      </c>
      <c r="BE16" s="475">
        <f>IFERROR(SBDP4!U15,"")</f>
        <v>80</v>
      </c>
      <c r="BF16" s="475" t="str">
        <f>IFERROR(SBDP4!V15,"")</f>
        <v>B</v>
      </c>
      <c r="BG16" s="474" t="str">
        <f>SBDP4!AA15</f>
        <v>DZIBRIL baik  dalam membuat gambar cerita</v>
      </c>
      <c r="BH16" s="475">
        <f>IFERROR(PJOK4!U15,"")</f>
        <v>85</v>
      </c>
      <c r="BI16" s="475" t="str">
        <f>IFERROR(PJOK4!V15,"")</f>
        <v>B</v>
      </c>
      <c r="BJ16" s="476" t="str">
        <f>PJOK4!AA15</f>
        <v>DZIBRIL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BK16" s="475">
        <f>IFERROR('MLK1-4'!U15,"")</f>
        <v>77</v>
      </c>
      <c r="BL16" s="475" t="str">
        <f>IFERROR('MLK1-4'!V15,"")</f>
        <v>B</v>
      </c>
      <c r="BM16" s="474" t="str">
        <f>'MLK1-4'!AA15</f>
        <v>DZIBRIL baik  dalam melantunkan dan menceritakan isi kawih tentang bangga sebagai bangsa Indonesia</v>
      </c>
      <c r="BN16" s="475">
        <f>IFERROR('MLK2-4'!U15,"")</f>
        <v>88</v>
      </c>
      <c r="BO16" s="475" t="str">
        <f>IFERROR('MLK2-4'!V15,"")</f>
        <v>A</v>
      </c>
      <c r="BP16" s="474" t="str">
        <f>'MLK2-4'!AA15</f>
        <v>DZIBRIL sangat baik  dalam memahami langkah-langkah pengawasan kelestarian lingkungan hidup</v>
      </c>
      <c r="BQ16" s="475">
        <f>IFERROR('MLK3-4'!Y15,"")</f>
        <v>74</v>
      </c>
      <c r="BR16" s="475" t="str">
        <f>IFERROR('MLK3-4'!Z15,"")</f>
        <v>C</v>
      </c>
      <c r="BS16" s="474" t="str">
        <f>'MLK3-4'!AE15</f>
        <v xml:space="preserve">DZIBRIL cukup baik  dalam merespon instruksi sangat sederhana dengan tindakan secara berterima dalam konteks sekolah  </v>
      </c>
      <c r="BT16" s="475">
        <f t="shared" si="1"/>
        <v>75.954545454545453</v>
      </c>
      <c r="BU16" s="505">
        <f t="shared" si="0"/>
        <v>1671</v>
      </c>
      <c r="BV16" s="477">
        <f t="shared" si="2"/>
        <v>1671</v>
      </c>
      <c r="BW16" s="478">
        <f t="shared" si="3"/>
        <v>39</v>
      </c>
    </row>
    <row r="17" spans="1:75" ht="20.25" customHeight="1">
      <c r="A17" s="146">
        <v>12</v>
      </c>
      <c r="B17" s="146" t="str">
        <f>SISWA!B17</f>
        <v>1718250040316</v>
      </c>
      <c r="C17" s="471" t="str">
        <f>SISWA!C17</f>
        <v>ERICHA GABRIELA AVRILIANA</v>
      </c>
      <c r="D17" s="472" t="str">
        <f>SPIRIT!P16</f>
        <v xml:space="preserve">Ananda ERICHA baik dalam  ketaatan beribadah,  berperilaku syukur,  berdoa sebelum dan sesudah melakukan kegiatan,  toleransi dalam beribadah, </v>
      </c>
      <c r="E17" s="472" t="str">
        <f>SOSIAL!T16</f>
        <v xml:space="preserve">Ananda ERICHA baik dalam sikap jujur, disiplin, tanggung jawab, santun, peduli, percaya diri, </v>
      </c>
      <c r="F17" s="473">
        <f>IFERROR('PAI3'!CI17,"")</f>
        <v>86</v>
      </c>
      <c r="G17" s="473" t="str">
        <f>IFERROR('PAI3'!CJ17,"")</f>
        <v>B</v>
      </c>
      <c r="H17" s="474" t="str">
        <f>'PAI3'!CO17</f>
        <v>ERICHA baik  dalam 0</v>
      </c>
      <c r="I17" s="473">
        <f>IFERROR('PKN3'!U16,"")</f>
        <v>85</v>
      </c>
      <c r="J17" s="473" t="str">
        <f>IFERROR('PKN3'!V16,"")</f>
        <v>B</v>
      </c>
      <c r="K17" s="472" t="str">
        <f>'PKN3'!AA16</f>
        <v xml:space="preserve">ERICHA baik  dalam memahami hak, kewajiban dan tanggung jawab sebagai warga dalam kehidupan sehari-hari.
</v>
      </c>
      <c r="L17" s="475">
        <f>IFERROR(BIND3!U16,"")</f>
        <v>85</v>
      </c>
      <c r="M17" s="475" t="str">
        <f>IFERROR(BIND3!V16,"")</f>
        <v>B</v>
      </c>
      <c r="N17" s="474" t="str">
        <f>BIND3!AA16</f>
        <v>ERICHA baik  dalam meringkas teks penjelasan (eksplanasi) dari media cetak atau elektronik.</v>
      </c>
      <c r="O17" s="475">
        <f>IFERROR('MTK3'!U16,"")</f>
        <v>80</v>
      </c>
      <c r="P17" s="475" t="str">
        <f>IFERROR('MTK3'!V16,"")</f>
        <v>B</v>
      </c>
      <c r="Q17" s="474" t="str">
        <f>'MTK3'!AA16</f>
        <v xml:space="preserve">ERICHA baik  dalam menjelaskan, dan menentukan volume bangun ruang dengan menggunakan satuan volume (seperti kubus satuan) serta hubungan pangkat tiga dengan akar pangkat tiga
</v>
      </c>
      <c r="R17" s="475">
        <f>IFERROR('IPA3'!U16,"")</f>
        <v>90</v>
      </c>
      <c r="S17" s="475" t="str">
        <f>IFERROR('IPA3'!V16,"")</f>
        <v>A</v>
      </c>
      <c r="T17" s="474" t="str">
        <f>'IPA3'!AA16</f>
        <v xml:space="preserve">ERICHA sangat baik  dalam menerapkan konsep perpindahan kalor dalam kehidupan sehari-hari.
</v>
      </c>
      <c r="U17" s="475">
        <f>IFERROR('IPS3'!U16,"")</f>
        <v>90</v>
      </c>
      <c r="V17" s="475" t="str">
        <f>IFERROR('IPS3'!V16,"")</f>
        <v>A</v>
      </c>
      <c r="W17" s="474" t="str">
        <f>'IPS3'!AA16</f>
        <v>ERICHA sangat baik  dalam Mengidentifikasi karakteristik geografis Indonesia sebagai negara kepulauan/maritim dan agraris serta pengaruhnya terhadap kehidupan ekonomi, sosial, budaya, komunikasi, serta transportasi.</v>
      </c>
      <c r="X17" s="475">
        <f>IFERROR(SBDP3!U16,"")</f>
        <v>93</v>
      </c>
      <c r="Y17" s="475" t="str">
        <f>IFERROR(SBDP3!V16,"")</f>
        <v>A</v>
      </c>
      <c r="Z17" s="474" t="str">
        <f>SBDP3!AA16</f>
        <v>ERICHA sangat baik  dalam memahami gambar cerita</v>
      </c>
      <c r="AA17" s="475">
        <f>IFERROR(PJOK3!U16,"")</f>
        <v>89</v>
      </c>
      <c r="AB17" s="475" t="str">
        <f>IFERROR(PJOK3!V16,"")</f>
        <v>A</v>
      </c>
      <c r="AC17" s="474" t="str">
        <f>PJOK3!AA16</f>
        <v xml:space="preserve">ERICHA sangat baik  dalam memahami kombinasi pola gerak dominan (bertumpu, bergantung, keseimbangan, berpindah/lokomotor, tolakan, putaran, ayunan, melayang, dan mendarat) untuk membentuk keterampilan dasar senam menggunakan alat
</v>
      </c>
      <c r="AD17" s="475">
        <f>IFERROR('MLK1-3'!U16,"")</f>
        <v>85</v>
      </c>
      <c r="AE17" s="475" t="str">
        <f>IFERROR('MLK1-3'!V16,"")</f>
        <v>B</v>
      </c>
      <c r="AF17" s="476" t="str">
        <f>'MLK1-3'!AA16</f>
        <v>ERICHA baik  dalam memahami teks kawih tentang bangga sebagai bangsa Indonesia</v>
      </c>
      <c r="AG17" s="475">
        <f>IFERROR('MLK2-3'!X16,"")</f>
        <v>88</v>
      </c>
      <c r="AH17" s="475" t="str">
        <f>IFERROR('MLK2-3'!Y16,"")</f>
        <v>A</v>
      </c>
      <c r="AI17" s="474" t="str">
        <f>'MLK2-3'!AD16</f>
        <v xml:space="preserve">ERICHA sangat baik  dalam merespon instruksi sangat sederhana dengan tindakan secara berterima dalam konteks sekolah  </v>
      </c>
      <c r="AJ17" s="475">
        <f>IFERROR('MLK3-3'!W16,"")</f>
        <v>87</v>
      </c>
      <c r="AK17" s="475" t="str">
        <f>IFERROR('MLK3-3'!X16,"")</f>
        <v>B</v>
      </c>
      <c r="AL17" s="476" t="str">
        <f>'MLK3-3'!AC16</f>
        <v xml:space="preserve">ERICHA sangat baik  dalam merespon instruksi sangat sederhana dengan tindakan secara berterima dalam konteks sekolah  , dan  baik  dalam mengeja kalimat sangat sederhana secara tepat dan berterima </v>
      </c>
      <c r="AM17" s="475">
        <f>IFERROR('PAI4'!CI17,"")</f>
        <v>96</v>
      </c>
      <c r="AN17" s="475" t="str">
        <f>IFERROR('PAI4'!CJ17,"")</f>
        <v>A</v>
      </c>
      <c r="AO17" s="476" t="str">
        <f>'PAI4'!CO17</f>
        <v>ERICHA sangat baik  dalam 0</v>
      </c>
      <c r="AP17" s="475">
        <f>IFERROR('PKN4'!U16,"")</f>
        <v>85</v>
      </c>
      <c r="AQ17" s="475" t="str">
        <f>IFERROR('PKN4'!V16,"")</f>
        <v>B</v>
      </c>
      <c r="AR17" s="474" t="str">
        <f>'PKN4'!AA16</f>
        <v>ERICHA baik  dalam menjelaskan hak, kewajiban, dan tanggung  jawab sebagai warga masyarakat dalam kehidupan sehari-hari</v>
      </c>
      <c r="AS17" s="475">
        <f>IFERROR(BIND4!U16,"")</f>
        <v>85</v>
      </c>
      <c r="AT17" s="475" t="str">
        <f>IFERROR(BIND4!V16,"")</f>
        <v>B</v>
      </c>
      <c r="AU17" s="474" t="str">
        <f>BIND4!AA16</f>
        <v xml:space="preserve">ERICHA baik  dalam menyajikan ringkasan teks penjelasan (eksplanasi) dari media cetak atau elektronik dengan menggunakan kosakata baku dan kalimat efektif secara lisan, tulis, dan visual.
</v>
      </c>
      <c r="AV17" s="475">
        <f>IFERROR('MTK4'!U16,"")</f>
        <v>80</v>
      </c>
      <c r="AW17" s="475" t="str">
        <f>IFERROR('MTK4'!V16,"")</f>
        <v>B</v>
      </c>
      <c r="AX17" s="474" t="str">
        <f>'MTK4'!AA16</f>
        <v xml:space="preserve">ERICHA baik  dalam menyelesaikan masalah yang berkaitan dengan volume bangun ruang dengan menggunakan satuan volume (seperti kubus satuan) melibatkan pangkat tiga dan akar pangkat tiga
</v>
      </c>
      <c r="AY17" s="475">
        <f>IFERROR('IPA4'!U16,"")</f>
        <v>90</v>
      </c>
      <c r="AZ17" s="475" t="str">
        <f>IFERROR('IPA4'!V16,"")</f>
        <v>A</v>
      </c>
      <c r="BA17" s="474" t="str">
        <f>'IPA4'!AA16</f>
        <v>ERICHA sangat baik  dalam melaporkan hasil pengamatan tentang perpindahan kalor.</v>
      </c>
      <c r="BB17" s="475">
        <f>IFERROR('IPS4'!U16,"")</f>
        <v>90</v>
      </c>
      <c r="BC17" s="475" t="str">
        <f>IFERROR('IPS4'!V16,"")</f>
        <v>A</v>
      </c>
      <c r="BD17" s="474" t="str">
        <f>'IPS4'!AA16</f>
        <v>ERICHA sangat baik  dalam menyajikan hasil identifikasi karakteristik geografis Indonesia sebagai negara kepulauan/maritim dan agraris serta pengaruhnya terhadap kehidupan ekonomi, sosial, budaya, komunikasi, serta transportasi.</v>
      </c>
      <c r="BE17" s="475">
        <f>IFERROR(SBDP4!U16,"")</f>
        <v>93</v>
      </c>
      <c r="BF17" s="475" t="str">
        <f>IFERROR(SBDP4!V16,"")</f>
        <v>A</v>
      </c>
      <c r="BG17" s="474" t="str">
        <f>SBDP4!AA16</f>
        <v>ERICHA sangat baik  dalam membuat gambar cerita</v>
      </c>
      <c r="BH17" s="475">
        <f>IFERROR(PJOK4!U16,"")</f>
        <v>90</v>
      </c>
      <c r="BI17" s="475" t="str">
        <f>IFERROR(PJOK4!V16,"")</f>
        <v>A</v>
      </c>
      <c r="BJ17" s="476" t="str">
        <f>PJOK4!AA16</f>
        <v>ERICHA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17" s="475">
        <f>IFERROR('MLK1-4'!U16,"")</f>
        <v>85</v>
      </c>
      <c r="BL17" s="475" t="str">
        <f>IFERROR('MLK1-4'!V16,"")</f>
        <v>B</v>
      </c>
      <c r="BM17" s="474" t="str">
        <f>'MLK1-4'!AA16</f>
        <v>ERICHA baik  dalam melantunkan dan menceritakan isi kawih tentang bangga sebagai bangsa Indonesia</v>
      </c>
      <c r="BN17" s="475">
        <f>IFERROR('MLK2-4'!U16,"")</f>
        <v>88</v>
      </c>
      <c r="BO17" s="475" t="str">
        <f>IFERROR('MLK2-4'!V16,"")</f>
        <v>A</v>
      </c>
      <c r="BP17" s="474" t="str">
        <f>'MLK2-4'!AA16</f>
        <v>ERICHA sangat baik  dalam memahami langkah-langkah pengawasan kelestarian lingkungan hidup</v>
      </c>
      <c r="BQ17" s="475">
        <f>IFERROR('MLK3-4'!Y16,"")</f>
        <v>86</v>
      </c>
      <c r="BR17" s="475" t="str">
        <f>IFERROR('MLK3-4'!Z16,"")</f>
        <v>B</v>
      </c>
      <c r="BS17" s="474" t="str">
        <f>'MLK3-4'!AE16</f>
        <v xml:space="preserve">ERICHA baik  dalam merespon instruksi sangat sederhana dengan tindakan secara berterima dalam konteks sekolah  </v>
      </c>
      <c r="BT17" s="475">
        <f t="shared" si="1"/>
        <v>83.63636363636364</v>
      </c>
      <c r="BU17" s="505">
        <f t="shared" si="0"/>
        <v>1840</v>
      </c>
      <c r="BV17" s="477">
        <f t="shared" si="2"/>
        <v>1840</v>
      </c>
      <c r="BW17" s="478">
        <f t="shared" si="3"/>
        <v>10</v>
      </c>
    </row>
    <row r="18" spans="1:75" ht="20.25" customHeight="1">
      <c r="A18" s="146">
        <v>13</v>
      </c>
      <c r="B18" s="146" t="str">
        <f>SISWA!B18</f>
        <v>1718250040317</v>
      </c>
      <c r="C18" s="471" t="str">
        <f>SISWA!C18</f>
        <v>FATIHUDDIN HISYAM FAUZI</v>
      </c>
      <c r="D18" s="472" t="str">
        <f>SPIRIT!P17</f>
        <v xml:space="preserve">Ananda HISYAM baik dalam  ketaatan beribadah,  berperilaku syukur,  berdoa sebelum dan sesudah melakukan kegiatan,  toleransi dalam beribadah, </v>
      </c>
      <c r="E18" s="472" t="str">
        <f>SOSIAL!T17</f>
        <v xml:space="preserve">Ananda HISYAM baik dalam sikap jujur, disiplin, tanggung jawab, santun, peduli, percaya diri, </v>
      </c>
      <c r="F18" s="473">
        <f>IFERROR('PAI3'!CI18,"")</f>
        <v>84</v>
      </c>
      <c r="G18" s="473" t="str">
        <f>IFERROR('PAI3'!CJ18,"")</f>
        <v>B</v>
      </c>
      <c r="H18" s="474" t="str">
        <f>'PAI3'!CO18</f>
        <v>HISYAM sangat baik  dalam memahami makna Q.S. at-Tīn dan Q.S. al-Mā’ūn dengan benar., dan  baik  dalam memahami nama-nama Rasul Allah dan Rasul Ulul ‘Azmi.</v>
      </c>
      <c r="I18" s="473">
        <f>IFERROR('PKN3'!U17,"")</f>
        <v>90</v>
      </c>
      <c r="J18" s="473" t="str">
        <f>IFERROR('PKN3'!V17,"")</f>
        <v>A</v>
      </c>
      <c r="K18" s="472" t="str">
        <f>'PKN3'!AA17</f>
        <v xml:space="preserve">HISYAM sangat baik  dalam memahami hak, kewajiban dan tanggung jawab sebagai warga dalam kehidupan sehari-hari.
</v>
      </c>
      <c r="L18" s="475">
        <f>IFERROR(BIND3!U17,"")</f>
        <v>88</v>
      </c>
      <c r="M18" s="475" t="str">
        <f>IFERROR(BIND3!V17,"")</f>
        <v>A</v>
      </c>
      <c r="N18" s="474" t="str">
        <f>BIND3!AA17</f>
        <v>HISYAM sangat baik  dalam meringkas teks penjelasan (eksplanasi) dari media cetak atau elektronik.</v>
      </c>
      <c r="O18" s="475">
        <f>IFERROR('MTK3'!U17,"")</f>
        <v>70</v>
      </c>
      <c r="P18" s="475" t="str">
        <f>IFERROR('MTK3'!V17,"")</f>
        <v>C</v>
      </c>
      <c r="Q18" s="474" t="str">
        <f>'MTK3'!AA17</f>
        <v xml:space="preserve">HISYAM cukup baik  dalam menjelaskan, dan menentukan volume bangun ruang dengan menggunakan satuan volume (seperti kubus satuan) serta hubungan pangkat tiga dengan akar pangkat tiga
</v>
      </c>
      <c r="R18" s="475">
        <f>IFERROR('IPA3'!U17,"")</f>
        <v>88</v>
      </c>
      <c r="S18" s="475" t="str">
        <f>IFERROR('IPA3'!V17,"")</f>
        <v>A</v>
      </c>
      <c r="T18" s="474" t="str">
        <f>'IPA3'!AA17</f>
        <v xml:space="preserve">HISYAM sangat baik  dalam menerapkan konsep perpindahan kalor dalam kehidupan sehari-hari.
</v>
      </c>
      <c r="U18" s="475">
        <f>IFERROR('IPS3'!U17,"")</f>
        <v>88</v>
      </c>
      <c r="V18" s="475" t="str">
        <f>IFERROR('IPS3'!V17,"")</f>
        <v>A</v>
      </c>
      <c r="W18" s="474" t="str">
        <f>'IPS3'!AA17</f>
        <v>HISYAM sangat baik  dalam Mengidentifikasi karakteristik geografis Indonesia sebagai negara kepulauan/maritim dan agraris serta pengaruhnya terhadap kehidupan ekonomi, sosial, budaya, komunikasi, serta transportasi.</v>
      </c>
      <c r="X18" s="475">
        <f>IFERROR(SBDP3!U17,"")</f>
        <v>85</v>
      </c>
      <c r="Y18" s="475" t="str">
        <f>IFERROR(SBDP3!V17,"")</f>
        <v>B</v>
      </c>
      <c r="Z18" s="474" t="str">
        <f>SBDP3!AA17</f>
        <v>HISYAM baik  dalam memahami gambar cerita</v>
      </c>
      <c r="AA18" s="475">
        <f>IFERROR(PJOK3!U17,"")</f>
        <v>79</v>
      </c>
      <c r="AB18" s="475" t="str">
        <f>IFERROR(PJOK3!V17,"")</f>
        <v>B</v>
      </c>
      <c r="AC18" s="474" t="str">
        <f>PJOK3!AA17</f>
        <v xml:space="preserve">HISYAM baik  dalam memahami kombinasi pola gerak dominan (bertumpu, bergantung, keseimbangan, berpindah/lokomotor, tolakan, putaran, ayunan, melayang, dan mendarat) untuk membentuk keterampilan dasar senam menggunakan alat
</v>
      </c>
      <c r="AD18" s="475">
        <f>IFERROR('MLK1-3'!U17,"")</f>
        <v>85</v>
      </c>
      <c r="AE18" s="475" t="str">
        <f>IFERROR('MLK1-3'!V17,"")</f>
        <v>B</v>
      </c>
      <c r="AF18" s="476" t="str">
        <f>'MLK1-3'!AA17</f>
        <v>HISYAM baik  dalam memahami teks kawih tentang bangga sebagai bangsa Indonesia</v>
      </c>
      <c r="AG18" s="475">
        <f>IFERROR('MLK2-3'!X17,"")</f>
        <v>88</v>
      </c>
      <c r="AH18" s="475" t="str">
        <f>IFERROR('MLK2-3'!Y17,"")</f>
        <v>A</v>
      </c>
      <c r="AI18" s="474" t="str">
        <f>'MLK2-3'!AD17</f>
        <v xml:space="preserve">HISYAM sangat baik  dalam merespon instruksi sangat sederhana dengan tindakan secara berterima dalam konteks sekolah  </v>
      </c>
      <c r="AJ18" s="475">
        <f>IFERROR('MLK3-3'!W17,"")</f>
        <v>88</v>
      </c>
      <c r="AK18" s="475" t="str">
        <f>IFERROR('MLK3-3'!X17,"")</f>
        <v>A</v>
      </c>
      <c r="AL18" s="476" t="str">
        <f>'MLK3-3'!AC17</f>
        <v xml:space="preserve">HISYAM sangat baik  dalam merespon instruksi sangat sederhana dengan tindakan secara berterima dalam konteks sekolah  , dan  baik  dalam bercakap-cakap untuk menyertai tindakan secara berterima yang melibatkan tindak tutur: memberi contoh melakukan sesuatu, memberi aba-aba, dan memberi petunjuk 
</v>
      </c>
      <c r="AM18" s="475">
        <f>IFERROR('PAI4'!CI18,"")</f>
        <v>90</v>
      </c>
      <c r="AN18" s="475" t="str">
        <f>IFERROR('PAI4'!CJ18,"")</f>
        <v>A</v>
      </c>
      <c r="AO18" s="476" t="str">
        <f>'PAI4'!CO18</f>
        <v>HISYAM sangat baik  dalam membaca Q.S. at-Tīn dan Q.S. al-Mā’ūn dengan tartil.</v>
      </c>
      <c r="AP18" s="475">
        <f>IFERROR('PKN4'!U17,"")</f>
        <v>90</v>
      </c>
      <c r="AQ18" s="475" t="str">
        <f>IFERROR('PKN4'!V17,"")</f>
        <v>A</v>
      </c>
      <c r="AR18" s="474" t="str">
        <f>'PKN4'!AA17</f>
        <v>HISYAM sangat baik  dalam menjelaskan hak, kewajiban, dan tanggung  jawab sebagai warga masyarakat dalam kehidupan sehari-hari</v>
      </c>
      <c r="AS18" s="475">
        <f>IFERROR(BIND4!U17,"")</f>
        <v>88</v>
      </c>
      <c r="AT18" s="475" t="str">
        <f>IFERROR(BIND4!V17,"")</f>
        <v>A</v>
      </c>
      <c r="AU18" s="474" t="str">
        <f>BIND4!AA17</f>
        <v xml:space="preserve">HISYAM sangat baik  dalam menyajikan ringkasan teks penjelasan (eksplanasi) dari media cetak atau elektronik dengan menggunakan kosakata baku dan kalimat efektif secara lisan, tulis, dan visual.
</v>
      </c>
      <c r="AV18" s="475">
        <f>IFERROR('MTK4'!U17,"")</f>
        <v>70</v>
      </c>
      <c r="AW18" s="475" t="str">
        <f>IFERROR('MTK4'!V17,"")</f>
        <v>C</v>
      </c>
      <c r="AX18" s="474" t="str">
        <f>'MTK4'!AA17</f>
        <v xml:space="preserve">HISYAM cukup baik  dalam menyelesaikan masalah yang berkaitan dengan volume bangun ruang dengan menggunakan satuan volume (seperti kubus satuan) melibatkan pangkat tiga dan akar pangkat tiga
</v>
      </c>
      <c r="AY18" s="475">
        <f>IFERROR('IPA4'!U17,"")</f>
        <v>88</v>
      </c>
      <c r="AZ18" s="475" t="str">
        <f>IFERROR('IPA4'!V17,"")</f>
        <v>A</v>
      </c>
      <c r="BA18" s="474" t="str">
        <f>'IPA4'!AA17</f>
        <v>HISYAM sangat baik  dalam melaporkan hasil pengamatan tentang perpindahan kalor.</v>
      </c>
      <c r="BB18" s="475">
        <f>IFERROR('IPS4'!U17,"")</f>
        <v>88</v>
      </c>
      <c r="BC18" s="475" t="str">
        <f>IFERROR('IPS4'!V17,"")</f>
        <v>A</v>
      </c>
      <c r="BD18" s="474" t="str">
        <f>'IPS4'!AA17</f>
        <v>HISYAM sangat baik  dalam menyajikan hasil identifikasi karakteristik geografis Indonesia sebagai negara kepulauan/maritim dan agraris serta pengaruhnya terhadap kehidupan ekonomi, sosial, budaya, komunikasi, serta transportasi.</v>
      </c>
      <c r="BE18" s="475">
        <f>IFERROR(SBDP4!U17,"")</f>
        <v>85</v>
      </c>
      <c r="BF18" s="475" t="str">
        <f>IFERROR(SBDP4!V17,"")</f>
        <v>B</v>
      </c>
      <c r="BG18" s="474" t="str">
        <f>SBDP4!AA17</f>
        <v>HISYAM baik  dalam membuat gambar cerita</v>
      </c>
      <c r="BH18" s="475">
        <f>IFERROR(PJOK4!U17,"")</f>
        <v>81</v>
      </c>
      <c r="BI18" s="475" t="str">
        <f>IFERROR(PJOK4!V17,"")</f>
        <v>B</v>
      </c>
      <c r="BJ18" s="476" t="str">
        <f>PJOK4!AA17</f>
        <v>HISYAM baik  dalam mempraktikkan kombinasi pola gerak dominan (bertumpu, bergantung, keseimbangan, berpindah/ lokomotor, tolakan, putaran, ayunan, melayang, dan mendarat) untuk membentuk keterampilan dasar senam menggunakan alat
, dan  baik  dalam mempraktikkan salah satu gaya renang dengan koordinasi yang baik pada jarak tertentu</v>
      </c>
      <c r="BK18" s="475">
        <f>IFERROR('MLK1-4'!U17,"")</f>
        <v>85</v>
      </c>
      <c r="BL18" s="475" t="str">
        <f>IFERROR('MLK1-4'!V17,"")</f>
        <v>B</v>
      </c>
      <c r="BM18" s="474" t="str">
        <f>'MLK1-4'!AA17</f>
        <v>HISYAM baik  dalam melantunkan dan menceritakan isi kawih tentang bangga sebagai bangsa Indonesia</v>
      </c>
      <c r="BN18" s="475">
        <f>IFERROR('MLK2-4'!U17,"")</f>
        <v>88</v>
      </c>
      <c r="BO18" s="475" t="str">
        <f>IFERROR('MLK2-4'!V17,"")</f>
        <v>A</v>
      </c>
      <c r="BP18" s="474" t="str">
        <f>'MLK2-4'!AA17</f>
        <v>HISYAM sangat baik  dalam memahami langkah-langkah pengawasan kelestarian lingkungan hidup</v>
      </c>
      <c r="BQ18" s="475">
        <f>IFERROR('MLK3-4'!Y17,"")</f>
        <v>86</v>
      </c>
      <c r="BR18" s="475" t="str">
        <f>IFERROR('MLK3-4'!Z17,"")</f>
        <v>B</v>
      </c>
      <c r="BS18" s="474" t="str">
        <f>'MLK3-4'!AE17</f>
        <v xml:space="preserve">HISYAM baik  dalam merespon instruksi sangat sederhana dengan tindakan secara berterima dalam konteks sekolah  </v>
      </c>
      <c r="BT18" s="475">
        <f t="shared" si="1"/>
        <v>81.272727272727266</v>
      </c>
      <c r="BU18" s="505">
        <f t="shared" si="0"/>
        <v>1788</v>
      </c>
      <c r="BV18" s="477">
        <f t="shared" si="2"/>
        <v>1788</v>
      </c>
      <c r="BW18" s="478">
        <f t="shared" si="3"/>
        <v>22</v>
      </c>
    </row>
    <row r="19" spans="1:75" ht="20.25" customHeight="1">
      <c r="A19" s="146">
        <v>14</v>
      </c>
      <c r="B19" s="146" t="str">
        <f>SISWA!B19</f>
        <v>1718250040318</v>
      </c>
      <c r="C19" s="471" t="str">
        <f>SISWA!C19</f>
        <v>FAUZI PUTRA SUNTANA</v>
      </c>
      <c r="D19" s="472" t="str">
        <f>SPIRIT!P18</f>
        <v xml:space="preserve">Ananda FAUZI baik dalam  ketaatan beribadah,  berperilaku syukur,  berdoa sebelum dan sesudah melakukan kegiatan,  toleransi dalam beribadah, </v>
      </c>
      <c r="E19" s="472" t="str">
        <f>SOSIAL!T18</f>
        <v xml:space="preserve">Ananda FAUZI baik dalam sikap jujur, disiplin, tanggung jawab, santun, peduli, percaya diri, </v>
      </c>
      <c r="F19" s="473">
        <f>IFERROR('PAI3'!CI19,"")</f>
        <v>85</v>
      </c>
      <c r="G19" s="473" t="str">
        <f>IFERROR('PAI3'!CJ19,"")</f>
        <v>B</v>
      </c>
      <c r="H19" s="474" t="str">
        <f>'PAI3'!CO19</f>
        <v>FAUZI sangat baik  dalam memahami makna Q.S. at-Tīn dan Q.S. al-Mā’ūn dengan benar., dan  baik  dalam memahami makna ikhlas beramal dalam kehidupan sehari-hari</v>
      </c>
      <c r="I19" s="473">
        <f>IFERROR('PKN3'!U18,"")</f>
        <v>95</v>
      </c>
      <c r="J19" s="473" t="str">
        <f>IFERROR('PKN3'!V18,"")</f>
        <v>A</v>
      </c>
      <c r="K19" s="472" t="str">
        <f>'PKN3'!AA18</f>
        <v xml:space="preserve">FAUZI sangat baik  dalam memahami hak, kewajiban dan tanggung jawab sebagai warga dalam kehidupan sehari-hari.
</v>
      </c>
      <c r="L19" s="475">
        <f>IFERROR(BIND3!U18,"")</f>
        <v>92</v>
      </c>
      <c r="M19" s="475" t="str">
        <f>IFERROR(BIND3!V18,"")</f>
        <v>A</v>
      </c>
      <c r="N19" s="474" t="str">
        <f>BIND3!AA18</f>
        <v>FAUZI sangat baik  dalam meringkas teks penjelasan (eksplanasi) dari media cetak atau elektronik.</v>
      </c>
      <c r="O19" s="475">
        <f>IFERROR('MTK3'!U18,"")</f>
        <v>75</v>
      </c>
      <c r="P19" s="475" t="str">
        <f>IFERROR('MTK3'!V18,"")</f>
        <v>C</v>
      </c>
      <c r="Q19" s="474" t="str">
        <f>'MTK3'!AA18</f>
        <v xml:space="preserve">FAUZI cukup baik  dalam menjelaskan, dan menentukan volume bangun ruang dengan menggunakan satuan volume (seperti kubus satuan) serta hubungan pangkat tiga dengan akar pangkat tiga
</v>
      </c>
      <c r="R19" s="475">
        <f>IFERROR('IPA3'!U18,"")</f>
        <v>80</v>
      </c>
      <c r="S19" s="475" t="str">
        <f>IFERROR('IPA3'!V18,"")</f>
        <v>B</v>
      </c>
      <c r="T19" s="474" t="str">
        <f>'IPA3'!AA18</f>
        <v xml:space="preserve">FAUZI baik  dalam menerapkan konsep perpindahan kalor dalam kehidupan sehari-hari.
</v>
      </c>
      <c r="U19" s="475">
        <f>IFERROR('IPS3'!U18,"")</f>
        <v>88</v>
      </c>
      <c r="V19" s="475" t="str">
        <f>IFERROR('IPS3'!V18,"")</f>
        <v>A</v>
      </c>
      <c r="W19" s="474" t="str">
        <f>'IPS3'!AA18</f>
        <v>FAUZI sangat baik  dalam Mengidentifikasi karakteristik geografis Indonesia sebagai negara kepulauan/maritim dan agraris serta pengaruhnya terhadap kehidupan ekonomi, sosial, budaya, komunikasi, serta transportasi.</v>
      </c>
      <c r="X19" s="475">
        <f>IFERROR(SBDP3!U18,"")</f>
        <v>85</v>
      </c>
      <c r="Y19" s="475" t="str">
        <f>IFERROR(SBDP3!V18,"")</f>
        <v>B</v>
      </c>
      <c r="Z19" s="474" t="str">
        <f>SBDP3!AA18</f>
        <v>FAUZI baik  dalam memahami gambar cerita</v>
      </c>
      <c r="AA19" s="475">
        <f>IFERROR(PJOK3!U18,"")</f>
        <v>90</v>
      </c>
      <c r="AB19" s="475" t="str">
        <f>IFERROR(PJOK3!V18,"")</f>
        <v>A</v>
      </c>
      <c r="AC19" s="474" t="str">
        <f>PJOK3!AA18</f>
        <v xml:space="preserve">FAUZI sangat baik  dalam memahami kombinasi pola gerak dominan (bertumpu, bergantung, keseimbangan, berpindah/lokomotor, tolakan, putaran, ayunan, melayang, dan mendarat) untuk membentuk keterampilan dasar senam menggunakan alat
</v>
      </c>
      <c r="AD19" s="475">
        <f>IFERROR('MLK1-3'!U18,"")</f>
        <v>82</v>
      </c>
      <c r="AE19" s="475" t="str">
        <f>IFERROR('MLK1-3'!V18,"")</f>
        <v>B</v>
      </c>
      <c r="AF19" s="476" t="str">
        <f>'MLK1-3'!AA18</f>
        <v>FAUZI baik  dalam memahami teks kawih tentang bangga sebagai bangsa Indonesia</v>
      </c>
      <c r="AG19" s="475">
        <f>IFERROR('MLK2-3'!X18,"")</f>
        <v>97</v>
      </c>
      <c r="AH19" s="475" t="str">
        <f>IFERROR('MLK2-3'!Y18,"")</f>
        <v>A</v>
      </c>
      <c r="AI19" s="474" t="str">
        <f>'MLK2-3'!AD18</f>
        <v xml:space="preserve">FAUZI sangat baik  dalam merespon instruksi sangat sederhana dengan tindakan secara berterima dalam konteks sekolah  </v>
      </c>
      <c r="AJ19" s="475">
        <f>IFERROR('MLK3-3'!W18,"")</f>
        <v>75</v>
      </c>
      <c r="AK19" s="475" t="str">
        <f>IFERROR('MLK3-3'!X18,"")</f>
        <v>C</v>
      </c>
      <c r="AL19" s="476" t="str">
        <f>'MLK3-3'!AC18</f>
        <v xml:space="preserve">FAUZI baik  dalam merespon instruksi sangat sederhana dengan tindakan secara berterima dalam konteks sekolah  , dan  cukup baik  dalam mengeja kalimat sangat sederhana secara tepat dan berterima </v>
      </c>
      <c r="AM19" s="475">
        <f>IFERROR('PAI4'!CI19,"")</f>
        <v>90</v>
      </c>
      <c r="AN19" s="475" t="str">
        <f>IFERROR('PAI4'!CJ19,"")</f>
        <v>A</v>
      </c>
      <c r="AO19" s="476" t="str">
        <f>'PAI4'!CO19</f>
        <v>FAUZI sangat baik  dalam membaca Q.S. at-Tīn dan Q.S. al-Mā’ūn dengan tartil.</v>
      </c>
      <c r="AP19" s="475">
        <f>IFERROR('PKN4'!U18,"")</f>
        <v>95</v>
      </c>
      <c r="AQ19" s="475" t="str">
        <f>IFERROR('PKN4'!V18,"")</f>
        <v>A</v>
      </c>
      <c r="AR19" s="474" t="str">
        <f>'PKN4'!AA18</f>
        <v>FAUZI sangat baik  dalam menjelaskan hak, kewajiban, dan tanggung  jawab sebagai warga masyarakat dalam kehidupan sehari-hari</v>
      </c>
      <c r="AS19" s="475">
        <f>IFERROR(BIND4!U18,"")</f>
        <v>92</v>
      </c>
      <c r="AT19" s="475" t="str">
        <f>IFERROR(BIND4!V18,"")</f>
        <v>A</v>
      </c>
      <c r="AU19" s="474" t="str">
        <f>BIND4!AA18</f>
        <v xml:space="preserve">FAUZI sangat baik  dalam menyajikan ringkasan teks penjelasan (eksplanasi) dari media cetak atau elektronik dengan menggunakan kosakata baku dan kalimat efektif secara lisan, tulis, dan visual.
</v>
      </c>
      <c r="AV19" s="475">
        <f>IFERROR('MTK4'!U18,"")</f>
        <v>75</v>
      </c>
      <c r="AW19" s="475" t="str">
        <f>IFERROR('MTK4'!V18,"")</f>
        <v>C</v>
      </c>
      <c r="AX19" s="474" t="str">
        <f>'MTK4'!AA18</f>
        <v xml:space="preserve">FAUZI cukup baik  dalam menyelesaikan masalah yang berkaitan dengan volume bangun ruang dengan menggunakan satuan volume (seperti kubus satuan) melibatkan pangkat tiga dan akar pangkat tiga
</v>
      </c>
      <c r="AY19" s="475">
        <f>IFERROR('IPA4'!U18,"")</f>
        <v>80</v>
      </c>
      <c r="AZ19" s="475" t="str">
        <f>IFERROR('IPA4'!V18,"")</f>
        <v>B</v>
      </c>
      <c r="BA19" s="474" t="str">
        <f>'IPA4'!AA18</f>
        <v>FAUZI baik  dalam melaporkan hasil pengamatan tentang perpindahan kalor.</v>
      </c>
      <c r="BB19" s="475">
        <f>IFERROR('IPS4'!U18,"")</f>
        <v>88</v>
      </c>
      <c r="BC19" s="475" t="str">
        <f>IFERROR('IPS4'!V18,"")</f>
        <v>A</v>
      </c>
      <c r="BD19" s="474" t="str">
        <f>'IPS4'!AA18</f>
        <v>FAUZI sangat baik  dalam menyajikan hasil identifikasi karakteristik geografis Indonesia sebagai negara kepulauan/maritim dan agraris serta pengaruhnya terhadap kehidupan ekonomi, sosial, budaya, komunikasi, serta transportasi.</v>
      </c>
      <c r="BE19" s="475">
        <f>IFERROR(SBDP4!U18,"")</f>
        <v>85</v>
      </c>
      <c r="BF19" s="475" t="str">
        <f>IFERROR(SBDP4!V18,"")</f>
        <v>B</v>
      </c>
      <c r="BG19" s="474" t="str">
        <f>SBDP4!AA18</f>
        <v>FAUZI baik  dalam membuat gambar cerita</v>
      </c>
      <c r="BH19" s="475">
        <f>IFERROR(PJOK4!U18,"")</f>
        <v>90</v>
      </c>
      <c r="BI19" s="475" t="str">
        <f>IFERROR(PJOK4!V18,"")</f>
        <v>A</v>
      </c>
      <c r="BJ19" s="476" t="str">
        <f>PJOK4!AA18</f>
        <v>FAUZI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19" s="475">
        <f>IFERROR('MLK1-4'!U18,"")</f>
        <v>82</v>
      </c>
      <c r="BL19" s="475" t="str">
        <f>IFERROR('MLK1-4'!V18,"")</f>
        <v>B</v>
      </c>
      <c r="BM19" s="474" t="str">
        <f>'MLK1-4'!AA18</f>
        <v>FAUZI baik  dalam melantunkan dan menceritakan isi kawih tentang bangga sebagai bangsa Indonesia</v>
      </c>
      <c r="BN19" s="475">
        <f>IFERROR('MLK2-4'!U18,"")</f>
        <v>97</v>
      </c>
      <c r="BO19" s="475" t="str">
        <f>IFERROR('MLK2-4'!V18,"")</f>
        <v>A</v>
      </c>
      <c r="BP19" s="474" t="str">
        <f>'MLK2-4'!AA18</f>
        <v>FAUZI sangat baik  dalam memahami langkah-langkah pengawasan kelestarian lingkungan hidup</v>
      </c>
      <c r="BQ19" s="475">
        <f>IFERROR('MLK3-4'!Y18,"")</f>
        <v>75</v>
      </c>
      <c r="BR19" s="475" t="str">
        <f>IFERROR('MLK3-4'!Z18,"")</f>
        <v>C</v>
      </c>
      <c r="BS19" s="474" t="str">
        <f>'MLK3-4'!AE18</f>
        <v xml:space="preserve">FAUZI cukup baik  dalam merespon instruksi sangat sederhana dengan tindakan secara berterima dalam konteks sekolah  </v>
      </c>
      <c r="BT19" s="475">
        <f t="shared" si="1"/>
        <v>82.181818181818187</v>
      </c>
      <c r="BU19" s="505">
        <f t="shared" si="0"/>
        <v>1808</v>
      </c>
      <c r="BV19" s="477">
        <f t="shared" si="2"/>
        <v>1808</v>
      </c>
      <c r="BW19" s="478">
        <f t="shared" si="3"/>
        <v>20</v>
      </c>
    </row>
    <row r="20" spans="1:75" ht="20.25" customHeight="1">
      <c r="A20" s="146">
        <v>15</v>
      </c>
      <c r="B20" s="146" t="str">
        <f>SISWA!B20</f>
        <v>1718250040319</v>
      </c>
      <c r="C20" s="471" t="str">
        <f>SISWA!C20</f>
        <v>FIRLY GEMA ROBBANI</v>
      </c>
      <c r="D20" s="472" t="str">
        <f>SPIRIT!P19</f>
        <v xml:space="preserve">Ananda FIRLY baik dalam  ketaatan beribadah,  berperilaku syukur,  berdoa sebelum dan sesudah melakukan kegiatan,  toleransi dalam beribadah, </v>
      </c>
      <c r="E20" s="472" t="str">
        <f>SOSIAL!T19</f>
        <v xml:space="preserve">Ananda FIRLY baik dalam sikap jujur, disiplin, tanggung jawab, santun, peduli, percaya diri, </v>
      </c>
      <c r="F20" s="473">
        <f>IFERROR('PAI3'!CI20,"")</f>
        <v>81</v>
      </c>
      <c r="G20" s="473" t="str">
        <f>IFERROR('PAI3'!CJ20,"")</f>
        <v>B</v>
      </c>
      <c r="H20" s="474" t="str">
        <f>'PAI3'!CO20</f>
        <v>FIRLY sangat baik  dalam memahami makna Q.S. at-Tīn dan Q.S. al-Mā’ūn dengan benar., dan  cukup baik  dalam memahami nama-nama Rasul Allah dan Rasul Ulul ‘Azmi.</v>
      </c>
      <c r="I20" s="473">
        <f>IFERROR('PKN3'!U19,"")</f>
        <v>90</v>
      </c>
      <c r="J20" s="473" t="str">
        <f>IFERROR('PKN3'!V19,"")</f>
        <v>A</v>
      </c>
      <c r="K20" s="472" t="str">
        <f>'PKN3'!AA19</f>
        <v xml:space="preserve">FIRLY sangat baik  dalam memahami hak, kewajiban dan tanggung jawab sebagai warga dalam kehidupan sehari-hari.
</v>
      </c>
      <c r="L20" s="475">
        <f>IFERROR(BIND3!U19,"")</f>
        <v>94</v>
      </c>
      <c r="M20" s="475" t="str">
        <f>IFERROR(BIND3!V19,"")</f>
        <v>A</v>
      </c>
      <c r="N20" s="474" t="str">
        <f>BIND3!AA19</f>
        <v>FIRLY sangat baik  dalam meringkas teks penjelasan (eksplanasi) dari media cetak atau elektronik.</v>
      </c>
      <c r="O20" s="475">
        <f>IFERROR('MTK3'!U19,"")</f>
        <v>80</v>
      </c>
      <c r="P20" s="475" t="str">
        <f>IFERROR('MTK3'!V19,"")</f>
        <v>B</v>
      </c>
      <c r="Q20" s="474" t="str">
        <f>'MTK3'!AA19</f>
        <v xml:space="preserve">FIRLY baik  dalam menjelaskan, dan menentukan volume bangun ruang dengan menggunakan satuan volume (seperti kubus satuan) serta hubungan pangkat tiga dengan akar pangkat tiga
</v>
      </c>
      <c r="R20" s="475">
        <f>IFERROR('IPA3'!U19,"")</f>
        <v>90</v>
      </c>
      <c r="S20" s="475" t="str">
        <f>IFERROR('IPA3'!V19,"")</f>
        <v>A</v>
      </c>
      <c r="T20" s="474" t="str">
        <f>'IPA3'!AA19</f>
        <v xml:space="preserve">FIRLY sangat baik  dalam menerapkan konsep perpindahan kalor dalam kehidupan sehari-hari.
</v>
      </c>
      <c r="U20" s="475">
        <f>IFERROR('IPS3'!U19,"")</f>
        <v>88</v>
      </c>
      <c r="V20" s="475" t="str">
        <f>IFERROR('IPS3'!V19,"")</f>
        <v>A</v>
      </c>
      <c r="W20" s="474" t="str">
        <f>'IPS3'!AA19</f>
        <v>FIRLY sangat baik  dalam Mengidentifikasi karakteristik geografis Indonesia sebagai negara kepulauan/maritim dan agraris serta pengaruhnya terhadap kehidupan ekonomi, sosial, budaya, komunikasi, serta transportasi.</v>
      </c>
      <c r="X20" s="475">
        <f>IFERROR(SBDP3!U19,"")</f>
        <v>88</v>
      </c>
      <c r="Y20" s="475" t="str">
        <f>IFERROR(SBDP3!V19,"")</f>
        <v>A</v>
      </c>
      <c r="Z20" s="474" t="str">
        <f>SBDP3!AA19</f>
        <v>FIRLY sangat baik  dalam memahami gambar cerita</v>
      </c>
      <c r="AA20" s="475">
        <f>IFERROR(PJOK3!U19,"")</f>
        <v>86</v>
      </c>
      <c r="AB20" s="475" t="str">
        <f>IFERROR(PJOK3!V19,"")</f>
        <v>B</v>
      </c>
      <c r="AC20" s="474" t="str">
        <f>PJOK3!AA19</f>
        <v xml:space="preserve">FIRLY baik  dalam memahami kombinasi pola gerak dominan (bertumpu, bergantung, keseimbangan, berpindah/lokomotor, tolakan, putaran, ayunan, melayang, dan mendarat) untuk membentuk keterampilan dasar senam menggunakan alat
</v>
      </c>
      <c r="AD20" s="475">
        <f>IFERROR('MLK1-3'!U19,"")</f>
        <v>88</v>
      </c>
      <c r="AE20" s="475" t="str">
        <f>IFERROR('MLK1-3'!V19,"")</f>
        <v>A</v>
      </c>
      <c r="AF20" s="476" t="str">
        <f>'MLK1-3'!AA19</f>
        <v>FIRLY sangat baik  dalam memahami teks kawih tentang bangga sebagai bangsa Indonesia</v>
      </c>
      <c r="AG20" s="475">
        <f>IFERROR('MLK2-3'!X19,"")</f>
        <v>91</v>
      </c>
      <c r="AH20" s="475" t="str">
        <f>IFERROR('MLK2-3'!Y19,"")</f>
        <v>A</v>
      </c>
      <c r="AI20" s="474" t="str">
        <f>'MLK2-3'!AD19</f>
        <v xml:space="preserve">FIRLY sangat baik  dalam merespon instruksi sangat sederhana dengan tindakan secara berterima dalam konteks sekolah  </v>
      </c>
      <c r="AJ20" s="475">
        <f>IFERROR('MLK3-3'!W19,"")</f>
        <v>90</v>
      </c>
      <c r="AK20" s="475" t="str">
        <f>IFERROR('MLK3-3'!X19,"")</f>
        <v>A</v>
      </c>
      <c r="AL20" s="476" t="str">
        <f>'MLK3-3'!AC19</f>
        <v xml:space="preserve">FIRLY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M20" s="475">
        <f>IFERROR('PAI4'!CI20,"")</f>
        <v>90</v>
      </c>
      <c r="AN20" s="475" t="str">
        <f>IFERROR('PAI4'!CJ20,"")</f>
        <v>A</v>
      </c>
      <c r="AO20" s="476" t="str">
        <f>'PAI4'!CO20</f>
        <v>FIRLY sangat baik  dalam membaca Q.S. at-Tīn dan Q.S. al-Mā’ūn dengan tartil.</v>
      </c>
      <c r="AP20" s="475">
        <f>IFERROR('PKN4'!U19,"")</f>
        <v>90</v>
      </c>
      <c r="AQ20" s="475" t="str">
        <f>IFERROR('PKN4'!V19,"")</f>
        <v>A</v>
      </c>
      <c r="AR20" s="474" t="str">
        <f>'PKN4'!AA19</f>
        <v>FIRLY sangat baik  dalam menjelaskan hak, kewajiban, dan tanggung  jawab sebagai warga masyarakat dalam kehidupan sehari-hari</v>
      </c>
      <c r="AS20" s="475">
        <f>IFERROR(BIND4!U19,"")</f>
        <v>94</v>
      </c>
      <c r="AT20" s="475" t="str">
        <f>IFERROR(BIND4!V19,"")</f>
        <v>A</v>
      </c>
      <c r="AU20" s="474" t="str">
        <f>BIND4!AA19</f>
        <v xml:space="preserve">FIRLY sangat baik  dalam menyajikan ringkasan teks penjelasan (eksplanasi) dari media cetak atau elektronik dengan menggunakan kosakata baku dan kalimat efektif secara lisan, tulis, dan visual.
</v>
      </c>
      <c r="AV20" s="475">
        <f>IFERROR('MTK4'!U19,"")</f>
        <v>80</v>
      </c>
      <c r="AW20" s="475" t="str">
        <f>IFERROR('MTK4'!V19,"")</f>
        <v>B</v>
      </c>
      <c r="AX20" s="474" t="str">
        <f>'MTK4'!AA19</f>
        <v xml:space="preserve">FIRLY baik  dalam menyelesaikan masalah yang berkaitan dengan volume bangun ruang dengan menggunakan satuan volume (seperti kubus satuan) melibatkan pangkat tiga dan akar pangkat tiga
</v>
      </c>
      <c r="AY20" s="475">
        <f>IFERROR('IPA4'!U19,"")</f>
        <v>90</v>
      </c>
      <c r="AZ20" s="475" t="str">
        <f>IFERROR('IPA4'!V19,"")</f>
        <v>A</v>
      </c>
      <c r="BA20" s="474" t="str">
        <f>'IPA4'!AA19</f>
        <v>FIRLY sangat baik  dalam melaporkan hasil pengamatan tentang perpindahan kalor.</v>
      </c>
      <c r="BB20" s="475">
        <f>IFERROR('IPS4'!U19,"")</f>
        <v>88</v>
      </c>
      <c r="BC20" s="475" t="str">
        <f>IFERROR('IPS4'!V19,"")</f>
        <v>A</v>
      </c>
      <c r="BD20" s="474" t="str">
        <f>'IPS4'!AA19</f>
        <v>FIRLY sangat baik  dalam menyajikan hasil identifikasi karakteristik geografis Indonesia sebagai negara kepulauan/maritim dan agraris serta pengaruhnya terhadap kehidupan ekonomi, sosial, budaya, komunikasi, serta transportasi.</v>
      </c>
      <c r="BE20" s="475">
        <f>IFERROR(SBDP4!U19,"")</f>
        <v>88</v>
      </c>
      <c r="BF20" s="475" t="str">
        <f>IFERROR(SBDP4!V19,"")</f>
        <v>A</v>
      </c>
      <c r="BG20" s="474" t="str">
        <f>SBDP4!AA19</f>
        <v>FIRLY sangat baik  dalam membuat gambar cerita</v>
      </c>
      <c r="BH20" s="475">
        <f>IFERROR(PJOK4!U19,"")</f>
        <v>89</v>
      </c>
      <c r="BI20" s="475" t="str">
        <f>IFERROR(PJOK4!V19,"")</f>
        <v>A</v>
      </c>
      <c r="BJ20" s="476" t="str">
        <f>PJOK4!AA19</f>
        <v>FIRLY sangat baik  dalam mempraktikkan kombinasi pola gerak dominan (bertumpu, bergantung, keseimbangan, berpindah/ lokomotor, tolakan, putaran, ayunan, melayang, dan mendarat) untuk membentuk keterampilan dasar senam menggunakan alat
, dan  baik  dalam memaparkan bahaya merokok, meminum minuman keras, dan mengonsumsi narkotika, zat-zat aditif (NAPZA) dan obat berbahaya lainnya terhadap kesehatan tubuh</v>
      </c>
      <c r="BK20" s="475">
        <f>IFERROR('MLK1-4'!U19,"")</f>
        <v>88</v>
      </c>
      <c r="BL20" s="475" t="str">
        <f>IFERROR('MLK1-4'!V19,"")</f>
        <v>A</v>
      </c>
      <c r="BM20" s="474" t="str">
        <f>'MLK1-4'!AA19</f>
        <v>FIRLY sangat baik  dalam melantunkan dan menceritakan isi kawih tentang bangga sebagai bangsa Indonesia</v>
      </c>
      <c r="BN20" s="475">
        <f>IFERROR('MLK2-4'!U19,"")</f>
        <v>91</v>
      </c>
      <c r="BO20" s="475" t="str">
        <f>IFERROR('MLK2-4'!V19,"")</f>
        <v>A</v>
      </c>
      <c r="BP20" s="474" t="str">
        <f>'MLK2-4'!AA19</f>
        <v>FIRLY sangat baik  dalam memahami langkah-langkah pengawasan kelestarian lingkungan hidup</v>
      </c>
      <c r="BQ20" s="475">
        <f>IFERROR('MLK3-4'!Y19,"")</f>
        <v>90</v>
      </c>
      <c r="BR20" s="475" t="str">
        <f>IFERROR('MLK3-4'!Z19,"")</f>
        <v>A</v>
      </c>
      <c r="BS20" s="474" t="str">
        <f>'MLK3-4'!AE19</f>
        <v xml:space="preserve">FIRLY sangat baik  dalam merespon instruksi sangat sederhana dengan tindakan secara berterima dalam konteks sekolah  </v>
      </c>
      <c r="BT20" s="475">
        <f t="shared" si="1"/>
        <v>84.681818181818187</v>
      </c>
      <c r="BU20" s="505">
        <f t="shared" si="0"/>
        <v>1863</v>
      </c>
      <c r="BV20" s="477">
        <f t="shared" si="2"/>
        <v>1863</v>
      </c>
      <c r="BW20" s="478">
        <f t="shared" si="3"/>
        <v>7</v>
      </c>
    </row>
    <row r="21" spans="1:75" ht="20.25" customHeight="1">
      <c r="A21" s="146">
        <v>16</v>
      </c>
      <c r="B21" s="146" t="str">
        <f>SISWA!B21</f>
        <v>1718250040320</v>
      </c>
      <c r="C21" s="471" t="str">
        <f>SISWA!C21</f>
        <v>HANA NUR ROHMAH</v>
      </c>
      <c r="D21" s="472" t="str">
        <f>SPIRIT!P20</f>
        <v xml:space="preserve">Ananda HANA baik dalam  ketaatan beribadah,  berperilaku syukur,  berdoa sebelum dan sesudah melakukan kegiatan,  toleransi dalam beribadah, </v>
      </c>
      <c r="E21" s="472" t="str">
        <f>SOSIAL!T20</f>
        <v xml:space="preserve">Ananda HANA baik dalam sikap jujur, disiplin, tanggung jawab, santun, peduli, percaya diri, </v>
      </c>
      <c r="F21" s="473">
        <f>IFERROR('PAI3'!CI21,"")</f>
        <v>79</v>
      </c>
      <c r="G21" s="473" t="str">
        <f>IFERROR('PAI3'!CJ21,"")</f>
        <v>B</v>
      </c>
      <c r="H21" s="474" t="str">
        <f>'PAI3'!CO21</f>
        <v>HANA baik  dalam memahami pelaksanaan salat tarawih dan tadarus al-Qur'an., dan  cukup baik  dalam memahami nama-nama Rasul Allah dan Rasul Ulul ‘Azmi.</v>
      </c>
      <c r="I21" s="473">
        <f>IFERROR('PKN3'!U20,"")</f>
        <v>78</v>
      </c>
      <c r="J21" s="473" t="str">
        <f>IFERROR('PKN3'!V20,"")</f>
        <v>B</v>
      </c>
      <c r="K21" s="472" t="str">
        <f>'PKN3'!AA20</f>
        <v xml:space="preserve">HANA baik  dalam memahami hak, kewajiban dan tanggung jawab sebagai warga dalam kehidupan sehari-hari.
</v>
      </c>
      <c r="L21" s="475">
        <f>IFERROR(BIND3!U20,"")</f>
        <v>81</v>
      </c>
      <c r="M21" s="475" t="str">
        <f>IFERROR(BIND3!V20,"")</f>
        <v>B</v>
      </c>
      <c r="N21" s="474" t="str">
        <f>BIND3!AA20</f>
        <v>HANA baik  dalam meringkas teks penjelasan (eksplanasi) dari media cetak atau elektronik.</v>
      </c>
      <c r="O21" s="475">
        <f>IFERROR('MTK3'!U20,"")</f>
        <v>70</v>
      </c>
      <c r="P21" s="475" t="str">
        <f>IFERROR('MTK3'!V20,"")</f>
        <v>C</v>
      </c>
      <c r="Q21" s="474" t="str">
        <f>'MTK3'!AA20</f>
        <v xml:space="preserve">HANA cukup baik  dalam menjelaskan, dan menentukan volume bangun ruang dengan menggunakan satuan volume (seperti kubus satuan) serta hubungan pangkat tiga dengan akar pangkat tiga
</v>
      </c>
      <c r="R21" s="475">
        <f>IFERROR('IPA3'!U20,"")</f>
        <v>73</v>
      </c>
      <c r="S21" s="475" t="str">
        <f>IFERROR('IPA3'!V20,"")</f>
        <v>C</v>
      </c>
      <c r="T21" s="474" t="str">
        <f>'IPA3'!AA20</f>
        <v xml:space="preserve">HANA cukup baik  dalam menerapkan konsep perpindahan kalor dalam kehidupan sehari-hari.
</v>
      </c>
      <c r="U21" s="475">
        <f>IFERROR('IPS3'!U20,"")</f>
        <v>78</v>
      </c>
      <c r="V21" s="475" t="str">
        <f>IFERROR('IPS3'!V20,"")</f>
        <v>B</v>
      </c>
      <c r="W21" s="474" t="str">
        <f>'IPS3'!AA20</f>
        <v>HANA baik  dalam Mengidentifikasi karakteristik geografis Indonesia sebagai negara kepulauan/maritim dan agraris serta pengaruhnya terhadap kehidupan ekonomi, sosial, budaya, komunikasi, serta transportasi.</v>
      </c>
      <c r="X21" s="475">
        <f>IFERROR(SBDP3!U20,"")</f>
        <v>85</v>
      </c>
      <c r="Y21" s="475" t="str">
        <f>IFERROR(SBDP3!V20,"")</f>
        <v>B</v>
      </c>
      <c r="Z21" s="474" t="str">
        <f>SBDP3!AA20</f>
        <v>HANA baik  dalam memahami gambar cerita</v>
      </c>
      <c r="AA21" s="475">
        <f>IFERROR(PJOK3!U20,"")</f>
        <v>80</v>
      </c>
      <c r="AB21" s="475" t="str">
        <f>IFERROR(PJOK3!V20,"")</f>
        <v>B</v>
      </c>
      <c r="AC21" s="474" t="str">
        <f>PJOK3!AA20</f>
        <v xml:space="preserve">HANA baik  dalam memahami kombinasi pola gerak dominan (bertumpu, bergantung, keseimbangan, berpindah/lokomotor, tolakan, putaran, ayunan, melayang, dan mendarat) untuk membentuk keterampilan dasar senam menggunakan alat
</v>
      </c>
      <c r="AD21" s="475">
        <f>IFERROR('MLK1-3'!U20,"")</f>
        <v>77</v>
      </c>
      <c r="AE21" s="475" t="str">
        <f>IFERROR('MLK1-3'!V20,"")</f>
        <v>B</v>
      </c>
      <c r="AF21" s="476" t="str">
        <f>'MLK1-3'!AA20</f>
        <v>HANA baik  dalam memahami teks kawih tentang bangga sebagai bangsa Indonesia</v>
      </c>
      <c r="AG21" s="475">
        <f>IFERROR('MLK2-3'!X20,"")</f>
        <v>85</v>
      </c>
      <c r="AH21" s="475" t="str">
        <f>IFERROR('MLK2-3'!Y20,"")</f>
        <v>B</v>
      </c>
      <c r="AI21" s="474" t="str">
        <f>'MLK2-3'!AD20</f>
        <v xml:space="preserve">HANA baik  dalam merespon instruksi sangat sederhana dengan tindakan secara berterima dalam konteks sekolah  </v>
      </c>
      <c r="AJ21" s="475">
        <f>IFERROR('MLK3-3'!W20,"")</f>
        <v>75</v>
      </c>
      <c r="AK21" s="475" t="str">
        <f>IFERROR('MLK3-3'!X20,"")</f>
        <v>C</v>
      </c>
      <c r="AL21" s="476" t="str">
        <f>'MLK3-3'!AC20</f>
        <v xml:space="preserve">HANA baik  dalam merespon instruksi sangat sederhana dengan tindakan secara berterima dalam konteks sekolah  , dan  cukup baik  dalam mengeja kalimat sangat sederhana secara tepat dan berterima </v>
      </c>
      <c r="AM21" s="475">
        <f>IFERROR('PAI4'!CI21,"")</f>
        <v>90</v>
      </c>
      <c r="AN21" s="475" t="str">
        <f>IFERROR('PAI4'!CJ21,"")</f>
        <v>A</v>
      </c>
      <c r="AO21" s="476" t="str">
        <f>'PAI4'!CO21</f>
        <v>HANA sangat baik  dalam membaca Q.S. at-Tīn dan Q.S. al-Mā’ūn dengan tartil.</v>
      </c>
      <c r="AP21" s="475">
        <f>IFERROR('PKN4'!U20,"")</f>
        <v>78</v>
      </c>
      <c r="AQ21" s="475" t="str">
        <f>IFERROR('PKN4'!V20,"")</f>
        <v>B</v>
      </c>
      <c r="AR21" s="474" t="str">
        <f>'PKN4'!AA20</f>
        <v>HANA baik  dalam menjelaskan hak, kewajiban, dan tanggung  jawab sebagai warga masyarakat dalam kehidupan sehari-hari</v>
      </c>
      <c r="AS21" s="475">
        <f>IFERROR(BIND4!U20,"")</f>
        <v>81</v>
      </c>
      <c r="AT21" s="475" t="str">
        <f>IFERROR(BIND4!V20,"")</f>
        <v>B</v>
      </c>
      <c r="AU21" s="474" t="str">
        <f>BIND4!AA20</f>
        <v xml:space="preserve">HANA baik  dalam menyajikan ringkasan teks penjelasan (eksplanasi) dari media cetak atau elektronik dengan menggunakan kosakata baku dan kalimat efektif secara lisan, tulis, dan visual.
</v>
      </c>
      <c r="AV21" s="475">
        <f>IFERROR('MTK4'!U20,"")</f>
        <v>70</v>
      </c>
      <c r="AW21" s="475" t="str">
        <f>IFERROR('MTK4'!V20,"")</f>
        <v>C</v>
      </c>
      <c r="AX21" s="474" t="str">
        <f>'MTK4'!AA20</f>
        <v xml:space="preserve">HANA cukup baik  dalam menyelesaikan masalah yang berkaitan dengan volume bangun ruang dengan menggunakan satuan volume (seperti kubus satuan) melibatkan pangkat tiga dan akar pangkat tiga
</v>
      </c>
      <c r="AY21" s="475">
        <f>IFERROR('IPA4'!U20,"")</f>
        <v>73</v>
      </c>
      <c r="AZ21" s="475" t="str">
        <f>IFERROR('IPA4'!V20,"")</f>
        <v>C</v>
      </c>
      <c r="BA21" s="474" t="str">
        <f>'IPA4'!AA20</f>
        <v>HANA cukup baik  dalam melaporkan hasil pengamatan tentang perpindahan kalor.</v>
      </c>
      <c r="BB21" s="475">
        <f>IFERROR('IPS4'!U20,"")</f>
        <v>78</v>
      </c>
      <c r="BC21" s="475" t="str">
        <f>IFERROR('IPS4'!V20,"")</f>
        <v>B</v>
      </c>
      <c r="BD21" s="474" t="str">
        <f>'IPS4'!AA20</f>
        <v>HANA baik  dalam menyajikan hasil identifikasi karakteristik geografis Indonesia sebagai negara kepulauan/maritim dan agraris serta pengaruhnya terhadap kehidupan ekonomi, sosial, budaya, komunikasi, serta transportasi.</v>
      </c>
      <c r="BE21" s="475">
        <f>IFERROR(SBDP4!U20,"")</f>
        <v>85</v>
      </c>
      <c r="BF21" s="475" t="str">
        <f>IFERROR(SBDP4!V20,"")</f>
        <v>B</v>
      </c>
      <c r="BG21" s="474" t="str">
        <f>SBDP4!AA20</f>
        <v>HANA baik  dalam membuat gambar cerita</v>
      </c>
      <c r="BH21" s="475">
        <f>IFERROR(PJOK4!U20,"")</f>
        <v>85</v>
      </c>
      <c r="BI21" s="475" t="str">
        <f>IFERROR(PJOK4!V20,"")</f>
        <v>B</v>
      </c>
      <c r="BJ21" s="476" t="str">
        <f>PJOK4!AA20</f>
        <v>HANA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21" s="475">
        <f>IFERROR('MLK1-4'!U20,"")</f>
        <v>77</v>
      </c>
      <c r="BL21" s="475" t="str">
        <f>IFERROR('MLK1-4'!V20,"")</f>
        <v>B</v>
      </c>
      <c r="BM21" s="474" t="str">
        <f>'MLK1-4'!AA20</f>
        <v>HANA baik  dalam melantunkan dan menceritakan isi kawih tentang bangga sebagai bangsa Indonesia</v>
      </c>
      <c r="BN21" s="475">
        <f>IFERROR('MLK2-4'!U20,"")</f>
        <v>85</v>
      </c>
      <c r="BO21" s="475" t="str">
        <f>IFERROR('MLK2-4'!V20,"")</f>
        <v>B</v>
      </c>
      <c r="BP21" s="474" t="str">
        <f>'MLK2-4'!AA20</f>
        <v>HANA baik  dalam memahami langkah-langkah pengawasan kelestarian lingkungan hidup</v>
      </c>
      <c r="BQ21" s="475">
        <f>IFERROR('MLK3-4'!Y20,"")</f>
        <v>75</v>
      </c>
      <c r="BR21" s="475" t="str">
        <f>IFERROR('MLK3-4'!Z20,"")</f>
        <v>C</v>
      </c>
      <c r="BS21" s="474" t="str">
        <f>'MLK3-4'!AE20</f>
        <v xml:space="preserve">HANA cukup baik  dalam merespon instruksi sangat sederhana dengan tindakan secara berterima dalam konteks sekolah  </v>
      </c>
      <c r="BT21" s="475">
        <f t="shared" si="1"/>
        <v>75.409090909090907</v>
      </c>
      <c r="BU21" s="505">
        <f t="shared" si="0"/>
        <v>1659</v>
      </c>
      <c r="BV21" s="477">
        <f t="shared" si="2"/>
        <v>1659</v>
      </c>
      <c r="BW21" s="478">
        <f t="shared" si="3"/>
        <v>41</v>
      </c>
    </row>
    <row r="22" spans="1:75" ht="20.25" customHeight="1">
      <c r="A22" s="146">
        <v>17</v>
      </c>
      <c r="B22" s="146" t="str">
        <f>SISWA!B22</f>
        <v>1718250040321</v>
      </c>
      <c r="C22" s="471" t="str">
        <f>SISWA!C22</f>
        <v>HOERUL MALLA MAHARANI</v>
      </c>
      <c r="D22" s="472" t="str">
        <f>SPIRIT!P21</f>
        <v xml:space="preserve">Ananda MALLA baik dalam  ketaatan beribadah,  berperilaku syukur,  berdoa sebelum dan sesudah melakukan kegiatan,  toleransi dalam beribadah, </v>
      </c>
      <c r="E22" s="472" t="str">
        <f>SOSIAL!T21</f>
        <v xml:space="preserve">Ananda MALLA baik dalam sikap jujur, disiplin, tanggung jawab, santun, peduli, percaya diri, </v>
      </c>
      <c r="F22" s="473">
        <f>IFERROR('PAI3'!CI22,"")</f>
        <v>79</v>
      </c>
      <c r="G22" s="473" t="str">
        <f>IFERROR('PAI3'!CJ22,"")</f>
        <v>B</v>
      </c>
      <c r="H22" s="474" t="str">
        <f>'PAI3'!CO22</f>
        <v>MALLA baik  dalam memahami pelaksanaan salat tarawih dan tadarus al-Qur'an., dan  cukup baik  dalam memahami nama-nama Rasul Allah dan Rasul Ulul ‘Azmi.</v>
      </c>
      <c r="I22" s="473">
        <f>IFERROR('PKN3'!U21,"")</f>
        <v>88</v>
      </c>
      <c r="J22" s="473" t="str">
        <f>IFERROR('PKN3'!V21,"")</f>
        <v>A</v>
      </c>
      <c r="K22" s="472" t="str">
        <f>'PKN3'!AA21</f>
        <v xml:space="preserve">MALLA sangat baik  dalam memahami hak, kewajiban dan tanggung jawab sebagai warga dalam kehidupan sehari-hari.
</v>
      </c>
      <c r="L22" s="475">
        <f>IFERROR(BIND3!U21,"")</f>
        <v>90</v>
      </c>
      <c r="M22" s="475" t="str">
        <f>IFERROR(BIND3!V21,"")</f>
        <v>A</v>
      </c>
      <c r="N22" s="474" t="str">
        <f>BIND3!AA21</f>
        <v>MALLA sangat baik  dalam meringkas teks penjelasan (eksplanasi) dari media cetak atau elektronik.</v>
      </c>
      <c r="O22" s="475">
        <f>IFERROR('MTK3'!U21,"")</f>
        <v>70</v>
      </c>
      <c r="P22" s="475" t="str">
        <f>IFERROR('MTK3'!V21,"")</f>
        <v>C</v>
      </c>
      <c r="Q22" s="474" t="str">
        <f>'MTK3'!AA21</f>
        <v xml:space="preserve">MALLA cukup baik  dalam menjelaskan, dan menentukan volume bangun ruang dengan menggunakan satuan volume (seperti kubus satuan) serta hubungan pangkat tiga dengan akar pangkat tiga
</v>
      </c>
      <c r="R22" s="475">
        <f>IFERROR('IPA3'!U21,"")</f>
        <v>85</v>
      </c>
      <c r="S22" s="475" t="str">
        <f>IFERROR('IPA3'!V21,"")</f>
        <v>B</v>
      </c>
      <c r="T22" s="474" t="str">
        <f>'IPA3'!AA21</f>
        <v xml:space="preserve">MALLA baik  dalam menerapkan konsep perpindahan kalor dalam kehidupan sehari-hari.
</v>
      </c>
      <c r="U22" s="475">
        <f>IFERROR('IPS3'!U21,"")</f>
        <v>85</v>
      </c>
      <c r="V22" s="475" t="str">
        <f>IFERROR('IPS3'!V21,"")</f>
        <v>B</v>
      </c>
      <c r="W22" s="474" t="str">
        <f>'IPS3'!AA21</f>
        <v>MALLA baik  dalam Mengidentifikasi karakteristik geografis Indonesia sebagai negara kepulauan/maritim dan agraris serta pengaruhnya terhadap kehidupan ekonomi, sosial, budaya, komunikasi, serta transportasi.</v>
      </c>
      <c r="X22" s="475">
        <f>IFERROR(SBDP3!U21,"")</f>
        <v>95</v>
      </c>
      <c r="Y22" s="475" t="str">
        <f>IFERROR(SBDP3!V21,"")</f>
        <v>A</v>
      </c>
      <c r="Z22" s="474" t="str">
        <f>SBDP3!AA21</f>
        <v>MALLA sangat baik  dalam memahami gambar cerita</v>
      </c>
      <c r="AA22" s="475">
        <f>IFERROR(PJOK3!U21,"")</f>
        <v>86</v>
      </c>
      <c r="AB22" s="475" t="str">
        <f>IFERROR(PJOK3!V21,"")</f>
        <v>B</v>
      </c>
      <c r="AC22" s="474" t="str">
        <f>PJOK3!AA21</f>
        <v xml:space="preserve">MALLA baik  dalam memahami kombinasi pola gerak dominan (bertumpu, bergantung, keseimbangan, berpindah/lokomotor, tolakan, putaran, ayunan, melayang, dan mendarat) untuk membentuk keterampilan dasar senam menggunakan alat
</v>
      </c>
      <c r="AD22" s="475">
        <f>IFERROR('MLK1-3'!U21,"")</f>
        <v>88</v>
      </c>
      <c r="AE22" s="475" t="str">
        <f>IFERROR('MLK1-3'!V21,"")</f>
        <v>A</v>
      </c>
      <c r="AF22" s="476" t="str">
        <f>'MLK1-3'!AA21</f>
        <v>MALLA sangat baik  dalam memahami teks kawih tentang bangga sebagai bangsa Indonesia</v>
      </c>
      <c r="AG22" s="475">
        <f>IFERROR('MLK2-3'!X21,"")</f>
        <v>91</v>
      </c>
      <c r="AH22" s="475" t="str">
        <f>IFERROR('MLK2-3'!Y21,"")</f>
        <v>A</v>
      </c>
      <c r="AI22" s="474" t="str">
        <f>'MLK2-3'!AD21</f>
        <v xml:space="preserve">MALLA sangat baik  dalam merespon instruksi sangat sederhana dengan tindakan secara berterima dalam konteks sekolah  </v>
      </c>
      <c r="AJ22" s="475">
        <f>IFERROR('MLK3-3'!W21,"")</f>
        <v>89</v>
      </c>
      <c r="AK22" s="475" t="str">
        <f>IFERROR('MLK3-3'!X21,"")</f>
        <v>A</v>
      </c>
      <c r="AL22" s="476" t="str">
        <f>'MLK3-3'!AC21</f>
        <v xml:space="preserve">MALLA sangat baik  dalam mengeja kalimat sangat sederhana secara tepat dan berterima , dan  baik  dalam bercakap-cakap untuk menyertai tindakan secara berterima yang melibatkan tindak tutur: memberi contoh melakukan sesuatu, memberi aba-aba, dan memberi petunjuk 
</v>
      </c>
      <c r="AM22" s="475">
        <f>IFERROR('PAI4'!CI22,"")</f>
        <v>89</v>
      </c>
      <c r="AN22" s="475" t="str">
        <f>IFERROR('PAI4'!CJ22,"")</f>
        <v>A</v>
      </c>
      <c r="AO22" s="476" t="str">
        <f>'PAI4'!CO22</f>
        <v>MALLA sangat baik  dalam membaca Q.S. at-Tīn dan Q.S. al-Mā’ūn dengan tartil.</v>
      </c>
      <c r="AP22" s="475">
        <f>IFERROR('PKN4'!U21,"")</f>
        <v>88</v>
      </c>
      <c r="AQ22" s="475" t="str">
        <f>IFERROR('PKN4'!V21,"")</f>
        <v>A</v>
      </c>
      <c r="AR22" s="474" t="str">
        <f>'PKN4'!AA21</f>
        <v>MALLA sangat baik  dalam menjelaskan hak, kewajiban, dan tanggung  jawab sebagai warga masyarakat dalam kehidupan sehari-hari</v>
      </c>
      <c r="AS22" s="475">
        <f>IFERROR(BIND4!U21,"")</f>
        <v>90</v>
      </c>
      <c r="AT22" s="475" t="str">
        <f>IFERROR(BIND4!V21,"")</f>
        <v>A</v>
      </c>
      <c r="AU22" s="474" t="str">
        <f>BIND4!AA21</f>
        <v xml:space="preserve">MALLA sangat baik  dalam menyajikan ringkasan teks penjelasan (eksplanasi) dari media cetak atau elektronik dengan menggunakan kosakata baku dan kalimat efektif secara lisan, tulis, dan visual.
</v>
      </c>
      <c r="AV22" s="475">
        <f>IFERROR('MTK4'!U21,"")</f>
        <v>70</v>
      </c>
      <c r="AW22" s="475" t="str">
        <f>IFERROR('MTK4'!V21,"")</f>
        <v>C</v>
      </c>
      <c r="AX22" s="474" t="str">
        <f>'MTK4'!AA21</f>
        <v xml:space="preserve">MALLA cukup baik  dalam menyelesaikan masalah yang berkaitan dengan volume bangun ruang dengan menggunakan satuan volume (seperti kubus satuan) melibatkan pangkat tiga dan akar pangkat tiga
</v>
      </c>
      <c r="AY22" s="475">
        <f>IFERROR('IPA4'!U21,"")</f>
        <v>85</v>
      </c>
      <c r="AZ22" s="475" t="str">
        <f>IFERROR('IPA4'!V21,"")</f>
        <v>B</v>
      </c>
      <c r="BA22" s="474" t="str">
        <f>'IPA4'!AA21</f>
        <v>MALLA baik  dalam melaporkan hasil pengamatan tentang perpindahan kalor.</v>
      </c>
      <c r="BB22" s="475">
        <f>IFERROR('IPS4'!U21,"")</f>
        <v>85</v>
      </c>
      <c r="BC22" s="475" t="str">
        <f>IFERROR('IPS4'!V21,"")</f>
        <v>B</v>
      </c>
      <c r="BD22" s="474" t="str">
        <f>'IPS4'!AA21</f>
        <v>MALLA baik  dalam menyajikan hasil identifikasi karakteristik geografis Indonesia sebagai negara kepulauan/maritim dan agraris serta pengaruhnya terhadap kehidupan ekonomi, sosial, budaya, komunikasi, serta transportasi.</v>
      </c>
      <c r="BE22" s="475">
        <f>IFERROR(SBDP4!U21,"")</f>
        <v>95</v>
      </c>
      <c r="BF22" s="475" t="str">
        <f>IFERROR(SBDP4!V21,"")</f>
        <v>A</v>
      </c>
      <c r="BG22" s="474" t="str">
        <f>SBDP4!AA21</f>
        <v>MALLA sangat baik  dalam membuat gambar cerita</v>
      </c>
      <c r="BH22" s="475">
        <f>IFERROR(PJOK4!U21,"")</f>
        <v>87</v>
      </c>
      <c r="BI22" s="475" t="str">
        <f>IFERROR(PJOK4!V21,"")</f>
        <v>B</v>
      </c>
      <c r="BJ22" s="476" t="str">
        <f>PJOK4!AA21</f>
        <v>MALLA sangat baik  dalam mempraktikkan kombinasi pola gerak dominan (bertumpu, bergantung, keseimbangan, berpindah/ lokomotor, tolakan, putaran, ayunan, melayang, dan mendarat) untuk membentuk keterampilan dasar senam menggunakan alat
, dan  baik  dalam menerapkan konsep pemeliharaan diri dan orang lain dari penyakit menular dan tidak menular</v>
      </c>
      <c r="BK22" s="475">
        <f>IFERROR('MLK1-4'!U21,"")</f>
        <v>88</v>
      </c>
      <c r="BL22" s="475" t="str">
        <f>IFERROR('MLK1-4'!V21,"")</f>
        <v>A</v>
      </c>
      <c r="BM22" s="474" t="str">
        <f>'MLK1-4'!AA21</f>
        <v>MALLA sangat baik  dalam melantunkan dan menceritakan isi kawih tentang bangga sebagai bangsa Indonesia</v>
      </c>
      <c r="BN22" s="475">
        <f>IFERROR('MLK2-4'!U21,"")</f>
        <v>91</v>
      </c>
      <c r="BO22" s="475" t="str">
        <f>IFERROR('MLK2-4'!V21,"")</f>
        <v>A</v>
      </c>
      <c r="BP22" s="474" t="str">
        <f>'MLK2-4'!AA21</f>
        <v>MALLA sangat baik  dalam memahami langkah-langkah pengawasan kelestarian lingkungan hidup</v>
      </c>
      <c r="BQ22" s="475">
        <f>IFERROR('MLK3-4'!Y21,"")</f>
        <v>90</v>
      </c>
      <c r="BR22" s="475" t="str">
        <f>IFERROR('MLK3-4'!Z21,"")</f>
        <v>A</v>
      </c>
      <c r="BS22" s="474" t="str">
        <f>'MLK3-4'!AE21</f>
        <v xml:space="preserve">MALLA sangat baik  dalam merespon instruksi sangat sederhana dengan tindakan secara berterima dalam konteks sekolah  </v>
      </c>
      <c r="BT22" s="475">
        <f t="shared" si="1"/>
        <v>82.954545454545453</v>
      </c>
      <c r="BU22" s="505">
        <f t="shared" si="0"/>
        <v>1825</v>
      </c>
      <c r="BV22" s="477">
        <f t="shared" si="2"/>
        <v>1825</v>
      </c>
      <c r="BW22" s="478">
        <f t="shared" si="3"/>
        <v>14</v>
      </c>
    </row>
    <row r="23" spans="1:75" ht="20.25" customHeight="1">
      <c r="A23" s="146">
        <v>18</v>
      </c>
      <c r="B23" s="146" t="str">
        <f>SISWA!B23</f>
        <v>1718250040322</v>
      </c>
      <c r="C23" s="471" t="str">
        <f>SISWA!C23</f>
        <v>INTAN STEPANI PUTRI</v>
      </c>
      <c r="D23" s="472" t="str">
        <f>SPIRIT!P22</f>
        <v xml:space="preserve">Ananda INTAN baik dalam  ketaatan beribadah,  berperilaku syukur,  berdoa sebelum dan sesudah melakukan kegiatan,  toleransi dalam beribadah, </v>
      </c>
      <c r="E23" s="472" t="str">
        <f>SOSIAL!T22</f>
        <v xml:space="preserve">Ananda INTAN baik dalam sikap jujur, disiplin, tanggung jawab, santun, peduli, percaya diri, </v>
      </c>
      <c r="F23" s="473">
        <f>IFERROR('PAI3'!CI23,"")</f>
        <v>81</v>
      </c>
      <c r="G23" s="473" t="str">
        <f>IFERROR('PAI3'!CJ23,"")</f>
        <v>B</v>
      </c>
      <c r="H23" s="474" t="str">
        <f>'PAI3'!CO23</f>
        <v>INTAN sangat baik  dalam memahami makna Q.S. at-Tīn dan Q.S. al-Mā’ūn dengan benar., dan  cukup baik  dalam memahami makna sederhana dalam kehidupan sehari-hari.</v>
      </c>
      <c r="I23" s="473">
        <f>IFERROR('PKN3'!U22,"")</f>
        <v>88</v>
      </c>
      <c r="J23" s="473" t="str">
        <f>IFERROR('PKN3'!V22,"")</f>
        <v>A</v>
      </c>
      <c r="K23" s="472" t="str">
        <f>'PKN3'!AA22</f>
        <v xml:space="preserve">INTAN sangat baik  dalam memahami hak, kewajiban dan tanggung jawab sebagai warga dalam kehidupan sehari-hari.
</v>
      </c>
      <c r="L23" s="475">
        <f>IFERROR(BIND3!U22,"")</f>
        <v>91</v>
      </c>
      <c r="M23" s="475" t="str">
        <f>IFERROR(BIND3!V22,"")</f>
        <v>A</v>
      </c>
      <c r="N23" s="474" t="str">
        <f>BIND3!AA22</f>
        <v>INTAN sangat baik  dalam meringkas teks penjelasan (eksplanasi) dari media cetak atau elektronik.</v>
      </c>
      <c r="O23" s="475">
        <f>IFERROR('MTK3'!U22,"")</f>
        <v>70</v>
      </c>
      <c r="P23" s="475" t="str">
        <f>IFERROR('MTK3'!V22,"")</f>
        <v>C</v>
      </c>
      <c r="Q23" s="474" t="str">
        <f>'MTK3'!AA22</f>
        <v xml:space="preserve">INTAN cukup baik  dalam menjelaskan, dan menentukan volume bangun ruang dengan menggunakan satuan volume (seperti kubus satuan) serta hubungan pangkat tiga dengan akar pangkat tiga
</v>
      </c>
      <c r="R23" s="475">
        <f>IFERROR('IPA3'!U22,"")</f>
        <v>83</v>
      </c>
      <c r="S23" s="475" t="str">
        <f>IFERROR('IPA3'!V22,"")</f>
        <v>B</v>
      </c>
      <c r="T23" s="474" t="str">
        <f>'IPA3'!AA22</f>
        <v xml:space="preserve">INTAN baik  dalam menerapkan konsep perpindahan kalor dalam kehidupan sehari-hari.
</v>
      </c>
      <c r="U23" s="475">
        <f>IFERROR('IPS3'!U22,"")</f>
        <v>85</v>
      </c>
      <c r="V23" s="475" t="str">
        <f>IFERROR('IPS3'!V22,"")</f>
        <v>B</v>
      </c>
      <c r="W23" s="474" t="str">
        <f>'IPS3'!AA22</f>
        <v>INTAN baik  dalam Mengidentifikasi karakteristik geografis Indonesia sebagai negara kepulauan/maritim dan agraris serta pengaruhnya terhadap kehidupan ekonomi, sosial, budaya, komunikasi, serta transportasi.</v>
      </c>
      <c r="X23" s="475">
        <f>IFERROR(SBDP3!U22,"")</f>
        <v>93</v>
      </c>
      <c r="Y23" s="475" t="str">
        <f>IFERROR(SBDP3!V22,"")</f>
        <v>A</v>
      </c>
      <c r="Z23" s="474" t="str">
        <f>SBDP3!AA22</f>
        <v>INTAN sangat baik  dalam memahami gambar cerita</v>
      </c>
      <c r="AA23" s="475">
        <f>IFERROR(PJOK3!U22,"")</f>
        <v>82</v>
      </c>
      <c r="AB23" s="475" t="str">
        <f>IFERROR(PJOK3!V22,"")</f>
        <v>B</v>
      </c>
      <c r="AC23" s="474" t="str">
        <f>PJOK3!AA22</f>
        <v xml:space="preserve">INTAN baik  dalam memahami kombinasi pola gerak dominan (bertumpu, bergantung, keseimbangan, berpindah/lokomotor, tolakan, putaran, ayunan, melayang, dan mendarat) untuk membentuk keterampilan dasar senam menggunakan alat
</v>
      </c>
      <c r="AD23" s="475">
        <f>IFERROR('MLK1-3'!U22,"")</f>
        <v>85</v>
      </c>
      <c r="AE23" s="475" t="str">
        <f>IFERROR('MLK1-3'!V22,"")</f>
        <v>B</v>
      </c>
      <c r="AF23" s="476" t="str">
        <f>'MLK1-3'!AA22</f>
        <v>INTAN baik  dalam memahami teks kawih tentang bangga sebagai bangsa Indonesia</v>
      </c>
      <c r="AG23" s="475">
        <f>IFERROR('MLK2-3'!X22,"")</f>
        <v>91</v>
      </c>
      <c r="AH23" s="475" t="str">
        <f>IFERROR('MLK2-3'!Y22,"")</f>
        <v>A</v>
      </c>
      <c r="AI23" s="474" t="str">
        <f>'MLK2-3'!AD22</f>
        <v xml:space="preserve">INTAN sangat baik  dalam merespon instruksi sangat sederhana dengan tindakan secara berterima dalam konteks sekolah  </v>
      </c>
      <c r="AJ23" s="475">
        <f>IFERROR('MLK3-3'!W22,"")</f>
        <v>75</v>
      </c>
      <c r="AK23" s="475" t="str">
        <f>IFERROR('MLK3-3'!X22,"")</f>
        <v>C</v>
      </c>
      <c r="AL23" s="476" t="str">
        <f>'MLK3-3'!AC22</f>
        <v xml:space="preserve">INTAN baik  dalam merespon instruksi sangat sederhana dengan tindakan secara berterima dalam konteks sekolah  , dan  cukup baik  dalam mengeja kalimat sangat sederhana secara tepat dan berterima </v>
      </c>
      <c r="AM23" s="475">
        <f>IFERROR('PAI4'!CI23,"")</f>
        <v>90</v>
      </c>
      <c r="AN23" s="475" t="str">
        <f>IFERROR('PAI4'!CJ23,"")</f>
        <v>A</v>
      </c>
      <c r="AO23" s="476" t="str">
        <f>'PAI4'!CO23</f>
        <v>INTAN sangat baik  dalam membaca Q.S. at-Tīn dan Q.S. al-Mā’ūn dengan tartil.</v>
      </c>
      <c r="AP23" s="475">
        <f>IFERROR('PKN4'!U22,"")</f>
        <v>88</v>
      </c>
      <c r="AQ23" s="475" t="str">
        <f>IFERROR('PKN4'!V22,"")</f>
        <v>A</v>
      </c>
      <c r="AR23" s="474" t="str">
        <f>'PKN4'!AA22</f>
        <v>INTAN sangat baik  dalam menjelaskan hak, kewajiban, dan tanggung  jawab sebagai warga masyarakat dalam kehidupan sehari-hari</v>
      </c>
      <c r="AS23" s="475">
        <f>IFERROR(BIND4!U22,"")</f>
        <v>91</v>
      </c>
      <c r="AT23" s="475" t="str">
        <f>IFERROR(BIND4!V22,"")</f>
        <v>A</v>
      </c>
      <c r="AU23" s="474" t="str">
        <f>BIND4!AA22</f>
        <v xml:space="preserve">INTAN sangat baik  dalam menyajikan ringkasan teks penjelasan (eksplanasi) dari media cetak atau elektronik dengan menggunakan kosakata baku dan kalimat efektif secara lisan, tulis, dan visual.
</v>
      </c>
      <c r="AV23" s="475">
        <f>IFERROR('MTK4'!U22,"")</f>
        <v>70</v>
      </c>
      <c r="AW23" s="475" t="str">
        <f>IFERROR('MTK4'!V22,"")</f>
        <v>C</v>
      </c>
      <c r="AX23" s="474" t="str">
        <f>'MTK4'!AA22</f>
        <v xml:space="preserve">INTAN cukup baik  dalam menyelesaikan masalah yang berkaitan dengan volume bangun ruang dengan menggunakan satuan volume (seperti kubus satuan) melibatkan pangkat tiga dan akar pangkat tiga
</v>
      </c>
      <c r="AY23" s="475">
        <f>IFERROR('IPA4'!U22,"")</f>
        <v>83</v>
      </c>
      <c r="AZ23" s="475" t="str">
        <f>IFERROR('IPA4'!V22,"")</f>
        <v>B</v>
      </c>
      <c r="BA23" s="474" t="str">
        <f>'IPA4'!AA22</f>
        <v>INTAN baik  dalam melaporkan hasil pengamatan tentang perpindahan kalor.</v>
      </c>
      <c r="BB23" s="475">
        <f>IFERROR('IPS4'!U22,"")</f>
        <v>85</v>
      </c>
      <c r="BC23" s="475" t="str">
        <f>IFERROR('IPS4'!V22,"")</f>
        <v>B</v>
      </c>
      <c r="BD23" s="474" t="str">
        <f>'IPS4'!AA22</f>
        <v>INTAN baik  dalam menyajikan hasil identifikasi karakteristik geografis Indonesia sebagai negara kepulauan/maritim dan agraris serta pengaruhnya terhadap kehidupan ekonomi, sosial, budaya, komunikasi, serta transportasi.</v>
      </c>
      <c r="BE23" s="475">
        <f>IFERROR(SBDP4!U22,"")</f>
        <v>93</v>
      </c>
      <c r="BF23" s="475" t="str">
        <f>IFERROR(SBDP4!V22,"")</f>
        <v>A</v>
      </c>
      <c r="BG23" s="474" t="str">
        <f>SBDP4!AA22</f>
        <v>INTAN sangat baik  dalam membuat gambar cerita</v>
      </c>
      <c r="BH23" s="475">
        <f>IFERROR(PJOK4!U22,"")</f>
        <v>84</v>
      </c>
      <c r="BI23" s="475" t="str">
        <f>IFERROR(PJOK4!V22,"")</f>
        <v>B</v>
      </c>
      <c r="BJ23" s="476" t="str">
        <f>PJOK4!AA22</f>
        <v>INTAN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23" s="475">
        <f>IFERROR('MLK1-4'!U22,"")</f>
        <v>85</v>
      </c>
      <c r="BL23" s="475" t="str">
        <f>IFERROR('MLK1-4'!V22,"")</f>
        <v>B</v>
      </c>
      <c r="BM23" s="474" t="str">
        <f>'MLK1-4'!AA22</f>
        <v>INTAN baik  dalam melantunkan dan menceritakan isi kawih tentang bangga sebagai bangsa Indonesia</v>
      </c>
      <c r="BN23" s="475">
        <f>IFERROR('MLK2-4'!U22,"")</f>
        <v>91</v>
      </c>
      <c r="BO23" s="475" t="str">
        <f>IFERROR('MLK2-4'!V22,"")</f>
        <v>A</v>
      </c>
      <c r="BP23" s="474" t="str">
        <f>'MLK2-4'!AA22</f>
        <v>INTAN sangat baik  dalam memahami langkah-langkah pengawasan kelestarian lingkungan hidup</v>
      </c>
      <c r="BQ23" s="475">
        <f>IFERROR('MLK3-4'!Y22,"")</f>
        <v>75</v>
      </c>
      <c r="BR23" s="475" t="str">
        <f>IFERROR('MLK3-4'!Z22,"")</f>
        <v>C</v>
      </c>
      <c r="BS23" s="474" t="str">
        <f>'MLK3-4'!AE22</f>
        <v xml:space="preserve">INTAN cukup baik  dalam merespon instruksi sangat sederhana dengan tindakan secara berterima dalam konteks sekolah  </v>
      </c>
      <c r="BT23" s="475">
        <f t="shared" si="1"/>
        <v>80.818181818181813</v>
      </c>
      <c r="BU23" s="505">
        <f t="shared" si="0"/>
        <v>1778</v>
      </c>
      <c r="BV23" s="477">
        <f t="shared" si="2"/>
        <v>1778</v>
      </c>
      <c r="BW23" s="478">
        <f t="shared" si="3"/>
        <v>27</v>
      </c>
    </row>
    <row r="24" spans="1:75" ht="20.25" customHeight="1">
      <c r="A24" s="146">
        <v>19</v>
      </c>
      <c r="B24" s="146" t="str">
        <f>SISWA!B24</f>
        <v>1718250040323</v>
      </c>
      <c r="C24" s="471" t="str">
        <f>SISWA!C24</f>
        <v>JORDY PARVEZ RAMADHAN</v>
      </c>
      <c r="D24" s="472" t="str">
        <f>SPIRIT!P23</f>
        <v xml:space="preserve">Ananda JORDY baik dalam  ketaatan beribadah,  berperilaku syukur,  berdoa sebelum dan sesudah melakukan kegiatan,  toleransi dalam beribadah, </v>
      </c>
      <c r="E24" s="472" t="str">
        <f>SOSIAL!T23</f>
        <v xml:space="preserve">Ananda JORDY baik dalam sikap jujur, disiplin, tanggung jawab, santun, peduli, percaya diri, </v>
      </c>
      <c r="F24" s="473">
        <f>IFERROR('PAI3'!CI24,"")</f>
        <v>77</v>
      </c>
      <c r="G24" s="473" t="str">
        <f>IFERROR('PAI3'!CJ24,"")</f>
        <v>B</v>
      </c>
      <c r="H24" s="474" t="str">
        <f>'PAI3'!CO24</f>
        <v>JORDY baik  dalam memahami pelaksanaan salat tarawih dan tadarus al-Qur'an., dan  cukup baik  dalam memahami nama-nama Rasul Allah dan Rasul Ulul ‘Azmi.</v>
      </c>
      <c r="I24" s="473">
        <f>IFERROR('PKN3'!U23,"")</f>
        <v>88</v>
      </c>
      <c r="J24" s="473" t="str">
        <f>IFERROR('PKN3'!V23,"")</f>
        <v>A</v>
      </c>
      <c r="K24" s="472" t="str">
        <f>'PKN3'!AA23</f>
        <v xml:space="preserve">JORDY sangat baik  dalam memahami hak, kewajiban dan tanggung jawab sebagai warga dalam kehidupan sehari-hari.
</v>
      </c>
      <c r="L24" s="475">
        <f>IFERROR(BIND3!U23,"")</f>
        <v>93</v>
      </c>
      <c r="M24" s="475" t="str">
        <f>IFERROR(BIND3!V23,"")</f>
        <v>A</v>
      </c>
      <c r="N24" s="474" t="str">
        <f>BIND3!AA23</f>
        <v>JORDY sangat baik  dalam meringkas teks penjelasan (eksplanasi) dari media cetak atau elektronik.</v>
      </c>
      <c r="O24" s="475">
        <f>IFERROR('MTK3'!U23,"")</f>
        <v>75</v>
      </c>
      <c r="P24" s="475" t="str">
        <f>IFERROR('MTK3'!V23,"")</f>
        <v>C</v>
      </c>
      <c r="Q24" s="474" t="str">
        <f>'MTK3'!AA23</f>
        <v xml:space="preserve">JORDY cukup baik  dalam menjelaskan, dan menentukan volume bangun ruang dengan menggunakan satuan volume (seperti kubus satuan) serta hubungan pangkat tiga dengan akar pangkat tiga
</v>
      </c>
      <c r="R24" s="475">
        <f>IFERROR('IPA3'!U23,"")</f>
        <v>78</v>
      </c>
      <c r="S24" s="475" t="str">
        <f>IFERROR('IPA3'!V23,"")</f>
        <v>B</v>
      </c>
      <c r="T24" s="474" t="str">
        <f>'IPA3'!AA23</f>
        <v xml:space="preserve">JORDY baik  dalam menerapkan konsep perpindahan kalor dalam kehidupan sehari-hari.
</v>
      </c>
      <c r="U24" s="475">
        <f>IFERROR('IPS3'!U23,"")</f>
        <v>93</v>
      </c>
      <c r="V24" s="475" t="str">
        <f>IFERROR('IPS3'!V23,"")</f>
        <v>A</v>
      </c>
      <c r="W24" s="474" t="str">
        <f>'IPS3'!AA23</f>
        <v>JORDY sangat baik  dalam Mengidentifikasi karakteristik geografis Indonesia sebagai negara kepulauan/maritim dan agraris serta pengaruhnya terhadap kehidupan ekonomi, sosial, budaya, komunikasi, serta transportasi.</v>
      </c>
      <c r="X24" s="475">
        <f>IFERROR(SBDP3!U23,"")</f>
        <v>88</v>
      </c>
      <c r="Y24" s="475" t="str">
        <f>IFERROR(SBDP3!V23,"")</f>
        <v>A</v>
      </c>
      <c r="Z24" s="474" t="str">
        <f>SBDP3!AA23</f>
        <v>JORDY sangat baik  dalam memahami gambar cerita</v>
      </c>
      <c r="AA24" s="475">
        <f>IFERROR(PJOK3!U23,"")</f>
        <v>85</v>
      </c>
      <c r="AB24" s="475" t="str">
        <f>IFERROR(PJOK3!V23,"")</f>
        <v>B</v>
      </c>
      <c r="AC24" s="474" t="str">
        <f>PJOK3!AA23</f>
        <v xml:space="preserve">JORDY baik  dalam memahami kombinasi pola gerak dominan (bertumpu, bergantung, keseimbangan, berpindah/lokomotor, tolakan, putaran, ayunan, melayang, dan mendarat) untuk membentuk keterampilan dasar senam menggunakan alat
</v>
      </c>
      <c r="AD24" s="475">
        <f>IFERROR('MLK1-3'!U23,"")</f>
        <v>80</v>
      </c>
      <c r="AE24" s="475" t="str">
        <f>IFERROR('MLK1-3'!V23,"")</f>
        <v>B</v>
      </c>
      <c r="AF24" s="476" t="str">
        <f>'MLK1-3'!AA23</f>
        <v>JORDY baik  dalam memahami teks kawih tentang bangga sebagai bangsa Indonesia</v>
      </c>
      <c r="AG24" s="475">
        <f>IFERROR('MLK2-3'!X23,"")</f>
        <v>88</v>
      </c>
      <c r="AH24" s="475" t="str">
        <f>IFERROR('MLK2-3'!Y23,"")</f>
        <v>A</v>
      </c>
      <c r="AI24" s="474" t="str">
        <f>'MLK2-3'!AD23</f>
        <v xml:space="preserve">JORDY sangat baik  dalam merespon instruksi sangat sederhana dengan tindakan secara berterima dalam konteks sekolah  </v>
      </c>
      <c r="AJ24" s="475">
        <f>IFERROR('MLK3-3'!W23,"")</f>
        <v>78</v>
      </c>
      <c r="AK24" s="475" t="str">
        <f>IFERROR('MLK3-3'!X23,"")</f>
        <v>B</v>
      </c>
      <c r="AL24" s="476" t="str">
        <f>'MLK3-3'!AC23</f>
        <v xml:space="preserve">JORDY baik  dalam mengeja kalimat sangat sederhana secara tepat dan berterima , dan  cukup baik  dalam merespon instruksi sangat sederhana dengan tindakan secara berterima dalam konteks sekolah  </v>
      </c>
      <c r="AM24" s="475">
        <f>IFERROR('PAI4'!CI24,"")</f>
        <v>90</v>
      </c>
      <c r="AN24" s="475" t="str">
        <f>IFERROR('PAI4'!CJ24,"")</f>
        <v>A</v>
      </c>
      <c r="AO24" s="476" t="str">
        <f>'PAI4'!CO24</f>
        <v>JORDY sangat baik  dalam membaca Q.S. at-Tīn dan Q.S. al-Mā’ūn dengan tartil.</v>
      </c>
      <c r="AP24" s="475">
        <f>IFERROR('PKN4'!U23,"")</f>
        <v>88</v>
      </c>
      <c r="AQ24" s="475" t="str">
        <f>IFERROR('PKN4'!V23,"")</f>
        <v>A</v>
      </c>
      <c r="AR24" s="474" t="str">
        <f>'PKN4'!AA23</f>
        <v>JORDY sangat baik  dalam menjelaskan hak, kewajiban, dan tanggung  jawab sebagai warga masyarakat dalam kehidupan sehari-hari</v>
      </c>
      <c r="AS24" s="475">
        <f>IFERROR(BIND4!U23,"")</f>
        <v>93</v>
      </c>
      <c r="AT24" s="475" t="str">
        <f>IFERROR(BIND4!V23,"")</f>
        <v>A</v>
      </c>
      <c r="AU24" s="474" t="str">
        <f>BIND4!AA23</f>
        <v xml:space="preserve">JORDY sangat baik  dalam menyajikan ringkasan teks penjelasan (eksplanasi) dari media cetak atau elektronik dengan menggunakan kosakata baku dan kalimat efektif secara lisan, tulis, dan visual.
</v>
      </c>
      <c r="AV24" s="475">
        <f>IFERROR('MTK4'!U23,"")</f>
        <v>75</v>
      </c>
      <c r="AW24" s="475" t="str">
        <f>IFERROR('MTK4'!V23,"")</f>
        <v>C</v>
      </c>
      <c r="AX24" s="474" t="str">
        <f>'MTK4'!AA23</f>
        <v xml:space="preserve">JORDY cukup baik  dalam menyelesaikan masalah yang berkaitan dengan volume bangun ruang dengan menggunakan satuan volume (seperti kubus satuan) melibatkan pangkat tiga dan akar pangkat tiga
</v>
      </c>
      <c r="AY24" s="475">
        <f>IFERROR('IPA4'!U23,"")</f>
        <v>78</v>
      </c>
      <c r="AZ24" s="475" t="str">
        <f>IFERROR('IPA4'!V23,"")</f>
        <v>B</v>
      </c>
      <c r="BA24" s="474" t="str">
        <f>'IPA4'!AA23</f>
        <v>JORDY baik  dalam melaporkan hasil pengamatan tentang perpindahan kalor.</v>
      </c>
      <c r="BB24" s="475">
        <f>IFERROR('IPS4'!U23,"")</f>
        <v>93</v>
      </c>
      <c r="BC24" s="475" t="str">
        <f>IFERROR('IPS4'!V23,"")</f>
        <v>A</v>
      </c>
      <c r="BD24" s="474" t="str">
        <f>'IPS4'!AA23</f>
        <v>JORDY sangat baik  dalam menyajikan hasil identifikasi karakteristik geografis Indonesia sebagai negara kepulauan/maritim dan agraris serta pengaruhnya terhadap kehidupan ekonomi, sosial, budaya, komunikasi, serta transportasi.</v>
      </c>
      <c r="BE24" s="475">
        <f>IFERROR(SBDP4!U23,"")</f>
        <v>88</v>
      </c>
      <c r="BF24" s="475" t="str">
        <f>IFERROR(SBDP4!V23,"")</f>
        <v>A</v>
      </c>
      <c r="BG24" s="474" t="str">
        <f>SBDP4!AA23</f>
        <v>JORDY sangat baik  dalam membuat gambar cerita</v>
      </c>
      <c r="BH24" s="475">
        <f>IFERROR(PJOK4!U23,"")</f>
        <v>84</v>
      </c>
      <c r="BI24" s="475" t="str">
        <f>IFERROR(PJOK4!V23,"")</f>
        <v>B</v>
      </c>
      <c r="BJ24" s="476" t="str">
        <f>PJOK4!AA23</f>
        <v>JORDY sangat baik  dalam menerapkan konsep pemeliharaan diri dan orang lain dari penyakit menular dan tidak menular, dan  baik  dalam mempraktikkan pengunaan kombinasi gerak dasar langkah dan ayunan lengan mengikuti irama (ketukan) tanpa/dengan musik dalam aktivitas gerak berirama</v>
      </c>
      <c r="BK24" s="475">
        <f>IFERROR('MLK1-4'!U23,"")</f>
        <v>80</v>
      </c>
      <c r="BL24" s="475" t="str">
        <f>IFERROR('MLK1-4'!V23,"")</f>
        <v>B</v>
      </c>
      <c r="BM24" s="474" t="str">
        <f>'MLK1-4'!AA23</f>
        <v>JORDY baik  dalam melantunkan dan menceritakan isi kawih tentang bangga sebagai bangsa Indonesia</v>
      </c>
      <c r="BN24" s="475">
        <f>IFERROR('MLK2-4'!U23,"")</f>
        <v>88</v>
      </c>
      <c r="BO24" s="475" t="str">
        <f>IFERROR('MLK2-4'!V23,"")</f>
        <v>A</v>
      </c>
      <c r="BP24" s="474" t="str">
        <f>'MLK2-4'!AA23</f>
        <v>JORDY sangat baik  dalam memahami langkah-langkah pengawasan kelestarian lingkungan hidup</v>
      </c>
      <c r="BQ24" s="475">
        <f>IFERROR('MLK3-4'!Y23,"")</f>
        <v>78</v>
      </c>
      <c r="BR24" s="475" t="str">
        <f>IFERROR('MLK3-4'!Z23,"")</f>
        <v>B</v>
      </c>
      <c r="BS24" s="474" t="str">
        <f>'MLK3-4'!AE23</f>
        <v xml:space="preserve">JORDY baik  dalam merespon instruksi sangat sederhana dengan tindakan secara berterima dalam konteks sekolah  </v>
      </c>
      <c r="BT24" s="475">
        <f t="shared" si="1"/>
        <v>80.954545454545453</v>
      </c>
      <c r="BU24" s="505">
        <f t="shared" si="0"/>
        <v>1781</v>
      </c>
      <c r="BV24" s="477">
        <f t="shared" si="2"/>
        <v>1781</v>
      </c>
      <c r="BW24" s="478">
        <f t="shared" si="3"/>
        <v>26</v>
      </c>
    </row>
    <row r="25" spans="1:75" ht="20.25" customHeight="1">
      <c r="A25" s="146">
        <v>20</v>
      </c>
      <c r="B25" s="146" t="str">
        <f>SISWA!B25</f>
        <v>1718250040324</v>
      </c>
      <c r="C25" s="471" t="str">
        <f>SISWA!C25</f>
        <v>KURNIA KARYADIREDJA</v>
      </c>
      <c r="D25" s="472" t="str">
        <f>SPIRIT!P24</f>
        <v xml:space="preserve">Ananda KURNIA baik dalam  ketaatan beribadah,  berperilaku syukur,  berdoa sebelum dan sesudah melakukan kegiatan,  toleransi dalam beribadah, </v>
      </c>
      <c r="E25" s="472" t="str">
        <f>SOSIAL!T24</f>
        <v xml:space="preserve">Ananda KURNIA baik dalam sikap jujur, disiplin, tanggung jawab, santun, peduli, percaya diri, </v>
      </c>
      <c r="F25" s="473">
        <f>IFERROR('PAI3'!CI25,"")</f>
        <v>79</v>
      </c>
      <c r="G25" s="473" t="str">
        <f>IFERROR('PAI3'!CJ25,"")</f>
        <v>B</v>
      </c>
      <c r="H25" s="474" t="str">
        <f>'PAI3'!CO25</f>
        <v>KURNIA sangat baik  dalam memahami makna ikhlas beramal dalam kehidupan sehari-hari, dan  cukup baik  dalam memahami makna sederhana dalam kehidupan sehari-hari.</v>
      </c>
      <c r="I25" s="473">
        <f>IFERROR('PKN3'!U24,"")</f>
        <v>83</v>
      </c>
      <c r="J25" s="473" t="str">
        <f>IFERROR('PKN3'!V24,"")</f>
        <v>B</v>
      </c>
      <c r="K25" s="472" t="str">
        <f>'PKN3'!AA24</f>
        <v xml:space="preserve">KURNIA baik  dalam memahami hak, kewajiban dan tanggung jawab sebagai warga dalam kehidupan sehari-hari.
</v>
      </c>
      <c r="L25" s="475">
        <f>IFERROR(BIND3!U24,"")</f>
        <v>86</v>
      </c>
      <c r="M25" s="475" t="str">
        <f>IFERROR(BIND3!V24,"")</f>
        <v>B</v>
      </c>
      <c r="N25" s="474" t="str">
        <f>BIND3!AA24</f>
        <v>KURNIA baik  dalam meringkas teks penjelasan (eksplanasi) dari media cetak atau elektronik.</v>
      </c>
      <c r="O25" s="475">
        <f>IFERROR('MTK3'!U24,"")</f>
        <v>70</v>
      </c>
      <c r="P25" s="475" t="str">
        <f>IFERROR('MTK3'!V24,"")</f>
        <v>C</v>
      </c>
      <c r="Q25" s="474" t="str">
        <f>'MTK3'!AA24</f>
        <v xml:space="preserve">KURNIA cukup baik  dalam menjelaskan, dan menentukan volume bangun ruang dengan menggunakan satuan volume (seperti kubus satuan) serta hubungan pangkat tiga dengan akar pangkat tiga
</v>
      </c>
      <c r="R25" s="475">
        <f>IFERROR('IPA3'!U24,"")</f>
        <v>93</v>
      </c>
      <c r="S25" s="475" t="str">
        <f>IFERROR('IPA3'!V24,"")</f>
        <v>A</v>
      </c>
      <c r="T25" s="474" t="str">
        <f>'IPA3'!AA24</f>
        <v xml:space="preserve">KURNIA sangat baik  dalam menerapkan konsep perpindahan kalor dalam kehidupan sehari-hari.
</v>
      </c>
      <c r="U25" s="475">
        <f>IFERROR('IPS3'!U24,"")</f>
        <v>90</v>
      </c>
      <c r="V25" s="475" t="str">
        <f>IFERROR('IPS3'!V24,"")</f>
        <v>A</v>
      </c>
      <c r="W25" s="474" t="str">
        <f>'IPS3'!AA24</f>
        <v>KURNIA sangat baik  dalam Mengidentifikasi karakteristik geografis Indonesia sebagai negara kepulauan/maritim dan agraris serta pengaruhnya terhadap kehidupan ekonomi, sosial, budaya, komunikasi, serta transportasi.</v>
      </c>
      <c r="X25" s="475">
        <f>IFERROR(SBDP3!U24,"")</f>
        <v>90</v>
      </c>
      <c r="Y25" s="475" t="str">
        <f>IFERROR(SBDP3!V24,"")</f>
        <v>A</v>
      </c>
      <c r="Z25" s="474" t="str">
        <f>SBDP3!AA24</f>
        <v>KURNIA sangat baik  dalam memahami gambar cerita</v>
      </c>
      <c r="AA25" s="475">
        <f>IFERROR(PJOK3!U24,"")</f>
        <v>86</v>
      </c>
      <c r="AB25" s="475" t="str">
        <f>IFERROR(PJOK3!V24,"")</f>
        <v>B</v>
      </c>
      <c r="AC25" s="474" t="str">
        <f>PJOK3!AA24</f>
        <v xml:space="preserve">KURNIA baik  dalam memahami kombinasi pola gerak dominan (bertumpu, bergantung, keseimbangan, berpindah/lokomotor, tolakan, putaran, ayunan, melayang, dan mendarat) untuk membentuk keterampilan dasar senam menggunakan alat
</v>
      </c>
      <c r="AD25" s="475">
        <f>IFERROR('MLK1-3'!U24,"")</f>
        <v>74</v>
      </c>
      <c r="AE25" s="475" t="str">
        <f>IFERROR('MLK1-3'!V24,"")</f>
        <v>C</v>
      </c>
      <c r="AF25" s="476" t="str">
        <f>'MLK1-3'!AA24</f>
        <v>KURNIA cukup baik  dalam memahami teks kawih tentang bangga sebagai bangsa Indonesia</v>
      </c>
      <c r="AG25" s="475">
        <f>IFERROR('MLK2-3'!X24,"")</f>
        <v>85</v>
      </c>
      <c r="AH25" s="475" t="str">
        <f>IFERROR('MLK2-3'!Y24,"")</f>
        <v>B</v>
      </c>
      <c r="AI25" s="474" t="str">
        <f>'MLK2-3'!AD24</f>
        <v xml:space="preserve">KURNIA baik  dalam merespon instruksi sangat sederhana dengan tindakan secara berterima dalam konteks sekolah  </v>
      </c>
      <c r="AJ25" s="475">
        <f>IFERROR('MLK3-3'!W24,"")</f>
        <v>75</v>
      </c>
      <c r="AK25" s="475" t="str">
        <f>IFERROR('MLK3-3'!X24,"")</f>
        <v>C</v>
      </c>
      <c r="AL25" s="476" t="str">
        <f>'MLK3-3'!AC24</f>
        <v xml:space="preserve">KURNIA baik  dalam merespon instruksi sangat sederhana dengan tindakan secara berterima dalam konteks sekolah  , dan  cukup baik  dalam mengeja kalimat sangat sederhana secara tepat dan berterima </v>
      </c>
      <c r="AM25" s="475">
        <f>IFERROR('PAI4'!CI25,"")</f>
        <v>90</v>
      </c>
      <c r="AN25" s="475" t="str">
        <f>IFERROR('PAI4'!CJ25,"")</f>
        <v>A</v>
      </c>
      <c r="AO25" s="476" t="str">
        <f>'PAI4'!CO25</f>
        <v>KURNIA sangat baik  dalam membaca Q.S. at-Tīn dan Q.S. al-Mā’ūn dengan tartil.</v>
      </c>
      <c r="AP25" s="475">
        <f>IFERROR('PKN4'!U24,"")</f>
        <v>83</v>
      </c>
      <c r="AQ25" s="475" t="str">
        <f>IFERROR('PKN4'!V24,"")</f>
        <v>B</v>
      </c>
      <c r="AR25" s="474" t="str">
        <f>'PKN4'!AA24</f>
        <v>KURNIA baik  dalam menjelaskan hak, kewajiban, dan tanggung  jawab sebagai warga masyarakat dalam kehidupan sehari-hari</v>
      </c>
      <c r="AS25" s="475">
        <f>IFERROR(BIND4!U24,"")</f>
        <v>86</v>
      </c>
      <c r="AT25" s="475" t="str">
        <f>IFERROR(BIND4!V24,"")</f>
        <v>B</v>
      </c>
      <c r="AU25" s="474" t="str">
        <f>BIND4!AA24</f>
        <v xml:space="preserve">KURNIA baik  dalam menyajikan ringkasan teks penjelasan (eksplanasi) dari media cetak atau elektronik dengan menggunakan kosakata baku dan kalimat efektif secara lisan, tulis, dan visual.
</v>
      </c>
      <c r="AV25" s="475">
        <f>IFERROR('MTK4'!U24,"")</f>
        <v>70</v>
      </c>
      <c r="AW25" s="475" t="str">
        <f>IFERROR('MTK4'!V24,"")</f>
        <v>C</v>
      </c>
      <c r="AX25" s="474" t="str">
        <f>'MTK4'!AA24</f>
        <v xml:space="preserve">KURNIA cukup baik  dalam menyelesaikan masalah yang berkaitan dengan volume bangun ruang dengan menggunakan satuan volume (seperti kubus satuan) melibatkan pangkat tiga dan akar pangkat tiga
</v>
      </c>
      <c r="AY25" s="475">
        <f>IFERROR('IPA4'!U24,"")</f>
        <v>93</v>
      </c>
      <c r="AZ25" s="475" t="str">
        <f>IFERROR('IPA4'!V24,"")</f>
        <v>A</v>
      </c>
      <c r="BA25" s="474" t="str">
        <f>'IPA4'!AA24</f>
        <v>KURNIA sangat baik  dalam melaporkan hasil pengamatan tentang perpindahan kalor.</v>
      </c>
      <c r="BB25" s="475">
        <f>IFERROR('IPS4'!U24,"")</f>
        <v>90</v>
      </c>
      <c r="BC25" s="475" t="str">
        <f>IFERROR('IPS4'!V24,"")</f>
        <v>A</v>
      </c>
      <c r="BD25" s="474" t="str">
        <f>'IPS4'!AA24</f>
        <v>KURNIA sangat baik  dalam menyajikan hasil identifikasi karakteristik geografis Indonesia sebagai negara kepulauan/maritim dan agraris serta pengaruhnya terhadap kehidupan ekonomi, sosial, budaya, komunikasi, serta transportasi.</v>
      </c>
      <c r="BE25" s="475">
        <f>IFERROR(SBDP4!U24,"")</f>
        <v>90</v>
      </c>
      <c r="BF25" s="475" t="str">
        <f>IFERROR(SBDP4!V24,"")</f>
        <v>A</v>
      </c>
      <c r="BG25" s="474" t="str">
        <f>SBDP4!AA24</f>
        <v>KURNIA sangat baik  dalam membuat gambar cerita</v>
      </c>
      <c r="BH25" s="475">
        <f>IFERROR(PJOK4!U24,"")</f>
        <v>87</v>
      </c>
      <c r="BI25" s="475" t="str">
        <f>IFERROR(PJOK4!V24,"")</f>
        <v>B</v>
      </c>
      <c r="BJ25" s="476" t="str">
        <f>PJOK4!AA24</f>
        <v>KURNIA sangat baik  dalam menerapkan konsep pemeliharaan diri dan orang lain dari penyakit menular dan tidak menular, dan  baik  dalam mempraktikkan salah satu gaya renang dengan koordinasi yang baik pada jarak tertentu</v>
      </c>
      <c r="BK25" s="475">
        <f>IFERROR('MLK1-4'!U24,"")</f>
        <v>74</v>
      </c>
      <c r="BL25" s="475" t="str">
        <f>IFERROR('MLK1-4'!V24,"")</f>
        <v>C</v>
      </c>
      <c r="BM25" s="474" t="str">
        <f>'MLK1-4'!AA24</f>
        <v>KURNIA cukup baik  dalam melantunkan dan menceritakan isi kawih tentang bangga sebagai bangsa Indonesia</v>
      </c>
      <c r="BN25" s="475">
        <f>IFERROR('MLK2-4'!U24,"")</f>
        <v>85</v>
      </c>
      <c r="BO25" s="475" t="str">
        <f>IFERROR('MLK2-4'!V24,"")</f>
        <v>B</v>
      </c>
      <c r="BP25" s="474" t="str">
        <f>'MLK2-4'!AA24</f>
        <v>KURNIA baik  dalam memahami langkah-langkah pengawasan kelestarian lingkungan hidup</v>
      </c>
      <c r="BQ25" s="475">
        <f>IFERROR('MLK3-4'!Y24,"")</f>
        <v>70</v>
      </c>
      <c r="BR25" s="475" t="str">
        <f>IFERROR('MLK3-4'!Z24,"")</f>
        <v>C</v>
      </c>
      <c r="BS25" s="474" t="str">
        <f>'MLK3-4'!AE24</f>
        <v xml:space="preserve">KURNIA cukup baik  dalam merespon instruksi sangat sederhana dengan tindakan secara berterima dalam konteks sekolah  </v>
      </c>
      <c r="BT25" s="475">
        <f t="shared" si="1"/>
        <v>79.545454545454547</v>
      </c>
      <c r="BU25" s="505">
        <f t="shared" si="0"/>
        <v>1750</v>
      </c>
      <c r="BV25" s="477">
        <f t="shared" si="2"/>
        <v>1750</v>
      </c>
      <c r="BW25" s="478">
        <f t="shared" si="3"/>
        <v>30</v>
      </c>
    </row>
    <row r="26" spans="1:75" ht="20.25" customHeight="1">
      <c r="A26" s="146">
        <v>21</v>
      </c>
      <c r="B26" s="146" t="str">
        <f>SISWA!B26</f>
        <v>1718250040325</v>
      </c>
      <c r="C26" s="471" t="str">
        <f>SISWA!C26</f>
        <v>LATIZA SYIFA AZURA</v>
      </c>
      <c r="D26" s="472" t="str">
        <f>SPIRIT!P25</f>
        <v xml:space="preserve">Ananda LATIZA baik dalam  ketaatan beribadah,  berperilaku syukur,  berdoa sebelum dan sesudah melakukan kegiatan,  toleransi dalam beribadah, </v>
      </c>
      <c r="E26" s="472" t="str">
        <f>SOSIAL!T25</f>
        <v xml:space="preserve">Ananda LATIZA baik dalam sikap jujur, disiplin, tanggung jawab, santun, peduli, percaya diri, </v>
      </c>
      <c r="F26" s="473">
        <f>IFERROR('PAI3'!CI26,"")</f>
        <v>85</v>
      </c>
      <c r="G26" s="473" t="str">
        <f>IFERROR('PAI3'!CJ26,"")</f>
        <v>B</v>
      </c>
      <c r="H26" s="474" t="str">
        <f>'PAI3'!CO26</f>
        <v>LATIZA sangat baik  dalam memahami makna Q.S. at-Tīn dan Q.S. al-Mā’ūn dengan benar., dan  cukup baik  dalam memahami nama-nama Rasul Allah dan Rasul Ulul ‘Azmi.</v>
      </c>
      <c r="I26" s="473">
        <f>IFERROR('PKN3'!U25,"")</f>
        <v>98</v>
      </c>
      <c r="J26" s="473" t="str">
        <f>IFERROR('PKN3'!V25,"")</f>
        <v>A</v>
      </c>
      <c r="K26" s="472" t="str">
        <f>'PKN3'!AA25</f>
        <v xml:space="preserve">LATIZA sangat baik  dalam memahami hak, kewajiban dan tanggung jawab sebagai warga dalam kehidupan sehari-hari.
</v>
      </c>
      <c r="L26" s="475">
        <f>IFERROR(BIND3!U25,"")</f>
        <v>98</v>
      </c>
      <c r="M26" s="475" t="str">
        <f>IFERROR(BIND3!V25,"")</f>
        <v>A</v>
      </c>
      <c r="N26" s="474" t="str">
        <f>BIND3!AA25</f>
        <v>LATIZA sangat baik  dalam meringkas teks penjelasan (eksplanasi) dari media cetak atau elektronik.</v>
      </c>
      <c r="O26" s="475">
        <f>IFERROR('MTK3'!U25,"")</f>
        <v>95</v>
      </c>
      <c r="P26" s="475" t="str">
        <f>IFERROR('MTK3'!V25,"")</f>
        <v>A</v>
      </c>
      <c r="Q26" s="474" t="str">
        <f>'MTK3'!AA25</f>
        <v xml:space="preserve">LATIZA sangat baik  dalam menjelaskan, dan menentukan volume bangun ruang dengan menggunakan satuan volume (seperti kubus satuan) serta hubungan pangkat tiga dengan akar pangkat tiga
</v>
      </c>
      <c r="R26" s="475">
        <f>IFERROR('IPA3'!U25,"")</f>
        <v>95</v>
      </c>
      <c r="S26" s="475" t="str">
        <f>IFERROR('IPA3'!V25,"")</f>
        <v>A</v>
      </c>
      <c r="T26" s="474" t="str">
        <f>'IPA3'!AA25</f>
        <v xml:space="preserve">LATIZA sangat baik  dalam menerapkan konsep perpindahan kalor dalam kehidupan sehari-hari.
</v>
      </c>
      <c r="U26" s="475">
        <f>IFERROR('IPS3'!U25,"")</f>
        <v>100</v>
      </c>
      <c r="V26" s="475" t="str">
        <f>IFERROR('IPS3'!V25,"")</f>
        <v>A</v>
      </c>
      <c r="W26" s="474" t="str">
        <f>'IPS3'!AA25</f>
        <v>LATIZA sangat baik  dalam Mengidentifikasi karakteristik geografis Indonesia sebagai negara kepulauan/maritim dan agraris serta pengaruhnya terhadap kehidupan ekonomi, sosial, budaya, komunikasi, serta transportasi.</v>
      </c>
      <c r="X26" s="475">
        <f>IFERROR(SBDP3!U25,"")</f>
        <v>98</v>
      </c>
      <c r="Y26" s="475" t="str">
        <f>IFERROR(SBDP3!V25,"")</f>
        <v>A</v>
      </c>
      <c r="Z26" s="474" t="str">
        <f>SBDP3!AA25</f>
        <v>LATIZA sangat baik  dalam memahami gambar cerita</v>
      </c>
      <c r="AA26" s="475">
        <f>IFERROR(PJOK3!U25,"")</f>
        <v>91</v>
      </c>
      <c r="AB26" s="475" t="str">
        <f>IFERROR(PJOK3!V25,"")</f>
        <v>A</v>
      </c>
      <c r="AC26" s="474" t="str">
        <f>PJOK3!AA25</f>
        <v xml:space="preserve">LATIZA sangat baik  dalam memahami kombinasi pola gerak dominan (bertumpu, bergantung, keseimbangan, berpindah/lokomotor, tolakan, putaran, ayunan, melayang, dan mendarat) untuk membentuk keterampilan dasar senam menggunakan alat
</v>
      </c>
      <c r="AD26" s="475">
        <f>IFERROR('MLK1-3'!U25,"")</f>
        <v>100</v>
      </c>
      <c r="AE26" s="475" t="str">
        <f>IFERROR('MLK1-3'!V25,"")</f>
        <v>A</v>
      </c>
      <c r="AF26" s="476" t="str">
        <f>'MLK1-3'!AA25</f>
        <v>LATIZA sangat baik  dalam memahami teks kawih tentang bangga sebagai bangsa Indonesia</v>
      </c>
      <c r="AG26" s="475">
        <f>IFERROR('MLK2-3'!X25,"")</f>
        <v>100</v>
      </c>
      <c r="AH26" s="475" t="str">
        <f>IFERROR('MLK2-3'!Y25,"")</f>
        <v>A</v>
      </c>
      <c r="AI26" s="474" t="str">
        <f>'MLK2-3'!AD25</f>
        <v xml:space="preserve">LATIZA sangat baik  dalam merespon instruksi sangat sederhana dengan tindakan secara berterima dalam konteks sekolah  </v>
      </c>
      <c r="AJ26" s="475">
        <f>IFERROR('MLK3-3'!W25,"")</f>
        <v>97</v>
      </c>
      <c r="AK26" s="475" t="str">
        <f>IFERROR('MLK3-3'!X25,"")</f>
        <v>A</v>
      </c>
      <c r="AL26" s="476" t="str">
        <f>'MLK3-3'!AC25</f>
        <v xml:space="preserve">LATIZA sangat baik  dalam merespon instruksi sangat sederhana dengan tindakan secara berterima dalam konteks sekolah  , dan  sangat baik  dalam membaca nyaring dengan ucapan, tekanan, dan intonasi secara tepat dan berterima yang melibatkan: kata, frasa, kalimat sangat sederhana, dan teks sangat sederhana 
</v>
      </c>
      <c r="AM26" s="475">
        <f>IFERROR('PAI4'!CI26,"")</f>
        <v>90</v>
      </c>
      <c r="AN26" s="475" t="str">
        <f>IFERROR('PAI4'!CJ26,"")</f>
        <v>A</v>
      </c>
      <c r="AO26" s="476" t="str">
        <f>'PAI4'!CO26</f>
        <v>LATIZA sangat baik  dalam membaca Q.S. at-Tīn dan Q.S. al-Mā’ūn dengan tartil.</v>
      </c>
      <c r="AP26" s="475">
        <f>IFERROR('PKN4'!U25,"")</f>
        <v>98</v>
      </c>
      <c r="AQ26" s="475" t="str">
        <f>IFERROR('PKN4'!V25,"")</f>
        <v>A</v>
      </c>
      <c r="AR26" s="474" t="str">
        <f>'PKN4'!AA25</f>
        <v>LATIZA sangat baik  dalam menjelaskan hak, kewajiban, dan tanggung  jawab sebagai warga masyarakat dalam kehidupan sehari-hari</v>
      </c>
      <c r="AS26" s="475">
        <f>IFERROR(BIND4!U25,"")</f>
        <v>98</v>
      </c>
      <c r="AT26" s="475" t="str">
        <f>IFERROR(BIND4!V25,"")</f>
        <v>A</v>
      </c>
      <c r="AU26" s="474" t="str">
        <f>BIND4!AA25</f>
        <v xml:space="preserve">LATIZA sangat baik  dalam menyajikan ringkasan teks penjelasan (eksplanasi) dari media cetak atau elektronik dengan menggunakan kosakata baku dan kalimat efektif secara lisan, tulis, dan visual.
</v>
      </c>
      <c r="AV26" s="475">
        <f>IFERROR('MTK4'!U25,"")</f>
        <v>95</v>
      </c>
      <c r="AW26" s="475" t="str">
        <f>IFERROR('MTK4'!V25,"")</f>
        <v>A</v>
      </c>
      <c r="AX26" s="474" t="str">
        <f>'MTK4'!AA25</f>
        <v xml:space="preserve">LATIZA sangat baik  dalam menyelesaikan masalah yang berkaitan dengan volume bangun ruang dengan menggunakan satuan volume (seperti kubus satuan) melibatkan pangkat tiga dan akar pangkat tiga
</v>
      </c>
      <c r="AY26" s="475">
        <f>IFERROR('IPA4'!U25,"")</f>
        <v>95</v>
      </c>
      <c r="AZ26" s="475" t="str">
        <f>IFERROR('IPA4'!V25,"")</f>
        <v>A</v>
      </c>
      <c r="BA26" s="474" t="str">
        <f>'IPA4'!AA25</f>
        <v>LATIZA sangat baik  dalam melaporkan hasil pengamatan tentang perpindahan kalor.</v>
      </c>
      <c r="BB26" s="475">
        <f>IFERROR('IPS4'!U25,"")</f>
        <v>100</v>
      </c>
      <c r="BC26" s="475" t="str">
        <f>IFERROR('IPS4'!V25,"")</f>
        <v>A</v>
      </c>
      <c r="BD26" s="474" t="str">
        <f>'IPS4'!AA25</f>
        <v>LATIZA sangat baik  dalam menyajikan hasil identifikasi karakteristik geografis Indonesia sebagai negara kepulauan/maritim dan agraris serta pengaruhnya terhadap kehidupan ekonomi, sosial, budaya, komunikasi, serta transportasi.</v>
      </c>
      <c r="BE26" s="475">
        <f>IFERROR(SBDP4!U25,"")</f>
        <v>98</v>
      </c>
      <c r="BF26" s="475" t="str">
        <f>IFERROR(SBDP4!V25,"")</f>
        <v>A</v>
      </c>
      <c r="BG26" s="474" t="str">
        <f>SBDP4!AA25</f>
        <v>LATIZA sangat baik  dalam membuat gambar cerita</v>
      </c>
      <c r="BH26" s="475">
        <f>IFERROR(PJOK4!U25,"")</f>
        <v>89</v>
      </c>
      <c r="BI26" s="475" t="str">
        <f>IFERROR(PJOK4!V25,"")</f>
        <v>A</v>
      </c>
      <c r="BJ26" s="476" t="str">
        <f>PJOK4!AA25</f>
        <v>LATIZA sangat baik  dalam mempraktikkan salah satu gaya renang dengan koordinasi yang baik pada jarak tertentu, dan  baik  dalam menerapkan konsep pemeliharaan diri dan orang lain dari penyakit menular dan tidak menular</v>
      </c>
      <c r="BK26" s="475">
        <f>IFERROR('MLK1-4'!U25,"")</f>
        <v>100</v>
      </c>
      <c r="BL26" s="475" t="str">
        <f>IFERROR('MLK1-4'!V25,"")</f>
        <v>A</v>
      </c>
      <c r="BM26" s="474" t="str">
        <f>'MLK1-4'!AA25</f>
        <v>LATIZA sangat baik  dalam melantunkan dan menceritakan isi kawih tentang bangga sebagai bangsa Indonesia</v>
      </c>
      <c r="BN26" s="475">
        <f>IFERROR('MLK2-4'!U25,"")</f>
        <v>100</v>
      </c>
      <c r="BO26" s="475" t="str">
        <f>IFERROR('MLK2-4'!V25,"")</f>
        <v>A</v>
      </c>
      <c r="BP26" s="474" t="str">
        <f>'MLK2-4'!AA25</f>
        <v>LATIZA sangat baik  dalam memahami langkah-langkah pengawasan kelestarian lingkungan hidup</v>
      </c>
      <c r="BQ26" s="475">
        <f>IFERROR('MLK3-4'!Y25,"")</f>
        <v>95</v>
      </c>
      <c r="BR26" s="475" t="str">
        <f>IFERROR('MLK3-4'!Z25,"")</f>
        <v>A</v>
      </c>
      <c r="BS26" s="474" t="str">
        <f>'MLK3-4'!AE25</f>
        <v xml:space="preserve">LATIZA sangat baik  dalam merespon instruksi sangat sederhana dengan tindakan secara berterima dalam konteks sekolah  </v>
      </c>
      <c r="BT26" s="475">
        <f t="shared" si="1"/>
        <v>92.272727272727266</v>
      </c>
      <c r="BU26" s="505">
        <f t="shared" si="0"/>
        <v>2030</v>
      </c>
      <c r="BV26" s="477">
        <f t="shared" si="2"/>
        <v>2030</v>
      </c>
      <c r="BW26" s="478">
        <f t="shared" si="3"/>
        <v>1</v>
      </c>
    </row>
    <row r="27" spans="1:75" ht="20.25" customHeight="1">
      <c r="A27" s="146">
        <v>22</v>
      </c>
      <c r="B27" s="146" t="str">
        <f>SISWA!B27</f>
        <v>1718250040326</v>
      </c>
      <c r="C27" s="471" t="str">
        <f>SISWA!C27</f>
        <v>MOCHAMAD RIZKY NUGRAHA</v>
      </c>
      <c r="D27" s="472" t="str">
        <f>SPIRIT!P26</f>
        <v xml:space="preserve">Ananda RIZKY baik dalam  ketaatan beribadah,  berperilaku syukur,  berdoa sebelum dan sesudah melakukan kegiatan,  toleransi dalam beribadah, </v>
      </c>
      <c r="E27" s="472" t="str">
        <f>SOSIAL!T26</f>
        <v xml:space="preserve">Ananda RIZKY baik dalam sikap jujur, disiplin, tanggung jawab, santun, peduli, percaya diri, </v>
      </c>
      <c r="F27" s="473">
        <f>IFERROR('PAI3'!CI27,"")</f>
        <v>82</v>
      </c>
      <c r="G27" s="473" t="str">
        <f>IFERROR('PAI3'!CJ27,"")</f>
        <v>B</v>
      </c>
      <c r="H27" s="474" t="str">
        <f>'PAI3'!CO27</f>
        <v>RIZKY sangat baik  dalam memahami makna Q.S. at-Tīn dan Q.S. al-Mā’ūn dengan benar., dan  cukup baik  dalam memahami makna ikhlas beramal dalam kehidupan sehari-hari</v>
      </c>
      <c r="I27" s="473">
        <f>IFERROR('PKN3'!U26,"")</f>
        <v>85</v>
      </c>
      <c r="J27" s="473" t="str">
        <f>IFERROR('PKN3'!V26,"")</f>
        <v>B</v>
      </c>
      <c r="K27" s="472" t="str">
        <f>'PKN3'!AA26</f>
        <v xml:space="preserve">RIZKY baik  dalam memahami hak, kewajiban dan tanggung jawab sebagai warga dalam kehidupan sehari-hari.
</v>
      </c>
      <c r="L27" s="475">
        <f>IFERROR(BIND3!U26,"")</f>
        <v>93</v>
      </c>
      <c r="M27" s="475" t="str">
        <f>IFERROR(BIND3!V26,"")</f>
        <v>A</v>
      </c>
      <c r="N27" s="474" t="str">
        <f>BIND3!AA26</f>
        <v>RIZKY sangat baik  dalam meringkas teks penjelasan (eksplanasi) dari media cetak atau elektronik.</v>
      </c>
      <c r="O27" s="475">
        <f>IFERROR('MTK3'!U26,"")</f>
        <v>75</v>
      </c>
      <c r="P27" s="475" t="str">
        <f>IFERROR('MTK3'!V26,"")</f>
        <v>C</v>
      </c>
      <c r="Q27" s="474" t="str">
        <f>'MTK3'!AA26</f>
        <v xml:space="preserve">RIZKY cukup baik  dalam menjelaskan, dan menentukan volume bangun ruang dengan menggunakan satuan volume (seperti kubus satuan) serta hubungan pangkat tiga dengan akar pangkat tiga
</v>
      </c>
      <c r="R27" s="475">
        <f>IFERROR('IPA3'!U26,"")</f>
        <v>90</v>
      </c>
      <c r="S27" s="475" t="str">
        <f>IFERROR('IPA3'!V26,"")</f>
        <v>A</v>
      </c>
      <c r="T27" s="474" t="str">
        <f>'IPA3'!AA26</f>
        <v xml:space="preserve">RIZKY sangat baik  dalam menerapkan konsep perpindahan kalor dalam kehidupan sehari-hari.
</v>
      </c>
      <c r="U27" s="475">
        <f>IFERROR('IPS3'!U26,"")</f>
        <v>75</v>
      </c>
      <c r="V27" s="475" t="str">
        <f>IFERROR('IPS3'!V26,"")</f>
        <v>C</v>
      </c>
      <c r="W27" s="474" t="str">
        <f>'IPS3'!AA26</f>
        <v>RIZKY cukup baik  dalam Mengidentifikasi karakteristik geografis Indonesia sebagai negara kepulauan/maritim dan agraris serta pengaruhnya terhadap kehidupan ekonomi, sosial, budaya, komunikasi, serta transportasi.</v>
      </c>
      <c r="X27" s="475">
        <f>IFERROR(SBDP3!U26,"")</f>
        <v>88</v>
      </c>
      <c r="Y27" s="475" t="str">
        <f>IFERROR(SBDP3!V26,"")</f>
        <v>A</v>
      </c>
      <c r="Z27" s="474" t="str">
        <f>SBDP3!AA26</f>
        <v>RIZKY sangat baik  dalam memahami gambar cerita</v>
      </c>
      <c r="AA27" s="475">
        <f>IFERROR(PJOK3!U26,"")</f>
        <v>85</v>
      </c>
      <c r="AB27" s="475" t="str">
        <f>IFERROR(PJOK3!V26,"")</f>
        <v>B</v>
      </c>
      <c r="AC27" s="474" t="str">
        <f>PJOK3!AA26</f>
        <v xml:space="preserve">RIZKY baik  dalam memahami kombinasi pola gerak dominan (bertumpu, bergantung, keseimbangan, berpindah/lokomotor, tolakan, putaran, ayunan, melayang, dan mendarat) untuk membentuk keterampilan dasar senam menggunakan alat
</v>
      </c>
      <c r="AD27" s="475">
        <f>IFERROR('MLK1-3'!U26,"")</f>
        <v>85</v>
      </c>
      <c r="AE27" s="475" t="str">
        <f>IFERROR('MLK1-3'!V26,"")</f>
        <v>B</v>
      </c>
      <c r="AF27" s="476" t="str">
        <f>'MLK1-3'!AA26</f>
        <v>RIZKY baik  dalam memahami teks kawih tentang bangga sebagai bangsa Indonesia</v>
      </c>
      <c r="AG27" s="475">
        <f>IFERROR('MLK2-3'!X26,"")</f>
        <v>91</v>
      </c>
      <c r="AH27" s="475" t="str">
        <f>IFERROR('MLK2-3'!Y26,"")</f>
        <v>A</v>
      </c>
      <c r="AI27" s="474" t="str">
        <f>'MLK2-3'!AD26</f>
        <v xml:space="preserve">RIZKY sangat baik  dalam merespon instruksi sangat sederhana dengan tindakan secara berterima dalam konteks sekolah  </v>
      </c>
      <c r="AJ27" s="475">
        <f>IFERROR('MLK3-3'!W26,"")</f>
        <v>80</v>
      </c>
      <c r="AK27" s="475" t="str">
        <f>IFERROR('MLK3-3'!X26,"")</f>
        <v>B</v>
      </c>
      <c r="AL27" s="476" t="str">
        <f>'MLK3-3'!AC26</f>
        <v xml:space="preserve">RIZKY baik  dalam merespon instruksi sangat sederhana dengan tindakan secara berterima dalam konteks sekolah  , dan  cukup baik  dalam mengeja kalimat sangat sederhana secara tepat dan berterima </v>
      </c>
      <c r="AM27" s="475">
        <f>IFERROR('PAI4'!CI27,"")</f>
        <v>90</v>
      </c>
      <c r="AN27" s="475" t="str">
        <f>IFERROR('PAI4'!CJ27,"")</f>
        <v>A</v>
      </c>
      <c r="AO27" s="476" t="str">
        <f>'PAI4'!CO27</f>
        <v>RIZKY sangat baik  dalam membaca Q.S. at-Tīn dan Q.S. al-Mā’ūn dengan tartil.</v>
      </c>
      <c r="AP27" s="475">
        <f>IFERROR('PKN4'!U26,"")</f>
        <v>85</v>
      </c>
      <c r="AQ27" s="475" t="str">
        <f>IFERROR('PKN4'!V26,"")</f>
        <v>B</v>
      </c>
      <c r="AR27" s="474" t="str">
        <f>'PKN4'!AA26</f>
        <v>RIZKY baik  dalam menjelaskan hak, kewajiban, dan tanggung  jawab sebagai warga masyarakat dalam kehidupan sehari-hari</v>
      </c>
      <c r="AS27" s="475">
        <f>IFERROR(BIND4!U26,"")</f>
        <v>93</v>
      </c>
      <c r="AT27" s="475" t="str">
        <f>IFERROR(BIND4!V26,"")</f>
        <v>A</v>
      </c>
      <c r="AU27" s="474" t="str">
        <f>BIND4!AA26</f>
        <v xml:space="preserve">RIZKY sangat baik  dalam menyajikan ringkasan teks penjelasan (eksplanasi) dari media cetak atau elektronik dengan menggunakan kosakata baku dan kalimat efektif secara lisan, tulis, dan visual.
</v>
      </c>
      <c r="AV27" s="475">
        <f>IFERROR('MTK4'!U26,"")</f>
        <v>75</v>
      </c>
      <c r="AW27" s="475" t="str">
        <f>IFERROR('MTK4'!V26,"")</f>
        <v>C</v>
      </c>
      <c r="AX27" s="474" t="str">
        <f>'MTK4'!AA26</f>
        <v xml:space="preserve">RIZKY cukup baik  dalam menyelesaikan masalah yang berkaitan dengan volume bangun ruang dengan menggunakan satuan volume (seperti kubus satuan) melibatkan pangkat tiga dan akar pangkat tiga
</v>
      </c>
      <c r="AY27" s="475">
        <f>IFERROR('IPA4'!U26,"")</f>
        <v>90</v>
      </c>
      <c r="AZ27" s="475" t="str">
        <f>IFERROR('IPA4'!V26,"")</f>
        <v>A</v>
      </c>
      <c r="BA27" s="474" t="str">
        <f>'IPA4'!AA26</f>
        <v>RIZKY sangat baik  dalam melaporkan hasil pengamatan tentang perpindahan kalor.</v>
      </c>
      <c r="BB27" s="475">
        <f>IFERROR('IPS4'!U26,"")</f>
        <v>75</v>
      </c>
      <c r="BC27" s="475" t="str">
        <f>IFERROR('IPS4'!V26,"")</f>
        <v>C</v>
      </c>
      <c r="BD27" s="474" t="str">
        <f>'IPS4'!AA26</f>
        <v>RIZKY cukup baik  dalam menyajikan hasil identifikasi karakteristik geografis Indonesia sebagai negara kepulauan/maritim dan agraris serta pengaruhnya terhadap kehidupan ekonomi, sosial, budaya, komunikasi, serta transportasi.</v>
      </c>
      <c r="BE27" s="475">
        <f>IFERROR(SBDP4!U26,"")</f>
        <v>88</v>
      </c>
      <c r="BF27" s="475" t="str">
        <f>IFERROR(SBDP4!V26,"")</f>
        <v>A</v>
      </c>
      <c r="BG27" s="474" t="str">
        <f>SBDP4!AA26</f>
        <v>RIZKY sangat baik  dalam membuat gambar cerita</v>
      </c>
      <c r="BH27" s="475">
        <f>IFERROR(PJOK4!U26,"")</f>
        <v>86</v>
      </c>
      <c r="BI27" s="475" t="str">
        <f>IFERROR(PJOK4!V26,"")</f>
        <v>B</v>
      </c>
      <c r="BJ27" s="476" t="str">
        <f>PJOK4!AA26</f>
        <v>RIZKY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27" s="475">
        <f>IFERROR('MLK1-4'!U26,"")</f>
        <v>85</v>
      </c>
      <c r="BL27" s="475" t="str">
        <f>IFERROR('MLK1-4'!V26,"")</f>
        <v>B</v>
      </c>
      <c r="BM27" s="474" t="str">
        <f>'MLK1-4'!AA26</f>
        <v>RIZKY baik  dalam melantunkan dan menceritakan isi kawih tentang bangga sebagai bangsa Indonesia</v>
      </c>
      <c r="BN27" s="475">
        <f>IFERROR('MLK2-4'!U26,"")</f>
        <v>91</v>
      </c>
      <c r="BO27" s="475" t="str">
        <f>IFERROR('MLK2-4'!V26,"")</f>
        <v>A</v>
      </c>
      <c r="BP27" s="474" t="str">
        <f>'MLK2-4'!AA26</f>
        <v>RIZKY sangat baik  dalam memahami langkah-langkah pengawasan kelestarian lingkungan hidup</v>
      </c>
      <c r="BQ27" s="475">
        <f>IFERROR('MLK3-4'!Y26,"")</f>
        <v>80</v>
      </c>
      <c r="BR27" s="475" t="str">
        <f>IFERROR('MLK3-4'!Z26,"")</f>
        <v>B</v>
      </c>
      <c r="BS27" s="474" t="str">
        <f>'MLK3-4'!AE26</f>
        <v xml:space="preserve">RIZKY baik  dalam merespon instruksi sangat sederhana dengan tindakan secara berterima dalam konteks sekolah  </v>
      </c>
      <c r="BT27" s="475">
        <f t="shared" si="1"/>
        <v>81.13636363636364</v>
      </c>
      <c r="BU27" s="505">
        <f t="shared" si="0"/>
        <v>1785</v>
      </c>
      <c r="BV27" s="477">
        <f t="shared" si="2"/>
        <v>1785</v>
      </c>
      <c r="BW27" s="478">
        <f t="shared" si="3"/>
        <v>24</v>
      </c>
    </row>
    <row r="28" spans="1:75" ht="20.25" customHeight="1">
      <c r="A28" s="146">
        <v>23</v>
      </c>
      <c r="B28" s="146" t="str">
        <f>SISWA!B28</f>
        <v>1718250040327</v>
      </c>
      <c r="C28" s="471" t="str">
        <f>SISWA!C28</f>
        <v>MOEHAMAD RAMADHANDANI GUNAWAN</v>
      </c>
      <c r="D28" s="472" t="str">
        <f>SPIRIT!P27</f>
        <v xml:space="preserve">Ananda RAMADHANDANI baik dalam  ketaatan beribadah,  berperilaku syukur,  berdoa sebelum dan sesudah melakukan kegiatan,  toleransi dalam beribadah, </v>
      </c>
      <c r="E28" s="472" t="str">
        <f>SOSIAL!T27</f>
        <v xml:space="preserve">Ananda RAMADHANDANI baik dalam sikap jujur, disiplin, tanggung jawab, santun, peduli, percaya diri, </v>
      </c>
      <c r="F28" s="473">
        <f>IFERROR('PAI3'!CI28,"")</f>
        <v>82</v>
      </c>
      <c r="G28" s="473" t="str">
        <f>IFERROR('PAI3'!CJ28,"")</f>
        <v>B</v>
      </c>
      <c r="H28" s="474" t="str">
        <f>'PAI3'!CO28</f>
        <v>RAMADHANDANI sangat baik  dalam memahami makna sederhana dalam kehidupan sehari-hari., dan  cukup baik  dalam memahami kisah keteladanan Luqman sebagaimana terdapat dalam al-Qur'an.</v>
      </c>
      <c r="I28" s="473">
        <f>IFERROR('PKN3'!U27,"")</f>
        <v>88</v>
      </c>
      <c r="J28" s="473" t="str">
        <f>IFERROR('PKN3'!V27,"")</f>
        <v>A</v>
      </c>
      <c r="K28" s="472" t="str">
        <f>'PKN3'!AA27</f>
        <v xml:space="preserve">RAMADHANDANI sangat baik  dalam memahami hak, kewajiban dan tanggung jawab sebagai warga dalam kehidupan sehari-hari.
</v>
      </c>
      <c r="L28" s="475">
        <f>IFERROR(BIND3!U27,"")</f>
        <v>91</v>
      </c>
      <c r="M28" s="475" t="str">
        <f>IFERROR(BIND3!V27,"")</f>
        <v>A</v>
      </c>
      <c r="N28" s="474" t="str">
        <f>BIND3!AA27</f>
        <v>RAMADHANDANI sangat baik  dalam meringkas teks penjelasan (eksplanasi) dari media cetak atau elektronik.</v>
      </c>
      <c r="O28" s="475">
        <f>IFERROR('MTK3'!U27,"")</f>
        <v>70</v>
      </c>
      <c r="P28" s="475" t="str">
        <f>IFERROR('MTK3'!V27,"")</f>
        <v>C</v>
      </c>
      <c r="Q28" s="474" t="str">
        <f>'MTK3'!AA27</f>
        <v xml:space="preserve">RAMADHANDANI cukup baik  dalam menjelaskan, dan menentukan volume bangun ruang dengan menggunakan satuan volume (seperti kubus satuan) serta hubungan pangkat tiga dengan akar pangkat tiga
</v>
      </c>
      <c r="R28" s="475">
        <f>IFERROR('IPA3'!U27,"")</f>
        <v>80</v>
      </c>
      <c r="S28" s="475" t="str">
        <f>IFERROR('IPA3'!V27,"")</f>
        <v>B</v>
      </c>
      <c r="T28" s="474" t="str">
        <f>'IPA3'!AA27</f>
        <v xml:space="preserve">RAMADHANDANI baik  dalam menerapkan konsep perpindahan kalor dalam kehidupan sehari-hari.
</v>
      </c>
      <c r="U28" s="475">
        <f>IFERROR('IPS3'!U27,"")</f>
        <v>93</v>
      </c>
      <c r="V28" s="475" t="str">
        <f>IFERROR('IPS3'!V27,"")</f>
        <v>A</v>
      </c>
      <c r="W28" s="474" t="str">
        <f>'IPS3'!AA27</f>
        <v>RAMADHANDANI sangat baik  dalam Mengidentifikasi karakteristik geografis Indonesia sebagai negara kepulauan/maritim dan agraris serta pengaruhnya terhadap kehidupan ekonomi, sosial, budaya, komunikasi, serta transportasi.</v>
      </c>
      <c r="X28" s="475">
        <f>IFERROR(SBDP3!U27,"")</f>
        <v>88</v>
      </c>
      <c r="Y28" s="475" t="str">
        <f>IFERROR(SBDP3!V27,"")</f>
        <v>A</v>
      </c>
      <c r="Z28" s="474" t="str">
        <f>SBDP3!AA27</f>
        <v>RAMADHANDANI sangat baik  dalam memahami gambar cerita</v>
      </c>
      <c r="AA28" s="475">
        <f>IFERROR(PJOK3!U27,"")</f>
        <v>87</v>
      </c>
      <c r="AB28" s="475" t="str">
        <f>IFERROR(PJOK3!V27,"")</f>
        <v>B</v>
      </c>
      <c r="AC28" s="474" t="str">
        <f>PJOK3!AA27</f>
        <v xml:space="preserve">RAMADHANDANI baik  dalam memahami kombinasi pola gerak dominan (bertumpu, bergantung, keseimbangan, berpindah/lokomotor, tolakan, putaran, ayunan, melayang, dan mendarat) untuk membentuk keterampilan dasar senam menggunakan alat
</v>
      </c>
      <c r="AD28" s="475">
        <f>IFERROR('MLK1-3'!U27,"")</f>
        <v>88</v>
      </c>
      <c r="AE28" s="475" t="str">
        <f>IFERROR('MLK1-3'!V27,"")</f>
        <v>A</v>
      </c>
      <c r="AF28" s="476" t="str">
        <f>'MLK1-3'!AA27</f>
        <v>RAMADHANDANI sangat baik  dalam memahami teks kawih tentang bangga sebagai bangsa Indonesia</v>
      </c>
      <c r="AG28" s="475">
        <f>IFERROR('MLK2-3'!X27,"")</f>
        <v>91</v>
      </c>
      <c r="AH28" s="475" t="str">
        <f>IFERROR('MLK2-3'!Y27,"")</f>
        <v>A</v>
      </c>
      <c r="AI28" s="474" t="str">
        <f>'MLK2-3'!AD27</f>
        <v xml:space="preserve">RAMADHANDANI sangat baik  dalam merespon instruksi sangat sederhana dengan tindakan secara berterima dalam konteks sekolah  </v>
      </c>
      <c r="AJ28" s="475">
        <f>IFERROR('MLK3-3'!W27,"")</f>
        <v>75</v>
      </c>
      <c r="AK28" s="475" t="str">
        <f>IFERROR('MLK3-3'!X27,"")</f>
        <v>C</v>
      </c>
      <c r="AL28" s="476" t="str">
        <f>'MLK3-3'!AC27</f>
        <v xml:space="preserve">RAMADHANDANI baik  dalam merespon instruksi sangat sederhana dengan tindakan secara berterima dalam konteks sekolah  , dan  cukup baik  dalam mengeja kalimat sangat sederhana secara tepat dan berterima </v>
      </c>
      <c r="AM28" s="475">
        <f>IFERROR('PAI4'!CI28,"")</f>
        <v>85</v>
      </c>
      <c r="AN28" s="475" t="str">
        <f>IFERROR('PAI4'!CJ28,"")</f>
        <v>B</v>
      </c>
      <c r="AO28" s="476" t="str">
        <f>'PAI4'!CO28</f>
        <v>RAMADHANDANI baik  dalam membaca Q.S. at-Tīn dan Q.S. al-Mā’ūn dengan tartil.</v>
      </c>
      <c r="AP28" s="475">
        <f>IFERROR('PKN4'!U27,"")</f>
        <v>88</v>
      </c>
      <c r="AQ28" s="475" t="str">
        <f>IFERROR('PKN4'!V27,"")</f>
        <v>A</v>
      </c>
      <c r="AR28" s="474" t="str">
        <f>'PKN4'!AA27</f>
        <v>RAMADHANDANI sangat baik  dalam menjelaskan hak, kewajiban, dan tanggung  jawab sebagai warga masyarakat dalam kehidupan sehari-hari</v>
      </c>
      <c r="AS28" s="475">
        <f>IFERROR(BIND4!U27,"")</f>
        <v>91</v>
      </c>
      <c r="AT28" s="475" t="str">
        <f>IFERROR(BIND4!V27,"")</f>
        <v>A</v>
      </c>
      <c r="AU28" s="474" t="str">
        <f>BIND4!AA27</f>
        <v xml:space="preserve">RAMADHANDANI sangat baik  dalam menyajikan ringkasan teks penjelasan (eksplanasi) dari media cetak atau elektronik dengan menggunakan kosakata baku dan kalimat efektif secara lisan, tulis, dan visual.
</v>
      </c>
      <c r="AV28" s="475">
        <f>IFERROR('MTK4'!U27,"")</f>
        <v>70</v>
      </c>
      <c r="AW28" s="475" t="str">
        <f>IFERROR('MTK4'!V27,"")</f>
        <v>C</v>
      </c>
      <c r="AX28" s="474" t="str">
        <f>'MTK4'!AA27</f>
        <v xml:space="preserve">RAMADHANDANI cukup baik  dalam menyelesaikan masalah yang berkaitan dengan volume bangun ruang dengan menggunakan satuan volume (seperti kubus satuan) melibatkan pangkat tiga dan akar pangkat tiga
</v>
      </c>
      <c r="AY28" s="475">
        <f>IFERROR('IPA4'!U27,"")</f>
        <v>80</v>
      </c>
      <c r="AZ28" s="475" t="str">
        <f>IFERROR('IPA4'!V27,"")</f>
        <v>B</v>
      </c>
      <c r="BA28" s="474" t="str">
        <f>'IPA4'!AA27</f>
        <v>RAMADHANDANI baik  dalam melaporkan hasil pengamatan tentang perpindahan kalor.</v>
      </c>
      <c r="BB28" s="475">
        <f>IFERROR('IPS4'!U27,"")</f>
        <v>93</v>
      </c>
      <c r="BC28" s="475" t="str">
        <f>IFERROR('IPS4'!V27,"")</f>
        <v>A</v>
      </c>
      <c r="BD28" s="474" t="str">
        <f>'IPS4'!AA27</f>
        <v>RAMADHANDANI sangat baik  dalam menyajikan hasil identifikasi karakteristik geografis Indonesia sebagai negara kepulauan/maritim dan agraris serta pengaruhnya terhadap kehidupan ekonomi, sosial, budaya, komunikasi, serta transportasi.</v>
      </c>
      <c r="BE28" s="475">
        <f>IFERROR(SBDP4!U27,"")</f>
        <v>88</v>
      </c>
      <c r="BF28" s="475" t="str">
        <f>IFERROR(SBDP4!V27,"")</f>
        <v>A</v>
      </c>
      <c r="BG28" s="474" t="str">
        <f>SBDP4!AA27</f>
        <v>RAMADHANDANI sangat baik  dalam membuat gambar cerita</v>
      </c>
      <c r="BH28" s="475">
        <f>IFERROR(PJOK4!U27,"")</f>
        <v>86</v>
      </c>
      <c r="BI28" s="475" t="str">
        <f>IFERROR(PJOK4!V27,"")</f>
        <v>B</v>
      </c>
      <c r="BJ28" s="476" t="str">
        <f>PJOK4!AA27</f>
        <v>RAMADHANDANI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28" s="475">
        <f>IFERROR('MLK1-4'!U27,"")</f>
        <v>88</v>
      </c>
      <c r="BL28" s="475" t="str">
        <f>IFERROR('MLK1-4'!V27,"")</f>
        <v>A</v>
      </c>
      <c r="BM28" s="474" t="str">
        <f>'MLK1-4'!AA27</f>
        <v>RAMADHANDANI sangat baik  dalam melantunkan dan menceritakan isi kawih tentang bangga sebagai bangsa Indonesia</v>
      </c>
      <c r="BN28" s="475">
        <f>IFERROR('MLK2-4'!U27,"")</f>
        <v>91</v>
      </c>
      <c r="BO28" s="475" t="str">
        <f>IFERROR('MLK2-4'!V27,"")</f>
        <v>A</v>
      </c>
      <c r="BP28" s="474" t="str">
        <f>'MLK2-4'!AA27</f>
        <v>RAMADHANDANI sangat baik  dalam memahami langkah-langkah pengawasan kelestarian lingkungan hidup</v>
      </c>
      <c r="BQ28" s="475">
        <f>IFERROR('MLK3-4'!Y27,"")</f>
        <v>75</v>
      </c>
      <c r="BR28" s="475" t="str">
        <f>IFERROR('MLK3-4'!Z27,"")</f>
        <v>C</v>
      </c>
      <c r="BS28" s="474" t="str">
        <f>'MLK3-4'!AE27</f>
        <v xml:space="preserve">RAMADHANDANI cukup baik  dalam merespon instruksi sangat sederhana dengan tindakan secara berterima dalam konteks sekolah  </v>
      </c>
      <c r="BT28" s="475">
        <f t="shared" si="1"/>
        <v>81.181818181818187</v>
      </c>
      <c r="BU28" s="505">
        <f t="shared" si="0"/>
        <v>1786</v>
      </c>
      <c r="BV28" s="477">
        <f t="shared" si="2"/>
        <v>1786</v>
      </c>
      <c r="BW28" s="478">
        <f t="shared" si="3"/>
        <v>23</v>
      </c>
    </row>
    <row r="29" spans="1:75" ht="20.25" customHeight="1">
      <c r="A29" s="146">
        <v>24</v>
      </c>
      <c r="B29" s="146" t="str">
        <f>SISWA!B29</f>
        <v>1718250040328</v>
      </c>
      <c r="C29" s="471" t="str">
        <f>SISWA!C29</f>
        <v>MOKHAMAD SYAEPUL</v>
      </c>
      <c r="D29" s="472" t="str">
        <f>SPIRIT!P28</f>
        <v xml:space="preserve">Ananda SYAEPUL baik dalam  ketaatan beribadah,  berperilaku syukur,  berdoa sebelum dan sesudah melakukan kegiatan,  toleransi dalam beribadah, </v>
      </c>
      <c r="E29" s="472" t="str">
        <f>SOSIAL!T28</f>
        <v xml:space="preserve">Ananda SYAEPUL baik dalam sikap jujur, disiplin, tanggung jawab, santun, peduli, percaya diri, </v>
      </c>
      <c r="F29" s="473">
        <f>IFERROR('PAI3'!CI29,"")</f>
        <v>83</v>
      </c>
      <c r="G29" s="473" t="str">
        <f>IFERROR('PAI3'!CJ29,"")</f>
        <v>B</v>
      </c>
      <c r="H29" s="474" t="str">
        <f>'PAI3'!CO29</f>
        <v>SYAEPUL sangat baik  dalam memahami makna Q.S. at-Tīn dan Q.S. al-Mā’ūn dengan benar., dan  cukup baik  dalam memahami makna ikhlas beramal dalam kehidupan sehari-hari</v>
      </c>
      <c r="I29" s="473">
        <f>IFERROR('PKN3'!U28,"")</f>
        <v>78</v>
      </c>
      <c r="J29" s="473" t="str">
        <f>IFERROR('PKN3'!V28,"")</f>
        <v>B</v>
      </c>
      <c r="K29" s="472" t="str">
        <f>'PKN3'!AA28</f>
        <v xml:space="preserve">SYAEPUL baik  dalam memahami hak, kewajiban dan tanggung jawab sebagai warga dalam kehidupan sehari-hari.
</v>
      </c>
      <c r="L29" s="475">
        <f>IFERROR(BIND3!U28,"")</f>
        <v>80</v>
      </c>
      <c r="M29" s="475" t="str">
        <f>IFERROR(BIND3!V28,"")</f>
        <v>B</v>
      </c>
      <c r="N29" s="474" t="str">
        <f>BIND3!AA28</f>
        <v>SYAEPUL baik  dalam meringkas teks penjelasan (eksplanasi) dari media cetak atau elektronik.</v>
      </c>
      <c r="O29" s="475">
        <f>IFERROR('MTK3'!U28,"")</f>
        <v>70</v>
      </c>
      <c r="P29" s="475" t="str">
        <f>IFERROR('MTK3'!V28,"")</f>
        <v>C</v>
      </c>
      <c r="Q29" s="474" t="str">
        <f>'MTK3'!AA28</f>
        <v xml:space="preserve">SYAEPUL cukup baik  dalam menjelaskan, dan menentukan volume bangun ruang dengan menggunakan satuan volume (seperti kubus satuan) serta hubungan pangkat tiga dengan akar pangkat tiga
</v>
      </c>
      <c r="R29" s="475">
        <f>IFERROR('IPA3'!U28,"")</f>
        <v>80</v>
      </c>
      <c r="S29" s="475" t="str">
        <f>IFERROR('IPA3'!V28,"")</f>
        <v>B</v>
      </c>
      <c r="T29" s="474" t="str">
        <f>'IPA3'!AA28</f>
        <v xml:space="preserve">SYAEPUL baik  dalam menerapkan konsep perpindahan kalor dalam kehidupan sehari-hari.
</v>
      </c>
      <c r="U29" s="475">
        <f>IFERROR('IPS3'!U28,"")</f>
        <v>78</v>
      </c>
      <c r="V29" s="475" t="str">
        <f>IFERROR('IPS3'!V28,"")</f>
        <v>B</v>
      </c>
      <c r="W29" s="474" t="str">
        <f>'IPS3'!AA28</f>
        <v>SYAEPUL baik  dalam Mengidentifikasi karakteristik geografis Indonesia sebagai negara kepulauan/maritim dan agraris serta pengaruhnya terhadap kehidupan ekonomi, sosial, budaya, komunikasi, serta transportasi.</v>
      </c>
      <c r="X29" s="475">
        <f>IFERROR(SBDP3!U28,"")</f>
        <v>90</v>
      </c>
      <c r="Y29" s="475" t="str">
        <f>IFERROR(SBDP3!V28,"")</f>
        <v>A</v>
      </c>
      <c r="Z29" s="474" t="str">
        <f>SBDP3!AA28</f>
        <v>SYAEPUL sangat baik  dalam memahami gambar cerita</v>
      </c>
      <c r="AA29" s="475">
        <f>IFERROR(PJOK3!U28,"")</f>
        <v>84</v>
      </c>
      <c r="AB29" s="475" t="str">
        <f>IFERROR(PJOK3!V28,"")</f>
        <v>B</v>
      </c>
      <c r="AC29" s="474" t="str">
        <f>PJOK3!AA28</f>
        <v xml:space="preserve">SYAEPUL baik  dalam memahami kombinasi pola gerak dominan (bertumpu, bergantung, keseimbangan, berpindah/lokomotor, tolakan, putaran, ayunan, melayang, dan mendarat) untuk membentuk keterampilan dasar senam menggunakan alat
</v>
      </c>
      <c r="AD29" s="475">
        <f>IFERROR('MLK1-3'!U28,"")</f>
        <v>85</v>
      </c>
      <c r="AE29" s="475" t="str">
        <f>IFERROR('MLK1-3'!V28,"")</f>
        <v>B</v>
      </c>
      <c r="AF29" s="476" t="str">
        <f>'MLK1-3'!AA28</f>
        <v>SYAEPUL baik  dalam memahami teks kawih tentang bangga sebagai bangsa Indonesia</v>
      </c>
      <c r="AG29" s="475">
        <f>IFERROR('MLK2-3'!X28,"")</f>
        <v>91</v>
      </c>
      <c r="AH29" s="475" t="str">
        <f>IFERROR('MLK2-3'!Y28,"")</f>
        <v>A</v>
      </c>
      <c r="AI29" s="474" t="str">
        <f>'MLK2-3'!AD28</f>
        <v xml:space="preserve">SYAEPUL sangat baik  dalam merespon instruksi sangat sederhana dengan tindakan secara berterima dalam konteks sekolah  </v>
      </c>
      <c r="AJ29" s="475">
        <f>IFERROR('MLK3-3'!W28,"")</f>
        <v>75</v>
      </c>
      <c r="AK29" s="475" t="str">
        <f>IFERROR('MLK3-3'!X28,"")</f>
        <v>C</v>
      </c>
      <c r="AL29" s="476" t="str">
        <f>'MLK3-3'!AC28</f>
        <v xml:space="preserve">SYAEPUL baik  dalam merespon instruksi sangat sederhana dengan tindakan secara berterima dalam konteks sekolah  , dan  cukup baik  dalam mengeja kalimat sangat sederhana secara tepat dan berterima </v>
      </c>
      <c r="AM29" s="475">
        <f>IFERROR('PAI4'!CI29,"")</f>
        <v>89</v>
      </c>
      <c r="AN29" s="475" t="str">
        <f>IFERROR('PAI4'!CJ29,"")</f>
        <v>A</v>
      </c>
      <c r="AO29" s="476" t="str">
        <f>'PAI4'!CO29</f>
        <v>SYAEPUL sangat baik  dalam membaca Q.S. at-Tīn dan Q.S. al-Mā’ūn dengan tartil.</v>
      </c>
      <c r="AP29" s="475">
        <f>IFERROR('PKN4'!U28,"")</f>
        <v>78</v>
      </c>
      <c r="AQ29" s="475" t="str">
        <f>IFERROR('PKN4'!V28,"")</f>
        <v>B</v>
      </c>
      <c r="AR29" s="474" t="str">
        <f>'PKN4'!AA28</f>
        <v>SYAEPUL baik  dalam menjelaskan hak, kewajiban, dan tanggung  jawab sebagai warga masyarakat dalam kehidupan sehari-hari</v>
      </c>
      <c r="AS29" s="475">
        <f>IFERROR(BIND4!U28,"")</f>
        <v>80</v>
      </c>
      <c r="AT29" s="475" t="str">
        <f>IFERROR(BIND4!V28,"")</f>
        <v>B</v>
      </c>
      <c r="AU29" s="474" t="str">
        <f>BIND4!AA28</f>
        <v xml:space="preserve">SYAEPUL baik  dalam menyajikan ringkasan teks penjelasan (eksplanasi) dari media cetak atau elektronik dengan menggunakan kosakata baku dan kalimat efektif secara lisan, tulis, dan visual.
</v>
      </c>
      <c r="AV29" s="475">
        <f>IFERROR('MTK4'!U28,"")</f>
        <v>70</v>
      </c>
      <c r="AW29" s="475" t="str">
        <f>IFERROR('MTK4'!V28,"")</f>
        <v>C</v>
      </c>
      <c r="AX29" s="474" t="str">
        <f>'MTK4'!AA28</f>
        <v xml:space="preserve">SYAEPUL cukup baik  dalam menyelesaikan masalah yang berkaitan dengan volume bangun ruang dengan menggunakan satuan volume (seperti kubus satuan) melibatkan pangkat tiga dan akar pangkat tiga
</v>
      </c>
      <c r="AY29" s="475">
        <f>IFERROR('IPA4'!U28,"")</f>
        <v>80</v>
      </c>
      <c r="AZ29" s="475" t="str">
        <f>IFERROR('IPA4'!V28,"")</f>
        <v>B</v>
      </c>
      <c r="BA29" s="474" t="str">
        <f>'IPA4'!AA28</f>
        <v>SYAEPUL baik  dalam melaporkan hasil pengamatan tentang perpindahan kalor.</v>
      </c>
      <c r="BB29" s="475">
        <f>IFERROR('IPS4'!U28,"")</f>
        <v>78</v>
      </c>
      <c r="BC29" s="475" t="str">
        <f>IFERROR('IPS4'!V28,"")</f>
        <v>B</v>
      </c>
      <c r="BD29" s="474" t="str">
        <f>'IPS4'!AA28</f>
        <v>SYAEPUL baik  dalam menyajikan hasil identifikasi karakteristik geografis Indonesia sebagai negara kepulauan/maritim dan agraris serta pengaruhnya terhadap kehidupan ekonomi, sosial, budaya, komunikasi, serta transportasi.</v>
      </c>
      <c r="BE29" s="475">
        <f>IFERROR(SBDP4!U28,"")</f>
        <v>90</v>
      </c>
      <c r="BF29" s="475" t="str">
        <f>IFERROR(SBDP4!V28,"")</f>
        <v>A</v>
      </c>
      <c r="BG29" s="474" t="str">
        <f>SBDP4!AA28</f>
        <v>SYAEPUL sangat baik  dalam membuat gambar cerita</v>
      </c>
      <c r="BH29" s="475">
        <f>IFERROR(PJOK4!U28,"")</f>
        <v>86</v>
      </c>
      <c r="BI29" s="475" t="str">
        <f>IFERROR(PJOK4!V28,"")</f>
        <v>B</v>
      </c>
      <c r="BJ29" s="476" t="str">
        <f>PJOK4!AA28</f>
        <v>SYAEPUL sangat baik  dalam menerapkan konsep pemeliharaan diri dan orang lain dari penyakit menular dan tidak menular, dan  baik  dalam mempraktikkan pengunaan kombinasi gerak dasar langkah dan ayunan lengan mengikuti irama (ketukan) tanpa/dengan musik dalam aktivitas gerak berirama</v>
      </c>
      <c r="BK29" s="475">
        <f>IFERROR('MLK1-4'!U28,"")</f>
        <v>85</v>
      </c>
      <c r="BL29" s="475" t="str">
        <f>IFERROR('MLK1-4'!V28,"")</f>
        <v>B</v>
      </c>
      <c r="BM29" s="474" t="str">
        <f>'MLK1-4'!AA28</f>
        <v>SYAEPUL baik  dalam melantunkan dan menceritakan isi kawih tentang bangga sebagai bangsa Indonesia</v>
      </c>
      <c r="BN29" s="475">
        <f>IFERROR('MLK2-4'!U28,"")</f>
        <v>91</v>
      </c>
      <c r="BO29" s="475" t="str">
        <f>IFERROR('MLK2-4'!V28,"")</f>
        <v>A</v>
      </c>
      <c r="BP29" s="474" t="str">
        <f>'MLK2-4'!AA28</f>
        <v>SYAEPUL sangat baik  dalam memahami langkah-langkah pengawasan kelestarian lingkungan hidup</v>
      </c>
      <c r="BQ29" s="475">
        <f>IFERROR('MLK3-4'!Y28,"")</f>
        <v>74</v>
      </c>
      <c r="BR29" s="475" t="str">
        <f>IFERROR('MLK3-4'!Z28,"")</f>
        <v>C</v>
      </c>
      <c r="BS29" s="474" t="str">
        <f>'MLK3-4'!AE28</f>
        <v xml:space="preserve">SYAEPUL cukup baik  dalam merespon instruksi sangat sederhana dengan tindakan secara berterima dalam konteks sekolah  </v>
      </c>
      <c r="BT29" s="475">
        <f t="shared" si="1"/>
        <v>77.818181818181813</v>
      </c>
      <c r="BU29" s="505">
        <f t="shared" si="0"/>
        <v>1712</v>
      </c>
      <c r="BV29" s="477">
        <f t="shared" si="2"/>
        <v>1712</v>
      </c>
      <c r="BW29" s="478">
        <f t="shared" si="3"/>
        <v>34</v>
      </c>
    </row>
    <row r="30" spans="1:75" ht="20.25" customHeight="1">
      <c r="A30" s="146">
        <v>25</v>
      </c>
      <c r="B30" s="146" t="str">
        <f>SISWA!B30</f>
        <v>1718250040329</v>
      </c>
      <c r="C30" s="471" t="str">
        <f>SISWA!C30</f>
        <v>MUHAMAD ALIF BHANI SAPUTRA</v>
      </c>
      <c r="D30" s="472" t="str">
        <f>SPIRIT!P29</f>
        <v xml:space="preserve">Ananda ALIF baik dalam  ketaatan beribadah,  berperilaku syukur,  berdoa sebelum dan sesudah melakukan kegiatan,  toleransi dalam beribadah, </v>
      </c>
      <c r="E30" s="472" t="str">
        <f>SOSIAL!T29</f>
        <v xml:space="preserve">Ananda ALIF baik dalam sikap jujur, disiplin, tanggung jawab, santun, peduli, percaya diri, </v>
      </c>
      <c r="F30" s="473">
        <f>IFERROR('PAI3'!CI30,"")</f>
        <v>85</v>
      </c>
      <c r="G30" s="473" t="str">
        <f>IFERROR('PAI3'!CJ30,"")</f>
        <v>B</v>
      </c>
      <c r="H30" s="474" t="str">
        <f>'PAI3'!CO30</f>
        <v>ALIF sangat baik  dalam memahami makna Q.S. at-Tīn dan Q.S. al-Mā’ūn dengan benar., dan  baik  dalam memahami makna sederhana dalam kehidupan sehari-hari.</v>
      </c>
      <c r="I30" s="473">
        <f>IFERROR('PKN3'!U29,"")</f>
        <v>90</v>
      </c>
      <c r="J30" s="473" t="str">
        <f>IFERROR('PKN3'!V29,"")</f>
        <v>A</v>
      </c>
      <c r="K30" s="472" t="str">
        <f>'PKN3'!AA29</f>
        <v xml:space="preserve">ALIF sangat baik  dalam memahami hak, kewajiban dan tanggung jawab sebagai warga dalam kehidupan sehari-hari.
</v>
      </c>
      <c r="L30" s="475">
        <f>IFERROR(BIND3!U29,"")</f>
        <v>83</v>
      </c>
      <c r="M30" s="475" t="str">
        <f>IFERROR(BIND3!V29,"")</f>
        <v>B</v>
      </c>
      <c r="N30" s="474" t="str">
        <f>BIND3!AA29</f>
        <v>ALIF baik  dalam meringkas teks penjelasan (eksplanasi) dari media cetak atau elektronik.</v>
      </c>
      <c r="O30" s="475">
        <f>IFERROR('MTK3'!U29,"")</f>
        <v>75</v>
      </c>
      <c r="P30" s="475" t="str">
        <f>IFERROR('MTK3'!V29,"")</f>
        <v>C</v>
      </c>
      <c r="Q30" s="474" t="str">
        <f>'MTK3'!AA29</f>
        <v xml:space="preserve">ALIF cukup baik  dalam menjelaskan, dan menentukan volume bangun ruang dengan menggunakan satuan volume (seperti kubus satuan) serta hubungan pangkat tiga dengan akar pangkat tiga
</v>
      </c>
      <c r="R30" s="475">
        <f>IFERROR('IPA3'!U29,"")</f>
        <v>100</v>
      </c>
      <c r="S30" s="475" t="str">
        <f>IFERROR('IPA3'!V29,"")</f>
        <v>A</v>
      </c>
      <c r="T30" s="474" t="str">
        <f>'IPA3'!AA29</f>
        <v xml:space="preserve">ALIF sangat baik  dalam menerapkan konsep perpindahan kalor dalam kehidupan sehari-hari.
</v>
      </c>
      <c r="U30" s="475">
        <f>IFERROR('IPS3'!U29,"")</f>
        <v>90</v>
      </c>
      <c r="V30" s="475" t="str">
        <f>IFERROR('IPS3'!V29,"")</f>
        <v>A</v>
      </c>
      <c r="W30" s="474" t="str">
        <f>'IPS3'!AA29</f>
        <v>ALIF sangat baik  dalam Mengidentifikasi karakteristik geografis Indonesia sebagai negara kepulauan/maritim dan agraris serta pengaruhnya terhadap kehidupan ekonomi, sosial, budaya, komunikasi, serta transportasi.</v>
      </c>
      <c r="X30" s="475">
        <f>IFERROR(SBDP3!U29,"")</f>
        <v>93</v>
      </c>
      <c r="Y30" s="475" t="str">
        <f>IFERROR(SBDP3!V29,"")</f>
        <v>A</v>
      </c>
      <c r="Z30" s="474" t="str">
        <f>SBDP3!AA29</f>
        <v>ALIF sangat baik  dalam memahami gambar cerita</v>
      </c>
      <c r="AA30" s="475">
        <f>IFERROR(PJOK3!U29,"")</f>
        <v>87</v>
      </c>
      <c r="AB30" s="475" t="str">
        <f>IFERROR(PJOK3!V29,"")</f>
        <v>B</v>
      </c>
      <c r="AC30" s="474" t="str">
        <f>PJOK3!AA29</f>
        <v xml:space="preserve">ALIF sangat baik  dalam memahami kombinasi pola gerak dominan (bertumpu, bergantung, keseimbangan, berpindah/lokomotor, tolakan, putaran, ayunan, melayang, dan mendarat) untuk membentuk keterampilan dasar senam menggunakan alat
</v>
      </c>
      <c r="AD30" s="475">
        <f>IFERROR('MLK1-3'!U29,"")</f>
        <v>82</v>
      </c>
      <c r="AE30" s="475" t="str">
        <f>IFERROR('MLK1-3'!V29,"")</f>
        <v>B</v>
      </c>
      <c r="AF30" s="476" t="str">
        <f>'MLK1-3'!AA29</f>
        <v>ALIF baik  dalam memahami teks kawih tentang bangga sebagai bangsa Indonesia</v>
      </c>
      <c r="AG30" s="475">
        <f>IFERROR('MLK2-3'!X29,"")</f>
        <v>94</v>
      </c>
      <c r="AH30" s="475" t="str">
        <f>IFERROR('MLK2-3'!Y29,"")</f>
        <v>A</v>
      </c>
      <c r="AI30" s="474" t="str">
        <f>'MLK2-3'!AD29</f>
        <v xml:space="preserve">ALIF sangat baik  dalam merespon instruksi sangat sederhana dengan tindakan secara berterima dalam konteks sekolah  </v>
      </c>
      <c r="AJ30" s="475">
        <f>IFERROR('MLK3-3'!W29,"")</f>
        <v>74</v>
      </c>
      <c r="AK30" s="475" t="str">
        <f>IFERROR('MLK3-3'!X29,"")</f>
        <v>C</v>
      </c>
      <c r="AL30" s="476" t="str">
        <f>'MLK3-3'!AC29</f>
        <v xml:space="preserve">ALIF baik  dalam membaca nyaring dengan ucapan, tekanan, dan intonasi secara tepat dan berterima yang melibatkan: kata, frasa, kalimat sangat sederhana, dan teks sangat sederhana 
, dan  cukup baik  dalam bercakap-cakap untuk menyertai tindakan secara berterima yang melibatkan tindak tutur: memberi contoh melakukan sesuatu, memberi aba-aba, dan memberi petunjuk 
</v>
      </c>
      <c r="AM30" s="475">
        <f>IFERROR('PAI4'!CI30,"")</f>
        <v>89</v>
      </c>
      <c r="AN30" s="475" t="str">
        <f>IFERROR('PAI4'!CJ30,"")</f>
        <v>A</v>
      </c>
      <c r="AO30" s="476" t="str">
        <f>'PAI4'!CO30</f>
        <v>ALIF sangat baik  dalam membaca Q.S. at-Tīn dan Q.S. al-Mā’ūn dengan tartil.</v>
      </c>
      <c r="AP30" s="475">
        <f>IFERROR('PKN4'!U29,"")</f>
        <v>90</v>
      </c>
      <c r="AQ30" s="475" t="str">
        <f>IFERROR('PKN4'!V29,"")</f>
        <v>A</v>
      </c>
      <c r="AR30" s="474" t="str">
        <f>'PKN4'!AA29</f>
        <v>ALIF sangat baik  dalam menjelaskan hak, kewajiban, dan tanggung  jawab sebagai warga masyarakat dalam kehidupan sehari-hari</v>
      </c>
      <c r="AS30" s="475">
        <f>IFERROR(BIND4!U29,"")</f>
        <v>83</v>
      </c>
      <c r="AT30" s="475" t="str">
        <f>IFERROR(BIND4!V29,"")</f>
        <v>B</v>
      </c>
      <c r="AU30" s="474" t="str">
        <f>BIND4!AA29</f>
        <v xml:space="preserve">ALIF baik  dalam menyajikan ringkasan teks penjelasan (eksplanasi) dari media cetak atau elektronik dengan menggunakan kosakata baku dan kalimat efektif secara lisan, tulis, dan visual.
</v>
      </c>
      <c r="AV30" s="475">
        <f>IFERROR('MTK4'!U29,"")</f>
        <v>75</v>
      </c>
      <c r="AW30" s="475" t="str">
        <f>IFERROR('MTK4'!V29,"")</f>
        <v>C</v>
      </c>
      <c r="AX30" s="474" t="str">
        <f>'MTK4'!AA29</f>
        <v xml:space="preserve">ALIF cukup baik  dalam menyelesaikan masalah yang berkaitan dengan volume bangun ruang dengan menggunakan satuan volume (seperti kubus satuan) melibatkan pangkat tiga dan akar pangkat tiga
</v>
      </c>
      <c r="AY30" s="475">
        <f>IFERROR('IPA4'!U29,"")</f>
        <v>100</v>
      </c>
      <c r="AZ30" s="475" t="str">
        <f>IFERROR('IPA4'!V29,"")</f>
        <v>A</v>
      </c>
      <c r="BA30" s="474" t="str">
        <f>'IPA4'!AA29</f>
        <v>ALIF sangat baik  dalam melaporkan hasil pengamatan tentang perpindahan kalor.</v>
      </c>
      <c r="BB30" s="475">
        <f>IFERROR('IPS4'!U29,"")</f>
        <v>90</v>
      </c>
      <c r="BC30" s="475" t="str">
        <f>IFERROR('IPS4'!V29,"")</f>
        <v>A</v>
      </c>
      <c r="BD30" s="474" t="str">
        <f>'IPS4'!AA29</f>
        <v>ALIF sangat baik  dalam menyajikan hasil identifikasi karakteristik geografis Indonesia sebagai negara kepulauan/maritim dan agraris serta pengaruhnya terhadap kehidupan ekonomi, sosial, budaya, komunikasi, serta transportasi.</v>
      </c>
      <c r="BE30" s="475">
        <f>IFERROR(SBDP4!U29,"")</f>
        <v>93</v>
      </c>
      <c r="BF30" s="475" t="str">
        <f>IFERROR(SBDP4!V29,"")</f>
        <v>A</v>
      </c>
      <c r="BG30" s="474" t="str">
        <f>SBDP4!AA29</f>
        <v>ALIF sangat baik  dalam membuat gambar cerita</v>
      </c>
      <c r="BH30" s="475">
        <f>IFERROR(PJOK4!U29,"")</f>
        <v>83</v>
      </c>
      <c r="BI30" s="475" t="str">
        <f>IFERROR(PJOK4!V29,"")</f>
        <v>B</v>
      </c>
      <c r="BJ30" s="476" t="str">
        <f>PJOK4!AA29</f>
        <v>ALIF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30" s="475">
        <f>IFERROR('MLK1-4'!U29,"")</f>
        <v>82</v>
      </c>
      <c r="BL30" s="475" t="str">
        <f>IFERROR('MLK1-4'!V29,"")</f>
        <v>B</v>
      </c>
      <c r="BM30" s="474" t="str">
        <f>'MLK1-4'!AA29</f>
        <v>ALIF baik  dalam melantunkan dan menceritakan isi kawih tentang bangga sebagai bangsa Indonesia</v>
      </c>
      <c r="BN30" s="475">
        <f>IFERROR('MLK2-4'!U29,"")</f>
        <v>94</v>
      </c>
      <c r="BO30" s="475" t="str">
        <f>IFERROR('MLK2-4'!V29,"")</f>
        <v>A</v>
      </c>
      <c r="BP30" s="474" t="str">
        <f>'MLK2-4'!AA29</f>
        <v>ALIF sangat baik  dalam memahami langkah-langkah pengawasan kelestarian lingkungan hidup</v>
      </c>
      <c r="BQ30" s="475">
        <f>IFERROR('MLK3-4'!Y29,"")</f>
        <v>70</v>
      </c>
      <c r="BR30" s="475" t="str">
        <f>IFERROR('MLK3-4'!Z29,"")</f>
        <v>C</v>
      </c>
      <c r="BS30" s="474" t="str">
        <f>'MLK3-4'!AE29</f>
        <v xml:space="preserve">ALIF cukup baik  dalam merespon instruksi sangat sederhana dengan tindakan secara berterima dalam konteks sekolah  </v>
      </c>
      <c r="BT30" s="475">
        <f t="shared" si="1"/>
        <v>82.590909090909093</v>
      </c>
      <c r="BU30" s="505">
        <f t="shared" si="0"/>
        <v>1817</v>
      </c>
      <c r="BV30" s="477">
        <f t="shared" si="2"/>
        <v>1817</v>
      </c>
      <c r="BW30" s="478">
        <f t="shared" si="3"/>
        <v>18</v>
      </c>
    </row>
    <row r="31" spans="1:75" ht="20.25" customHeight="1">
      <c r="A31" s="146">
        <v>26</v>
      </c>
      <c r="B31" s="146" t="str">
        <f>SISWA!B31</f>
        <v>1718250040330</v>
      </c>
      <c r="C31" s="471" t="str">
        <f>SISWA!C31</f>
        <v>MUHAMMAD HIZKIEL AL-LABIBY</v>
      </c>
      <c r="D31" s="472" t="str">
        <f>SPIRIT!P30</f>
        <v xml:space="preserve">Ananda HIZKIEL baik dalam  ketaatan beribadah,  berperilaku syukur,  berdoa sebelum dan sesudah melakukan kegiatan,  toleransi dalam beribadah, </v>
      </c>
      <c r="E31" s="472" t="str">
        <f>SOSIAL!T30</f>
        <v xml:space="preserve">Ananda HIZKIEL baik dalam sikap jujur, disiplin, tanggung jawab, santun, peduli, percaya diri, </v>
      </c>
      <c r="F31" s="473">
        <f>IFERROR('PAI3'!CI31,"")</f>
        <v>77</v>
      </c>
      <c r="G31" s="473" t="str">
        <f>IFERROR('PAI3'!CJ31,"")</f>
        <v>B</v>
      </c>
      <c r="H31" s="474" t="str">
        <f>'PAI3'!CO31</f>
        <v>HIZKIEL sangat baik  dalam memahami makna Q.S. at-Tīn dan Q.S. al-Mā’ūn dengan benar., dan  perlu bimbingan  dalam memahami makna sederhana dalam kehidupan sehari-hari.</v>
      </c>
      <c r="I31" s="473">
        <f>IFERROR('PKN3'!U30,"")</f>
        <v>85</v>
      </c>
      <c r="J31" s="473" t="str">
        <f>IFERROR('PKN3'!V30,"")</f>
        <v>B</v>
      </c>
      <c r="K31" s="472" t="str">
        <f>'PKN3'!AA30</f>
        <v xml:space="preserve">HIZKIEL baik  dalam memahami hak, kewajiban dan tanggung jawab sebagai warga dalam kehidupan sehari-hari.
</v>
      </c>
      <c r="L31" s="475">
        <f>IFERROR(BIND3!U30,"")</f>
        <v>89</v>
      </c>
      <c r="M31" s="475" t="str">
        <f>IFERROR(BIND3!V30,"")</f>
        <v>A</v>
      </c>
      <c r="N31" s="474" t="str">
        <f>BIND3!AA30</f>
        <v>HIZKIEL sangat baik  dalam meringkas teks penjelasan (eksplanasi) dari media cetak atau elektronik.</v>
      </c>
      <c r="O31" s="475">
        <f>IFERROR('MTK3'!U30,"")</f>
        <v>70</v>
      </c>
      <c r="P31" s="475" t="str">
        <f>IFERROR('MTK3'!V30,"")</f>
        <v>C</v>
      </c>
      <c r="Q31" s="474" t="str">
        <f>'MTK3'!AA30</f>
        <v xml:space="preserve">HIZKIEL cukup baik  dalam menjelaskan, dan menentukan volume bangun ruang dengan menggunakan satuan volume (seperti kubus satuan) serta hubungan pangkat tiga dengan akar pangkat tiga
</v>
      </c>
      <c r="R31" s="475">
        <f>IFERROR('IPA3'!U30,"")</f>
        <v>93</v>
      </c>
      <c r="S31" s="475" t="str">
        <f>IFERROR('IPA3'!V30,"")</f>
        <v>A</v>
      </c>
      <c r="T31" s="474" t="str">
        <f>'IPA3'!AA30</f>
        <v xml:space="preserve">HIZKIEL sangat baik  dalam menerapkan konsep perpindahan kalor dalam kehidupan sehari-hari.
</v>
      </c>
      <c r="U31" s="475">
        <f>IFERROR('IPS3'!U30,"")</f>
        <v>88</v>
      </c>
      <c r="V31" s="475" t="str">
        <f>IFERROR('IPS3'!V30,"")</f>
        <v>A</v>
      </c>
      <c r="W31" s="474" t="str">
        <f>'IPS3'!AA30</f>
        <v>HIZKIEL sangat baik  dalam Mengidentifikasi karakteristik geografis Indonesia sebagai negara kepulauan/maritim dan agraris serta pengaruhnya terhadap kehidupan ekonomi, sosial, budaya, komunikasi, serta transportasi.</v>
      </c>
      <c r="X31" s="475">
        <f>IFERROR(SBDP3!U30,"")</f>
        <v>88</v>
      </c>
      <c r="Y31" s="475" t="str">
        <f>IFERROR(SBDP3!V30,"")</f>
        <v>A</v>
      </c>
      <c r="Z31" s="474" t="str">
        <f>SBDP3!AA30</f>
        <v>HIZKIEL sangat baik  dalam memahami gambar cerita</v>
      </c>
      <c r="AA31" s="475">
        <f>IFERROR(PJOK3!U30,"")</f>
        <v>88</v>
      </c>
      <c r="AB31" s="475" t="str">
        <f>IFERROR(PJOK3!V30,"")</f>
        <v>A</v>
      </c>
      <c r="AC31" s="474" t="str">
        <f>PJOK3!AA30</f>
        <v xml:space="preserve">HIZKIEL sangat baik  dalam memahami kombinasi pola gerak dominan (bertumpu, bergantung, keseimbangan, berpindah/lokomotor, tolakan, putaran, ayunan, melayang, dan mendarat) untuk membentuk keterampilan dasar senam menggunakan alat
</v>
      </c>
      <c r="AD31" s="475">
        <f>IFERROR('MLK1-3'!U30,"")</f>
        <v>85</v>
      </c>
      <c r="AE31" s="475" t="str">
        <f>IFERROR('MLK1-3'!V30,"")</f>
        <v>B</v>
      </c>
      <c r="AF31" s="476" t="str">
        <f>'MLK1-3'!AA30</f>
        <v>HIZKIEL baik  dalam memahami teks kawih tentang bangga sebagai bangsa Indonesia</v>
      </c>
      <c r="AG31" s="475">
        <f>IFERROR('MLK2-3'!X30,"")</f>
        <v>91</v>
      </c>
      <c r="AH31" s="475" t="str">
        <f>IFERROR('MLK2-3'!Y30,"")</f>
        <v>A</v>
      </c>
      <c r="AI31" s="474" t="str">
        <f>'MLK2-3'!AD30</f>
        <v xml:space="preserve">HIZKIEL sangat baik  dalam merespon instruksi sangat sederhana dengan tindakan secara berterima dalam konteks sekolah  </v>
      </c>
      <c r="AJ31" s="475">
        <f>IFERROR('MLK3-3'!W30,"")</f>
        <v>70</v>
      </c>
      <c r="AK31" s="475" t="str">
        <f>IFERROR('MLK3-3'!X30,"")</f>
        <v>C</v>
      </c>
      <c r="AL31" s="476" t="str">
        <f>'MLK3-3'!AC30</f>
        <v xml:space="preserve">HIZKIEL cukup baik  dalam merespon instruksi sangat sederhana dengan tindakan secara berterima dalam konteks sekolah  </v>
      </c>
      <c r="AM31" s="475">
        <f>IFERROR('PAI4'!CI31,"")</f>
        <v>89</v>
      </c>
      <c r="AN31" s="475" t="str">
        <f>IFERROR('PAI4'!CJ31,"")</f>
        <v>A</v>
      </c>
      <c r="AO31" s="476" t="str">
        <f>'PAI4'!CO31</f>
        <v>HIZKIEL sangat baik  dalam membaca Q.S. at-Tīn dan Q.S. al-Mā’ūn dengan tartil.</v>
      </c>
      <c r="AP31" s="475">
        <f>IFERROR('PKN4'!U30,"")</f>
        <v>85</v>
      </c>
      <c r="AQ31" s="475" t="str">
        <f>IFERROR('PKN4'!V30,"")</f>
        <v>B</v>
      </c>
      <c r="AR31" s="474" t="str">
        <f>'PKN4'!AA30</f>
        <v>HIZKIEL baik  dalam menjelaskan hak, kewajiban, dan tanggung  jawab sebagai warga masyarakat dalam kehidupan sehari-hari</v>
      </c>
      <c r="AS31" s="475">
        <f>IFERROR(BIND4!U30,"")</f>
        <v>89</v>
      </c>
      <c r="AT31" s="475" t="str">
        <f>IFERROR(BIND4!V30,"")</f>
        <v>A</v>
      </c>
      <c r="AU31" s="474" t="str">
        <f>BIND4!AA30</f>
        <v xml:space="preserve">HIZKIEL sangat baik  dalam menyajikan ringkasan teks penjelasan (eksplanasi) dari media cetak atau elektronik dengan menggunakan kosakata baku dan kalimat efektif secara lisan, tulis, dan visual.
</v>
      </c>
      <c r="AV31" s="475">
        <f>IFERROR('MTK4'!U30,"")</f>
        <v>70</v>
      </c>
      <c r="AW31" s="475" t="str">
        <f>IFERROR('MTK4'!V30,"")</f>
        <v>C</v>
      </c>
      <c r="AX31" s="474" t="str">
        <f>'MTK4'!AA30</f>
        <v xml:space="preserve">HIZKIEL cukup baik  dalam menyelesaikan masalah yang berkaitan dengan volume bangun ruang dengan menggunakan satuan volume (seperti kubus satuan) melibatkan pangkat tiga dan akar pangkat tiga
</v>
      </c>
      <c r="AY31" s="475">
        <f>IFERROR('IPA4'!U30,"")</f>
        <v>93</v>
      </c>
      <c r="AZ31" s="475" t="str">
        <f>IFERROR('IPA4'!V30,"")</f>
        <v>A</v>
      </c>
      <c r="BA31" s="474" t="str">
        <f>'IPA4'!AA30</f>
        <v>HIZKIEL sangat baik  dalam melaporkan hasil pengamatan tentang perpindahan kalor.</v>
      </c>
      <c r="BB31" s="475">
        <f>IFERROR('IPS4'!U30,"")</f>
        <v>88</v>
      </c>
      <c r="BC31" s="475" t="str">
        <f>IFERROR('IPS4'!V30,"")</f>
        <v>A</v>
      </c>
      <c r="BD31" s="474" t="str">
        <f>'IPS4'!AA30</f>
        <v>HIZKIEL sangat baik  dalam menyajikan hasil identifikasi karakteristik geografis Indonesia sebagai negara kepulauan/maritim dan agraris serta pengaruhnya terhadap kehidupan ekonomi, sosial, budaya, komunikasi, serta transportasi.</v>
      </c>
      <c r="BE31" s="475">
        <f>IFERROR(SBDP4!U30,"")</f>
        <v>88</v>
      </c>
      <c r="BF31" s="475" t="str">
        <f>IFERROR(SBDP4!V30,"")</f>
        <v>A</v>
      </c>
      <c r="BG31" s="474" t="str">
        <f>SBDP4!AA30</f>
        <v>HIZKIEL sangat baik  dalam membuat gambar cerita</v>
      </c>
      <c r="BH31" s="475">
        <f>IFERROR(PJOK4!U30,"")</f>
        <v>90</v>
      </c>
      <c r="BI31" s="475" t="str">
        <f>IFERROR(PJOK4!V30,"")</f>
        <v>A</v>
      </c>
      <c r="BJ31" s="476" t="str">
        <f>PJOK4!AA30</f>
        <v>HIZKIEL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31" s="475">
        <f>IFERROR('MLK1-4'!U30,"")</f>
        <v>85</v>
      </c>
      <c r="BL31" s="475" t="str">
        <f>IFERROR('MLK1-4'!V30,"")</f>
        <v>B</v>
      </c>
      <c r="BM31" s="474" t="str">
        <f>'MLK1-4'!AA30</f>
        <v>HIZKIEL baik  dalam melantunkan dan menceritakan isi kawih tentang bangga sebagai bangsa Indonesia</v>
      </c>
      <c r="BN31" s="475">
        <f>IFERROR('MLK2-4'!U30,"")</f>
        <v>91</v>
      </c>
      <c r="BO31" s="475" t="str">
        <f>IFERROR('MLK2-4'!V30,"")</f>
        <v>A</v>
      </c>
      <c r="BP31" s="474" t="str">
        <f>'MLK2-4'!AA30</f>
        <v>HIZKIEL sangat baik  dalam memahami langkah-langkah pengawasan kelestarian lingkungan hidup</v>
      </c>
      <c r="BQ31" s="475">
        <f>IFERROR('MLK3-4'!Y30,"")</f>
        <v>70</v>
      </c>
      <c r="BR31" s="475" t="str">
        <f>IFERROR('MLK3-4'!Z30,"")</f>
        <v>C</v>
      </c>
      <c r="BS31" s="474" t="str">
        <f>'MLK3-4'!AE30</f>
        <v xml:space="preserve">HIZKIEL cukup baik  dalam merespon instruksi sangat sederhana dengan tindakan secara berterima dalam konteks sekolah  </v>
      </c>
      <c r="BT31" s="475">
        <f t="shared" si="1"/>
        <v>81.13636363636364</v>
      </c>
      <c r="BU31" s="505">
        <f t="shared" si="0"/>
        <v>1785</v>
      </c>
      <c r="BV31" s="477">
        <f t="shared" si="2"/>
        <v>1785</v>
      </c>
      <c r="BW31" s="478">
        <f t="shared" si="3"/>
        <v>24</v>
      </c>
    </row>
    <row r="32" spans="1:75" ht="20.25" customHeight="1">
      <c r="A32" s="146">
        <v>27</v>
      </c>
      <c r="B32" s="146" t="str">
        <f>SISWA!B32</f>
        <v>1718250040331</v>
      </c>
      <c r="C32" s="471" t="str">
        <f>SISWA!C32</f>
        <v>MUHAMMAD LAEL ALAN PRASETYO</v>
      </c>
      <c r="D32" s="472" t="str">
        <f>SPIRIT!P31</f>
        <v xml:space="preserve">Ananda LAEL baik dalam  ketaatan beribadah,  berperilaku syukur,  berdoa sebelum dan sesudah melakukan kegiatan,  toleransi dalam beribadah, </v>
      </c>
      <c r="E32" s="472" t="str">
        <f>SOSIAL!T31</f>
        <v xml:space="preserve">Ananda LAEL baik dalam sikap jujur, disiplin, tanggung jawab, santun, peduli, percaya diri, </v>
      </c>
      <c r="F32" s="473">
        <f>IFERROR('PAI3'!CI32,"")</f>
        <v>81</v>
      </c>
      <c r="G32" s="473" t="str">
        <f>IFERROR('PAI3'!CJ32,"")</f>
        <v>B</v>
      </c>
      <c r="H32" s="474" t="str">
        <f>'PAI3'!CO32</f>
        <v>LAEL sangat baik  dalam memahami makna Q.S. at-Tīn dan Q.S. al-Mā’ūn dengan benar., dan  cukup baik  dalam memahami makna ikhlas beramal dalam kehidupan sehari-hari</v>
      </c>
      <c r="I32" s="473">
        <f>IFERROR('PKN3'!U31,"")</f>
        <v>93</v>
      </c>
      <c r="J32" s="473" t="str">
        <f>IFERROR('PKN3'!V31,"")</f>
        <v>A</v>
      </c>
      <c r="K32" s="472" t="str">
        <f>'PKN3'!AA31</f>
        <v xml:space="preserve">LAEL sangat baik  dalam memahami hak, kewajiban dan tanggung jawab sebagai warga dalam kehidupan sehari-hari.
</v>
      </c>
      <c r="L32" s="475">
        <f>IFERROR(BIND3!U31,"")</f>
        <v>92</v>
      </c>
      <c r="M32" s="475" t="str">
        <f>IFERROR(BIND3!V31,"")</f>
        <v>A</v>
      </c>
      <c r="N32" s="474" t="str">
        <f>BIND3!AA31</f>
        <v>LAEL sangat baik  dalam meringkas teks penjelasan (eksplanasi) dari media cetak atau elektronik.</v>
      </c>
      <c r="O32" s="475">
        <f>IFERROR('MTK3'!U31,"")</f>
        <v>80</v>
      </c>
      <c r="P32" s="475" t="str">
        <f>IFERROR('MTK3'!V31,"")</f>
        <v>B</v>
      </c>
      <c r="Q32" s="474" t="str">
        <f>'MTK3'!AA31</f>
        <v xml:space="preserve">LAEL baik  dalam menjelaskan, dan menentukan volume bangun ruang dengan menggunakan satuan volume (seperti kubus satuan) serta hubungan pangkat tiga dengan akar pangkat tiga
</v>
      </c>
      <c r="R32" s="475">
        <f>IFERROR('IPA3'!U31,"")</f>
        <v>93</v>
      </c>
      <c r="S32" s="475" t="str">
        <f>IFERROR('IPA3'!V31,"")</f>
        <v>A</v>
      </c>
      <c r="T32" s="474" t="str">
        <f>'IPA3'!AA31</f>
        <v xml:space="preserve">LAEL sangat baik  dalam menerapkan konsep perpindahan kalor dalam kehidupan sehari-hari.
</v>
      </c>
      <c r="U32" s="475">
        <f>IFERROR('IPS3'!U31,"")</f>
        <v>80</v>
      </c>
      <c r="V32" s="475" t="str">
        <f>IFERROR('IPS3'!V31,"")</f>
        <v>B</v>
      </c>
      <c r="W32" s="474" t="str">
        <f>'IPS3'!AA31</f>
        <v>LAEL baik  dalam Mengidentifikasi karakteristik geografis Indonesia sebagai negara kepulauan/maritim dan agraris serta pengaruhnya terhadap kehidupan ekonomi, sosial, budaya, komunikasi, serta transportasi.</v>
      </c>
      <c r="X32" s="475">
        <f>IFERROR(SBDP3!U31,"")</f>
        <v>98</v>
      </c>
      <c r="Y32" s="475" t="str">
        <f>IFERROR(SBDP3!V31,"")</f>
        <v>A</v>
      </c>
      <c r="Z32" s="474" t="str">
        <f>SBDP3!AA31</f>
        <v>LAEL sangat baik  dalam memahami gambar cerita</v>
      </c>
      <c r="AA32" s="475">
        <f>IFERROR(PJOK3!U31,"")</f>
        <v>86</v>
      </c>
      <c r="AB32" s="475" t="str">
        <f>IFERROR(PJOK3!V31,"")</f>
        <v>B</v>
      </c>
      <c r="AC32" s="474" t="str">
        <f>PJOK3!AA31</f>
        <v xml:space="preserve">LAEL baik  dalam memahami kombinasi pola gerak dominan (bertumpu, bergantung, keseimbangan, berpindah/lokomotor, tolakan, putaran, ayunan, melayang, dan mendarat) untuk membentuk keterampilan dasar senam menggunakan alat
</v>
      </c>
      <c r="AD32" s="475">
        <f>IFERROR('MLK1-3'!U31,"")</f>
        <v>80</v>
      </c>
      <c r="AE32" s="475" t="str">
        <f>IFERROR('MLK1-3'!V31,"")</f>
        <v>B</v>
      </c>
      <c r="AF32" s="476" t="str">
        <f>'MLK1-3'!AA31</f>
        <v>LAEL baik  dalam memahami teks kawih tentang bangga sebagai bangsa Indonesia</v>
      </c>
      <c r="AG32" s="475">
        <f>IFERROR('MLK2-3'!X31,"")</f>
        <v>97</v>
      </c>
      <c r="AH32" s="475" t="str">
        <f>IFERROR('MLK2-3'!Y31,"")</f>
        <v>A</v>
      </c>
      <c r="AI32" s="474" t="str">
        <f>'MLK2-3'!AD31</f>
        <v xml:space="preserve">LAEL sangat baik  dalam merespon instruksi sangat sederhana dengan tindakan secara berterima dalam konteks sekolah  </v>
      </c>
      <c r="AJ32" s="475">
        <f>IFERROR('MLK3-3'!W31,"")</f>
        <v>99</v>
      </c>
      <c r="AK32" s="475" t="str">
        <f>IFERROR('MLK3-3'!X31,"")</f>
        <v>A</v>
      </c>
      <c r="AL32" s="476" t="str">
        <f>'MLK3-3'!AC31</f>
        <v xml:space="preserve">LAEL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M32" s="475">
        <f>IFERROR('PAI4'!CI32,"")</f>
        <v>90</v>
      </c>
      <c r="AN32" s="475" t="str">
        <f>IFERROR('PAI4'!CJ32,"")</f>
        <v>A</v>
      </c>
      <c r="AO32" s="476" t="str">
        <f>'PAI4'!CO32</f>
        <v>LAEL sangat baik  dalam membaca Q.S. at-Tīn dan Q.S. al-Mā’ūn dengan tartil.</v>
      </c>
      <c r="AP32" s="475">
        <f>IFERROR('PKN4'!U31,"")</f>
        <v>93</v>
      </c>
      <c r="AQ32" s="475" t="str">
        <f>IFERROR('PKN4'!V31,"")</f>
        <v>A</v>
      </c>
      <c r="AR32" s="474" t="str">
        <f>'PKN4'!AA31</f>
        <v>LAEL sangat baik  dalam menjelaskan hak, kewajiban, dan tanggung  jawab sebagai warga masyarakat dalam kehidupan sehari-hari</v>
      </c>
      <c r="AS32" s="475">
        <f>IFERROR(BIND4!U31,"")</f>
        <v>92</v>
      </c>
      <c r="AT32" s="475" t="str">
        <f>IFERROR(BIND4!V31,"")</f>
        <v>A</v>
      </c>
      <c r="AU32" s="474" t="str">
        <f>BIND4!AA31</f>
        <v xml:space="preserve">LAEL sangat baik  dalam menyajikan ringkasan teks penjelasan (eksplanasi) dari media cetak atau elektronik dengan menggunakan kosakata baku dan kalimat efektif secara lisan, tulis, dan visual.
</v>
      </c>
      <c r="AV32" s="475">
        <f>IFERROR('MTK4'!U31,"")</f>
        <v>80</v>
      </c>
      <c r="AW32" s="475" t="str">
        <f>IFERROR('MTK4'!V31,"")</f>
        <v>B</v>
      </c>
      <c r="AX32" s="474" t="str">
        <f>'MTK4'!AA31</f>
        <v xml:space="preserve">LAEL baik  dalam menyelesaikan masalah yang berkaitan dengan volume bangun ruang dengan menggunakan satuan volume (seperti kubus satuan) melibatkan pangkat tiga dan akar pangkat tiga
</v>
      </c>
      <c r="AY32" s="475">
        <f>IFERROR('IPA4'!U31,"")</f>
        <v>93</v>
      </c>
      <c r="AZ32" s="475" t="str">
        <f>IFERROR('IPA4'!V31,"")</f>
        <v>A</v>
      </c>
      <c r="BA32" s="474" t="str">
        <f>'IPA4'!AA31</f>
        <v>LAEL sangat baik  dalam melaporkan hasil pengamatan tentang perpindahan kalor.</v>
      </c>
      <c r="BB32" s="475">
        <f>IFERROR('IPS4'!U31,"")</f>
        <v>80</v>
      </c>
      <c r="BC32" s="475" t="str">
        <f>IFERROR('IPS4'!V31,"")</f>
        <v>B</v>
      </c>
      <c r="BD32" s="474" t="str">
        <f>'IPS4'!AA31</f>
        <v>LAEL baik  dalam menyajikan hasil identifikasi karakteristik geografis Indonesia sebagai negara kepulauan/maritim dan agraris serta pengaruhnya terhadap kehidupan ekonomi, sosial, budaya, komunikasi, serta transportasi.</v>
      </c>
      <c r="BE32" s="475">
        <f>IFERROR(SBDP4!U31,"")</f>
        <v>98</v>
      </c>
      <c r="BF32" s="475" t="str">
        <f>IFERROR(SBDP4!V31,"")</f>
        <v>A</v>
      </c>
      <c r="BG32" s="474" t="str">
        <f>SBDP4!AA31</f>
        <v>LAEL sangat baik  dalam membuat gambar cerita</v>
      </c>
      <c r="BH32" s="475">
        <f>IFERROR(PJOK4!U31,"")</f>
        <v>86</v>
      </c>
      <c r="BI32" s="475" t="str">
        <f>IFERROR(PJOK4!V31,"")</f>
        <v>B</v>
      </c>
      <c r="BJ32" s="476" t="str">
        <f>PJOK4!AA31</f>
        <v>LAEL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32" s="475">
        <f>IFERROR('MLK1-4'!U31,"")</f>
        <v>80</v>
      </c>
      <c r="BL32" s="475" t="str">
        <f>IFERROR('MLK1-4'!V31,"")</f>
        <v>B</v>
      </c>
      <c r="BM32" s="474" t="str">
        <f>'MLK1-4'!AA31</f>
        <v>LAEL baik  dalam melantunkan dan menceritakan isi kawih tentang bangga sebagai bangsa Indonesia</v>
      </c>
      <c r="BN32" s="475">
        <f>IFERROR('MLK2-4'!U31,"")</f>
        <v>97</v>
      </c>
      <c r="BO32" s="475" t="str">
        <f>IFERROR('MLK2-4'!V31,"")</f>
        <v>A</v>
      </c>
      <c r="BP32" s="474" t="str">
        <f>'MLK2-4'!AA31</f>
        <v>LAEL sangat baik  dalam memahami langkah-langkah pengawasan kelestarian lingkungan hidup</v>
      </c>
      <c r="BQ32" s="475">
        <f>IFERROR('MLK3-4'!Y31,"")</f>
        <v>95</v>
      </c>
      <c r="BR32" s="475" t="str">
        <f>IFERROR('MLK3-4'!Z31,"")</f>
        <v>A</v>
      </c>
      <c r="BS32" s="474" t="str">
        <f>'MLK3-4'!AE31</f>
        <v xml:space="preserve">LAEL sangat baik  dalam merespon instruksi sangat sederhana dengan tindakan secara berterima dalam konteks sekolah  </v>
      </c>
      <c r="BT32" s="475">
        <f t="shared" si="1"/>
        <v>85.545454545454547</v>
      </c>
      <c r="BU32" s="505">
        <f t="shared" si="0"/>
        <v>1882</v>
      </c>
      <c r="BV32" s="477">
        <f t="shared" si="2"/>
        <v>1882</v>
      </c>
      <c r="BW32" s="478">
        <f t="shared" si="3"/>
        <v>4</v>
      </c>
    </row>
    <row r="33" spans="1:75" ht="20.25" customHeight="1">
      <c r="A33" s="146">
        <v>28</v>
      </c>
      <c r="B33" s="146" t="str">
        <f>SISWA!B33</f>
        <v>1718250040332</v>
      </c>
      <c r="C33" s="471" t="str">
        <f>SISWA!C33</f>
        <v>MUHAMMAD NABIL ZHALIFUNNAS</v>
      </c>
      <c r="D33" s="472" t="str">
        <f>SPIRIT!P32</f>
        <v xml:space="preserve">Ananda NABIL baik dalam  ketaatan beribadah,  berperilaku syukur,  berdoa sebelum dan sesudah melakukan kegiatan,  toleransi dalam beribadah, </v>
      </c>
      <c r="E33" s="472" t="str">
        <f>SOSIAL!T32</f>
        <v xml:space="preserve">Ananda NABIL baik dalam sikap jujur, disiplin, tanggung jawab, santun, peduli, percaya diri, </v>
      </c>
      <c r="F33" s="473">
        <f>IFERROR('PAI3'!CI33,"")</f>
        <v>76</v>
      </c>
      <c r="G33" s="473" t="str">
        <f>IFERROR('PAI3'!CJ33,"")</f>
        <v>C</v>
      </c>
      <c r="H33" s="474" t="str">
        <f>'PAI3'!CO33</f>
        <v>NABIL baik  dalam memahami pelaksanaan salat tarawih dan tadarus al-Qur'an., dan  cukup baik  dalam memahami nama-nama Rasul Allah dan Rasul Ulul ‘Azmi.</v>
      </c>
      <c r="I33" s="473">
        <f>IFERROR('PKN3'!U32,"")</f>
        <v>83</v>
      </c>
      <c r="J33" s="473" t="str">
        <f>IFERROR('PKN3'!V32,"")</f>
        <v>B</v>
      </c>
      <c r="K33" s="472" t="str">
        <f>'PKN3'!AA32</f>
        <v xml:space="preserve">NABIL baik  dalam memahami hak, kewajiban dan tanggung jawab sebagai warga dalam kehidupan sehari-hari.
</v>
      </c>
      <c r="L33" s="475">
        <f>IFERROR(BIND3!U32,"")</f>
        <v>82</v>
      </c>
      <c r="M33" s="475" t="str">
        <f>IFERROR(BIND3!V32,"")</f>
        <v>B</v>
      </c>
      <c r="N33" s="474" t="str">
        <f>BIND3!AA32</f>
        <v>NABIL baik  dalam meringkas teks penjelasan (eksplanasi) dari media cetak atau elektronik.</v>
      </c>
      <c r="O33" s="475">
        <f>IFERROR('MTK3'!U32,"")</f>
        <v>70</v>
      </c>
      <c r="P33" s="475" t="str">
        <f>IFERROR('MTK3'!V32,"")</f>
        <v>C</v>
      </c>
      <c r="Q33" s="474" t="str">
        <f>'MTK3'!AA32</f>
        <v xml:space="preserve">NABIL cukup baik  dalam menjelaskan, dan menentukan volume bangun ruang dengan menggunakan satuan volume (seperti kubus satuan) serta hubungan pangkat tiga dengan akar pangkat tiga
</v>
      </c>
      <c r="R33" s="475">
        <f>IFERROR('IPA3'!U32,"")</f>
        <v>85</v>
      </c>
      <c r="S33" s="475" t="str">
        <f>IFERROR('IPA3'!V32,"")</f>
        <v>B</v>
      </c>
      <c r="T33" s="474" t="str">
        <f>'IPA3'!AA32</f>
        <v xml:space="preserve">NABIL baik  dalam menerapkan konsep perpindahan kalor dalam kehidupan sehari-hari.
</v>
      </c>
      <c r="U33" s="475">
        <f>IFERROR('IPS3'!U32,"")</f>
        <v>83</v>
      </c>
      <c r="V33" s="475" t="str">
        <f>IFERROR('IPS3'!V32,"")</f>
        <v>B</v>
      </c>
      <c r="W33" s="474" t="str">
        <f>'IPS3'!AA32</f>
        <v>NABIL baik  dalam Mengidentifikasi karakteristik geografis Indonesia sebagai negara kepulauan/maritim dan agraris serta pengaruhnya terhadap kehidupan ekonomi, sosial, budaya, komunikasi, serta transportasi.</v>
      </c>
      <c r="X33" s="475">
        <f>IFERROR(SBDP3!U32,"")</f>
        <v>88</v>
      </c>
      <c r="Y33" s="475" t="str">
        <f>IFERROR(SBDP3!V32,"")</f>
        <v>A</v>
      </c>
      <c r="Z33" s="474" t="str">
        <f>SBDP3!AA32</f>
        <v>NABIL sangat baik  dalam memahami gambar cerita</v>
      </c>
      <c r="AA33" s="475">
        <f>IFERROR(PJOK3!U32,"")</f>
        <v>85</v>
      </c>
      <c r="AB33" s="475" t="str">
        <f>IFERROR(PJOK3!V32,"")</f>
        <v>B</v>
      </c>
      <c r="AC33" s="474" t="str">
        <f>PJOK3!AA32</f>
        <v xml:space="preserve">NABIL baik  dalam memahami kombinasi pola gerak dominan (bertumpu, bergantung, keseimbangan, berpindah/lokomotor, tolakan, putaran, ayunan, melayang, dan mendarat) untuk membentuk keterampilan dasar senam menggunakan alat
</v>
      </c>
      <c r="AD33" s="475">
        <f>IFERROR('MLK1-3'!U32,"")</f>
        <v>70</v>
      </c>
      <c r="AE33" s="475" t="str">
        <f>IFERROR('MLK1-3'!V32,"")</f>
        <v>C</v>
      </c>
      <c r="AF33" s="476" t="str">
        <f>'MLK1-3'!AA32</f>
        <v>NABIL cukup baik  dalam memahami teks kawih tentang bangga sebagai bangsa Indonesia</v>
      </c>
      <c r="AG33" s="475">
        <f>IFERROR('MLK2-3'!X32,"")</f>
        <v>88</v>
      </c>
      <c r="AH33" s="475" t="str">
        <f>IFERROR('MLK2-3'!Y32,"")</f>
        <v>A</v>
      </c>
      <c r="AI33" s="474" t="str">
        <f>'MLK2-3'!AD32</f>
        <v xml:space="preserve">NABIL sangat baik  dalam merespon instruksi sangat sederhana dengan tindakan secara berterima dalam konteks sekolah  </v>
      </c>
      <c r="AJ33" s="475">
        <f>IFERROR('MLK3-3'!W32,"")</f>
        <v>75</v>
      </c>
      <c r="AK33" s="475" t="str">
        <f>IFERROR('MLK3-3'!X32,"")</f>
        <v>C</v>
      </c>
      <c r="AL33" s="476" t="str">
        <f>'MLK3-3'!AC32</f>
        <v xml:space="preserve">NABIL baik  dalam merespon instruksi sangat sederhana dengan tindakan secara berterima dalam konteks sekolah  , dan  cukup baik  dalam mengeja kalimat sangat sederhana secara tepat dan berterima </v>
      </c>
      <c r="AM33" s="475">
        <f>IFERROR('PAI4'!CI33,"")</f>
        <v>90</v>
      </c>
      <c r="AN33" s="475" t="str">
        <f>IFERROR('PAI4'!CJ33,"")</f>
        <v>A</v>
      </c>
      <c r="AO33" s="476" t="str">
        <f>'PAI4'!CO33</f>
        <v>NABIL sangat baik  dalam membaca Q.S. at-Tīn dan Q.S. al-Mā’ūn dengan tartil.</v>
      </c>
      <c r="AP33" s="475">
        <f>IFERROR('PKN4'!U32,"")</f>
        <v>83</v>
      </c>
      <c r="AQ33" s="475" t="str">
        <f>IFERROR('PKN4'!V32,"")</f>
        <v>B</v>
      </c>
      <c r="AR33" s="474" t="str">
        <f>'PKN4'!AA32</f>
        <v>NABIL baik  dalam menjelaskan hak, kewajiban, dan tanggung  jawab sebagai warga masyarakat dalam kehidupan sehari-hari</v>
      </c>
      <c r="AS33" s="475">
        <f>IFERROR(BIND4!U32,"")</f>
        <v>82</v>
      </c>
      <c r="AT33" s="475" t="str">
        <f>IFERROR(BIND4!V32,"")</f>
        <v>B</v>
      </c>
      <c r="AU33" s="474" t="str">
        <f>BIND4!AA32</f>
        <v xml:space="preserve">NABIL baik  dalam menyajikan ringkasan teks penjelasan (eksplanasi) dari media cetak atau elektronik dengan menggunakan kosakata baku dan kalimat efektif secara lisan, tulis, dan visual.
</v>
      </c>
      <c r="AV33" s="475">
        <f>IFERROR('MTK4'!U32,"")</f>
        <v>70</v>
      </c>
      <c r="AW33" s="475" t="str">
        <f>IFERROR('MTK4'!V32,"")</f>
        <v>C</v>
      </c>
      <c r="AX33" s="474" t="str">
        <f>'MTK4'!AA32</f>
        <v xml:space="preserve">NABIL cukup baik  dalam menyelesaikan masalah yang berkaitan dengan volume bangun ruang dengan menggunakan satuan volume (seperti kubus satuan) melibatkan pangkat tiga dan akar pangkat tiga
</v>
      </c>
      <c r="AY33" s="475">
        <f>IFERROR('IPA4'!U32,"")</f>
        <v>85</v>
      </c>
      <c r="AZ33" s="475" t="str">
        <f>IFERROR('IPA4'!V32,"")</f>
        <v>B</v>
      </c>
      <c r="BA33" s="474" t="str">
        <f>'IPA4'!AA32</f>
        <v>NABIL baik  dalam melaporkan hasil pengamatan tentang perpindahan kalor.</v>
      </c>
      <c r="BB33" s="475">
        <f>IFERROR('IPS4'!U32,"")</f>
        <v>83</v>
      </c>
      <c r="BC33" s="475" t="str">
        <f>IFERROR('IPS4'!V32,"")</f>
        <v>B</v>
      </c>
      <c r="BD33" s="474" t="str">
        <f>'IPS4'!AA32</f>
        <v>NABIL baik  dalam menyajikan hasil identifikasi karakteristik geografis Indonesia sebagai negara kepulauan/maritim dan agraris serta pengaruhnya terhadap kehidupan ekonomi, sosial, budaya, komunikasi, serta transportasi.</v>
      </c>
      <c r="BE33" s="475">
        <f>IFERROR(SBDP4!U32,"")</f>
        <v>88</v>
      </c>
      <c r="BF33" s="475" t="str">
        <f>IFERROR(SBDP4!V32,"")</f>
        <v>A</v>
      </c>
      <c r="BG33" s="474" t="str">
        <f>SBDP4!AA32</f>
        <v>NABIL sangat baik  dalam membuat gambar cerita</v>
      </c>
      <c r="BH33" s="475">
        <f>IFERROR(PJOK4!U32,"")</f>
        <v>86</v>
      </c>
      <c r="BI33" s="475" t="str">
        <f>IFERROR(PJOK4!V32,"")</f>
        <v>B</v>
      </c>
      <c r="BJ33" s="476" t="str">
        <f>PJOK4!AA32</f>
        <v>NABIL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BK33" s="475">
        <f>IFERROR('MLK1-4'!U32,"")</f>
        <v>70</v>
      </c>
      <c r="BL33" s="475" t="str">
        <f>IFERROR('MLK1-4'!V32,"")</f>
        <v>C</v>
      </c>
      <c r="BM33" s="474" t="str">
        <f>'MLK1-4'!AA32</f>
        <v>NABIL cukup baik  dalam melantunkan dan menceritakan isi kawih tentang bangga sebagai bangsa Indonesia</v>
      </c>
      <c r="BN33" s="475">
        <f>IFERROR('MLK2-4'!U32,"")</f>
        <v>88</v>
      </c>
      <c r="BO33" s="475" t="str">
        <f>IFERROR('MLK2-4'!V32,"")</f>
        <v>A</v>
      </c>
      <c r="BP33" s="474" t="str">
        <f>'MLK2-4'!AA32</f>
        <v>NABIL sangat baik  dalam memahami langkah-langkah pengawasan kelestarian lingkungan hidup</v>
      </c>
      <c r="BQ33" s="475">
        <f>IFERROR('MLK3-4'!Y32,"")</f>
        <v>70</v>
      </c>
      <c r="BR33" s="475" t="str">
        <f>IFERROR('MLK3-4'!Z32,"")</f>
        <v>C</v>
      </c>
      <c r="BS33" s="474" t="str">
        <f>'MLK3-4'!AE32</f>
        <v xml:space="preserve">NABIL cukup baik  dalam merespon instruksi sangat sederhana dengan tindakan secara berterima dalam konteks sekolah  </v>
      </c>
      <c r="BT33" s="475">
        <f t="shared" si="1"/>
        <v>77.454545454545453</v>
      </c>
      <c r="BU33" s="505">
        <f t="shared" si="0"/>
        <v>1704</v>
      </c>
      <c r="BV33" s="477">
        <f t="shared" si="2"/>
        <v>1704</v>
      </c>
      <c r="BW33" s="478">
        <f t="shared" si="3"/>
        <v>35</v>
      </c>
    </row>
    <row r="34" spans="1:75" ht="20.25" customHeight="1">
      <c r="A34" s="146">
        <v>29</v>
      </c>
      <c r="B34" s="146" t="str">
        <f>SISWA!B34</f>
        <v>1718250040333</v>
      </c>
      <c r="C34" s="471" t="str">
        <f>SISWA!C34</f>
        <v>MUHAMMAD RASYA ANGGA YUDHA</v>
      </c>
      <c r="D34" s="472" t="str">
        <f>SPIRIT!P33</f>
        <v xml:space="preserve">Ananda RASYA baik dalam  ketaatan beribadah,  berperilaku syukur,  berdoa sebelum dan sesudah melakukan kegiatan,  toleransi dalam beribadah, </v>
      </c>
      <c r="E34" s="472" t="str">
        <f>SOSIAL!T33</f>
        <v xml:space="preserve">Ananda RASYA baik dalam sikap jujur, disiplin, tanggung jawab, santun, peduli, percaya diri, </v>
      </c>
      <c r="F34" s="473">
        <f>IFERROR('PAI3'!CI34,"")</f>
        <v>77</v>
      </c>
      <c r="G34" s="473" t="str">
        <f>IFERROR('PAI3'!CJ34,"")</f>
        <v>B</v>
      </c>
      <c r="H34" s="474" t="str">
        <f>'PAI3'!CO34</f>
        <v>RASYA baik  dalam memahami pelaksanaan salat tarawih dan tadarus al-Qur'an., dan  cukup baik  dalam memahami makna sederhana dalam kehidupan sehari-hari.</v>
      </c>
      <c r="I34" s="473">
        <f>IFERROR('PKN3'!U33,"")</f>
        <v>83</v>
      </c>
      <c r="J34" s="473" t="str">
        <f>IFERROR('PKN3'!V33,"")</f>
        <v>B</v>
      </c>
      <c r="K34" s="472" t="str">
        <f>'PKN3'!AA33</f>
        <v xml:space="preserve">RASYA baik  dalam memahami hak, kewajiban dan tanggung jawab sebagai warga dalam kehidupan sehari-hari.
</v>
      </c>
      <c r="L34" s="475">
        <f>IFERROR(BIND3!U33,"")</f>
        <v>81</v>
      </c>
      <c r="M34" s="475" t="str">
        <f>IFERROR(BIND3!V33,"")</f>
        <v>B</v>
      </c>
      <c r="N34" s="474" t="str">
        <f>BIND3!AA33</f>
        <v>RASYA baik  dalam meringkas teks penjelasan (eksplanasi) dari media cetak atau elektronik.</v>
      </c>
      <c r="O34" s="475">
        <f>IFERROR('MTK3'!U33,"")</f>
        <v>70</v>
      </c>
      <c r="P34" s="475" t="str">
        <f>IFERROR('MTK3'!V33,"")</f>
        <v>C</v>
      </c>
      <c r="Q34" s="474" t="str">
        <f>'MTK3'!AA33</f>
        <v xml:space="preserve">RASYA cukup baik  dalam menjelaskan, dan menentukan volume bangun ruang dengan menggunakan satuan volume (seperti kubus satuan) serta hubungan pangkat tiga dengan akar pangkat tiga
</v>
      </c>
      <c r="R34" s="475">
        <f>IFERROR('IPA3'!U33,"")</f>
        <v>75</v>
      </c>
      <c r="S34" s="475" t="str">
        <f>IFERROR('IPA3'!V33,"")</f>
        <v>C</v>
      </c>
      <c r="T34" s="474" t="str">
        <f>'IPA3'!AA33</f>
        <v xml:space="preserve">RASYA cukup baik  dalam menerapkan konsep perpindahan kalor dalam kehidupan sehari-hari.
</v>
      </c>
      <c r="U34" s="475">
        <f>IFERROR('IPS3'!U33,"")</f>
        <v>88</v>
      </c>
      <c r="V34" s="475" t="str">
        <f>IFERROR('IPS3'!V33,"")</f>
        <v>A</v>
      </c>
      <c r="W34" s="474" t="str">
        <f>'IPS3'!AA33</f>
        <v>RASYA sangat baik  dalam Mengidentifikasi karakteristik geografis Indonesia sebagai negara kepulauan/maritim dan agraris serta pengaruhnya terhadap kehidupan ekonomi, sosial, budaya, komunikasi, serta transportasi.</v>
      </c>
      <c r="X34" s="475">
        <f>IFERROR(SBDP3!U33,"")</f>
        <v>85</v>
      </c>
      <c r="Y34" s="475" t="str">
        <f>IFERROR(SBDP3!V33,"")</f>
        <v>B</v>
      </c>
      <c r="Z34" s="474" t="str">
        <f>SBDP3!AA33</f>
        <v>RASYA baik  dalam memahami gambar cerita</v>
      </c>
      <c r="AA34" s="475">
        <f>IFERROR(PJOK3!U33,"")</f>
        <v>86</v>
      </c>
      <c r="AB34" s="475" t="str">
        <f>IFERROR(PJOK3!V33,"")</f>
        <v>B</v>
      </c>
      <c r="AC34" s="474" t="str">
        <f>PJOK3!AA33</f>
        <v xml:space="preserve">RASYA baik  dalam memahami kombinasi pola gerak dominan (bertumpu, bergantung, keseimbangan, berpindah/lokomotor, tolakan, putaran, ayunan, melayang, dan mendarat) untuk membentuk keterampilan dasar senam menggunakan alat
</v>
      </c>
      <c r="AD34" s="475">
        <f>IFERROR('MLK1-3'!U33,"")</f>
        <v>71</v>
      </c>
      <c r="AE34" s="475" t="str">
        <f>IFERROR('MLK1-3'!V33,"")</f>
        <v>C</v>
      </c>
      <c r="AF34" s="476" t="str">
        <f>'MLK1-3'!AA33</f>
        <v>RASYA cukup baik  dalam memahami teks kawih tentang bangga sebagai bangsa Indonesia</v>
      </c>
      <c r="AG34" s="475">
        <f>IFERROR('MLK2-3'!X33,"")</f>
        <v>91</v>
      </c>
      <c r="AH34" s="475" t="str">
        <f>IFERROR('MLK2-3'!Y33,"")</f>
        <v>A</v>
      </c>
      <c r="AI34" s="474" t="str">
        <f>'MLK2-3'!AD33</f>
        <v xml:space="preserve">RASYA sangat baik  dalam merespon instruksi sangat sederhana dengan tindakan secara berterima dalam konteks sekolah  </v>
      </c>
      <c r="AJ34" s="475">
        <f>IFERROR('MLK3-3'!W33,"")</f>
        <v>75</v>
      </c>
      <c r="AK34" s="475" t="str">
        <f>IFERROR('MLK3-3'!X33,"")</f>
        <v>C</v>
      </c>
      <c r="AL34" s="476" t="str">
        <f>'MLK3-3'!AC33</f>
        <v xml:space="preserve">RASYA baik  dalam bercakap-cakap untuk menyertai tindakan secara berterima yang melibatkan tindak tutur: memberi contoh melakukan sesuatu, memberi aba-aba, dan memberi petunjuk 
, dan  cukup baik  dalam merespon instruksi sangat sederhana dengan tindakan secara berterima dalam konteks sekolah  </v>
      </c>
      <c r="AM34" s="475">
        <f>IFERROR('PAI4'!CI34,"")</f>
        <v>90</v>
      </c>
      <c r="AN34" s="475" t="str">
        <f>IFERROR('PAI4'!CJ34,"")</f>
        <v>A</v>
      </c>
      <c r="AO34" s="476" t="str">
        <f>'PAI4'!CO34</f>
        <v>RASYA sangat baik  dalam membaca Q.S. at-Tīn dan Q.S. al-Mā’ūn dengan tartil.</v>
      </c>
      <c r="AP34" s="475">
        <f>IFERROR('PKN4'!U33,"")</f>
        <v>83</v>
      </c>
      <c r="AQ34" s="475" t="str">
        <f>IFERROR('PKN4'!V33,"")</f>
        <v>B</v>
      </c>
      <c r="AR34" s="474" t="str">
        <f>'PKN4'!AA33</f>
        <v>RASYA baik  dalam menjelaskan hak, kewajiban, dan tanggung  jawab sebagai warga masyarakat dalam kehidupan sehari-hari</v>
      </c>
      <c r="AS34" s="475">
        <f>IFERROR(BIND4!U33,"")</f>
        <v>81</v>
      </c>
      <c r="AT34" s="475" t="str">
        <f>IFERROR(BIND4!V33,"")</f>
        <v>B</v>
      </c>
      <c r="AU34" s="474" t="str">
        <f>BIND4!AA33</f>
        <v xml:space="preserve">RASYA baik  dalam menyajikan ringkasan teks penjelasan (eksplanasi) dari media cetak atau elektronik dengan menggunakan kosakata baku dan kalimat efektif secara lisan, tulis, dan visual.
</v>
      </c>
      <c r="AV34" s="475">
        <f>IFERROR('MTK4'!U33,"")</f>
        <v>70</v>
      </c>
      <c r="AW34" s="475" t="str">
        <f>IFERROR('MTK4'!V33,"")</f>
        <v>C</v>
      </c>
      <c r="AX34" s="474" t="str">
        <f>'MTK4'!AA33</f>
        <v xml:space="preserve">RASYA cukup baik  dalam menyelesaikan masalah yang berkaitan dengan volume bangun ruang dengan menggunakan satuan volume (seperti kubus satuan) melibatkan pangkat tiga dan akar pangkat tiga
</v>
      </c>
      <c r="AY34" s="475">
        <f>IFERROR('IPA4'!U33,"")</f>
        <v>75</v>
      </c>
      <c r="AZ34" s="475" t="str">
        <f>IFERROR('IPA4'!V33,"")</f>
        <v>C</v>
      </c>
      <c r="BA34" s="474" t="str">
        <f>'IPA4'!AA33</f>
        <v>RASYA cukup baik  dalam melaporkan hasil pengamatan tentang perpindahan kalor.</v>
      </c>
      <c r="BB34" s="475">
        <f>IFERROR('IPS4'!U33,"")</f>
        <v>88</v>
      </c>
      <c r="BC34" s="475" t="str">
        <f>IFERROR('IPS4'!V33,"")</f>
        <v>A</v>
      </c>
      <c r="BD34" s="474" t="str">
        <f>'IPS4'!AA33</f>
        <v>RASYA sangat baik  dalam menyajikan hasil identifikasi karakteristik geografis Indonesia sebagai negara kepulauan/maritim dan agraris serta pengaruhnya terhadap kehidupan ekonomi, sosial, budaya, komunikasi, serta transportasi.</v>
      </c>
      <c r="BE34" s="475">
        <f>IFERROR(SBDP4!U33,"")</f>
        <v>85</v>
      </c>
      <c r="BF34" s="475" t="str">
        <f>IFERROR(SBDP4!V33,"")</f>
        <v>B</v>
      </c>
      <c r="BG34" s="474" t="str">
        <f>SBDP4!AA33</f>
        <v>RASYA baik  dalam membuat gambar cerita</v>
      </c>
      <c r="BH34" s="475">
        <f>IFERROR(PJOK4!U33,"")</f>
        <v>88</v>
      </c>
      <c r="BI34" s="475" t="str">
        <f>IFERROR(PJOK4!V33,"")</f>
        <v>A</v>
      </c>
      <c r="BJ34" s="476" t="str">
        <f>PJOK4!AA33</f>
        <v>RASYA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34" s="475">
        <f>IFERROR('MLK1-4'!U33,"")</f>
        <v>71</v>
      </c>
      <c r="BL34" s="475" t="str">
        <f>IFERROR('MLK1-4'!V33,"")</f>
        <v>C</v>
      </c>
      <c r="BM34" s="474" t="str">
        <f>'MLK1-4'!AA33</f>
        <v>RASYA cukup baik  dalam melantunkan dan menceritakan isi kawih tentang bangga sebagai bangsa Indonesia</v>
      </c>
      <c r="BN34" s="475">
        <f>IFERROR('MLK2-4'!U33,"")</f>
        <v>91</v>
      </c>
      <c r="BO34" s="475" t="str">
        <f>IFERROR('MLK2-4'!V33,"")</f>
        <v>A</v>
      </c>
      <c r="BP34" s="474" t="str">
        <f>'MLK2-4'!AA33</f>
        <v>RASYA sangat baik  dalam memahami langkah-langkah pengawasan kelestarian lingkungan hidup</v>
      </c>
      <c r="BQ34" s="475">
        <f>IFERROR('MLK3-4'!Y33,"")</f>
        <v>75</v>
      </c>
      <c r="BR34" s="475" t="str">
        <f>IFERROR('MLK3-4'!Z33,"")</f>
        <v>C</v>
      </c>
      <c r="BS34" s="474" t="str">
        <f>'MLK3-4'!AE33</f>
        <v xml:space="preserve">RASYA cukup baik  dalam merespon instruksi sangat sederhana dengan tindakan secara berterima dalam konteks sekolah  </v>
      </c>
      <c r="BT34" s="475">
        <f t="shared" si="1"/>
        <v>77.36363636363636</v>
      </c>
      <c r="BU34" s="505">
        <f t="shared" si="0"/>
        <v>1702</v>
      </c>
      <c r="BV34" s="477">
        <f t="shared" si="2"/>
        <v>1702</v>
      </c>
      <c r="BW34" s="478">
        <f t="shared" si="3"/>
        <v>36</v>
      </c>
    </row>
    <row r="35" spans="1:75" ht="20.25" customHeight="1">
      <c r="A35" s="146">
        <v>30</v>
      </c>
      <c r="B35" s="146" t="str">
        <f>SISWA!B35</f>
        <v>1718250040334</v>
      </c>
      <c r="C35" s="471" t="str">
        <f>SISWA!C35</f>
        <v>MUHAMMAD RIZKI MUJAHIDIN</v>
      </c>
      <c r="D35" s="472" t="str">
        <f>SPIRIT!P34</f>
        <v xml:space="preserve">Ananda RIZKI baik dalam  ketaatan beribadah,  berperilaku syukur,  berdoa sebelum dan sesudah melakukan kegiatan,  toleransi dalam beribadah, </v>
      </c>
      <c r="E35" s="472" t="str">
        <f>SOSIAL!T34</f>
        <v xml:space="preserve">Ananda RIZKI baik dalam sikap jujur, disiplin, tanggung jawab, santun, peduli, percaya diri, </v>
      </c>
      <c r="F35" s="473">
        <f>IFERROR('PAI3'!CI35,"")</f>
        <v>81</v>
      </c>
      <c r="G35" s="473" t="str">
        <f>IFERROR('PAI3'!CJ35,"")</f>
        <v>B</v>
      </c>
      <c r="H35" s="474" t="str">
        <f>'PAI3'!CO35</f>
        <v>RIZKI sangat baik  dalam memahami makna Q.S. at-Tīn dan Q.S. al-Mā’ūn dengan benar., dan  cukup baik  dalam memahami nama-nama Rasul Allah dan Rasul Ulul ‘Azmi.</v>
      </c>
      <c r="I35" s="473">
        <f>IFERROR('PKN3'!U34,"")</f>
        <v>93</v>
      </c>
      <c r="J35" s="473" t="str">
        <f>IFERROR('PKN3'!V34,"")</f>
        <v>A</v>
      </c>
      <c r="K35" s="472" t="str">
        <f>'PKN3'!AA34</f>
        <v xml:space="preserve">RIZKI sangat baik  dalam memahami hak, kewajiban dan tanggung jawab sebagai warga dalam kehidupan sehari-hari.
</v>
      </c>
      <c r="L35" s="475">
        <f>IFERROR(BIND3!U34,"")</f>
        <v>89</v>
      </c>
      <c r="M35" s="475" t="str">
        <f>IFERROR(BIND3!V34,"")</f>
        <v>A</v>
      </c>
      <c r="N35" s="474" t="str">
        <f>BIND3!AA34</f>
        <v>RIZKI sangat baik  dalam meringkas teks penjelasan (eksplanasi) dari media cetak atau elektronik.</v>
      </c>
      <c r="O35" s="475">
        <f>IFERROR('MTK3'!U34,"")</f>
        <v>85</v>
      </c>
      <c r="P35" s="475" t="str">
        <f>IFERROR('MTK3'!V34,"")</f>
        <v>B</v>
      </c>
      <c r="Q35" s="474" t="str">
        <f>'MTK3'!AA34</f>
        <v xml:space="preserve">RIZKI baik  dalam menjelaskan, dan menentukan volume bangun ruang dengan menggunakan satuan volume (seperti kubus satuan) serta hubungan pangkat tiga dengan akar pangkat tiga
</v>
      </c>
      <c r="R35" s="475">
        <f>IFERROR('IPA3'!U34,"")</f>
        <v>93</v>
      </c>
      <c r="S35" s="475" t="str">
        <f>IFERROR('IPA3'!V34,"")</f>
        <v>A</v>
      </c>
      <c r="T35" s="474" t="str">
        <f>'IPA3'!AA34</f>
        <v xml:space="preserve">RIZKI sangat baik  dalam menerapkan konsep perpindahan kalor dalam kehidupan sehari-hari.
</v>
      </c>
      <c r="U35" s="475">
        <f>IFERROR('IPS3'!U34,"")</f>
        <v>90</v>
      </c>
      <c r="V35" s="475" t="str">
        <f>IFERROR('IPS3'!V34,"")</f>
        <v>A</v>
      </c>
      <c r="W35" s="474" t="str">
        <f>'IPS3'!AA34</f>
        <v>RIZKI sangat baik  dalam Mengidentifikasi karakteristik geografis Indonesia sebagai negara kepulauan/maritim dan agraris serta pengaruhnya terhadap kehidupan ekonomi, sosial, budaya, komunikasi, serta transportasi.</v>
      </c>
      <c r="X35" s="475">
        <f>IFERROR(SBDP3!U34,"")</f>
        <v>90</v>
      </c>
      <c r="Y35" s="475" t="str">
        <f>IFERROR(SBDP3!V34,"")</f>
        <v>A</v>
      </c>
      <c r="Z35" s="474" t="str">
        <f>SBDP3!AA34</f>
        <v>RIZKI sangat baik  dalam memahami gambar cerita</v>
      </c>
      <c r="AA35" s="475">
        <f>IFERROR(PJOK3!U34,"")</f>
        <v>89</v>
      </c>
      <c r="AB35" s="475" t="str">
        <f>IFERROR(PJOK3!V34,"")</f>
        <v>A</v>
      </c>
      <c r="AC35" s="474" t="str">
        <f>PJOK3!AA34</f>
        <v xml:space="preserve">RIZKI sangat baik  dalam memahami kombinasi pola gerak dominan (bertumpu, bergantung, keseimbangan, berpindah/lokomotor, tolakan, putaran, ayunan, melayang, dan mendarat) untuk membentuk keterampilan dasar senam menggunakan alat
</v>
      </c>
      <c r="AD35" s="475">
        <f>IFERROR('MLK1-3'!U34,"")</f>
        <v>85</v>
      </c>
      <c r="AE35" s="475" t="str">
        <f>IFERROR('MLK1-3'!V34,"")</f>
        <v>B</v>
      </c>
      <c r="AF35" s="476" t="str">
        <f>'MLK1-3'!AA34</f>
        <v>RIZKI baik  dalam memahami teks kawih tentang bangga sebagai bangsa Indonesia</v>
      </c>
      <c r="AG35" s="475">
        <f>IFERROR('MLK2-3'!X34,"")</f>
        <v>97</v>
      </c>
      <c r="AH35" s="475" t="str">
        <f>IFERROR('MLK2-3'!Y34,"")</f>
        <v>A</v>
      </c>
      <c r="AI35" s="474" t="str">
        <f>'MLK2-3'!AD34</f>
        <v xml:space="preserve">RIZKI sangat baik  dalam merespon instruksi sangat sederhana dengan tindakan secara berterima dalam konteks sekolah  </v>
      </c>
      <c r="AJ35" s="475">
        <f>IFERROR('MLK3-3'!W34,"")</f>
        <v>86</v>
      </c>
      <c r="AK35" s="475" t="str">
        <f>IFERROR('MLK3-3'!X34,"")</f>
        <v>B</v>
      </c>
      <c r="AL35" s="476" t="str">
        <f>'MLK3-3'!AC34</f>
        <v xml:space="preserve">RIZKI sangat baik  dalam merespon instruksi sangat sederhana dengan tindakan secara berterima dalam konteks sekolah  , dan  baik  dalam mengeja kalimat sangat sederhana secara tepat dan berterima </v>
      </c>
      <c r="AM35" s="475">
        <f>IFERROR('PAI4'!CI35,"")</f>
        <v>90</v>
      </c>
      <c r="AN35" s="475" t="str">
        <f>IFERROR('PAI4'!CJ35,"")</f>
        <v>A</v>
      </c>
      <c r="AO35" s="476" t="str">
        <f>'PAI4'!CO35</f>
        <v>RIZKI sangat baik  dalam membaca Q.S. at-Tīn dan Q.S. al-Mā’ūn dengan tartil.</v>
      </c>
      <c r="AP35" s="475">
        <f>IFERROR('PKN4'!U34,"")</f>
        <v>93</v>
      </c>
      <c r="AQ35" s="475" t="str">
        <f>IFERROR('PKN4'!V34,"")</f>
        <v>A</v>
      </c>
      <c r="AR35" s="474" t="str">
        <f>'PKN4'!AA34</f>
        <v>RIZKI sangat baik  dalam menjelaskan hak, kewajiban, dan tanggung  jawab sebagai warga masyarakat dalam kehidupan sehari-hari</v>
      </c>
      <c r="AS35" s="475">
        <f>IFERROR(BIND4!U34,"")</f>
        <v>89</v>
      </c>
      <c r="AT35" s="475" t="str">
        <f>IFERROR(BIND4!V34,"")</f>
        <v>A</v>
      </c>
      <c r="AU35" s="474" t="str">
        <f>BIND4!AA34</f>
        <v xml:space="preserve">RIZKI sangat baik  dalam menyajikan ringkasan teks penjelasan (eksplanasi) dari media cetak atau elektronik dengan menggunakan kosakata baku dan kalimat efektif secara lisan, tulis, dan visual.
</v>
      </c>
      <c r="AV35" s="475">
        <f>IFERROR('MTK4'!U34,"")</f>
        <v>85</v>
      </c>
      <c r="AW35" s="475" t="str">
        <f>IFERROR('MTK4'!V34,"")</f>
        <v>B</v>
      </c>
      <c r="AX35" s="474" t="str">
        <f>'MTK4'!AA34</f>
        <v xml:space="preserve">RIZKI baik  dalam menyelesaikan masalah yang berkaitan dengan volume bangun ruang dengan menggunakan satuan volume (seperti kubus satuan) melibatkan pangkat tiga dan akar pangkat tiga
</v>
      </c>
      <c r="AY35" s="475">
        <f>IFERROR('IPA4'!U34,"")</f>
        <v>93</v>
      </c>
      <c r="AZ35" s="475" t="str">
        <f>IFERROR('IPA4'!V34,"")</f>
        <v>A</v>
      </c>
      <c r="BA35" s="474" t="str">
        <f>'IPA4'!AA34</f>
        <v>RIZKI sangat baik  dalam melaporkan hasil pengamatan tentang perpindahan kalor.</v>
      </c>
      <c r="BB35" s="475">
        <f>IFERROR('IPS4'!U34,"")</f>
        <v>90</v>
      </c>
      <c r="BC35" s="475" t="str">
        <f>IFERROR('IPS4'!V34,"")</f>
        <v>A</v>
      </c>
      <c r="BD35" s="474" t="str">
        <f>'IPS4'!AA34</f>
        <v>RIZKI sangat baik  dalam menyajikan hasil identifikasi karakteristik geografis Indonesia sebagai negara kepulauan/maritim dan agraris serta pengaruhnya terhadap kehidupan ekonomi, sosial, budaya, komunikasi, serta transportasi.</v>
      </c>
      <c r="BE35" s="475">
        <f>IFERROR(SBDP4!U34,"")</f>
        <v>90</v>
      </c>
      <c r="BF35" s="475" t="str">
        <f>IFERROR(SBDP4!V34,"")</f>
        <v>A</v>
      </c>
      <c r="BG35" s="474" t="str">
        <f>SBDP4!AA34</f>
        <v>RIZKI sangat baik  dalam membuat gambar cerita</v>
      </c>
      <c r="BH35" s="475">
        <f>IFERROR(PJOK4!U34,"")</f>
        <v>86</v>
      </c>
      <c r="BI35" s="475" t="str">
        <f>IFERROR(PJOK4!V34,"")</f>
        <v>B</v>
      </c>
      <c r="BJ35" s="476" t="str">
        <f>PJOK4!AA34</f>
        <v>RIZKI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35" s="475">
        <f>IFERROR('MLK1-4'!U34,"")</f>
        <v>85</v>
      </c>
      <c r="BL35" s="475" t="str">
        <f>IFERROR('MLK1-4'!V34,"")</f>
        <v>B</v>
      </c>
      <c r="BM35" s="474" t="str">
        <f>'MLK1-4'!AA34</f>
        <v>RIZKI baik  dalam melantunkan dan menceritakan isi kawih tentang bangga sebagai bangsa Indonesia</v>
      </c>
      <c r="BN35" s="475">
        <f>IFERROR('MLK2-4'!U34,"")</f>
        <v>97</v>
      </c>
      <c r="BO35" s="475" t="str">
        <f>IFERROR('MLK2-4'!V34,"")</f>
        <v>A</v>
      </c>
      <c r="BP35" s="474" t="str">
        <f>'MLK2-4'!AA34</f>
        <v>RIZKI sangat baik  dalam memahami langkah-langkah pengawasan kelestarian lingkungan hidup</v>
      </c>
      <c r="BQ35" s="475">
        <f>IFERROR('MLK3-4'!Y34,"")</f>
        <v>84</v>
      </c>
      <c r="BR35" s="475" t="str">
        <f>IFERROR('MLK3-4'!Z34,"")</f>
        <v>B</v>
      </c>
      <c r="BS35" s="474" t="str">
        <f>'MLK3-4'!AE34</f>
        <v xml:space="preserve">RIZKI baik  dalam merespon instruksi sangat sederhana dengan tindakan secara berterima dalam konteks sekolah  </v>
      </c>
      <c r="BT35" s="475">
        <f t="shared" si="1"/>
        <v>85.409090909090907</v>
      </c>
      <c r="BU35" s="505">
        <f t="shared" si="0"/>
        <v>1879</v>
      </c>
      <c r="BV35" s="477">
        <f t="shared" si="2"/>
        <v>1879</v>
      </c>
      <c r="BW35" s="478">
        <f t="shared" si="3"/>
        <v>5</v>
      </c>
    </row>
    <row r="36" spans="1:75" ht="20.25" customHeight="1">
      <c r="A36" s="146">
        <v>31</v>
      </c>
      <c r="B36" s="146" t="str">
        <f>SISWA!B36</f>
        <v>1718250040335</v>
      </c>
      <c r="C36" s="471" t="str">
        <f>SISWA!C36</f>
        <v>MUHAMMAD SATRIA GHALIZHA HERMAWAN</v>
      </c>
      <c r="D36" s="472" t="str">
        <f>SPIRIT!P35</f>
        <v xml:space="preserve">Ananda SATRIA baik dalam  ketaatan beribadah,  berperilaku syukur,  berdoa sebelum dan sesudah melakukan kegiatan,  toleransi dalam beribadah, </v>
      </c>
      <c r="E36" s="472" t="str">
        <f>SOSIAL!T35</f>
        <v xml:space="preserve">Ananda SATRIA baik dalam sikap jujur, disiplin, tanggung jawab, santun, peduli, percaya diri, </v>
      </c>
      <c r="F36" s="473">
        <f>IFERROR('PAI3'!CI36,"")</f>
        <v>81</v>
      </c>
      <c r="G36" s="473" t="str">
        <f>IFERROR('PAI3'!CJ36,"")</f>
        <v>B</v>
      </c>
      <c r="H36" s="474" t="str">
        <f>'PAI3'!CO36</f>
        <v>SATRIA sangat baik  dalam memahami nama-nama Rasul Allah dan Rasul Ulul ‘Azmi., dan  cukup baik  dalam memahami makna sederhana dalam kehidupan sehari-hari.</v>
      </c>
      <c r="I36" s="473">
        <f>IFERROR('PKN3'!U35,"")</f>
        <v>90</v>
      </c>
      <c r="J36" s="473" t="str">
        <f>IFERROR('PKN3'!V35,"")</f>
        <v>A</v>
      </c>
      <c r="K36" s="472" t="str">
        <f>'PKN3'!AA35</f>
        <v xml:space="preserve">SATRIA sangat baik  dalam memahami hak, kewajiban dan tanggung jawab sebagai warga dalam kehidupan sehari-hari.
</v>
      </c>
      <c r="L36" s="475">
        <f>IFERROR(BIND3!U35,"")</f>
        <v>92</v>
      </c>
      <c r="M36" s="475" t="str">
        <f>IFERROR(BIND3!V35,"")</f>
        <v>A</v>
      </c>
      <c r="N36" s="474" t="str">
        <f>BIND3!AA35</f>
        <v>SATRIA sangat baik  dalam meringkas teks penjelasan (eksplanasi) dari media cetak atau elektronik.</v>
      </c>
      <c r="O36" s="475">
        <f>IFERROR('MTK3'!U35,"")</f>
        <v>75</v>
      </c>
      <c r="P36" s="475" t="str">
        <f>IFERROR('MTK3'!V35,"")</f>
        <v>C</v>
      </c>
      <c r="Q36" s="474" t="str">
        <f>'MTK3'!AA35</f>
        <v xml:space="preserve">SATRIA cukup baik  dalam menjelaskan, dan menentukan volume bangun ruang dengan menggunakan satuan volume (seperti kubus satuan) serta hubungan pangkat tiga dengan akar pangkat tiga
</v>
      </c>
      <c r="R36" s="475">
        <f>IFERROR('IPA3'!U35,"")</f>
        <v>80</v>
      </c>
      <c r="S36" s="475" t="str">
        <f>IFERROR('IPA3'!V35,"")</f>
        <v>B</v>
      </c>
      <c r="T36" s="474" t="str">
        <f>'IPA3'!AA35</f>
        <v xml:space="preserve">SATRIA baik  dalam menerapkan konsep perpindahan kalor dalam kehidupan sehari-hari.
</v>
      </c>
      <c r="U36" s="475">
        <f>IFERROR('IPS3'!U35,"")</f>
        <v>85</v>
      </c>
      <c r="V36" s="475" t="str">
        <f>IFERROR('IPS3'!V35,"")</f>
        <v>B</v>
      </c>
      <c r="W36" s="474" t="str">
        <f>'IPS3'!AA35</f>
        <v>SATRIA baik  dalam Mengidentifikasi karakteristik geografis Indonesia sebagai negara kepulauan/maritim dan agraris serta pengaruhnya terhadap kehidupan ekonomi, sosial, budaya, komunikasi, serta transportasi.</v>
      </c>
      <c r="X36" s="475">
        <f>IFERROR(SBDP3!U35,"")</f>
        <v>98</v>
      </c>
      <c r="Y36" s="475" t="str">
        <f>IFERROR(SBDP3!V35,"")</f>
        <v>A</v>
      </c>
      <c r="Z36" s="474" t="str">
        <f>SBDP3!AA35</f>
        <v>SATRIA sangat baik  dalam memahami gambar cerita</v>
      </c>
      <c r="AA36" s="475">
        <f>IFERROR(PJOK3!U35,"")</f>
        <v>89</v>
      </c>
      <c r="AB36" s="475" t="str">
        <f>IFERROR(PJOK3!V35,"")</f>
        <v>A</v>
      </c>
      <c r="AC36" s="474" t="str">
        <f>PJOK3!AA35</f>
        <v xml:space="preserve">SATRIA sangat baik  dalam memahami kombinasi pola gerak dominan (bertumpu, bergantung, keseimbangan, berpindah/lokomotor, tolakan, putaran, ayunan, melayang, dan mendarat) untuk membentuk keterampilan dasar senam menggunakan alat
</v>
      </c>
      <c r="AD36" s="475">
        <f>IFERROR('MLK1-3'!U35,"")</f>
        <v>94</v>
      </c>
      <c r="AE36" s="475" t="str">
        <f>IFERROR('MLK1-3'!V35,"")</f>
        <v>A</v>
      </c>
      <c r="AF36" s="476" t="str">
        <f>'MLK1-3'!AA35</f>
        <v>SATRIA sangat baik  dalam memahami teks kawih tentang bangga sebagai bangsa Indonesia</v>
      </c>
      <c r="AG36" s="475">
        <f>IFERROR('MLK2-3'!X35,"")</f>
        <v>100</v>
      </c>
      <c r="AH36" s="475" t="str">
        <f>IFERROR('MLK2-3'!Y35,"")</f>
        <v>A</v>
      </c>
      <c r="AI36" s="474" t="str">
        <f>'MLK2-3'!AD35</f>
        <v xml:space="preserve">SATRIA sangat baik  dalam merespon instruksi sangat sederhana dengan tindakan secara berterima dalam konteks sekolah  </v>
      </c>
      <c r="AJ36" s="475">
        <f>IFERROR('MLK3-3'!W35,"")</f>
        <v>75</v>
      </c>
      <c r="AK36" s="475" t="str">
        <f>IFERROR('MLK3-3'!X35,"")</f>
        <v>C</v>
      </c>
      <c r="AL36" s="476" t="str">
        <f>'MLK3-3'!AC35</f>
        <v xml:space="preserve">SATRIA baik  dalam bercakap-cakap untuk menyertai tindakan secara berterima yang melibatkan tindak tutur: memberi contoh melakukan sesuatu, memberi aba-aba, dan memberi petunjuk 
, dan  cukup baik  dalam merespon instruksi sangat sederhana dengan tindakan secara berterima dalam konteks sekolah  </v>
      </c>
      <c r="AM36" s="475">
        <f>IFERROR('PAI4'!CI36,"")</f>
        <v>85</v>
      </c>
      <c r="AN36" s="475" t="str">
        <f>IFERROR('PAI4'!CJ36,"")</f>
        <v>B</v>
      </c>
      <c r="AO36" s="476" t="str">
        <f>'PAI4'!CO36</f>
        <v>SATRIA baik  dalam membaca Q.S. at-Tīn dan Q.S. al-Mā’ūn dengan tartil.</v>
      </c>
      <c r="AP36" s="475">
        <f>IFERROR('PKN4'!U35,"")</f>
        <v>90</v>
      </c>
      <c r="AQ36" s="475" t="str">
        <f>IFERROR('PKN4'!V35,"")</f>
        <v>A</v>
      </c>
      <c r="AR36" s="474" t="str">
        <f>'PKN4'!AA35</f>
        <v>SATRIA sangat baik  dalam menjelaskan hak, kewajiban, dan tanggung  jawab sebagai warga masyarakat dalam kehidupan sehari-hari</v>
      </c>
      <c r="AS36" s="475">
        <f>IFERROR(BIND4!U35,"")</f>
        <v>92</v>
      </c>
      <c r="AT36" s="475" t="str">
        <f>IFERROR(BIND4!V35,"")</f>
        <v>A</v>
      </c>
      <c r="AU36" s="474" t="str">
        <f>BIND4!AA35</f>
        <v xml:space="preserve">SATRIA sangat baik  dalam menyajikan ringkasan teks penjelasan (eksplanasi) dari media cetak atau elektronik dengan menggunakan kosakata baku dan kalimat efektif secara lisan, tulis, dan visual.
</v>
      </c>
      <c r="AV36" s="475">
        <f>IFERROR('MTK4'!U35,"")</f>
        <v>75</v>
      </c>
      <c r="AW36" s="475" t="str">
        <f>IFERROR('MTK4'!V35,"")</f>
        <v>C</v>
      </c>
      <c r="AX36" s="474" t="str">
        <f>'MTK4'!AA35</f>
        <v xml:space="preserve">SATRIA cukup baik  dalam menyelesaikan masalah yang berkaitan dengan volume bangun ruang dengan menggunakan satuan volume (seperti kubus satuan) melibatkan pangkat tiga dan akar pangkat tiga
</v>
      </c>
      <c r="AY36" s="475">
        <f>IFERROR('IPA4'!U35,"")</f>
        <v>80</v>
      </c>
      <c r="AZ36" s="475" t="str">
        <f>IFERROR('IPA4'!V35,"")</f>
        <v>B</v>
      </c>
      <c r="BA36" s="474" t="str">
        <f>'IPA4'!AA35</f>
        <v>SATRIA baik  dalam melaporkan hasil pengamatan tentang perpindahan kalor.</v>
      </c>
      <c r="BB36" s="475">
        <f>IFERROR('IPS4'!U35,"")</f>
        <v>85</v>
      </c>
      <c r="BC36" s="475" t="str">
        <f>IFERROR('IPS4'!V35,"")</f>
        <v>B</v>
      </c>
      <c r="BD36" s="474" t="str">
        <f>'IPS4'!AA35</f>
        <v>SATRIA baik  dalam menyajikan hasil identifikasi karakteristik geografis Indonesia sebagai negara kepulauan/maritim dan agraris serta pengaruhnya terhadap kehidupan ekonomi, sosial, budaya, komunikasi, serta transportasi.</v>
      </c>
      <c r="BE36" s="475">
        <f>IFERROR(SBDP4!U35,"")</f>
        <v>98</v>
      </c>
      <c r="BF36" s="475" t="str">
        <f>IFERROR(SBDP4!V35,"")</f>
        <v>A</v>
      </c>
      <c r="BG36" s="474" t="str">
        <f>SBDP4!AA35</f>
        <v>SATRIA sangat baik  dalam membuat gambar cerita</v>
      </c>
      <c r="BH36" s="475">
        <f>IFERROR(PJOK4!U35,"")</f>
        <v>85</v>
      </c>
      <c r="BI36" s="475" t="str">
        <f>IFERROR(PJOK4!V35,"")</f>
        <v>B</v>
      </c>
      <c r="BJ36" s="476" t="str">
        <f>PJOK4!AA35</f>
        <v>SATRIA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36" s="475">
        <f>IFERROR('MLK1-4'!U35,"")</f>
        <v>94</v>
      </c>
      <c r="BL36" s="475" t="str">
        <f>IFERROR('MLK1-4'!V35,"")</f>
        <v>A</v>
      </c>
      <c r="BM36" s="474" t="str">
        <f>'MLK1-4'!AA35</f>
        <v>SATRIA sangat baik  dalam melantunkan dan menceritakan isi kawih tentang bangga sebagai bangsa Indonesia</v>
      </c>
      <c r="BN36" s="475">
        <f>IFERROR('MLK2-4'!U35,"")</f>
        <v>100</v>
      </c>
      <c r="BO36" s="475" t="str">
        <f>IFERROR('MLK2-4'!V35,"")</f>
        <v>A</v>
      </c>
      <c r="BP36" s="474" t="str">
        <f>'MLK2-4'!AA35</f>
        <v>SATRIA sangat baik  dalam memahami langkah-langkah pengawasan kelestarian lingkungan hidup</v>
      </c>
      <c r="BQ36" s="475">
        <f>IFERROR('MLK3-4'!Y35,"")</f>
        <v>75</v>
      </c>
      <c r="BR36" s="475" t="str">
        <f>IFERROR('MLK3-4'!Z35,"")</f>
        <v>C</v>
      </c>
      <c r="BS36" s="474" t="str">
        <f>'MLK3-4'!AE35</f>
        <v xml:space="preserve">SATRIA cukup baik  dalam merespon instruksi sangat sederhana dengan tindakan secara berterima dalam konteks sekolah  </v>
      </c>
      <c r="BT36" s="475">
        <f t="shared" si="1"/>
        <v>83.5</v>
      </c>
      <c r="BU36" s="505">
        <f t="shared" si="0"/>
        <v>1837</v>
      </c>
      <c r="BV36" s="477">
        <f t="shared" si="2"/>
        <v>1837</v>
      </c>
      <c r="BW36" s="478">
        <f t="shared" si="3"/>
        <v>12</v>
      </c>
    </row>
    <row r="37" spans="1:75" ht="20.25" customHeight="1">
      <c r="A37" s="146">
        <v>32</v>
      </c>
      <c r="B37" s="146" t="str">
        <f>SISWA!B37</f>
        <v>1718250040336</v>
      </c>
      <c r="C37" s="471" t="str">
        <f>SISWA!C37</f>
        <v>NADIA RIFA FAKHIRA</v>
      </c>
      <c r="D37" s="472" t="str">
        <f>SPIRIT!P36</f>
        <v xml:space="preserve">Ananda NADIA baik dalam  ketaatan beribadah,  berperilaku syukur,  berdoa sebelum dan sesudah melakukan kegiatan,  toleransi dalam beribadah, </v>
      </c>
      <c r="E37" s="472" t="str">
        <f>SOSIAL!T36</f>
        <v xml:space="preserve">Ananda NADIA baik dalam sikap jujur, disiplin, tanggung jawab, santun, peduli, percaya diri, </v>
      </c>
      <c r="F37" s="473">
        <f>IFERROR('PAI3'!CI37,"")</f>
        <v>80</v>
      </c>
      <c r="G37" s="473" t="str">
        <f>IFERROR('PAI3'!CJ37,"")</f>
        <v>B</v>
      </c>
      <c r="H37" s="474" t="str">
        <f>'PAI3'!CO37</f>
        <v>NADIA baik  dalam memahami pelaksanaan salat tarawih dan tadarus al-Qur'an., dan  cukup baik  dalam memahami nama-nama Rasul Allah dan Rasul Ulul ‘Azmi.</v>
      </c>
      <c r="I37" s="473">
        <f>IFERROR('PKN3'!U36,"")</f>
        <v>98</v>
      </c>
      <c r="J37" s="473" t="str">
        <f>IFERROR('PKN3'!V36,"")</f>
        <v>A</v>
      </c>
      <c r="K37" s="472" t="str">
        <f>'PKN3'!AA36</f>
        <v xml:space="preserve">NADIA sangat baik  dalam memahami hak, kewajiban dan tanggung jawab sebagai warga dalam kehidupan sehari-hari.
</v>
      </c>
      <c r="L37" s="475">
        <f>IFERROR(BIND3!U36,"")</f>
        <v>94</v>
      </c>
      <c r="M37" s="475" t="str">
        <f>IFERROR(BIND3!V36,"")</f>
        <v>A</v>
      </c>
      <c r="N37" s="474" t="str">
        <f>BIND3!AA36</f>
        <v>NADIA sangat baik  dalam meringkas teks penjelasan (eksplanasi) dari media cetak atau elektronik.</v>
      </c>
      <c r="O37" s="475">
        <f>IFERROR('MTK3'!U36,"")</f>
        <v>85</v>
      </c>
      <c r="P37" s="475" t="str">
        <f>IFERROR('MTK3'!V36,"")</f>
        <v>B</v>
      </c>
      <c r="Q37" s="474" t="str">
        <f>'MTK3'!AA36</f>
        <v xml:space="preserve">NADIA baik  dalam menjelaskan, dan menentukan volume bangun ruang dengan menggunakan satuan volume (seperti kubus satuan) serta hubungan pangkat tiga dengan akar pangkat tiga
</v>
      </c>
      <c r="R37" s="475">
        <f>IFERROR('IPA3'!U36,"")</f>
        <v>88</v>
      </c>
      <c r="S37" s="475" t="str">
        <f>IFERROR('IPA3'!V36,"")</f>
        <v>A</v>
      </c>
      <c r="T37" s="474" t="str">
        <f>'IPA3'!AA36</f>
        <v xml:space="preserve">NADIA sangat baik  dalam menerapkan konsep perpindahan kalor dalam kehidupan sehari-hari.
</v>
      </c>
      <c r="U37" s="475">
        <f>IFERROR('IPS3'!U36,"")</f>
        <v>88</v>
      </c>
      <c r="V37" s="475" t="str">
        <f>IFERROR('IPS3'!V36,"")</f>
        <v>A</v>
      </c>
      <c r="W37" s="474" t="str">
        <f>'IPS3'!AA36</f>
        <v>NADIA sangat baik  dalam Mengidentifikasi karakteristik geografis Indonesia sebagai negara kepulauan/maritim dan agraris serta pengaruhnya terhadap kehidupan ekonomi, sosial, budaya, komunikasi, serta transportasi.</v>
      </c>
      <c r="X37" s="475">
        <f>IFERROR(SBDP3!U36,"")</f>
        <v>98</v>
      </c>
      <c r="Y37" s="475" t="str">
        <f>IFERROR(SBDP3!V36,"")</f>
        <v>A</v>
      </c>
      <c r="Z37" s="474" t="str">
        <f>SBDP3!AA36</f>
        <v>NADIA sangat baik  dalam memahami gambar cerita</v>
      </c>
      <c r="AA37" s="475">
        <f>IFERROR(PJOK3!U36,"")</f>
        <v>88</v>
      </c>
      <c r="AB37" s="475" t="str">
        <f>IFERROR(PJOK3!V36,"")</f>
        <v>A</v>
      </c>
      <c r="AC37" s="474" t="str">
        <f>PJOK3!AA36</f>
        <v xml:space="preserve">NADIA sangat baik  dalam memahami kombinasi pola gerak dominan (bertumpu, bergantung, keseimbangan, berpindah/lokomotor, tolakan, putaran, ayunan, melayang, dan mendarat) untuk membentuk keterampilan dasar senam menggunakan alat
</v>
      </c>
      <c r="AD37" s="475">
        <f>IFERROR('MLK1-3'!U36,"")</f>
        <v>94</v>
      </c>
      <c r="AE37" s="475" t="str">
        <f>IFERROR('MLK1-3'!V36,"")</f>
        <v>A</v>
      </c>
      <c r="AF37" s="476" t="str">
        <f>'MLK1-3'!AA36</f>
        <v>NADIA sangat baik  dalam memahami teks kawih tentang bangga sebagai bangsa Indonesia</v>
      </c>
      <c r="AG37" s="475">
        <f>IFERROR('MLK2-3'!X36,"")</f>
        <v>97</v>
      </c>
      <c r="AH37" s="475" t="str">
        <f>IFERROR('MLK2-3'!Y36,"")</f>
        <v>A</v>
      </c>
      <c r="AI37" s="474" t="str">
        <f>'MLK2-3'!AD36</f>
        <v xml:space="preserve">NADIA sangat baik  dalam merespon instruksi sangat sederhana dengan tindakan secara berterima dalam konteks sekolah  </v>
      </c>
      <c r="AJ37" s="475">
        <f>IFERROR('MLK3-3'!W36,"")</f>
        <v>94</v>
      </c>
      <c r="AK37" s="475" t="str">
        <f>IFERROR('MLK3-3'!X36,"")</f>
        <v>A</v>
      </c>
      <c r="AL37" s="476" t="str">
        <f>'MLK3-3'!AC36</f>
        <v xml:space="preserve">NADIA sangat baik  dalam membaca nyaring dengan ucapan, tekanan, dan intonasi secara tepat dan berterima yang melibatkan: kata, frasa, kalimat sangat sederhana, dan teks sangat sederhana 
, dan  sangat baik  dalam merespon instruksi sangat sederhana dengan tindakan secara berterima dalam konteks sekolah  </v>
      </c>
      <c r="AM37" s="475">
        <f>IFERROR('PAI4'!CI37,"")</f>
        <v>90</v>
      </c>
      <c r="AN37" s="475" t="str">
        <f>IFERROR('PAI4'!CJ37,"")</f>
        <v>A</v>
      </c>
      <c r="AO37" s="476" t="str">
        <f>'PAI4'!CO37</f>
        <v>NADIA sangat baik  dalam membaca Q.S. at-Tīn dan Q.S. al-Mā’ūn dengan tartil.</v>
      </c>
      <c r="AP37" s="475">
        <f>IFERROR('PKN4'!U36,"")</f>
        <v>98</v>
      </c>
      <c r="AQ37" s="475" t="str">
        <f>IFERROR('PKN4'!V36,"")</f>
        <v>A</v>
      </c>
      <c r="AR37" s="474" t="str">
        <f>'PKN4'!AA36</f>
        <v>NADIA sangat baik  dalam menjelaskan hak, kewajiban, dan tanggung  jawab sebagai warga masyarakat dalam kehidupan sehari-hari</v>
      </c>
      <c r="AS37" s="475">
        <f>IFERROR(BIND4!U36,"")</f>
        <v>94</v>
      </c>
      <c r="AT37" s="475" t="str">
        <f>IFERROR(BIND4!V36,"")</f>
        <v>A</v>
      </c>
      <c r="AU37" s="474" t="str">
        <f>BIND4!AA36</f>
        <v xml:space="preserve">NADIA sangat baik  dalam menyajikan ringkasan teks penjelasan (eksplanasi) dari media cetak atau elektronik dengan menggunakan kosakata baku dan kalimat efektif secara lisan, tulis, dan visual.
</v>
      </c>
      <c r="AV37" s="475">
        <f>IFERROR('MTK4'!U36,"")</f>
        <v>85</v>
      </c>
      <c r="AW37" s="475" t="str">
        <f>IFERROR('MTK4'!V36,"")</f>
        <v>B</v>
      </c>
      <c r="AX37" s="474" t="str">
        <f>'MTK4'!AA36</f>
        <v xml:space="preserve">NADIA baik  dalam menyelesaikan masalah yang berkaitan dengan volume bangun ruang dengan menggunakan satuan volume (seperti kubus satuan) melibatkan pangkat tiga dan akar pangkat tiga
</v>
      </c>
      <c r="AY37" s="475">
        <f>IFERROR('IPA4'!U36,"")</f>
        <v>88</v>
      </c>
      <c r="AZ37" s="475" t="str">
        <f>IFERROR('IPA4'!V36,"")</f>
        <v>A</v>
      </c>
      <c r="BA37" s="474" t="str">
        <f>'IPA4'!AA36</f>
        <v>NADIA sangat baik  dalam melaporkan hasil pengamatan tentang perpindahan kalor.</v>
      </c>
      <c r="BB37" s="475">
        <f>IFERROR('IPS4'!U36,"")</f>
        <v>88</v>
      </c>
      <c r="BC37" s="475" t="str">
        <f>IFERROR('IPS4'!V36,"")</f>
        <v>A</v>
      </c>
      <c r="BD37" s="474" t="str">
        <f>'IPS4'!AA36</f>
        <v>NADIA sangat baik  dalam menyajikan hasil identifikasi karakteristik geografis Indonesia sebagai negara kepulauan/maritim dan agraris serta pengaruhnya terhadap kehidupan ekonomi, sosial, budaya, komunikasi, serta transportasi.</v>
      </c>
      <c r="BE37" s="475">
        <f>IFERROR(SBDP4!U36,"")</f>
        <v>98</v>
      </c>
      <c r="BF37" s="475" t="str">
        <f>IFERROR(SBDP4!V36,"")</f>
        <v>A</v>
      </c>
      <c r="BG37" s="474" t="str">
        <f>SBDP4!AA36</f>
        <v>NADIA sangat baik  dalam membuat gambar cerita</v>
      </c>
      <c r="BH37" s="475">
        <f>IFERROR(PJOK4!U36,"")</f>
        <v>88</v>
      </c>
      <c r="BI37" s="475" t="str">
        <f>IFERROR(PJOK4!V36,"")</f>
        <v>A</v>
      </c>
      <c r="BJ37" s="476" t="str">
        <f>PJOK4!AA36</f>
        <v>NADIA sangat baik  dalam menerapkan konsep pemeliharaan diri dan orang lain dari penyakit menular dan tidak menular, dan  baik  dalam mempraktikkan pengunaan kombinasi gerak dasar langkah dan ayunan lengan mengikuti irama (ketukan) tanpa/dengan musik dalam aktivitas gerak berirama</v>
      </c>
      <c r="BK37" s="475">
        <f>IFERROR('MLK1-4'!U36,"")</f>
        <v>94</v>
      </c>
      <c r="BL37" s="475" t="str">
        <f>IFERROR('MLK1-4'!V36,"")</f>
        <v>A</v>
      </c>
      <c r="BM37" s="474" t="str">
        <f>'MLK1-4'!AA36</f>
        <v>NADIA sangat baik  dalam melantunkan dan menceritakan isi kawih tentang bangga sebagai bangsa Indonesia</v>
      </c>
      <c r="BN37" s="475">
        <f>IFERROR('MLK2-4'!U36,"")</f>
        <v>97</v>
      </c>
      <c r="BO37" s="475" t="str">
        <f>IFERROR('MLK2-4'!V36,"")</f>
        <v>A</v>
      </c>
      <c r="BP37" s="474" t="str">
        <f>'MLK2-4'!AA36</f>
        <v>NADIA sangat baik  dalam memahami langkah-langkah pengawasan kelestarian lingkungan hidup</v>
      </c>
      <c r="BQ37" s="475">
        <f>IFERROR('MLK3-4'!Y36,"")</f>
        <v>95</v>
      </c>
      <c r="BR37" s="475" t="str">
        <f>IFERROR('MLK3-4'!Z36,"")</f>
        <v>A</v>
      </c>
      <c r="BS37" s="474" t="str">
        <f>'MLK3-4'!AE36</f>
        <v xml:space="preserve">NADIA sangat baik  dalam merespon instruksi sangat sederhana dengan tindakan secara berterima dalam konteks sekolah  </v>
      </c>
      <c r="BT37" s="475">
        <f t="shared" si="1"/>
        <v>88.13636363636364</v>
      </c>
      <c r="BU37" s="505">
        <f t="shared" si="0"/>
        <v>1939</v>
      </c>
      <c r="BV37" s="477">
        <f t="shared" si="2"/>
        <v>1939</v>
      </c>
      <c r="BW37" s="478">
        <f t="shared" si="3"/>
        <v>2</v>
      </c>
    </row>
    <row r="38" spans="1:75" ht="20.25" customHeight="1">
      <c r="A38" s="146">
        <v>33</v>
      </c>
      <c r="B38" s="146" t="str">
        <f>SISWA!B38</f>
        <v>1718250040337</v>
      </c>
      <c r="C38" s="471" t="str">
        <f>SISWA!C38</f>
        <v>NAFILA SEPTIYANI</v>
      </c>
      <c r="D38" s="472" t="str">
        <f>SPIRIT!P37</f>
        <v xml:space="preserve">Ananda NAFILA baik dalam  ketaatan beribadah,  berperilaku syukur,  berdoa sebelum dan sesudah melakukan kegiatan,  toleransi dalam beribadah, </v>
      </c>
      <c r="E38" s="472" t="str">
        <f>SOSIAL!T37</f>
        <v xml:space="preserve">Ananda NAFILA baik dalam sikap jujur, disiplin, tanggung jawab, santun, peduli, percaya diri, </v>
      </c>
      <c r="F38" s="473">
        <f>IFERROR('PAI3'!CI38,"")</f>
        <v>77</v>
      </c>
      <c r="G38" s="473" t="str">
        <f>IFERROR('PAI3'!CJ38,"")</f>
        <v>B</v>
      </c>
      <c r="H38" s="474" t="str">
        <f>'PAI3'!CO38</f>
        <v>NAFILA baik  dalam memahami pelaksanaan salat tarawih dan tadarus al-Qur'an., dan  cukup baik  dalam memahami makna Q.S. at-Tīn dan Q.S. al-Mā’ūn dengan benar.</v>
      </c>
      <c r="I38" s="473">
        <f>IFERROR('PKN3'!U37,"")</f>
        <v>85</v>
      </c>
      <c r="J38" s="473" t="str">
        <f>IFERROR('PKN3'!V37,"")</f>
        <v>B</v>
      </c>
      <c r="K38" s="472" t="str">
        <f>'PKN3'!AA37</f>
        <v xml:space="preserve">NAFILA baik  dalam memahami hak, kewajiban dan tanggung jawab sebagai warga dalam kehidupan sehari-hari.
</v>
      </c>
      <c r="L38" s="475">
        <f>IFERROR(BIND3!U37,"")</f>
        <v>82</v>
      </c>
      <c r="M38" s="475" t="str">
        <f>IFERROR(BIND3!V37,"")</f>
        <v>B</v>
      </c>
      <c r="N38" s="474" t="str">
        <f>BIND3!AA37</f>
        <v>NAFILA baik  dalam meringkas teks penjelasan (eksplanasi) dari media cetak atau elektronik.</v>
      </c>
      <c r="O38" s="475">
        <f>IFERROR('MTK3'!U37,"")</f>
        <v>65</v>
      </c>
      <c r="P38" s="475" t="str">
        <f>IFERROR('MTK3'!V37,"")</f>
        <v>C</v>
      </c>
      <c r="Q38" s="474" t="str">
        <f>'MTK3'!AA37</f>
        <v xml:space="preserve">NAFILA cukup baik  dalam menjelaskan, dan menentukan volume bangun ruang dengan menggunakan satuan volume (seperti kubus satuan) serta hubungan pangkat tiga dengan akar pangkat tiga
</v>
      </c>
      <c r="R38" s="475">
        <f>IFERROR('IPA3'!U37,"")</f>
        <v>80</v>
      </c>
      <c r="S38" s="475" t="str">
        <f>IFERROR('IPA3'!V37,"")</f>
        <v>B</v>
      </c>
      <c r="T38" s="474" t="str">
        <f>'IPA3'!AA37</f>
        <v xml:space="preserve">NAFILA baik  dalam menerapkan konsep perpindahan kalor dalam kehidupan sehari-hari.
</v>
      </c>
      <c r="U38" s="475">
        <f>IFERROR('IPS3'!U37,"")</f>
        <v>83</v>
      </c>
      <c r="V38" s="475" t="str">
        <f>IFERROR('IPS3'!V37,"")</f>
        <v>B</v>
      </c>
      <c r="W38" s="474" t="str">
        <f>'IPS3'!AA37</f>
        <v>NAFILA baik  dalam Mengidentifikasi karakteristik geografis Indonesia sebagai negara kepulauan/maritim dan agraris serta pengaruhnya terhadap kehidupan ekonomi, sosial, budaya, komunikasi, serta transportasi.</v>
      </c>
      <c r="X38" s="475">
        <f>IFERROR(SBDP3!U37,"")</f>
        <v>78</v>
      </c>
      <c r="Y38" s="475" t="str">
        <f>IFERROR(SBDP3!V37,"")</f>
        <v>B</v>
      </c>
      <c r="Z38" s="474" t="str">
        <f>SBDP3!AA37</f>
        <v>NAFILA baik  dalam memahami gambar cerita</v>
      </c>
      <c r="AA38" s="475">
        <f>IFERROR(PJOK3!U37,"")</f>
        <v>81</v>
      </c>
      <c r="AB38" s="475" t="str">
        <f>IFERROR(PJOK3!V37,"")</f>
        <v>B</v>
      </c>
      <c r="AC38" s="474" t="str">
        <f>PJOK3!AA37</f>
        <v xml:space="preserve">NAFILA baik  dalam memahami kombinasi pola gerak dominan (bertumpu, bergantung, keseimbangan, berpindah/lokomotor, tolakan, putaran, ayunan, melayang, dan mendarat) untuk membentuk keterampilan dasar senam menggunakan alat
</v>
      </c>
      <c r="AD38" s="475">
        <f>IFERROR('MLK1-3'!U37,"")</f>
        <v>80</v>
      </c>
      <c r="AE38" s="475" t="str">
        <f>IFERROR('MLK1-3'!V37,"")</f>
        <v>B</v>
      </c>
      <c r="AF38" s="476" t="str">
        <f>'MLK1-3'!AA37</f>
        <v>NAFILA baik  dalam memahami teks kawih tentang bangga sebagai bangsa Indonesia</v>
      </c>
      <c r="AG38" s="475">
        <f>IFERROR('MLK2-3'!X37,"")</f>
        <v>85</v>
      </c>
      <c r="AH38" s="475" t="str">
        <f>IFERROR('MLK2-3'!Y37,"")</f>
        <v>B</v>
      </c>
      <c r="AI38" s="474" t="str">
        <f>'MLK2-3'!AD37</f>
        <v xml:space="preserve">NAFILA baik  dalam merespon instruksi sangat sederhana dengan tindakan secara berterima dalam konteks sekolah  </v>
      </c>
      <c r="AJ38" s="475">
        <f>IFERROR('MLK3-3'!W37,"")</f>
        <v>75</v>
      </c>
      <c r="AK38" s="475" t="str">
        <f>IFERROR('MLK3-3'!X37,"")</f>
        <v>C</v>
      </c>
      <c r="AL38" s="476" t="str">
        <f>'MLK3-3'!AC37</f>
        <v xml:space="preserve">NAFILA baik  dalam merespon instruksi sangat sederhana dengan tindakan secara berterima dalam konteks sekolah  , dan  cukup baik  dalam mengeja kalimat sangat sederhana secara tepat dan berterima </v>
      </c>
      <c r="AM38" s="475">
        <f>IFERROR('PAI4'!CI38,"")</f>
        <v>90</v>
      </c>
      <c r="AN38" s="475" t="str">
        <f>IFERROR('PAI4'!CJ38,"")</f>
        <v>A</v>
      </c>
      <c r="AO38" s="476" t="str">
        <f>'PAI4'!CO38</f>
        <v>NAFILA sangat baik  dalam membaca Q.S. at-Tīn dan Q.S. al-Mā’ūn dengan tartil.</v>
      </c>
      <c r="AP38" s="475">
        <f>IFERROR('PKN4'!U37,"")</f>
        <v>85</v>
      </c>
      <c r="AQ38" s="475" t="str">
        <f>IFERROR('PKN4'!V37,"")</f>
        <v>B</v>
      </c>
      <c r="AR38" s="474" t="str">
        <f>'PKN4'!AA37</f>
        <v>NAFILA baik  dalam menjelaskan hak, kewajiban, dan tanggung  jawab sebagai warga masyarakat dalam kehidupan sehari-hari</v>
      </c>
      <c r="AS38" s="475">
        <f>IFERROR(BIND4!U37,"")</f>
        <v>82</v>
      </c>
      <c r="AT38" s="475" t="str">
        <f>IFERROR(BIND4!V37,"")</f>
        <v>B</v>
      </c>
      <c r="AU38" s="474" t="str">
        <f>BIND4!AA37</f>
        <v xml:space="preserve">NAFILA baik  dalam menyajikan ringkasan teks penjelasan (eksplanasi) dari media cetak atau elektronik dengan menggunakan kosakata baku dan kalimat efektif secara lisan, tulis, dan visual.
</v>
      </c>
      <c r="AV38" s="475">
        <f>IFERROR('MTK4'!U37,"")</f>
        <v>65</v>
      </c>
      <c r="AW38" s="475" t="str">
        <f>IFERROR('MTK4'!V37,"")</f>
        <v>C</v>
      </c>
      <c r="AX38" s="474" t="str">
        <f>'MTK4'!AA37</f>
        <v xml:space="preserve">NAFILA cukup baik  dalam menyelesaikan masalah yang berkaitan dengan volume bangun ruang dengan menggunakan satuan volume (seperti kubus satuan) melibatkan pangkat tiga dan akar pangkat tiga
</v>
      </c>
      <c r="AY38" s="475">
        <f>IFERROR('IPA4'!U37,"")</f>
        <v>80</v>
      </c>
      <c r="AZ38" s="475" t="str">
        <f>IFERROR('IPA4'!V37,"")</f>
        <v>B</v>
      </c>
      <c r="BA38" s="474" t="str">
        <f>'IPA4'!AA37</f>
        <v>NAFILA baik  dalam melaporkan hasil pengamatan tentang perpindahan kalor.</v>
      </c>
      <c r="BB38" s="475">
        <f>IFERROR('IPS4'!U37,"")</f>
        <v>83</v>
      </c>
      <c r="BC38" s="475" t="str">
        <f>IFERROR('IPS4'!V37,"")</f>
        <v>B</v>
      </c>
      <c r="BD38" s="474" t="str">
        <f>'IPS4'!AA37</f>
        <v>NAFILA baik  dalam menyajikan hasil identifikasi karakteristik geografis Indonesia sebagai negara kepulauan/maritim dan agraris serta pengaruhnya terhadap kehidupan ekonomi, sosial, budaya, komunikasi, serta transportasi.</v>
      </c>
      <c r="BE38" s="475">
        <f>IFERROR(SBDP4!U37,"")</f>
        <v>78</v>
      </c>
      <c r="BF38" s="475" t="str">
        <f>IFERROR(SBDP4!V37,"")</f>
        <v>B</v>
      </c>
      <c r="BG38" s="474" t="str">
        <f>SBDP4!AA37</f>
        <v>NAFILA baik  dalam membuat gambar cerita</v>
      </c>
      <c r="BH38" s="475">
        <f>IFERROR(PJOK4!U37,"")</f>
        <v>82</v>
      </c>
      <c r="BI38" s="475" t="str">
        <f>IFERROR(PJOK4!V37,"")</f>
        <v>B</v>
      </c>
      <c r="BJ38" s="476" t="str">
        <f>PJOK4!AA37</f>
        <v>NAFILA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38" s="475">
        <f>IFERROR('MLK1-4'!U37,"")</f>
        <v>80</v>
      </c>
      <c r="BL38" s="475" t="str">
        <f>IFERROR('MLK1-4'!V37,"")</f>
        <v>B</v>
      </c>
      <c r="BM38" s="474" t="str">
        <f>'MLK1-4'!AA37</f>
        <v>NAFILA baik  dalam melantunkan dan menceritakan isi kawih tentang bangga sebagai bangsa Indonesia</v>
      </c>
      <c r="BN38" s="475">
        <f>IFERROR('MLK2-4'!U37,"")</f>
        <v>85</v>
      </c>
      <c r="BO38" s="475" t="str">
        <f>IFERROR('MLK2-4'!V37,"")</f>
        <v>B</v>
      </c>
      <c r="BP38" s="474" t="str">
        <f>'MLK2-4'!AA37</f>
        <v>NAFILA baik  dalam memahami langkah-langkah pengawasan kelestarian lingkungan hidup</v>
      </c>
      <c r="BQ38" s="475">
        <f>IFERROR('MLK3-4'!Y37,"")</f>
        <v>80</v>
      </c>
      <c r="BR38" s="475" t="str">
        <f>IFERROR('MLK3-4'!Z37,"")</f>
        <v>B</v>
      </c>
      <c r="BS38" s="474" t="str">
        <f>'MLK3-4'!AE37</f>
        <v xml:space="preserve">NAFILA baik  dalam merespon instruksi sangat sederhana dengan tindakan secara berterima dalam konteks sekolah  </v>
      </c>
      <c r="BT38" s="475">
        <f t="shared" si="1"/>
        <v>76.545454545454547</v>
      </c>
      <c r="BU38" s="505">
        <f t="shared" si="0"/>
        <v>1684</v>
      </c>
      <c r="BV38" s="477">
        <f t="shared" si="2"/>
        <v>1684</v>
      </c>
      <c r="BW38" s="478">
        <f t="shared" si="3"/>
        <v>38</v>
      </c>
    </row>
    <row r="39" spans="1:75" ht="20.25" customHeight="1">
      <c r="A39" s="146">
        <v>34</v>
      </c>
      <c r="B39" s="146" t="str">
        <f>SISWA!B39</f>
        <v>1718250040338</v>
      </c>
      <c r="C39" s="471" t="str">
        <f>SISWA!C39</f>
        <v>NAZZALA PUTRI NURLAYLA</v>
      </c>
      <c r="D39" s="472" t="str">
        <f>SPIRIT!P38</f>
        <v xml:space="preserve">Ananda NAZZALA baik dalam  ketaatan beribadah,  berperilaku syukur,  berdoa sebelum dan sesudah melakukan kegiatan,  toleransi dalam beribadah, </v>
      </c>
      <c r="E39" s="472" t="str">
        <f>SOSIAL!T38</f>
        <v xml:space="preserve">Ananda NAZZALA baik dalam sikap jujur, disiplin, tanggung jawab, santun, peduli, percaya diri, </v>
      </c>
      <c r="F39" s="473">
        <f>IFERROR('PAI3'!CI39,"")</f>
        <v>80</v>
      </c>
      <c r="G39" s="473" t="str">
        <f>IFERROR('PAI3'!CJ39,"")</f>
        <v>B</v>
      </c>
      <c r="H39" s="474" t="str">
        <f>'PAI3'!CO39</f>
        <v>NAZZALA sangat baik  dalam memahami makna Q.S. at-Tīn dan Q.S. al-Mā’ūn dengan benar., dan  cukup baik  dalam memahami nama-nama Rasul Allah dan Rasul Ulul ‘Azmi.</v>
      </c>
      <c r="I39" s="473">
        <f>IFERROR('PKN3'!U38,"")</f>
        <v>85</v>
      </c>
      <c r="J39" s="473" t="str">
        <f>IFERROR('PKN3'!V38,"")</f>
        <v>B</v>
      </c>
      <c r="K39" s="472" t="str">
        <f>'PKN3'!AA38</f>
        <v xml:space="preserve">NAZZALA baik  dalam memahami hak, kewajiban dan tanggung jawab sebagai warga dalam kehidupan sehari-hari.
</v>
      </c>
      <c r="L39" s="475">
        <f>IFERROR(BIND3!U38,"")</f>
        <v>89</v>
      </c>
      <c r="M39" s="475" t="str">
        <f>IFERROR(BIND3!V38,"")</f>
        <v>A</v>
      </c>
      <c r="N39" s="474" t="str">
        <f>BIND3!AA38</f>
        <v>NAZZALA sangat baik  dalam meringkas teks penjelasan (eksplanasi) dari media cetak atau elektronik.</v>
      </c>
      <c r="O39" s="475">
        <f>IFERROR('MTK3'!U38,"")</f>
        <v>75</v>
      </c>
      <c r="P39" s="475" t="str">
        <f>IFERROR('MTK3'!V38,"")</f>
        <v>C</v>
      </c>
      <c r="Q39" s="474" t="str">
        <f>'MTK3'!AA38</f>
        <v xml:space="preserve">NAZZALA cukup baik  dalam menjelaskan, dan menentukan volume bangun ruang dengan menggunakan satuan volume (seperti kubus satuan) serta hubungan pangkat tiga dengan akar pangkat tiga
</v>
      </c>
      <c r="R39" s="475">
        <f>IFERROR('IPA3'!U38,"")</f>
        <v>85</v>
      </c>
      <c r="S39" s="475" t="str">
        <f>IFERROR('IPA3'!V38,"")</f>
        <v>B</v>
      </c>
      <c r="T39" s="474" t="str">
        <f>'IPA3'!AA38</f>
        <v xml:space="preserve">NAZZALA baik  dalam menerapkan konsep perpindahan kalor dalam kehidupan sehari-hari.
</v>
      </c>
      <c r="U39" s="475">
        <f>IFERROR('IPS3'!U38,"")</f>
        <v>83</v>
      </c>
      <c r="V39" s="475" t="str">
        <f>IFERROR('IPS3'!V38,"")</f>
        <v>B</v>
      </c>
      <c r="W39" s="474" t="str">
        <f>'IPS3'!AA38</f>
        <v>NAZZALA baik  dalam Mengidentifikasi karakteristik geografis Indonesia sebagai negara kepulauan/maritim dan agraris serta pengaruhnya terhadap kehidupan ekonomi, sosial, budaya, komunikasi, serta transportasi.</v>
      </c>
      <c r="X39" s="475">
        <f>IFERROR(SBDP3!U38,"")</f>
        <v>95</v>
      </c>
      <c r="Y39" s="475" t="str">
        <f>IFERROR(SBDP3!V38,"")</f>
        <v>A</v>
      </c>
      <c r="Z39" s="474" t="str">
        <f>SBDP3!AA38</f>
        <v>NAZZALA sangat baik  dalam memahami gambar cerita</v>
      </c>
      <c r="AA39" s="475">
        <f>IFERROR(PJOK3!U38,"")</f>
        <v>89</v>
      </c>
      <c r="AB39" s="475" t="str">
        <f>IFERROR(PJOK3!V38,"")</f>
        <v>A</v>
      </c>
      <c r="AC39" s="474" t="str">
        <f>PJOK3!AA38</f>
        <v xml:space="preserve">NAZZALA sangat baik  dalam memahami kombinasi pola gerak dominan (bertumpu, bergantung, keseimbangan, berpindah/lokomotor, tolakan, putaran, ayunan, melayang, dan mendarat) untuk membentuk keterampilan dasar senam menggunakan alat
</v>
      </c>
      <c r="AD39" s="475">
        <f>IFERROR('MLK1-3'!U38,"")</f>
        <v>82</v>
      </c>
      <c r="AE39" s="475" t="str">
        <f>IFERROR('MLK1-3'!V38,"")</f>
        <v>B</v>
      </c>
      <c r="AF39" s="476" t="str">
        <f>'MLK1-3'!AA38</f>
        <v>NAZZALA baik  dalam memahami teks kawih tentang bangga sebagai bangsa Indonesia</v>
      </c>
      <c r="AG39" s="475">
        <f>IFERROR('MLK2-3'!X38,"")</f>
        <v>97</v>
      </c>
      <c r="AH39" s="475" t="str">
        <f>IFERROR('MLK2-3'!Y38,"")</f>
        <v>A</v>
      </c>
      <c r="AI39" s="474" t="str">
        <f>'MLK2-3'!AD38</f>
        <v xml:space="preserve">NAZZALA sangat baik  dalam merespon instruksi sangat sederhana dengan tindakan secara berterima dalam konteks sekolah  </v>
      </c>
      <c r="AJ39" s="475">
        <f>IFERROR('MLK3-3'!W38,"")</f>
        <v>89</v>
      </c>
      <c r="AK39" s="475" t="str">
        <f>IFERROR('MLK3-3'!X38,"")</f>
        <v>A</v>
      </c>
      <c r="AL39" s="476" t="str">
        <f>'MLK3-3'!AC38</f>
        <v xml:space="preserve">NAZZALA sangat baik  dalam merespon instruksi sangat sederhana dengan tindakan secara berterima dalam konteks sekolah  , dan  sangat baik  dalam bercakap-cakap untuk menyertai tindakan secara berterima yang melibatkan tindak tutur: memberi contoh melakukan sesuatu, memberi aba-aba, dan memberi petunjuk 
</v>
      </c>
      <c r="AM39" s="475">
        <f>IFERROR('PAI4'!CI39,"")</f>
        <v>90</v>
      </c>
      <c r="AN39" s="475" t="str">
        <f>IFERROR('PAI4'!CJ39,"")</f>
        <v>A</v>
      </c>
      <c r="AO39" s="476" t="str">
        <f>'PAI4'!CO39</f>
        <v>NAZZALA sangat baik  dalam membaca Q.S. at-Tīn dan Q.S. al-Mā’ūn dengan tartil.</v>
      </c>
      <c r="AP39" s="475">
        <f>IFERROR('PKN4'!U38,"")</f>
        <v>85</v>
      </c>
      <c r="AQ39" s="475" t="str">
        <f>IFERROR('PKN4'!V38,"")</f>
        <v>B</v>
      </c>
      <c r="AR39" s="474" t="str">
        <f>'PKN4'!AA38</f>
        <v>NAZZALA baik  dalam menjelaskan hak, kewajiban, dan tanggung  jawab sebagai warga masyarakat dalam kehidupan sehari-hari</v>
      </c>
      <c r="AS39" s="475">
        <f>IFERROR(BIND4!U38,"")</f>
        <v>89</v>
      </c>
      <c r="AT39" s="475" t="str">
        <f>IFERROR(BIND4!V38,"")</f>
        <v>A</v>
      </c>
      <c r="AU39" s="474" t="str">
        <f>BIND4!AA38</f>
        <v xml:space="preserve">NAZZALA sangat baik  dalam menyajikan ringkasan teks penjelasan (eksplanasi) dari media cetak atau elektronik dengan menggunakan kosakata baku dan kalimat efektif secara lisan, tulis, dan visual.
</v>
      </c>
      <c r="AV39" s="475">
        <f>IFERROR('MTK4'!U38,"")</f>
        <v>75</v>
      </c>
      <c r="AW39" s="475" t="str">
        <f>IFERROR('MTK4'!V38,"")</f>
        <v>C</v>
      </c>
      <c r="AX39" s="474" t="str">
        <f>'MTK4'!AA38</f>
        <v xml:space="preserve">NAZZALA cukup baik  dalam menyelesaikan masalah yang berkaitan dengan volume bangun ruang dengan menggunakan satuan volume (seperti kubus satuan) melibatkan pangkat tiga dan akar pangkat tiga
</v>
      </c>
      <c r="AY39" s="475">
        <f>IFERROR('IPA4'!U38,"")</f>
        <v>85</v>
      </c>
      <c r="AZ39" s="475" t="str">
        <f>IFERROR('IPA4'!V38,"")</f>
        <v>B</v>
      </c>
      <c r="BA39" s="474" t="str">
        <f>'IPA4'!AA38</f>
        <v>NAZZALA baik  dalam melaporkan hasil pengamatan tentang perpindahan kalor.</v>
      </c>
      <c r="BB39" s="475">
        <f>IFERROR('IPS4'!U38,"")</f>
        <v>83</v>
      </c>
      <c r="BC39" s="475" t="str">
        <f>IFERROR('IPS4'!V38,"")</f>
        <v>B</v>
      </c>
      <c r="BD39" s="474" t="str">
        <f>'IPS4'!AA38</f>
        <v>NAZZALA baik  dalam menyajikan hasil identifikasi karakteristik geografis Indonesia sebagai negara kepulauan/maritim dan agraris serta pengaruhnya terhadap kehidupan ekonomi, sosial, budaya, komunikasi, serta transportasi.</v>
      </c>
      <c r="BE39" s="475">
        <f>IFERROR(SBDP4!U38,"")</f>
        <v>95</v>
      </c>
      <c r="BF39" s="475" t="str">
        <f>IFERROR(SBDP4!V38,"")</f>
        <v>A</v>
      </c>
      <c r="BG39" s="474" t="str">
        <f>SBDP4!AA38</f>
        <v>NAZZALA sangat baik  dalam membuat gambar cerita</v>
      </c>
      <c r="BH39" s="475">
        <f>IFERROR(PJOK4!U38,"")</f>
        <v>90</v>
      </c>
      <c r="BI39" s="475" t="str">
        <f>IFERROR(PJOK4!V38,"")</f>
        <v>A</v>
      </c>
      <c r="BJ39" s="476" t="str">
        <f>PJOK4!AA38</f>
        <v>NAZZALA sangat baik  dalam menerapkan konsep pemeliharaan diri dan orang lain dari penyakit menular dan tidak menular, dan  baik  dalam mempraktikkan salah satu gaya renang dengan koordinasi yang baik pada jarak tertentu</v>
      </c>
      <c r="BK39" s="475">
        <f>IFERROR('MLK1-4'!U38,"")</f>
        <v>82</v>
      </c>
      <c r="BL39" s="475" t="str">
        <f>IFERROR('MLK1-4'!V38,"")</f>
        <v>B</v>
      </c>
      <c r="BM39" s="474" t="str">
        <f>'MLK1-4'!AA38</f>
        <v>NAZZALA baik  dalam melantunkan dan menceritakan isi kawih tentang bangga sebagai bangsa Indonesia</v>
      </c>
      <c r="BN39" s="475">
        <f>IFERROR('MLK2-4'!U38,"")</f>
        <v>97</v>
      </c>
      <c r="BO39" s="475" t="str">
        <f>IFERROR('MLK2-4'!V38,"")</f>
        <v>A</v>
      </c>
      <c r="BP39" s="474" t="str">
        <f>'MLK2-4'!AA38</f>
        <v>NAZZALA sangat baik  dalam memahami langkah-langkah pengawasan kelestarian lingkungan hidup</v>
      </c>
      <c r="BQ39" s="475">
        <f>IFERROR('MLK3-4'!Y38,"")</f>
        <v>88</v>
      </c>
      <c r="BR39" s="475" t="str">
        <f>IFERROR('MLK3-4'!Z38,"")</f>
        <v>A</v>
      </c>
      <c r="BS39" s="474" t="str">
        <f>'MLK3-4'!AE38</f>
        <v xml:space="preserve">NAZZALA sangat baik  dalam merespon instruksi sangat sederhana dengan tindakan secara berterima dalam konteks sekolah  </v>
      </c>
      <c r="BT39" s="475">
        <f t="shared" si="1"/>
        <v>83.090909090909093</v>
      </c>
      <c r="BU39" s="505">
        <f t="shared" si="0"/>
        <v>1828</v>
      </c>
      <c r="BV39" s="477">
        <f t="shared" si="2"/>
        <v>1828</v>
      </c>
      <c r="BW39" s="478">
        <f t="shared" si="3"/>
        <v>13</v>
      </c>
    </row>
    <row r="40" spans="1:75" ht="20.25" customHeight="1">
      <c r="A40" s="146">
        <v>35</v>
      </c>
      <c r="B40" s="146" t="str">
        <f>SISWA!B40</f>
        <v>1718250040339</v>
      </c>
      <c r="C40" s="471" t="str">
        <f>SISWA!C40</f>
        <v>RAFAREL RADIFAN PUTRA</v>
      </c>
      <c r="D40" s="472" t="str">
        <f>SPIRIT!P39</f>
        <v xml:space="preserve">Ananda RAFAREL baik dalam  ketaatan beribadah,  berperilaku syukur,  berdoa sebelum dan sesudah melakukan kegiatan,  toleransi dalam beribadah, </v>
      </c>
      <c r="E40" s="472" t="str">
        <f>SOSIAL!T39</f>
        <v xml:space="preserve">Ananda RAFAREL baik dalam sikap jujur, disiplin, tanggung jawab, santun, peduli, percaya diri, </v>
      </c>
      <c r="F40" s="473">
        <f>IFERROR('PAI3'!CI40,"")</f>
        <v>76</v>
      </c>
      <c r="G40" s="473" t="str">
        <f>IFERROR('PAI3'!CJ40,"")</f>
        <v>C</v>
      </c>
      <c r="H40" s="474" t="str">
        <f>'PAI3'!CO40</f>
        <v>RAFAREL sangat baik  dalam memahami makna Q.S. at-Tīn dan Q.S. al-Mā’ūn dengan benar., dan  perlu bimbingan  dalam memahami makna sederhana dalam kehidupan sehari-hari.</v>
      </c>
      <c r="I40" s="473">
        <f>IFERROR('PKN3'!U39,"")</f>
        <v>88</v>
      </c>
      <c r="J40" s="473" t="str">
        <f>IFERROR('PKN3'!V39,"")</f>
        <v>A</v>
      </c>
      <c r="K40" s="472" t="str">
        <f>'PKN3'!AA39</f>
        <v xml:space="preserve">RAFAREL sangat baik  dalam memahami hak, kewajiban dan tanggung jawab sebagai warga dalam kehidupan sehari-hari.
</v>
      </c>
      <c r="L40" s="475">
        <f>IFERROR(BIND3!U39,"")</f>
        <v>81</v>
      </c>
      <c r="M40" s="475" t="str">
        <f>IFERROR(BIND3!V39,"")</f>
        <v>B</v>
      </c>
      <c r="N40" s="474" t="str">
        <f>BIND3!AA39</f>
        <v>RAFAREL baik  dalam meringkas teks penjelasan (eksplanasi) dari media cetak atau elektronik.</v>
      </c>
      <c r="O40" s="475">
        <f>IFERROR('MTK3'!U39,"")</f>
        <v>75</v>
      </c>
      <c r="P40" s="475" t="str">
        <f>IFERROR('MTK3'!V39,"")</f>
        <v>C</v>
      </c>
      <c r="Q40" s="474" t="str">
        <f>'MTK3'!AA39</f>
        <v xml:space="preserve">RAFAREL cukup baik  dalam menjelaskan, dan menentukan volume bangun ruang dengan menggunakan satuan volume (seperti kubus satuan) serta hubungan pangkat tiga dengan akar pangkat tiga
</v>
      </c>
      <c r="R40" s="475">
        <f>IFERROR('IPA3'!U39,"")</f>
        <v>73</v>
      </c>
      <c r="S40" s="475" t="str">
        <f>IFERROR('IPA3'!V39,"")</f>
        <v>C</v>
      </c>
      <c r="T40" s="474" t="str">
        <f>'IPA3'!AA39</f>
        <v xml:space="preserve">RAFAREL cukup baik  dalam menerapkan konsep perpindahan kalor dalam kehidupan sehari-hari.
</v>
      </c>
      <c r="U40" s="475">
        <f>IFERROR('IPS3'!U39,"")</f>
        <v>78</v>
      </c>
      <c r="V40" s="475" t="str">
        <f>IFERROR('IPS3'!V39,"")</f>
        <v>B</v>
      </c>
      <c r="W40" s="474" t="str">
        <f>'IPS3'!AA39</f>
        <v>RAFAREL baik  dalam Mengidentifikasi karakteristik geografis Indonesia sebagai negara kepulauan/maritim dan agraris serta pengaruhnya terhadap kehidupan ekonomi, sosial, budaya, komunikasi, serta transportasi.</v>
      </c>
      <c r="X40" s="475">
        <f>IFERROR(SBDP3!U39,"")</f>
        <v>90</v>
      </c>
      <c r="Y40" s="475" t="str">
        <f>IFERROR(SBDP3!V39,"")</f>
        <v>A</v>
      </c>
      <c r="Z40" s="474" t="str">
        <f>SBDP3!AA39</f>
        <v>RAFAREL sangat baik  dalam memahami gambar cerita</v>
      </c>
      <c r="AA40" s="475">
        <f>IFERROR(PJOK3!U39,"")</f>
        <v>86</v>
      </c>
      <c r="AB40" s="475" t="str">
        <f>IFERROR(PJOK3!V39,"")</f>
        <v>B</v>
      </c>
      <c r="AC40" s="474" t="str">
        <f>PJOK3!AA39</f>
        <v xml:space="preserve">RAFAREL baik  dalam memahami kombinasi pola gerak dominan (bertumpu, bergantung, keseimbangan, berpindah/lokomotor, tolakan, putaran, ayunan, melayang, dan mendarat) untuk membentuk keterampilan dasar senam menggunakan alat
</v>
      </c>
      <c r="AD40" s="475">
        <f>IFERROR('MLK1-3'!U39,"")</f>
        <v>85</v>
      </c>
      <c r="AE40" s="475" t="str">
        <f>IFERROR('MLK1-3'!V39,"")</f>
        <v>B</v>
      </c>
      <c r="AF40" s="476" t="str">
        <f>'MLK1-3'!AA39</f>
        <v>RAFAREL baik  dalam memahami teks kawih tentang bangga sebagai bangsa Indonesia</v>
      </c>
      <c r="AG40" s="475">
        <f>IFERROR('MLK2-3'!X39,"")</f>
        <v>97</v>
      </c>
      <c r="AH40" s="475" t="str">
        <f>IFERROR('MLK2-3'!Y39,"")</f>
        <v>A</v>
      </c>
      <c r="AI40" s="474" t="str">
        <f>'MLK2-3'!AD39</f>
        <v xml:space="preserve">RAFAREL sangat baik  dalam merespon instruksi sangat sederhana dengan tindakan secara berterima dalam konteks sekolah  </v>
      </c>
      <c r="AJ40" s="475">
        <f>IFERROR('MLK3-3'!W39,"")</f>
        <v>73</v>
      </c>
      <c r="AK40" s="475" t="str">
        <f>IFERROR('MLK3-3'!X39,"")</f>
        <v>C</v>
      </c>
      <c r="AL40" s="476" t="str">
        <f>'MLK3-3'!AC39</f>
        <v xml:space="preserve">RAFAREL cukup baik  dalam merespon instruksi sangat sederhana dengan tindakan secara berterima dalam konteks sekolah  , dan  cukup baik  dalam membaca nyaring dengan ucapan, tekanan, dan intonasi secara tepat dan berterima yang melibatkan: kata, frasa, kalimat sangat sederhana, dan teks sangat sederhana 
</v>
      </c>
      <c r="AM40" s="475">
        <f>IFERROR('PAI4'!CI40,"")</f>
        <v>80</v>
      </c>
      <c r="AN40" s="475" t="str">
        <f>IFERROR('PAI4'!CJ40,"")</f>
        <v>B</v>
      </c>
      <c r="AO40" s="476" t="str">
        <f>'PAI4'!CO40</f>
        <v>RAFAREL baik  dalam membaca Q.S. at-Tīn dan Q.S. al-Mā’ūn dengan tartil.</v>
      </c>
      <c r="AP40" s="475">
        <f>IFERROR('PKN4'!U39,"")</f>
        <v>88</v>
      </c>
      <c r="AQ40" s="475" t="str">
        <f>IFERROR('PKN4'!V39,"")</f>
        <v>A</v>
      </c>
      <c r="AR40" s="474" t="str">
        <f>'PKN4'!AA39</f>
        <v>RAFAREL sangat baik  dalam menjelaskan hak, kewajiban, dan tanggung  jawab sebagai warga masyarakat dalam kehidupan sehari-hari</v>
      </c>
      <c r="AS40" s="475">
        <f>IFERROR(BIND4!U39,"")</f>
        <v>81</v>
      </c>
      <c r="AT40" s="475" t="str">
        <f>IFERROR(BIND4!V39,"")</f>
        <v>B</v>
      </c>
      <c r="AU40" s="474" t="str">
        <f>BIND4!AA39</f>
        <v xml:space="preserve">RAFAREL baik  dalam menyajikan ringkasan teks penjelasan (eksplanasi) dari media cetak atau elektronik dengan menggunakan kosakata baku dan kalimat efektif secara lisan, tulis, dan visual.
</v>
      </c>
      <c r="AV40" s="475">
        <f>IFERROR('MTK4'!U39,"")</f>
        <v>75</v>
      </c>
      <c r="AW40" s="475" t="str">
        <f>IFERROR('MTK4'!V39,"")</f>
        <v>C</v>
      </c>
      <c r="AX40" s="474" t="str">
        <f>'MTK4'!AA39</f>
        <v xml:space="preserve">RAFAREL cukup baik  dalam menyelesaikan masalah yang berkaitan dengan volume bangun ruang dengan menggunakan satuan volume (seperti kubus satuan) melibatkan pangkat tiga dan akar pangkat tiga
</v>
      </c>
      <c r="AY40" s="475">
        <f>IFERROR('IPA4'!U39,"")</f>
        <v>73</v>
      </c>
      <c r="AZ40" s="475" t="str">
        <f>IFERROR('IPA4'!V39,"")</f>
        <v>C</v>
      </c>
      <c r="BA40" s="474" t="str">
        <f>'IPA4'!AA39</f>
        <v>RAFAREL cukup baik  dalam melaporkan hasil pengamatan tentang perpindahan kalor.</v>
      </c>
      <c r="BB40" s="475">
        <f>IFERROR('IPS4'!U39,"")</f>
        <v>78</v>
      </c>
      <c r="BC40" s="475" t="str">
        <f>IFERROR('IPS4'!V39,"")</f>
        <v>B</v>
      </c>
      <c r="BD40" s="474" t="str">
        <f>'IPS4'!AA39</f>
        <v>RAFAREL baik  dalam menyajikan hasil identifikasi karakteristik geografis Indonesia sebagai negara kepulauan/maritim dan agraris serta pengaruhnya terhadap kehidupan ekonomi, sosial, budaya, komunikasi, serta transportasi.</v>
      </c>
      <c r="BE40" s="475">
        <f>IFERROR(SBDP4!U39,"")</f>
        <v>90</v>
      </c>
      <c r="BF40" s="475" t="str">
        <f>IFERROR(SBDP4!V39,"")</f>
        <v>A</v>
      </c>
      <c r="BG40" s="474" t="str">
        <f>SBDP4!AA39</f>
        <v>RAFAREL sangat baik  dalam membuat gambar cerita</v>
      </c>
      <c r="BH40" s="475">
        <f>IFERROR(PJOK4!U39,"")</f>
        <v>88</v>
      </c>
      <c r="BI40" s="475" t="str">
        <f>IFERROR(PJOK4!V39,"")</f>
        <v>A</v>
      </c>
      <c r="BJ40" s="476" t="str">
        <f>PJOK4!AA39</f>
        <v>RAFAREL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40" s="475">
        <f>IFERROR('MLK1-4'!U39,"")</f>
        <v>85</v>
      </c>
      <c r="BL40" s="475" t="str">
        <f>IFERROR('MLK1-4'!V39,"")</f>
        <v>B</v>
      </c>
      <c r="BM40" s="474" t="str">
        <f>'MLK1-4'!AA39</f>
        <v>RAFAREL baik  dalam melantunkan dan menceritakan isi kawih tentang bangga sebagai bangsa Indonesia</v>
      </c>
      <c r="BN40" s="475">
        <f>IFERROR('MLK2-4'!U39,"")</f>
        <v>97</v>
      </c>
      <c r="BO40" s="475" t="str">
        <f>IFERROR('MLK2-4'!V39,"")</f>
        <v>A</v>
      </c>
      <c r="BP40" s="474" t="str">
        <f>'MLK2-4'!AA39</f>
        <v>RAFAREL sangat baik  dalam memahami langkah-langkah pengawasan kelestarian lingkungan hidup</v>
      </c>
      <c r="BQ40" s="475">
        <f>IFERROR('MLK3-4'!Y39,"")</f>
        <v>70</v>
      </c>
      <c r="BR40" s="475" t="str">
        <f>IFERROR('MLK3-4'!Z39,"")</f>
        <v>C</v>
      </c>
      <c r="BS40" s="474" t="str">
        <f>'MLK3-4'!AE39</f>
        <v xml:space="preserve">RAFAREL cukup baik  dalam merespon instruksi sangat sederhana dengan tindakan secara berterima dalam konteks sekolah  </v>
      </c>
      <c r="BT40" s="475">
        <f t="shared" si="1"/>
        <v>78.681818181818187</v>
      </c>
      <c r="BU40" s="505">
        <f t="shared" si="0"/>
        <v>1731</v>
      </c>
      <c r="BV40" s="477">
        <f t="shared" si="2"/>
        <v>1731</v>
      </c>
      <c r="BW40" s="478">
        <f t="shared" si="3"/>
        <v>32</v>
      </c>
    </row>
    <row r="41" spans="1:75" ht="20.25" customHeight="1">
      <c r="A41" s="146">
        <v>36</v>
      </c>
      <c r="B41" s="146" t="str">
        <f>SISWA!B41</f>
        <v>1718250040340</v>
      </c>
      <c r="C41" s="471" t="str">
        <f>SISWA!C41</f>
        <v>RAKHA ZAHRAN SUTRISNO</v>
      </c>
      <c r="D41" s="472" t="str">
        <f>SPIRIT!P40</f>
        <v xml:space="preserve">Ananda RAKHA baik dalam  ketaatan beribadah,  berperilaku syukur,  berdoa sebelum dan sesudah melakukan kegiatan,  toleransi dalam beribadah, </v>
      </c>
      <c r="E41" s="472" t="str">
        <f>SOSIAL!T40</f>
        <v xml:space="preserve">Ananda RAKHA baik dalam sikap jujur, disiplin, tanggung jawab, santun, peduli, percaya diri, </v>
      </c>
      <c r="F41" s="473">
        <f>IFERROR('PAI3'!CI41,"")</f>
        <v>77</v>
      </c>
      <c r="G41" s="473" t="str">
        <f>IFERROR('PAI3'!CJ41,"")</f>
        <v>B</v>
      </c>
      <c r="H41" s="474" t="str">
        <f>'PAI3'!CO41</f>
        <v>RAKHA baik  dalam memahami pelaksanaan salat tarawih dan tadarus al-Qur'an., dan  cukup baik  dalam memahami nama-nama Rasul Allah dan Rasul Ulul ‘Azmi.</v>
      </c>
      <c r="I41" s="473">
        <f>IFERROR('PKN3'!U40,"")</f>
        <v>93</v>
      </c>
      <c r="J41" s="473" t="str">
        <f>IFERROR('PKN3'!V40,"")</f>
        <v>A</v>
      </c>
      <c r="K41" s="472" t="str">
        <f>'PKN3'!AA40</f>
        <v xml:space="preserve">RAKHA sangat baik  dalam memahami hak, kewajiban dan tanggung jawab sebagai warga dalam kehidupan sehari-hari.
</v>
      </c>
      <c r="L41" s="475">
        <f>IFERROR(BIND3!U40,"")</f>
        <v>86</v>
      </c>
      <c r="M41" s="475" t="str">
        <f>IFERROR(BIND3!V40,"")</f>
        <v>B</v>
      </c>
      <c r="N41" s="474" t="str">
        <f>BIND3!AA40</f>
        <v>RAKHA baik  dalam meringkas teks penjelasan (eksplanasi) dari media cetak atau elektronik.</v>
      </c>
      <c r="O41" s="475">
        <f>IFERROR('MTK3'!U40,"")</f>
        <v>70</v>
      </c>
      <c r="P41" s="475" t="str">
        <f>IFERROR('MTK3'!V40,"")</f>
        <v>C</v>
      </c>
      <c r="Q41" s="474" t="str">
        <f>'MTK3'!AA40</f>
        <v xml:space="preserve">RAKHA cukup baik  dalam menjelaskan, dan menentukan volume bangun ruang dengan menggunakan satuan volume (seperti kubus satuan) serta hubungan pangkat tiga dengan akar pangkat tiga
</v>
      </c>
      <c r="R41" s="475">
        <f>IFERROR('IPA3'!U40,"")</f>
        <v>75</v>
      </c>
      <c r="S41" s="475" t="str">
        <f>IFERROR('IPA3'!V40,"")</f>
        <v>C</v>
      </c>
      <c r="T41" s="474" t="str">
        <f>'IPA3'!AA40</f>
        <v xml:space="preserve">RAKHA cukup baik  dalam menerapkan konsep perpindahan kalor dalam kehidupan sehari-hari.
</v>
      </c>
      <c r="U41" s="475">
        <f>IFERROR('IPS3'!U40,"")</f>
        <v>83</v>
      </c>
      <c r="V41" s="475" t="str">
        <f>IFERROR('IPS3'!V40,"")</f>
        <v>B</v>
      </c>
      <c r="W41" s="474" t="str">
        <f>'IPS3'!AA40</f>
        <v>RAKHA baik  dalam Mengidentifikasi karakteristik geografis Indonesia sebagai negara kepulauan/maritim dan agraris serta pengaruhnya terhadap kehidupan ekonomi, sosial, budaya, komunikasi, serta transportasi.</v>
      </c>
      <c r="X41" s="475">
        <f>IFERROR(SBDP3!U40,"")</f>
        <v>98</v>
      </c>
      <c r="Y41" s="475" t="str">
        <f>IFERROR(SBDP3!V40,"")</f>
        <v>A</v>
      </c>
      <c r="Z41" s="474" t="str">
        <f>SBDP3!AA40</f>
        <v>RAKHA sangat baik  dalam memahami gambar cerita</v>
      </c>
      <c r="AA41" s="475">
        <f>IFERROR(PJOK3!U40,"")</f>
        <v>87</v>
      </c>
      <c r="AB41" s="475" t="str">
        <f>IFERROR(PJOK3!V40,"")</f>
        <v>B</v>
      </c>
      <c r="AC41" s="474" t="str">
        <f>PJOK3!AA40</f>
        <v xml:space="preserve">RAKHA sangat baik  dalam memahami kombinasi pola gerak dominan (bertumpu, bergantung, keseimbangan, berpindah/lokomotor, tolakan, putaran, ayunan, melayang, dan mendarat) untuk membentuk keterampilan dasar senam menggunakan alat
</v>
      </c>
      <c r="AD41" s="475">
        <f>IFERROR('MLK1-3'!U40,"")</f>
        <v>82</v>
      </c>
      <c r="AE41" s="475" t="str">
        <f>IFERROR('MLK1-3'!V40,"")</f>
        <v>B</v>
      </c>
      <c r="AF41" s="476" t="str">
        <f>'MLK1-3'!AA40</f>
        <v>RAKHA baik  dalam memahami teks kawih tentang bangga sebagai bangsa Indonesia</v>
      </c>
      <c r="AG41" s="475">
        <f>IFERROR('MLK2-3'!X40,"")</f>
        <v>94</v>
      </c>
      <c r="AH41" s="475" t="str">
        <f>IFERROR('MLK2-3'!Y40,"")</f>
        <v>A</v>
      </c>
      <c r="AI41" s="474" t="str">
        <f>'MLK2-3'!AD40</f>
        <v xml:space="preserve">RAKHA sangat baik  dalam merespon instruksi sangat sederhana dengan tindakan secara berterima dalam konteks sekolah  </v>
      </c>
      <c r="AJ41" s="475">
        <f>IFERROR('MLK3-3'!W40,"")</f>
        <v>88</v>
      </c>
      <c r="AK41" s="475" t="str">
        <f>IFERROR('MLK3-3'!X40,"")</f>
        <v>A</v>
      </c>
      <c r="AL41" s="476" t="str">
        <f>'MLK3-3'!AC40</f>
        <v xml:space="preserve">RAKHA sangat baik  dalam merespon instruksi sangat sederhana dengan tindakan secara berterima dalam konteks sekolah  , dan  baik  dalam membaca nyaring dengan ucapan, tekanan, dan intonasi secara tepat dan berterima yang melibatkan: kata, frasa, kalimat sangat sederhana, dan teks sangat sederhana 
</v>
      </c>
      <c r="AM41" s="475">
        <f>IFERROR('PAI4'!CI41,"")</f>
        <v>90</v>
      </c>
      <c r="AN41" s="475" t="str">
        <f>IFERROR('PAI4'!CJ41,"")</f>
        <v>A</v>
      </c>
      <c r="AO41" s="476" t="str">
        <f>'PAI4'!CO41</f>
        <v>RAKHA sangat baik  dalam membaca Q.S. at-Tīn dan Q.S. al-Mā’ūn dengan tartil.</v>
      </c>
      <c r="AP41" s="475">
        <f>IFERROR('PKN4'!U40,"")</f>
        <v>93</v>
      </c>
      <c r="AQ41" s="475" t="str">
        <f>IFERROR('PKN4'!V40,"")</f>
        <v>A</v>
      </c>
      <c r="AR41" s="474" t="str">
        <f>'PKN4'!AA40</f>
        <v>RAKHA sangat baik  dalam menjelaskan hak, kewajiban, dan tanggung  jawab sebagai warga masyarakat dalam kehidupan sehari-hari</v>
      </c>
      <c r="AS41" s="475">
        <f>IFERROR(BIND4!U40,"")</f>
        <v>86</v>
      </c>
      <c r="AT41" s="475" t="str">
        <f>IFERROR(BIND4!V40,"")</f>
        <v>B</v>
      </c>
      <c r="AU41" s="474" t="str">
        <f>BIND4!AA40</f>
        <v xml:space="preserve">RAKHA baik  dalam menyajikan ringkasan teks penjelasan (eksplanasi) dari media cetak atau elektronik dengan menggunakan kosakata baku dan kalimat efektif secara lisan, tulis, dan visual.
</v>
      </c>
      <c r="AV41" s="475">
        <f>IFERROR('MTK4'!U40,"")</f>
        <v>70</v>
      </c>
      <c r="AW41" s="475" t="str">
        <f>IFERROR('MTK4'!V40,"")</f>
        <v>C</v>
      </c>
      <c r="AX41" s="474" t="str">
        <f>'MTK4'!AA40</f>
        <v xml:space="preserve">RAKHA cukup baik  dalam menyelesaikan masalah yang berkaitan dengan volume bangun ruang dengan menggunakan satuan volume (seperti kubus satuan) melibatkan pangkat tiga dan akar pangkat tiga
</v>
      </c>
      <c r="AY41" s="475">
        <f>IFERROR('IPA4'!U40,"")</f>
        <v>75</v>
      </c>
      <c r="AZ41" s="475" t="str">
        <f>IFERROR('IPA4'!V40,"")</f>
        <v>C</v>
      </c>
      <c r="BA41" s="474" t="str">
        <f>'IPA4'!AA40</f>
        <v>RAKHA cukup baik  dalam melaporkan hasil pengamatan tentang perpindahan kalor.</v>
      </c>
      <c r="BB41" s="475">
        <f>IFERROR('IPS4'!U40,"")</f>
        <v>83</v>
      </c>
      <c r="BC41" s="475" t="str">
        <f>IFERROR('IPS4'!V40,"")</f>
        <v>B</v>
      </c>
      <c r="BD41" s="474" t="str">
        <f>'IPS4'!AA40</f>
        <v>RAKHA baik  dalam menyajikan hasil identifikasi karakteristik geografis Indonesia sebagai negara kepulauan/maritim dan agraris serta pengaruhnya terhadap kehidupan ekonomi, sosial, budaya, komunikasi, serta transportasi.</v>
      </c>
      <c r="BE41" s="475">
        <f>IFERROR(SBDP4!U40,"")</f>
        <v>98</v>
      </c>
      <c r="BF41" s="475" t="str">
        <f>IFERROR(SBDP4!V40,"")</f>
        <v>A</v>
      </c>
      <c r="BG41" s="474" t="str">
        <f>SBDP4!AA40</f>
        <v>RAKHA sangat baik  dalam membuat gambar cerita</v>
      </c>
      <c r="BH41" s="475">
        <f>IFERROR(PJOK4!U40,"")</f>
        <v>87</v>
      </c>
      <c r="BI41" s="475" t="str">
        <f>IFERROR(PJOK4!V40,"")</f>
        <v>B</v>
      </c>
      <c r="BJ41" s="476" t="str">
        <f>PJOK4!AA40</f>
        <v>RAKHA sangat baik  dalam menerapkan konsep pemeliharaan diri dan orang lain dari penyakit menular dan tidak menular, dan  baik  dalam mempraktikkan pengunaan kombinasi gerak dasar langkah dan ayunan lengan mengikuti irama (ketukan) tanpa/dengan musik dalam aktivitas gerak berirama</v>
      </c>
      <c r="BK41" s="475">
        <f>IFERROR('MLK1-4'!U40,"")</f>
        <v>82</v>
      </c>
      <c r="BL41" s="475" t="str">
        <f>IFERROR('MLK1-4'!V40,"")</f>
        <v>B</v>
      </c>
      <c r="BM41" s="474" t="str">
        <f>'MLK1-4'!AA40</f>
        <v>RAKHA baik  dalam melantunkan dan menceritakan isi kawih tentang bangga sebagai bangsa Indonesia</v>
      </c>
      <c r="BN41" s="475">
        <f>IFERROR('MLK2-4'!U40,"")</f>
        <v>94</v>
      </c>
      <c r="BO41" s="475" t="str">
        <f>IFERROR('MLK2-4'!V40,"")</f>
        <v>A</v>
      </c>
      <c r="BP41" s="474" t="str">
        <f>'MLK2-4'!AA40</f>
        <v>RAKHA sangat baik  dalam memahami langkah-langkah pengawasan kelestarian lingkungan hidup</v>
      </c>
      <c r="BQ41" s="475">
        <f>IFERROR('MLK3-4'!Y40,"")</f>
        <v>90</v>
      </c>
      <c r="BR41" s="475" t="str">
        <f>IFERROR('MLK3-4'!Z40,"")</f>
        <v>A</v>
      </c>
      <c r="BS41" s="474" t="str">
        <f>'MLK3-4'!AE40</f>
        <v xml:space="preserve">RAKHA sangat baik  dalam merespon instruksi sangat sederhana dengan tindakan secara berterima dalam konteks sekolah  </v>
      </c>
      <c r="BT41" s="475">
        <f t="shared" si="1"/>
        <v>82</v>
      </c>
      <c r="BU41" s="505">
        <f t="shared" si="0"/>
        <v>1804</v>
      </c>
      <c r="BV41" s="477">
        <f t="shared" si="2"/>
        <v>1804</v>
      </c>
      <c r="BW41" s="478">
        <f t="shared" si="3"/>
        <v>21</v>
      </c>
    </row>
    <row r="42" spans="1:75" ht="20.25" customHeight="1">
      <c r="A42" s="146">
        <v>37</v>
      </c>
      <c r="B42" s="146" t="str">
        <f>SISWA!B42</f>
        <v>1718250040341</v>
      </c>
      <c r="C42" s="471" t="str">
        <f>SISWA!C42</f>
        <v>RYU FRIKLI</v>
      </c>
      <c r="D42" s="472" t="str">
        <f>SPIRIT!P41</f>
        <v xml:space="preserve">Ananda RYU baik dalam  ketaatan beribadah,  berperilaku syukur,  berdoa sebelum dan sesudah melakukan kegiatan,  toleransi dalam beribadah, </v>
      </c>
      <c r="E42" s="472" t="str">
        <f>SOSIAL!T41</f>
        <v xml:space="preserve">Ananda RYU baik dalam sikap jujur, disiplin, tanggung jawab, santun, peduli, percaya diri, </v>
      </c>
      <c r="F42" s="473">
        <f>IFERROR('PAI3'!CI42,"")</f>
        <v>74</v>
      </c>
      <c r="G42" s="473" t="str">
        <f>IFERROR('PAI3'!CJ42,"")</f>
        <v>C</v>
      </c>
      <c r="H42" s="474" t="str">
        <f>'PAI3'!CO42</f>
        <v>RYU cukup baik  dalam memahami nama-nama Rasul Allah dan Rasul Ulul ‘Azmi., dan  cukup baik  dalam memahami makna Q.S. at-Tīn dan Q.S. al-Mā’ūn dengan benar.</v>
      </c>
      <c r="I42" s="473">
        <f>IFERROR('PKN3'!U41,"")</f>
        <v>70</v>
      </c>
      <c r="J42" s="473" t="str">
        <f>IFERROR('PKN3'!V41,"")</f>
        <v>C</v>
      </c>
      <c r="K42" s="472" t="str">
        <f>'PKN3'!AA41</f>
        <v xml:space="preserve">RYU cukup baik  dalam memahami hak, kewajiban dan tanggung jawab sebagai warga dalam kehidupan sehari-hari.
</v>
      </c>
      <c r="L42" s="475">
        <f>IFERROR(BIND3!U41,"")</f>
        <v>83</v>
      </c>
      <c r="M42" s="475" t="str">
        <f>IFERROR(BIND3!V41,"")</f>
        <v>B</v>
      </c>
      <c r="N42" s="474" t="str">
        <f>BIND3!AA41</f>
        <v>RYU baik  dalam meringkas teks penjelasan (eksplanasi) dari media cetak atau elektronik.</v>
      </c>
      <c r="O42" s="475">
        <f>IFERROR('MTK3'!U41,"")</f>
        <v>65</v>
      </c>
      <c r="P42" s="475" t="str">
        <f>IFERROR('MTK3'!V41,"")</f>
        <v>C</v>
      </c>
      <c r="Q42" s="474" t="str">
        <f>'MTK3'!AA41</f>
        <v xml:space="preserve">RYU cukup baik  dalam menjelaskan, dan menentukan volume bangun ruang dengan menggunakan satuan volume (seperti kubus satuan) serta hubungan pangkat tiga dengan akar pangkat tiga
</v>
      </c>
      <c r="R42" s="475">
        <f>IFERROR('IPA3'!U41,"")</f>
        <v>78</v>
      </c>
      <c r="S42" s="475" t="str">
        <f>IFERROR('IPA3'!V41,"")</f>
        <v>B</v>
      </c>
      <c r="T42" s="474" t="str">
        <f>'IPA3'!AA41</f>
        <v xml:space="preserve">RYU baik  dalam menerapkan konsep perpindahan kalor dalam kehidupan sehari-hari.
</v>
      </c>
      <c r="U42" s="475">
        <f>IFERROR('IPS3'!U41,"")</f>
        <v>73</v>
      </c>
      <c r="V42" s="475" t="str">
        <f>IFERROR('IPS3'!V41,"")</f>
        <v>C</v>
      </c>
      <c r="W42" s="474" t="str">
        <f>'IPS3'!AA41</f>
        <v>RYU cukup baik  dalam Mengidentifikasi karakteristik geografis Indonesia sebagai negara kepulauan/maritim dan agraris serta pengaruhnya terhadap kehidupan ekonomi, sosial, budaya, komunikasi, serta transportasi.</v>
      </c>
      <c r="X42" s="475">
        <f>IFERROR(SBDP3!U41,"")</f>
        <v>85</v>
      </c>
      <c r="Y42" s="475" t="str">
        <f>IFERROR(SBDP3!V41,"")</f>
        <v>B</v>
      </c>
      <c r="Z42" s="474" t="str">
        <f>SBDP3!AA41</f>
        <v>RYU baik  dalam memahami gambar cerita</v>
      </c>
      <c r="AA42" s="475">
        <f>IFERROR(PJOK3!U41,"")</f>
        <v>85</v>
      </c>
      <c r="AB42" s="475" t="str">
        <f>IFERROR(PJOK3!V41,"")</f>
        <v>B</v>
      </c>
      <c r="AC42" s="474" t="str">
        <f>PJOK3!AA41</f>
        <v xml:space="preserve">RYU baik  dalam memahami kombinasi pola gerak dominan (bertumpu, bergantung, keseimbangan, berpindah/lokomotor, tolakan, putaran, ayunan, melayang, dan mendarat) untuk membentuk keterampilan dasar senam menggunakan alat
</v>
      </c>
      <c r="AD42" s="475">
        <f>IFERROR('MLK1-3'!U41,"")</f>
        <v>65</v>
      </c>
      <c r="AE42" s="475" t="str">
        <f>IFERROR('MLK1-3'!V41,"")</f>
        <v>C</v>
      </c>
      <c r="AF42" s="476" t="str">
        <f>'MLK1-3'!AA41</f>
        <v>RYU cukup baik  dalam memahami teks kawih tentang bangga sebagai bangsa Indonesia</v>
      </c>
      <c r="AG42" s="475">
        <f>IFERROR('MLK2-3'!X41,"")</f>
        <v>85</v>
      </c>
      <c r="AH42" s="475" t="str">
        <f>IFERROR('MLK2-3'!Y41,"")</f>
        <v>B</v>
      </c>
      <c r="AI42" s="474" t="str">
        <f>'MLK2-3'!AD41</f>
        <v xml:space="preserve">RYU baik  dalam merespon instruksi sangat sederhana dengan tindakan secara berterima dalam konteks sekolah  </v>
      </c>
      <c r="AJ42" s="475">
        <f>IFERROR('MLK3-3'!W41,"")</f>
        <v>70</v>
      </c>
      <c r="AK42" s="475" t="str">
        <f>IFERROR('MLK3-3'!X41,"")</f>
        <v>C</v>
      </c>
      <c r="AL42" s="476" t="str">
        <f>'MLK3-3'!AC41</f>
        <v xml:space="preserve">RYU cukup baik  dalam merespon instruksi sangat sederhana dengan tindakan secara berterima dalam konteks sekolah  </v>
      </c>
      <c r="AM42" s="475">
        <f>IFERROR('PAI4'!CI42,"")</f>
        <v>80</v>
      </c>
      <c r="AN42" s="475" t="str">
        <f>IFERROR('PAI4'!CJ42,"")</f>
        <v>B</v>
      </c>
      <c r="AO42" s="476" t="str">
        <f>'PAI4'!CO42</f>
        <v>RYU baik  dalam membaca Q.S. at-Tīn dan Q.S. al-Mā’ūn dengan tartil.</v>
      </c>
      <c r="AP42" s="475">
        <f>IFERROR('PKN4'!U41,"")</f>
        <v>70</v>
      </c>
      <c r="AQ42" s="475" t="str">
        <f>IFERROR('PKN4'!V41,"")</f>
        <v>C</v>
      </c>
      <c r="AR42" s="474" t="str">
        <f>'PKN4'!AA41</f>
        <v>RYU cukup baik  dalam menjelaskan hak, kewajiban, dan tanggung  jawab sebagai warga masyarakat dalam kehidupan sehari-hari</v>
      </c>
      <c r="AS42" s="475">
        <f>IFERROR(BIND4!U41,"")</f>
        <v>83</v>
      </c>
      <c r="AT42" s="475" t="str">
        <f>IFERROR(BIND4!V41,"")</f>
        <v>B</v>
      </c>
      <c r="AU42" s="474" t="str">
        <f>BIND4!AA41</f>
        <v xml:space="preserve">RYU baik  dalam menyajikan ringkasan teks penjelasan (eksplanasi) dari media cetak atau elektronik dengan menggunakan kosakata baku dan kalimat efektif secara lisan, tulis, dan visual.
</v>
      </c>
      <c r="AV42" s="475">
        <f>IFERROR('MTK4'!U41,"")</f>
        <v>65</v>
      </c>
      <c r="AW42" s="475" t="str">
        <f>IFERROR('MTK4'!V41,"")</f>
        <v>C</v>
      </c>
      <c r="AX42" s="474" t="str">
        <f>'MTK4'!AA41</f>
        <v xml:space="preserve">RYU cukup baik  dalam menyelesaikan masalah yang berkaitan dengan volume bangun ruang dengan menggunakan satuan volume (seperti kubus satuan) melibatkan pangkat tiga dan akar pangkat tiga
</v>
      </c>
      <c r="AY42" s="475">
        <f>IFERROR('IPA4'!U41,"")</f>
        <v>78</v>
      </c>
      <c r="AZ42" s="475" t="str">
        <f>IFERROR('IPA4'!V41,"")</f>
        <v>B</v>
      </c>
      <c r="BA42" s="474" t="str">
        <f>'IPA4'!AA41</f>
        <v>RYU baik  dalam melaporkan hasil pengamatan tentang perpindahan kalor.</v>
      </c>
      <c r="BB42" s="475">
        <f>IFERROR('IPS4'!U41,"")</f>
        <v>73</v>
      </c>
      <c r="BC42" s="475" t="str">
        <f>IFERROR('IPS4'!V41,"")</f>
        <v>C</v>
      </c>
      <c r="BD42" s="474" t="str">
        <f>'IPS4'!AA41</f>
        <v>RYU cukup baik  dalam menyajikan hasil identifikasi karakteristik geografis Indonesia sebagai negara kepulauan/maritim dan agraris serta pengaruhnya terhadap kehidupan ekonomi, sosial, budaya, komunikasi, serta transportasi.</v>
      </c>
      <c r="BE42" s="475">
        <f>IFERROR(SBDP4!U41,"")</f>
        <v>85</v>
      </c>
      <c r="BF42" s="475" t="str">
        <f>IFERROR(SBDP4!V41,"")</f>
        <v>B</v>
      </c>
      <c r="BG42" s="474" t="str">
        <f>SBDP4!AA41</f>
        <v>RYU baik  dalam membuat gambar cerita</v>
      </c>
      <c r="BH42" s="475">
        <f>IFERROR(PJOK4!U41,"")</f>
        <v>88</v>
      </c>
      <c r="BI42" s="475" t="str">
        <f>IFERROR(PJOK4!V41,"")</f>
        <v>A</v>
      </c>
      <c r="BJ42" s="476" t="str">
        <f>PJOK4!AA41</f>
        <v>RYU sangat baik  dalam memaparkan bahaya merokok, meminum minuman keras, dan mengonsumsi narkotika, zat-zat aditif (NAPZA) dan obat berbahaya lainnya terhadap kesehatan tubuh, dan  baik  dalam mempraktikkan pengunaan kombinasi gerak dasar langkah dan ayunan lengan mengikuti irama (ketukan) tanpa/dengan musik dalam aktivitas gerak berirama</v>
      </c>
      <c r="BK42" s="475">
        <f>IFERROR('MLK1-4'!U41,"")</f>
        <v>65</v>
      </c>
      <c r="BL42" s="475" t="str">
        <f>IFERROR('MLK1-4'!V41,"")</f>
        <v>C</v>
      </c>
      <c r="BM42" s="474" t="str">
        <f>'MLK1-4'!AA41</f>
        <v>RYU cukup baik  dalam melantunkan dan menceritakan isi kawih tentang bangga sebagai bangsa Indonesia</v>
      </c>
      <c r="BN42" s="475">
        <f>IFERROR('MLK2-4'!U41,"")</f>
        <v>85</v>
      </c>
      <c r="BO42" s="475" t="str">
        <f>IFERROR('MLK2-4'!V41,"")</f>
        <v>B</v>
      </c>
      <c r="BP42" s="474" t="str">
        <f>'MLK2-4'!AA41</f>
        <v>RYU baik  dalam memahami langkah-langkah pengawasan kelestarian lingkungan hidup</v>
      </c>
      <c r="BQ42" s="475">
        <f>IFERROR('MLK3-4'!Y41,"")</f>
        <v>70</v>
      </c>
      <c r="BR42" s="475" t="str">
        <f>IFERROR('MLK3-4'!Z41,"")</f>
        <v>C</v>
      </c>
      <c r="BS42" s="474" t="str">
        <f>'MLK3-4'!AE41</f>
        <v xml:space="preserve">RYU cukup baik  dalam merespon instruksi sangat sederhana dengan tindakan secara berterima dalam konteks sekolah  </v>
      </c>
      <c r="BT42" s="475">
        <f t="shared" si="1"/>
        <v>72.772727272727266</v>
      </c>
      <c r="BU42" s="505">
        <f t="shared" si="0"/>
        <v>1601</v>
      </c>
      <c r="BV42" s="477">
        <f t="shared" si="2"/>
        <v>1601</v>
      </c>
      <c r="BW42" s="478">
        <f t="shared" si="3"/>
        <v>43</v>
      </c>
    </row>
    <row r="43" spans="1:75" ht="20.25" customHeight="1">
      <c r="A43" s="146">
        <v>38</v>
      </c>
      <c r="B43" s="146" t="str">
        <f>SISWA!B43</f>
        <v>1718250040342</v>
      </c>
      <c r="C43" s="471" t="str">
        <f>SISWA!C43</f>
        <v>SAEPUL RAHAYU</v>
      </c>
      <c r="D43" s="472" t="str">
        <f>SPIRIT!P42</f>
        <v xml:space="preserve">Ananda SAEPUL baik dalam  ketaatan beribadah,  berperilaku syukur,  berdoa sebelum dan sesudah melakukan kegiatan,  toleransi dalam beribadah, </v>
      </c>
      <c r="E43" s="472" t="str">
        <f>SOSIAL!T42</f>
        <v xml:space="preserve">Ananda SAEPUL baik dalam sikap jujur, disiplin, tanggung jawab, santun, peduli, percaya diri, </v>
      </c>
      <c r="F43" s="473">
        <f>IFERROR('PAI3'!CI43,"")</f>
        <v>82</v>
      </c>
      <c r="G43" s="473" t="str">
        <f>IFERROR('PAI3'!CJ43,"")</f>
        <v>B</v>
      </c>
      <c r="H43" s="474" t="str">
        <f>'PAI3'!CO43</f>
        <v>SAEPUL sangat baik  dalam memahami makna Q.S. at-Tīn dan Q.S. al-Mā’ūn dengan benar., dan  baik  dalam memahami nama-nama Rasul Allah dan Rasul Ulul ‘Azmi.</v>
      </c>
      <c r="I43" s="473">
        <f>IFERROR('PKN3'!U42,"")</f>
        <v>83</v>
      </c>
      <c r="J43" s="473" t="str">
        <f>IFERROR('PKN3'!V42,"")</f>
        <v>B</v>
      </c>
      <c r="K43" s="472" t="str">
        <f>'PKN3'!AA42</f>
        <v xml:space="preserve">SAEPUL baik  dalam memahami hak, kewajiban dan tanggung jawab sebagai warga dalam kehidupan sehari-hari.
</v>
      </c>
      <c r="L43" s="475">
        <f>IFERROR(BIND3!U42,"")</f>
        <v>82</v>
      </c>
      <c r="M43" s="475" t="str">
        <f>IFERROR(BIND3!V42,"")</f>
        <v>B</v>
      </c>
      <c r="N43" s="474" t="str">
        <f>BIND3!AA42</f>
        <v>SAEPUL baik  dalam meringkas teks penjelasan (eksplanasi) dari media cetak atau elektronik.</v>
      </c>
      <c r="O43" s="475">
        <f>IFERROR('MTK3'!U42,"")</f>
        <v>70</v>
      </c>
      <c r="P43" s="475" t="str">
        <f>IFERROR('MTK3'!V42,"")</f>
        <v>C</v>
      </c>
      <c r="Q43" s="474" t="str">
        <f>'MTK3'!AA42</f>
        <v xml:space="preserve">SAEPUL cukup baik  dalam menjelaskan, dan menentukan volume bangun ruang dengan menggunakan satuan volume (seperti kubus satuan) serta hubungan pangkat tiga dengan akar pangkat tiga
</v>
      </c>
      <c r="R43" s="475">
        <f>IFERROR('IPA3'!U42,"")</f>
        <v>88</v>
      </c>
      <c r="S43" s="475" t="str">
        <f>IFERROR('IPA3'!V42,"")</f>
        <v>A</v>
      </c>
      <c r="T43" s="474" t="str">
        <f>'IPA3'!AA42</f>
        <v xml:space="preserve">SAEPUL sangat baik  dalam menerapkan konsep perpindahan kalor dalam kehidupan sehari-hari.
</v>
      </c>
      <c r="U43" s="475">
        <f>IFERROR('IPS3'!U42,"")</f>
        <v>85</v>
      </c>
      <c r="V43" s="475" t="str">
        <f>IFERROR('IPS3'!V42,"")</f>
        <v>B</v>
      </c>
      <c r="W43" s="474" t="str">
        <f>'IPS3'!AA42</f>
        <v>SAEPUL baik  dalam Mengidentifikasi karakteristik geografis Indonesia sebagai negara kepulauan/maritim dan agraris serta pengaruhnya terhadap kehidupan ekonomi, sosial, budaya, komunikasi, serta transportasi.</v>
      </c>
      <c r="X43" s="475">
        <f>IFERROR(SBDP3!U42,"")</f>
        <v>88</v>
      </c>
      <c r="Y43" s="475" t="str">
        <f>IFERROR(SBDP3!V42,"")</f>
        <v>A</v>
      </c>
      <c r="Z43" s="474" t="str">
        <f>SBDP3!AA42</f>
        <v>SAEPUL sangat baik  dalam memahami gambar cerita</v>
      </c>
      <c r="AA43" s="475">
        <f>IFERROR(PJOK3!U42,"")</f>
        <v>89</v>
      </c>
      <c r="AB43" s="475" t="str">
        <f>IFERROR(PJOK3!V42,"")</f>
        <v>A</v>
      </c>
      <c r="AC43" s="474" t="str">
        <f>PJOK3!AA42</f>
        <v xml:space="preserve">SAEPUL sangat baik  dalam memahami kombinasi pola gerak dominan (bertumpu, bergantung, keseimbangan, berpindah/lokomotor, tolakan, putaran, ayunan, melayang, dan mendarat) untuk membentuk keterampilan dasar senam menggunakan alat
</v>
      </c>
      <c r="AD43" s="475">
        <f>IFERROR('MLK1-3'!U42,"")</f>
        <v>71</v>
      </c>
      <c r="AE43" s="475" t="str">
        <f>IFERROR('MLK1-3'!V42,"")</f>
        <v>C</v>
      </c>
      <c r="AF43" s="476" t="str">
        <f>'MLK1-3'!AA42</f>
        <v>SAEPUL cukup baik  dalam memahami teks kawih tentang bangga sebagai bangsa Indonesia</v>
      </c>
      <c r="AG43" s="475">
        <f>IFERROR('MLK2-3'!X42,"")</f>
        <v>91</v>
      </c>
      <c r="AH43" s="475" t="str">
        <f>IFERROR('MLK2-3'!Y42,"")</f>
        <v>A</v>
      </c>
      <c r="AI43" s="474" t="str">
        <f>'MLK2-3'!AD42</f>
        <v xml:space="preserve">SAEPUL sangat baik  dalam merespon instruksi sangat sederhana dengan tindakan secara berterima dalam konteks sekolah  </v>
      </c>
      <c r="AJ43" s="475">
        <f>IFERROR('MLK3-3'!W42,"")</f>
        <v>70</v>
      </c>
      <c r="AK43" s="475" t="str">
        <f>IFERROR('MLK3-3'!X42,"")</f>
        <v>C</v>
      </c>
      <c r="AL43" s="476" t="str">
        <f>'MLK3-3'!AC42</f>
        <v xml:space="preserve">SAEPUL cukup baik  dalam merespon instruksi sangat sederhana dengan tindakan secara berterima dalam konteks sekolah  </v>
      </c>
      <c r="AM43" s="475">
        <f>IFERROR('PAI4'!CI43,"")</f>
        <v>88</v>
      </c>
      <c r="AN43" s="475" t="str">
        <f>IFERROR('PAI4'!CJ43,"")</f>
        <v>A</v>
      </c>
      <c r="AO43" s="476" t="str">
        <f>'PAI4'!CO43</f>
        <v>SAEPUL sangat baik  dalam membaca Q.S. at-Tīn dan Q.S. al-Mā’ūn dengan tartil.</v>
      </c>
      <c r="AP43" s="475">
        <f>IFERROR('PKN4'!U42,"")</f>
        <v>83</v>
      </c>
      <c r="AQ43" s="475" t="str">
        <f>IFERROR('PKN4'!V42,"")</f>
        <v>B</v>
      </c>
      <c r="AR43" s="474" t="str">
        <f>'PKN4'!AA42</f>
        <v>SAEPUL baik  dalam menjelaskan hak, kewajiban, dan tanggung  jawab sebagai warga masyarakat dalam kehidupan sehari-hari</v>
      </c>
      <c r="AS43" s="475">
        <f>IFERROR(BIND4!U42,"")</f>
        <v>82</v>
      </c>
      <c r="AT43" s="475" t="str">
        <f>IFERROR(BIND4!V42,"")</f>
        <v>B</v>
      </c>
      <c r="AU43" s="474" t="str">
        <f>BIND4!AA42</f>
        <v xml:space="preserve">SAEPUL baik  dalam menyajikan ringkasan teks penjelasan (eksplanasi) dari media cetak atau elektronik dengan menggunakan kosakata baku dan kalimat efektif secara lisan, tulis, dan visual.
</v>
      </c>
      <c r="AV43" s="475">
        <f>IFERROR('MTK4'!U42,"")</f>
        <v>70</v>
      </c>
      <c r="AW43" s="475" t="str">
        <f>IFERROR('MTK4'!V42,"")</f>
        <v>C</v>
      </c>
      <c r="AX43" s="474" t="str">
        <f>'MTK4'!AA42</f>
        <v xml:space="preserve">SAEPUL cukup baik  dalam menyelesaikan masalah yang berkaitan dengan volume bangun ruang dengan menggunakan satuan volume (seperti kubus satuan) melibatkan pangkat tiga dan akar pangkat tiga
</v>
      </c>
      <c r="AY43" s="475">
        <f>IFERROR('IPA4'!U42,"")</f>
        <v>88</v>
      </c>
      <c r="AZ43" s="475" t="str">
        <f>IFERROR('IPA4'!V42,"")</f>
        <v>A</v>
      </c>
      <c r="BA43" s="474" t="str">
        <f>'IPA4'!AA42</f>
        <v>SAEPUL sangat baik  dalam melaporkan hasil pengamatan tentang perpindahan kalor.</v>
      </c>
      <c r="BB43" s="475">
        <f>IFERROR('IPS4'!U42,"")</f>
        <v>85</v>
      </c>
      <c r="BC43" s="475" t="str">
        <f>IFERROR('IPS4'!V42,"")</f>
        <v>B</v>
      </c>
      <c r="BD43" s="474" t="str">
        <f>'IPS4'!AA42</f>
        <v>SAEPUL baik  dalam menyajikan hasil identifikasi karakteristik geografis Indonesia sebagai negara kepulauan/maritim dan agraris serta pengaruhnya terhadap kehidupan ekonomi, sosial, budaya, komunikasi, serta transportasi.</v>
      </c>
      <c r="BE43" s="475">
        <f>IFERROR(SBDP4!U42,"")</f>
        <v>88</v>
      </c>
      <c r="BF43" s="475" t="str">
        <f>IFERROR(SBDP4!V42,"")</f>
        <v>A</v>
      </c>
      <c r="BG43" s="474" t="str">
        <f>SBDP4!AA42</f>
        <v>SAEPUL sangat baik  dalam membuat gambar cerita</v>
      </c>
      <c r="BH43" s="475">
        <f>IFERROR(PJOK4!U42,"")</f>
        <v>90</v>
      </c>
      <c r="BI43" s="475" t="str">
        <f>IFERROR(PJOK4!V42,"")</f>
        <v>A</v>
      </c>
      <c r="BJ43" s="476" t="str">
        <f>PJOK4!AA42</f>
        <v>SAEPUL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43" s="475">
        <f>IFERROR('MLK1-4'!U42,"")</f>
        <v>71</v>
      </c>
      <c r="BL43" s="475" t="str">
        <f>IFERROR('MLK1-4'!V42,"")</f>
        <v>C</v>
      </c>
      <c r="BM43" s="474" t="str">
        <f>'MLK1-4'!AA42</f>
        <v>SAEPUL cukup baik  dalam melantunkan dan menceritakan isi kawih tentang bangga sebagai bangsa Indonesia</v>
      </c>
      <c r="BN43" s="475">
        <f>IFERROR('MLK2-4'!U42,"")</f>
        <v>91</v>
      </c>
      <c r="BO43" s="475" t="str">
        <f>IFERROR('MLK2-4'!V42,"")</f>
        <v>A</v>
      </c>
      <c r="BP43" s="474" t="str">
        <f>'MLK2-4'!AA42</f>
        <v>SAEPUL sangat baik  dalam memahami langkah-langkah pengawasan kelestarian lingkungan hidup</v>
      </c>
      <c r="BQ43" s="475">
        <f>IFERROR('MLK3-4'!Y42,"")</f>
        <v>70</v>
      </c>
      <c r="BR43" s="475" t="str">
        <f>IFERROR('MLK3-4'!Z42,"")</f>
        <v>C</v>
      </c>
      <c r="BS43" s="474" t="str">
        <f>'MLK3-4'!AE42</f>
        <v xml:space="preserve">SAEPUL cukup baik  dalam merespon instruksi sangat sederhana dengan tindakan secara berterima dalam konteks sekolah  </v>
      </c>
      <c r="BT43" s="475">
        <f t="shared" si="1"/>
        <v>78.318181818181813</v>
      </c>
      <c r="BU43" s="505">
        <f t="shared" si="0"/>
        <v>1723</v>
      </c>
      <c r="BV43" s="477">
        <f t="shared" si="2"/>
        <v>1723</v>
      </c>
      <c r="BW43" s="478">
        <f t="shared" si="3"/>
        <v>33</v>
      </c>
    </row>
    <row r="44" spans="1:75" ht="20.25" customHeight="1">
      <c r="A44" s="146">
        <v>39</v>
      </c>
      <c r="B44" s="146" t="str">
        <f>SISWA!B44</f>
        <v>1718250040343</v>
      </c>
      <c r="C44" s="471" t="str">
        <f>SISWA!C44</f>
        <v>SALMA KHAIRUNISA</v>
      </c>
      <c r="D44" s="472" t="str">
        <f>SPIRIT!P43</f>
        <v xml:space="preserve">Ananda SALMA baik dalam  ketaatan beribadah,  berperilaku syukur,  berdoa sebelum dan sesudah melakukan kegiatan,  toleransi dalam beribadah, </v>
      </c>
      <c r="E44" s="472" t="str">
        <f>SOSIAL!T43</f>
        <v xml:space="preserve">Ananda SALMA baik dalam sikap jujur, disiplin, tanggung jawab, santun, peduli, percaya diri, </v>
      </c>
      <c r="F44" s="473">
        <f>IFERROR('PAI3'!CI44,"")</f>
        <v>75</v>
      </c>
      <c r="G44" s="473" t="str">
        <f>IFERROR('PAI3'!CJ44,"")</f>
        <v>C</v>
      </c>
      <c r="H44" s="474" t="str">
        <f>'PAI3'!CO44</f>
        <v>SALMA baik  dalam memahami pelaksanaan salat tarawih dan tadarus al-Qur'an., dan  perlu bimbingan  dalam memahami makna ikhlas beramal dalam kehidupan sehari-hari</v>
      </c>
      <c r="I44" s="473">
        <f>IFERROR('PKN3'!U43,"")</f>
        <v>78</v>
      </c>
      <c r="J44" s="473" t="str">
        <f>IFERROR('PKN3'!V43,"")</f>
        <v>B</v>
      </c>
      <c r="K44" s="472" t="str">
        <f>'PKN3'!AA43</f>
        <v xml:space="preserve">SALMA baik  dalam memahami hak, kewajiban dan tanggung jawab sebagai warga dalam kehidupan sehari-hari.
</v>
      </c>
      <c r="L44" s="475">
        <f>IFERROR(BIND3!U43,"")</f>
        <v>85</v>
      </c>
      <c r="M44" s="475" t="str">
        <f>IFERROR(BIND3!V43,"")</f>
        <v>B</v>
      </c>
      <c r="N44" s="474" t="str">
        <f>BIND3!AA43</f>
        <v>SALMA baik  dalam meringkas teks penjelasan (eksplanasi) dari media cetak atau elektronik.</v>
      </c>
      <c r="O44" s="475">
        <f>IFERROR('MTK3'!U43,"")</f>
        <v>70</v>
      </c>
      <c r="P44" s="475" t="str">
        <f>IFERROR('MTK3'!V43,"")</f>
        <v>C</v>
      </c>
      <c r="Q44" s="474" t="str">
        <f>'MTK3'!AA43</f>
        <v xml:space="preserve">SALMA cukup baik  dalam menjelaskan, dan menentukan volume bangun ruang dengan menggunakan satuan volume (seperti kubus satuan) serta hubungan pangkat tiga dengan akar pangkat tiga
</v>
      </c>
      <c r="R44" s="475">
        <f>IFERROR('IPA3'!U43,"")</f>
        <v>78</v>
      </c>
      <c r="S44" s="475" t="str">
        <f>IFERROR('IPA3'!V43,"")</f>
        <v>B</v>
      </c>
      <c r="T44" s="474" t="str">
        <f>'IPA3'!AA43</f>
        <v xml:space="preserve">SALMA baik  dalam menerapkan konsep perpindahan kalor dalam kehidupan sehari-hari.
</v>
      </c>
      <c r="U44" s="475">
        <f>IFERROR('IPS3'!U43,"")</f>
        <v>78</v>
      </c>
      <c r="V44" s="475" t="str">
        <f>IFERROR('IPS3'!V43,"")</f>
        <v>B</v>
      </c>
      <c r="W44" s="474" t="str">
        <f>'IPS3'!AA43</f>
        <v>SALMA baik  dalam Mengidentifikasi karakteristik geografis Indonesia sebagai negara kepulauan/maritim dan agraris serta pengaruhnya terhadap kehidupan ekonomi, sosial, budaya, komunikasi, serta transportasi.</v>
      </c>
      <c r="X44" s="475">
        <f>IFERROR(SBDP3!U43,"")</f>
        <v>80</v>
      </c>
      <c r="Y44" s="475" t="str">
        <f>IFERROR(SBDP3!V43,"")</f>
        <v>B</v>
      </c>
      <c r="Z44" s="474" t="str">
        <f>SBDP3!AA43</f>
        <v>SALMA baik  dalam memahami gambar cerita</v>
      </c>
      <c r="AA44" s="475">
        <f>IFERROR(PJOK3!U43,"")</f>
        <v>84</v>
      </c>
      <c r="AB44" s="475" t="str">
        <f>IFERROR(PJOK3!V43,"")</f>
        <v>B</v>
      </c>
      <c r="AC44" s="474" t="str">
        <f>PJOK3!AA43</f>
        <v xml:space="preserve">SALMA baik  dalam memahami kombinasi pola gerak dominan (bertumpu, bergantung, keseimbangan, berpindah/lokomotor, tolakan, putaran, ayunan, melayang, dan mendarat) untuk membentuk keterampilan dasar senam menggunakan alat
</v>
      </c>
      <c r="AD44" s="475">
        <f>IFERROR('MLK1-3'!U43,"")</f>
        <v>71</v>
      </c>
      <c r="AE44" s="475" t="str">
        <f>IFERROR('MLK1-3'!V43,"")</f>
        <v>C</v>
      </c>
      <c r="AF44" s="476" t="str">
        <f>'MLK1-3'!AA43</f>
        <v>SALMA cukup baik  dalam memahami teks kawih tentang bangga sebagai bangsa Indonesia</v>
      </c>
      <c r="AG44" s="475">
        <f>IFERROR('MLK2-3'!X43,"")</f>
        <v>91</v>
      </c>
      <c r="AH44" s="475" t="str">
        <f>IFERROR('MLK2-3'!Y43,"")</f>
        <v>A</v>
      </c>
      <c r="AI44" s="474" t="str">
        <f>'MLK2-3'!AD43</f>
        <v xml:space="preserve">SALMA sangat baik  dalam merespon instruksi sangat sederhana dengan tindakan secara berterima dalam konteks sekolah  </v>
      </c>
      <c r="AJ44" s="475">
        <f>IFERROR('MLK3-3'!W43,"")</f>
        <v>75</v>
      </c>
      <c r="AK44" s="475" t="str">
        <f>IFERROR('MLK3-3'!X43,"")</f>
        <v>C</v>
      </c>
      <c r="AL44" s="476" t="str">
        <f>'MLK3-3'!AC43</f>
        <v xml:space="preserve">SALMA baik  dalam merespon instruksi sangat sederhana dengan tindakan secara berterima dalam konteks sekolah  , dan  cukup baik  dalam mengeja kalimat sangat sederhana secara tepat dan berterima </v>
      </c>
      <c r="AM44" s="475">
        <f>IFERROR('PAI4'!CI44,"")</f>
        <v>90</v>
      </c>
      <c r="AN44" s="475" t="str">
        <f>IFERROR('PAI4'!CJ44,"")</f>
        <v>A</v>
      </c>
      <c r="AO44" s="476" t="str">
        <f>'PAI4'!CO44</f>
        <v>SALMA sangat baik  dalam membaca Q.S. at-Tīn dan Q.S. al-Mā’ūn dengan tartil.</v>
      </c>
      <c r="AP44" s="475">
        <f>IFERROR('PKN4'!U43,"")</f>
        <v>78</v>
      </c>
      <c r="AQ44" s="475" t="str">
        <f>IFERROR('PKN4'!V43,"")</f>
        <v>B</v>
      </c>
      <c r="AR44" s="474" t="str">
        <f>'PKN4'!AA43</f>
        <v>SALMA baik  dalam menjelaskan hak, kewajiban, dan tanggung  jawab sebagai warga masyarakat dalam kehidupan sehari-hari</v>
      </c>
      <c r="AS44" s="475">
        <f>IFERROR(BIND4!U43,"")</f>
        <v>85</v>
      </c>
      <c r="AT44" s="475" t="str">
        <f>IFERROR(BIND4!V43,"")</f>
        <v>B</v>
      </c>
      <c r="AU44" s="474" t="str">
        <f>BIND4!AA43</f>
        <v xml:space="preserve">SALMA baik  dalam menyajikan ringkasan teks penjelasan (eksplanasi) dari media cetak atau elektronik dengan menggunakan kosakata baku dan kalimat efektif secara lisan, tulis, dan visual.
</v>
      </c>
      <c r="AV44" s="475">
        <f>IFERROR('MTK4'!U43,"")</f>
        <v>70</v>
      </c>
      <c r="AW44" s="475" t="str">
        <f>IFERROR('MTK4'!V43,"")</f>
        <v>C</v>
      </c>
      <c r="AX44" s="474" t="str">
        <f>'MTK4'!AA43</f>
        <v xml:space="preserve">SALMA cukup baik  dalam menyelesaikan masalah yang berkaitan dengan volume bangun ruang dengan menggunakan satuan volume (seperti kubus satuan) melibatkan pangkat tiga dan akar pangkat tiga
</v>
      </c>
      <c r="AY44" s="475">
        <f>IFERROR('IPA4'!U43,"")</f>
        <v>78</v>
      </c>
      <c r="AZ44" s="475" t="str">
        <f>IFERROR('IPA4'!V43,"")</f>
        <v>B</v>
      </c>
      <c r="BA44" s="474" t="str">
        <f>'IPA4'!AA43</f>
        <v>SALMA baik  dalam melaporkan hasil pengamatan tentang perpindahan kalor.</v>
      </c>
      <c r="BB44" s="475">
        <f>IFERROR('IPS4'!U43,"")</f>
        <v>78</v>
      </c>
      <c r="BC44" s="475" t="str">
        <f>IFERROR('IPS4'!V43,"")</f>
        <v>B</v>
      </c>
      <c r="BD44" s="474" t="str">
        <f>'IPS4'!AA43</f>
        <v>SALMA baik  dalam menyajikan hasil identifikasi karakteristik geografis Indonesia sebagai negara kepulauan/maritim dan agraris serta pengaruhnya terhadap kehidupan ekonomi, sosial, budaya, komunikasi, serta transportasi.</v>
      </c>
      <c r="BE44" s="475">
        <f>IFERROR(SBDP4!U43,"")</f>
        <v>80</v>
      </c>
      <c r="BF44" s="475" t="str">
        <f>IFERROR(SBDP4!V43,"")</f>
        <v>B</v>
      </c>
      <c r="BG44" s="474" t="str">
        <f>SBDP4!AA43</f>
        <v>SALMA baik  dalam membuat gambar cerita</v>
      </c>
      <c r="BH44" s="475">
        <f>IFERROR(PJOK4!U43,"")</f>
        <v>87</v>
      </c>
      <c r="BI44" s="475" t="str">
        <f>IFERROR(PJOK4!V43,"")</f>
        <v>B</v>
      </c>
      <c r="BJ44" s="476" t="str">
        <f>PJOK4!AA43</f>
        <v>SALMA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44" s="475">
        <f>IFERROR('MLK1-4'!U43,"")</f>
        <v>71</v>
      </c>
      <c r="BL44" s="475" t="str">
        <f>IFERROR('MLK1-4'!V43,"")</f>
        <v>C</v>
      </c>
      <c r="BM44" s="474" t="str">
        <f>'MLK1-4'!AA43</f>
        <v>SALMA cukup baik  dalam melantunkan dan menceritakan isi kawih tentang bangga sebagai bangsa Indonesia</v>
      </c>
      <c r="BN44" s="475">
        <f>IFERROR('MLK2-4'!U43,"")</f>
        <v>91</v>
      </c>
      <c r="BO44" s="475" t="str">
        <f>IFERROR('MLK2-4'!V43,"")</f>
        <v>A</v>
      </c>
      <c r="BP44" s="474" t="str">
        <f>'MLK2-4'!AA43</f>
        <v>SALMA sangat baik  dalam memahami langkah-langkah pengawasan kelestarian lingkungan hidup</v>
      </c>
      <c r="BQ44" s="475">
        <f>IFERROR('MLK3-4'!Y43,"")</f>
        <v>70</v>
      </c>
      <c r="BR44" s="475" t="str">
        <f>IFERROR('MLK3-4'!Z43,"")</f>
        <v>C</v>
      </c>
      <c r="BS44" s="474" t="str">
        <f>'MLK3-4'!AE43</f>
        <v xml:space="preserve">SALMA cukup baik  dalam merespon instruksi sangat sederhana dengan tindakan secara berterima dalam konteks sekolah  </v>
      </c>
      <c r="BT44" s="475">
        <f t="shared" si="1"/>
        <v>75.818181818181813</v>
      </c>
      <c r="BU44" s="505">
        <f t="shared" si="0"/>
        <v>1668</v>
      </c>
      <c r="BV44" s="477">
        <f t="shared" si="2"/>
        <v>1668</v>
      </c>
      <c r="BW44" s="478">
        <f t="shared" si="3"/>
        <v>40</v>
      </c>
    </row>
    <row r="45" spans="1:75" ht="20.25" customHeight="1">
      <c r="A45" s="146">
        <v>40</v>
      </c>
      <c r="B45" s="146" t="str">
        <f>SISWA!B45</f>
        <v>1718250040344</v>
      </c>
      <c r="C45" s="471" t="str">
        <f>SISWA!C45</f>
        <v>SYAKILA PUTRI APRILIA</v>
      </c>
      <c r="D45" s="472" t="str">
        <f>SPIRIT!P44</f>
        <v xml:space="preserve">Ananda SYAKILA baik dalam  ketaatan beribadah,  berperilaku syukur,  berdoa sebelum dan sesudah melakukan kegiatan,  toleransi dalam beribadah, </v>
      </c>
      <c r="E45" s="472" t="str">
        <f>SOSIAL!T44</f>
        <v xml:space="preserve">Ananda SYAKILA baik dalam sikap jujur, disiplin, tanggung jawab, santun, peduli, percaya diri, </v>
      </c>
      <c r="F45" s="473">
        <f>IFERROR('PAI3'!CI45,"")</f>
        <v>81</v>
      </c>
      <c r="G45" s="473" t="str">
        <f>IFERROR('PAI3'!CJ45,"")</f>
        <v>B</v>
      </c>
      <c r="H45" s="474" t="str">
        <f>'PAI3'!CO45</f>
        <v>SYAKILA sangat baik  dalam memahami makna Q.S. at-Tīn dan Q.S. al-Mā’ūn dengan benar., dan  cukup baik  dalam memahami nama-nama Rasul Allah dan Rasul Ulul ‘Azmi.</v>
      </c>
      <c r="I45" s="473">
        <f>IFERROR('PKN3'!U44,"")</f>
        <v>90</v>
      </c>
      <c r="J45" s="473" t="str">
        <f>IFERROR('PKN3'!V44,"")</f>
        <v>A</v>
      </c>
      <c r="K45" s="472" t="str">
        <f>'PKN3'!AA44</f>
        <v xml:space="preserve">SYAKILA sangat baik  dalam memahami hak, kewajiban dan tanggung jawab sebagai warga dalam kehidupan sehari-hari.
</v>
      </c>
      <c r="L45" s="475">
        <f>IFERROR(BIND3!U44,"")</f>
        <v>91</v>
      </c>
      <c r="M45" s="475" t="str">
        <f>IFERROR(BIND3!V44,"")</f>
        <v>A</v>
      </c>
      <c r="N45" s="474" t="str">
        <f>BIND3!AA44</f>
        <v>SYAKILA sangat baik  dalam meringkas teks penjelasan (eksplanasi) dari media cetak atau elektronik.</v>
      </c>
      <c r="O45" s="475">
        <f>IFERROR('MTK3'!U44,"")</f>
        <v>75</v>
      </c>
      <c r="P45" s="475" t="str">
        <f>IFERROR('MTK3'!V44,"")</f>
        <v>C</v>
      </c>
      <c r="Q45" s="474" t="str">
        <f>'MTK3'!AA44</f>
        <v xml:space="preserve">SYAKILA cukup baik  dalam menjelaskan, dan menentukan volume bangun ruang dengan menggunakan satuan volume (seperti kubus satuan) serta hubungan pangkat tiga dengan akar pangkat tiga
</v>
      </c>
      <c r="R45" s="475">
        <f>IFERROR('IPA3'!U44,"")</f>
        <v>90</v>
      </c>
      <c r="S45" s="475" t="str">
        <f>IFERROR('IPA3'!V44,"")</f>
        <v>A</v>
      </c>
      <c r="T45" s="474" t="str">
        <f>'IPA3'!AA44</f>
        <v xml:space="preserve">SYAKILA sangat baik  dalam menerapkan konsep perpindahan kalor dalam kehidupan sehari-hari.
</v>
      </c>
      <c r="U45" s="475">
        <f>IFERROR('IPS3'!U44,"")</f>
        <v>88</v>
      </c>
      <c r="V45" s="475" t="str">
        <f>IFERROR('IPS3'!V44,"")</f>
        <v>A</v>
      </c>
      <c r="W45" s="474" t="str">
        <f>'IPS3'!AA44</f>
        <v>SYAKILA sangat baik  dalam Mengidentifikasi karakteristik geografis Indonesia sebagai negara kepulauan/maritim dan agraris serta pengaruhnya terhadap kehidupan ekonomi, sosial, budaya, komunikasi, serta transportasi.</v>
      </c>
      <c r="X45" s="475">
        <f>IFERROR(SBDP3!U44,"")</f>
        <v>90</v>
      </c>
      <c r="Y45" s="475" t="str">
        <f>IFERROR(SBDP3!V44,"")</f>
        <v>A</v>
      </c>
      <c r="Z45" s="474" t="str">
        <f>SBDP3!AA44</f>
        <v>SYAKILA sangat baik  dalam memahami gambar cerita</v>
      </c>
      <c r="AA45" s="475">
        <f>IFERROR(PJOK3!U44,"")</f>
        <v>87</v>
      </c>
      <c r="AB45" s="475" t="str">
        <f>IFERROR(PJOK3!V44,"")</f>
        <v>B</v>
      </c>
      <c r="AC45" s="474" t="str">
        <f>PJOK3!AA44</f>
        <v xml:space="preserve">SYAKILA baik  dalam memahami kombinasi pola gerak dominan (bertumpu, bergantung, keseimbangan, berpindah/lokomotor, tolakan, putaran, ayunan, melayang, dan mendarat) untuk membentuk keterampilan dasar senam menggunakan alat
</v>
      </c>
      <c r="AD45" s="475">
        <f>IFERROR('MLK1-3'!U44,"")</f>
        <v>77</v>
      </c>
      <c r="AE45" s="475" t="str">
        <f>IFERROR('MLK1-3'!V44,"")</f>
        <v>B</v>
      </c>
      <c r="AF45" s="476" t="str">
        <f>'MLK1-3'!AA44</f>
        <v>SYAKILA baik  dalam memahami teks kawih tentang bangga sebagai bangsa Indonesia</v>
      </c>
      <c r="AG45" s="475">
        <f>IFERROR('MLK2-3'!X44,"")</f>
        <v>97</v>
      </c>
      <c r="AH45" s="475" t="str">
        <f>IFERROR('MLK2-3'!Y44,"")</f>
        <v>A</v>
      </c>
      <c r="AI45" s="474" t="str">
        <f>'MLK2-3'!AD44</f>
        <v xml:space="preserve">SYAKILA sangat baik  dalam merespon instruksi sangat sederhana dengan tindakan secara berterima dalam konteks sekolah  </v>
      </c>
      <c r="AJ45" s="475">
        <f>IFERROR('MLK3-3'!W44,"")</f>
        <v>92</v>
      </c>
      <c r="AK45" s="475" t="str">
        <f>IFERROR('MLK3-3'!X44,"")</f>
        <v>A</v>
      </c>
      <c r="AL45" s="476" t="str">
        <f>'MLK3-3'!AC44</f>
        <v xml:space="preserve">SYAKILA sangat baik  dalam mengeja kalimat sangat sederhana secara tepat dan berterima , dan  sangat baik  dalam merespon instruksi sangat sederhana dengan tindakan secara berterima dalam konteks sekolah  </v>
      </c>
      <c r="AM45" s="475">
        <f>IFERROR('PAI4'!CI45,"")</f>
        <v>88</v>
      </c>
      <c r="AN45" s="475" t="str">
        <f>IFERROR('PAI4'!CJ45,"")</f>
        <v>A</v>
      </c>
      <c r="AO45" s="476" t="str">
        <f>'PAI4'!CO45</f>
        <v>SYAKILA sangat baik  dalam membaca Q.S. at-Tīn dan Q.S. al-Mā’ūn dengan tartil.</v>
      </c>
      <c r="AP45" s="475">
        <f>IFERROR('PKN4'!U44,"")</f>
        <v>90</v>
      </c>
      <c r="AQ45" s="475" t="str">
        <f>IFERROR('PKN4'!V44,"")</f>
        <v>A</v>
      </c>
      <c r="AR45" s="474" t="str">
        <f>'PKN4'!AA44</f>
        <v>SYAKILA sangat baik  dalam menjelaskan hak, kewajiban, dan tanggung  jawab sebagai warga masyarakat dalam kehidupan sehari-hari</v>
      </c>
      <c r="AS45" s="475">
        <f>IFERROR(BIND4!U44,"")</f>
        <v>91</v>
      </c>
      <c r="AT45" s="475" t="str">
        <f>IFERROR(BIND4!V44,"")</f>
        <v>A</v>
      </c>
      <c r="AU45" s="474" t="str">
        <f>BIND4!AA44</f>
        <v xml:space="preserve">SYAKILA sangat baik  dalam menyajikan ringkasan teks penjelasan (eksplanasi) dari media cetak atau elektronik dengan menggunakan kosakata baku dan kalimat efektif secara lisan, tulis, dan visual.
</v>
      </c>
      <c r="AV45" s="475">
        <f>IFERROR('MTK4'!U44,"")</f>
        <v>75</v>
      </c>
      <c r="AW45" s="475" t="str">
        <f>IFERROR('MTK4'!V44,"")</f>
        <v>C</v>
      </c>
      <c r="AX45" s="474" t="str">
        <f>'MTK4'!AA44</f>
        <v xml:space="preserve">SYAKILA cukup baik  dalam menyelesaikan masalah yang berkaitan dengan volume bangun ruang dengan menggunakan satuan volume (seperti kubus satuan) melibatkan pangkat tiga dan akar pangkat tiga
</v>
      </c>
      <c r="AY45" s="475">
        <f>IFERROR('IPA4'!U44,"")</f>
        <v>90</v>
      </c>
      <c r="AZ45" s="475" t="str">
        <f>IFERROR('IPA4'!V44,"")</f>
        <v>A</v>
      </c>
      <c r="BA45" s="474" t="str">
        <f>'IPA4'!AA44</f>
        <v>SYAKILA sangat baik  dalam melaporkan hasil pengamatan tentang perpindahan kalor.</v>
      </c>
      <c r="BB45" s="475">
        <f>IFERROR('IPS4'!U44,"")</f>
        <v>88</v>
      </c>
      <c r="BC45" s="475" t="str">
        <f>IFERROR('IPS4'!V44,"")</f>
        <v>A</v>
      </c>
      <c r="BD45" s="474" t="str">
        <f>'IPS4'!AA44</f>
        <v>SYAKILA sangat baik  dalam menyajikan hasil identifikasi karakteristik geografis Indonesia sebagai negara kepulauan/maritim dan agraris serta pengaruhnya terhadap kehidupan ekonomi, sosial, budaya, komunikasi, serta transportasi.</v>
      </c>
      <c r="BE45" s="475">
        <f>IFERROR(SBDP4!U44,"")</f>
        <v>90</v>
      </c>
      <c r="BF45" s="475" t="str">
        <f>IFERROR(SBDP4!V44,"")</f>
        <v>A</v>
      </c>
      <c r="BG45" s="474" t="str">
        <f>SBDP4!AA44</f>
        <v>SYAKILA sangat baik  dalam membuat gambar cerita</v>
      </c>
      <c r="BH45" s="475">
        <f>IFERROR(PJOK4!U44,"")</f>
        <v>85</v>
      </c>
      <c r="BI45" s="475" t="str">
        <f>IFERROR(PJOK4!V44,"")</f>
        <v>B</v>
      </c>
      <c r="BJ45" s="476" t="str">
        <f>PJOK4!AA44</f>
        <v xml:space="preserve">SYAKILA sangat baik  dalam menerapkan konsep pemeliharaan diri dan orang lain dari penyakit menular dan tidak menular, dan  baik  dalam mempraktikkan kombinasi pola gerak dominan (bertumpu, bergantung, keseimbangan, berpindah/ lokomotor, tolakan, putaran, ayunan, melayang, dan mendarat) untuk membentuk keterampilan dasar senam menggunakan alat
</v>
      </c>
      <c r="BK45" s="475">
        <f>IFERROR('MLK1-4'!U44,"")</f>
        <v>77</v>
      </c>
      <c r="BL45" s="475" t="str">
        <f>IFERROR('MLK1-4'!V44,"")</f>
        <v>B</v>
      </c>
      <c r="BM45" s="474" t="str">
        <f>'MLK1-4'!AA44</f>
        <v>SYAKILA baik  dalam melantunkan dan menceritakan isi kawih tentang bangga sebagai bangsa Indonesia</v>
      </c>
      <c r="BN45" s="475">
        <f>IFERROR('MLK2-4'!U44,"")</f>
        <v>97</v>
      </c>
      <c r="BO45" s="475" t="str">
        <f>IFERROR('MLK2-4'!V44,"")</f>
        <v>A</v>
      </c>
      <c r="BP45" s="474" t="str">
        <f>'MLK2-4'!AA44</f>
        <v>SYAKILA sangat baik  dalam memahami langkah-langkah pengawasan kelestarian lingkungan hidup</v>
      </c>
      <c r="BQ45" s="475">
        <f>IFERROR('MLK3-4'!Y44,"")</f>
        <v>92</v>
      </c>
      <c r="BR45" s="475" t="str">
        <f>IFERROR('MLK3-4'!Z44,"")</f>
        <v>A</v>
      </c>
      <c r="BS45" s="474" t="str">
        <f>'MLK3-4'!AE44</f>
        <v xml:space="preserve">SYAKILA sangat baik  dalam merespon instruksi sangat sederhana dengan tindakan secara berterima dalam konteks sekolah  </v>
      </c>
      <c r="BT45" s="475">
        <f t="shared" si="1"/>
        <v>83.63636363636364</v>
      </c>
      <c r="BU45" s="505">
        <f t="shared" si="0"/>
        <v>1840</v>
      </c>
      <c r="BV45" s="477">
        <f t="shared" si="2"/>
        <v>1840</v>
      </c>
      <c r="BW45" s="478">
        <f t="shared" si="3"/>
        <v>10</v>
      </c>
    </row>
    <row r="46" spans="1:75" ht="20.25" customHeight="1">
      <c r="A46" s="146">
        <v>41</v>
      </c>
      <c r="B46" s="146" t="str">
        <f>SISWA!B46</f>
        <v>1718250040345</v>
      </c>
      <c r="C46" s="471" t="str">
        <f>SISWA!C46</f>
        <v>SYIFA FADILLA KHOERUNNISA</v>
      </c>
      <c r="D46" s="472" t="str">
        <f>SPIRIT!P45</f>
        <v xml:space="preserve">Ananda SYIFA baik dalam  ketaatan beribadah,  berperilaku syukur,  berdoa sebelum dan sesudah melakukan kegiatan,  toleransi dalam beribadah, </v>
      </c>
      <c r="E46" s="472" t="str">
        <f>SOSIAL!T45</f>
        <v xml:space="preserve">Ananda SYIFA baik dalam sikap jujur, disiplin, tanggung jawab, santun, peduli, percaya diri, </v>
      </c>
      <c r="F46" s="473">
        <f>IFERROR('PAI3'!CI46,"")</f>
        <v>77</v>
      </c>
      <c r="G46" s="473" t="str">
        <f>IFERROR('PAI3'!CJ46,"")</f>
        <v>B</v>
      </c>
      <c r="H46" s="474" t="str">
        <f>'PAI3'!CO46</f>
        <v>SYIFA baik  dalam memahami pelaksanaan salat tarawih dan tadarus al-Qur'an., dan  cukup baik  dalam memahami nama-nama Rasul Allah dan Rasul Ulul ‘Azmi.</v>
      </c>
      <c r="I46" s="473">
        <f>IFERROR('PKN3'!U45,"")</f>
        <v>73</v>
      </c>
      <c r="J46" s="473" t="str">
        <f>IFERROR('PKN3'!V45,"")</f>
        <v>C</v>
      </c>
      <c r="K46" s="472" t="str">
        <f>'PKN3'!AA45</f>
        <v xml:space="preserve">SYIFA cukup baik  dalam memahami hak, kewajiban dan tanggung jawab sebagai warga dalam kehidupan sehari-hari.
</v>
      </c>
      <c r="L46" s="475">
        <f>IFERROR(BIND3!U45,"")</f>
        <v>75</v>
      </c>
      <c r="M46" s="475" t="str">
        <f>IFERROR(BIND3!V45,"")</f>
        <v>C</v>
      </c>
      <c r="N46" s="474" t="str">
        <f>BIND3!AA45</f>
        <v>SYIFA cukup baik  dalam meringkas teks penjelasan (eksplanasi) dari media cetak atau elektronik.</v>
      </c>
      <c r="O46" s="475">
        <f>IFERROR('MTK3'!U45,"")</f>
        <v>70</v>
      </c>
      <c r="P46" s="475" t="str">
        <f>IFERROR('MTK3'!V45,"")</f>
        <v>C</v>
      </c>
      <c r="Q46" s="474" t="str">
        <f>'MTK3'!AA45</f>
        <v xml:space="preserve">SYIFA cukup baik  dalam menjelaskan, dan menentukan volume bangun ruang dengan menggunakan satuan volume (seperti kubus satuan) serta hubungan pangkat tiga dengan akar pangkat tiga
</v>
      </c>
      <c r="R46" s="475">
        <f>IFERROR('IPA3'!U45,"")</f>
        <v>80</v>
      </c>
      <c r="S46" s="475" t="str">
        <f>IFERROR('IPA3'!V45,"")</f>
        <v>B</v>
      </c>
      <c r="T46" s="474" t="str">
        <f>'IPA3'!AA45</f>
        <v xml:space="preserve">SYIFA baik  dalam menerapkan konsep perpindahan kalor dalam kehidupan sehari-hari.
</v>
      </c>
      <c r="U46" s="475">
        <f>IFERROR('IPS3'!U45,"")</f>
        <v>88</v>
      </c>
      <c r="V46" s="475" t="str">
        <f>IFERROR('IPS3'!V45,"")</f>
        <v>A</v>
      </c>
      <c r="W46" s="474" t="str">
        <f>'IPS3'!AA45</f>
        <v>SYIFA sangat baik  dalam Mengidentifikasi karakteristik geografis Indonesia sebagai negara kepulauan/maritim dan agraris serta pengaruhnya terhadap kehidupan ekonomi, sosial, budaya, komunikasi, serta transportasi.</v>
      </c>
      <c r="X46" s="475">
        <f>IFERROR(SBDP3!U45,"")</f>
        <v>85</v>
      </c>
      <c r="Y46" s="475" t="str">
        <f>IFERROR(SBDP3!V45,"")</f>
        <v>B</v>
      </c>
      <c r="Z46" s="474" t="str">
        <f>SBDP3!AA45</f>
        <v>SYIFA baik  dalam memahami gambar cerita</v>
      </c>
      <c r="AA46" s="475">
        <f>IFERROR(PJOK3!U45,"")</f>
        <v>86</v>
      </c>
      <c r="AB46" s="475" t="str">
        <f>IFERROR(PJOK3!V45,"")</f>
        <v>B</v>
      </c>
      <c r="AC46" s="474" t="str">
        <f>PJOK3!AA45</f>
        <v xml:space="preserve">SYIFA baik  dalam memahami kombinasi pola gerak dominan (bertumpu, bergantung, keseimbangan, berpindah/lokomotor, tolakan, putaran, ayunan, melayang, dan mendarat) untuk membentuk keterampilan dasar senam menggunakan alat
</v>
      </c>
      <c r="AD46" s="475">
        <f>IFERROR('MLK1-3'!U45,"")</f>
        <v>85</v>
      </c>
      <c r="AE46" s="475" t="str">
        <f>IFERROR('MLK1-3'!V45,"")</f>
        <v>B</v>
      </c>
      <c r="AF46" s="476" t="str">
        <f>'MLK1-3'!AA45</f>
        <v>SYIFA baik  dalam memahami teks kawih tentang bangga sebagai bangsa Indonesia</v>
      </c>
      <c r="AG46" s="475">
        <f>IFERROR('MLK2-3'!X45,"")</f>
        <v>85</v>
      </c>
      <c r="AH46" s="475" t="str">
        <f>IFERROR('MLK2-3'!Y45,"")</f>
        <v>B</v>
      </c>
      <c r="AI46" s="474" t="str">
        <f>'MLK2-3'!AD45</f>
        <v xml:space="preserve">SYIFA baik  dalam merespon instruksi sangat sederhana dengan tindakan secara berterima dalam konteks sekolah  </v>
      </c>
      <c r="AJ46" s="475">
        <f>IFERROR('MLK3-3'!W45,"")</f>
        <v>75</v>
      </c>
      <c r="AK46" s="475" t="str">
        <f>IFERROR('MLK3-3'!X45,"")</f>
        <v>C</v>
      </c>
      <c r="AL46" s="476" t="str">
        <f>'MLK3-3'!AC45</f>
        <v xml:space="preserve">SYIFA baik  dalam merespon instruksi sangat sederhana dengan tindakan secara berterima dalam konteks sekolah  , dan  cukup baik  dalam mengeja kalimat sangat sederhana secara tepat dan berterima </v>
      </c>
      <c r="AM46" s="475">
        <f>IFERROR('PAI4'!CI46,"")</f>
        <v>85</v>
      </c>
      <c r="AN46" s="475" t="str">
        <f>IFERROR('PAI4'!CJ46,"")</f>
        <v>B</v>
      </c>
      <c r="AO46" s="476" t="str">
        <f>'PAI4'!CO46</f>
        <v>SYIFA baik  dalam membaca Q.S. at-Tīn dan Q.S. al-Mā’ūn dengan tartil.</v>
      </c>
      <c r="AP46" s="475">
        <f>IFERROR('PKN4'!U45,"")</f>
        <v>73</v>
      </c>
      <c r="AQ46" s="475" t="str">
        <f>IFERROR('PKN4'!V45,"")</f>
        <v>C</v>
      </c>
      <c r="AR46" s="474" t="str">
        <f>'PKN4'!AA45</f>
        <v>SYIFA cukup baik  dalam menjelaskan hak, kewajiban, dan tanggung  jawab sebagai warga masyarakat dalam kehidupan sehari-hari</v>
      </c>
      <c r="AS46" s="475">
        <f>IFERROR(BIND4!U45,"")</f>
        <v>75</v>
      </c>
      <c r="AT46" s="475" t="str">
        <f>IFERROR(BIND4!V45,"")</f>
        <v>C</v>
      </c>
      <c r="AU46" s="474" t="str">
        <f>BIND4!AA45</f>
        <v xml:space="preserve">SYIFA cukup baik  dalam menyajikan ringkasan teks penjelasan (eksplanasi) dari media cetak atau elektronik dengan menggunakan kosakata baku dan kalimat efektif secara lisan, tulis, dan visual.
</v>
      </c>
      <c r="AV46" s="475">
        <f>IFERROR('MTK4'!U45,"")</f>
        <v>70</v>
      </c>
      <c r="AW46" s="475" t="str">
        <f>IFERROR('MTK4'!V45,"")</f>
        <v>C</v>
      </c>
      <c r="AX46" s="474" t="str">
        <f>'MTK4'!AA45</f>
        <v xml:space="preserve">SYIFA cukup baik  dalam menyelesaikan masalah yang berkaitan dengan volume bangun ruang dengan menggunakan satuan volume (seperti kubus satuan) melibatkan pangkat tiga dan akar pangkat tiga
</v>
      </c>
      <c r="AY46" s="475">
        <f>IFERROR('IPA4'!U45,"")</f>
        <v>80</v>
      </c>
      <c r="AZ46" s="475" t="str">
        <f>IFERROR('IPA4'!V45,"")</f>
        <v>B</v>
      </c>
      <c r="BA46" s="474" t="str">
        <f>'IPA4'!AA45</f>
        <v>SYIFA baik  dalam melaporkan hasil pengamatan tentang perpindahan kalor.</v>
      </c>
      <c r="BB46" s="475">
        <f>IFERROR('IPS4'!U45,"")</f>
        <v>88</v>
      </c>
      <c r="BC46" s="475" t="str">
        <f>IFERROR('IPS4'!V45,"")</f>
        <v>A</v>
      </c>
      <c r="BD46" s="474" t="str">
        <f>'IPS4'!AA45</f>
        <v>SYIFA sangat baik  dalam menyajikan hasil identifikasi karakteristik geografis Indonesia sebagai negara kepulauan/maritim dan agraris serta pengaruhnya terhadap kehidupan ekonomi, sosial, budaya, komunikasi, serta transportasi.</v>
      </c>
      <c r="BE46" s="475">
        <f>IFERROR(SBDP4!U45,"")</f>
        <v>85</v>
      </c>
      <c r="BF46" s="475" t="str">
        <f>IFERROR(SBDP4!V45,"")</f>
        <v>B</v>
      </c>
      <c r="BG46" s="474" t="str">
        <f>SBDP4!AA45</f>
        <v>SYIFA baik  dalam membuat gambar cerita</v>
      </c>
      <c r="BH46" s="475">
        <f>IFERROR(PJOK4!U45,"")</f>
        <v>87</v>
      </c>
      <c r="BI46" s="475" t="str">
        <f>IFERROR(PJOK4!V45,"")</f>
        <v>B</v>
      </c>
      <c r="BJ46" s="476" t="str">
        <f>PJOK4!AA45</f>
        <v>SYIFA sangat baik  dalam menerapkan konsep pemeliharaan diri dan orang lain dari penyakit menular dan tidak menular, dan  baik  dalam mempraktikkan pengunaan kombinasi gerak dasar langkah dan ayunan lengan mengikuti irama (ketukan) tanpa/dengan musik dalam aktivitas gerak berirama</v>
      </c>
      <c r="BK46" s="475">
        <f>IFERROR('MLK1-4'!U45,"")</f>
        <v>85</v>
      </c>
      <c r="BL46" s="475" t="str">
        <f>IFERROR('MLK1-4'!V45,"")</f>
        <v>B</v>
      </c>
      <c r="BM46" s="474" t="str">
        <f>'MLK1-4'!AA45</f>
        <v>SYIFA baik  dalam melantunkan dan menceritakan isi kawih tentang bangga sebagai bangsa Indonesia</v>
      </c>
      <c r="BN46" s="475">
        <f>IFERROR('MLK2-4'!U45,"")</f>
        <v>85</v>
      </c>
      <c r="BO46" s="475" t="str">
        <f>IFERROR('MLK2-4'!V45,"")</f>
        <v>B</v>
      </c>
      <c r="BP46" s="474" t="str">
        <f>'MLK2-4'!AA45</f>
        <v>SYIFA baik  dalam memahami langkah-langkah pengawasan kelestarian lingkungan hidup</v>
      </c>
      <c r="BQ46" s="475">
        <f>IFERROR('MLK3-4'!Y45,"")</f>
        <v>70</v>
      </c>
      <c r="BR46" s="475" t="str">
        <f>IFERROR('MLK3-4'!Z45,"")</f>
        <v>C</v>
      </c>
      <c r="BS46" s="474" t="str">
        <f>'MLK3-4'!AE45</f>
        <v xml:space="preserve">SYIFA cukup baik  dalam merespon instruksi sangat sederhana dengan tindakan secara berterima dalam konteks sekolah  </v>
      </c>
      <c r="BT46" s="475">
        <f t="shared" si="1"/>
        <v>76.590909090909093</v>
      </c>
      <c r="BU46" s="505">
        <f t="shared" si="0"/>
        <v>1685</v>
      </c>
      <c r="BV46" s="477">
        <f t="shared" si="2"/>
        <v>1685</v>
      </c>
      <c r="BW46" s="478">
        <f t="shared" si="3"/>
        <v>37</v>
      </c>
    </row>
    <row r="47" spans="1:75" ht="20.25" customHeight="1">
      <c r="A47" s="146">
        <v>42</v>
      </c>
      <c r="B47" s="146" t="str">
        <f>SISWA!B47</f>
        <v>1718250040346</v>
      </c>
      <c r="C47" s="471" t="str">
        <f>SISWA!C47</f>
        <v>WAFDAN MUHAMMAD AMADDA</v>
      </c>
      <c r="D47" s="472" t="str">
        <f>SPIRIT!P46</f>
        <v xml:space="preserve">Ananda WAFDAN baik dalam  ketaatan beribadah,  berperilaku syukur,  berdoa sebelum dan sesudah melakukan kegiatan,  toleransi dalam beribadah, </v>
      </c>
      <c r="E47" s="472" t="str">
        <f>SOSIAL!T46</f>
        <v xml:space="preserve">Ananda WAFDAN baik dalam sikap jujur, disiplin, tanggung jawab, santun, peduli, percaya diri, </v>
      </c>
      <c r="F47" s="473">
        <f>IFERROR('PAI3'!CI47,"")</f>
        <v>80</v>
      </c>
      <c r="G47" s="473" t="str">
        <f>IFERROR('PAI3'!CJ47,"")</f>
        <v>B</v>
      </c>
      <c r="H47" s="474" t="str">
        <f>'PAI3'!CO47</f>
        <v>WAFDAN sangat baik  dalam memahami makna Q.S. at-Tīn dan Q.S. al-Mā’ūn dengan benar., dan  cukup baik  dalam memahami nama-nama Rasul Allah dan Rasul Ulul ‘Azmi.</v>
      </c>
      <c r="I47" s="473">
        <f>IFERROR('PKN3'!U46,"")</f>
        <v>85</v>
      </c>
      <c r="J47" s="473" t="str">
        <f>IFERROR('PKN3'!V46,"")</f>
        <v>B</v>
      </c>
      <c r="K47" s="472" t="str">
        <f>'PKN3'!AA46</f>
        <v xml:space="preserve">WAFDAN baik  dalam memahami hak, kewajiban dan tanggung jawab sebagai warga dalam kehidupan sehari-hari.
</v>
      </c>
      <c r="L47" s="475">
        <f>IFERROR(BIND3!U46,"")</f>
        <v>92</v>
      </c>
      <c r="M47" s="475" t="str">
        <f>IFERROR(BIND3!V46,"")</f>
        <v>A</v>
      </c>
      <c r="N47" s="474" t="str">
        <f>BIND3!AA46</f>
        <v>WAFDAN sangat baik  dalam meringkas teks penjelasan (eksplanasi) dari media cetak atau elektronik.</v>
      </c>
      <c r="O47" s="475">
        <f>IFERROR('MTK3'!U46,"")</f>
        <v>75</v>
      </c>
      <c r="P47" s="475" t="str">
        <f>IFERROR('MTK3'!V46,"")</f>
        <v>C</v>
      </c>
      <c r="Q47" s="474" t="str">
        <f>'MTK3'!AA46</f>
        <v xml:space="preserve">WAFDAN cukup baik  dalam menjelaskan, dan menentukan volume bangun ruang dengan menggunakan satuan volume (seperti kubus satuan) serta hubungan pangkat tiga dengan akar pangkat tiga
</v>
      </c>
      <c r="R47" s="475">
        <f>IFERROR('IPA3'!U46,"")</f>
        <v>90</v>
      </c>
      <c r="S47" s="475" t="str">
        <f>IFERROR('IPA3'!V46,"")</f>
        <v>A</v>
      </c>
      <c r="T47" s="474" t="str">
        <f>'IPA3'!AA46</f>
        <v xml:space="preserve">WAFDAN sangat baik  dalam menerapkan konsep perpindahan kalor dalam kehidupan sehari-hari.
</v>
      </c>
      <c r="U47" s="475">
        <f>IFERROR('IPS3'!U46,"")</f>
        <v>83</v>
      </c>
      <c r="V47" s="475" t="str">
        <f>IFERROR('IPS3'!V46,"")</f>
        <v>B</v>
      </c>
      <c r="W47" s="474" t="str">
        <f>'IPS3'!AA46</f>
        <v>WAFDAN baik  dalam Mengidentifikasi karakteristik geografis Indonesia sebagai negara kepulauan/maritim dan agraris serta pengaruhnya terhadap kehidupan ekonomi, sosial, budaya, komunikasi, serta transportasi.</v>
      </c>
      <c r="X47" s="475">
        <f>IFERROR(SBDP3!U46,"")</f>
        <v>93</v>
      </c>
      <c r="Y47" s="475" t="str">
        <f>IFERROR(SBDP3!V46,"")</f>
        <v>A</v>
      </c>
      <c r="Z47" s="474" t="str">
        <f>SBDP3!AA46</f>
        <v>WAFDAN sangat baik  dalam memahami gambar cerita</v>
      </c>
      <c r="AA47" s="475">
        <f>IFERROR(PJOK3!U46,"")</f>
        <v>89</v>
      </c>
      <c r="AB47" s="475" t="str">
        <f>IFERROR(PJOK3!V46,"")</f>
        <v>A</v>
      </c>
      <c r="AC47" s="474" t="str">
        <f>PJOK3!AA46</f>
        <v xml:space="preserve">WAFDAN sangat baik  dalam memahami kombinasi pola gerak dominan (bertumpu, bergantung, keseimbangan, berpindah/lokomotor, tolakan, putaran, ayunan, melayang, dan mendarat) untuk membentuk keterampilan dasar senam menggunakan alat
</v>
      </c>
      <c r="AD47" s="475">
        <f>IFERROR('MLK1-3'!U46,"")</f>
        <v>94</v>
      </c>
      <c r="AE47" s="475" t="str">
        <f>IFERROR('MLK1-3'!V46,"")</f>
        <v>A</v>
      </c>
      <c r="AF47" s="476" t="str">
        <f>'MLK1-3'!AA46</f>
        <v>WAFDAN sangat baik  dalam memahami teks kawih tentang bangga sebagai bangsa Indonesia</v>
      </c>
      <c r="AG47" s="475">
        <f>IFERROR('MLK2-3'!X46,"")</f>
        <v>100</v>
      </c>
      <c r="AH47" s="475" t="str">
        <f>IFERROR('MLK2-3'!Y46,"")</f>
        <v>A</v>
      </c>
      <c r="AI47" s="474" t="str">
        <f>'MLK2-3'!AD46</f>
        <v xml:space="preserve">WAFDAN sangat baik  dalam merespon instruksi sangat sederhana dengan tindakan secara berterima dalam konteks sekolah  </v>
      </c>
      <c r="AJ47" s="475">
        <f>IFERROR('MLK3-3'!W46,"")</f>
        <v>88</v>
      </c>
      <c r="AK47" s="475" t="str">
        <f>IFERROR('MLK3-3'!X46,"")</f>
        <v>A</v>
      </c>
      <c r="AL47" s="476" t="str">
        <f>'MLK3-3'!AC46</f>
        <v xml:space="preserve">WAFDAN sangat baik  dalam mengeja kalimat sangat sederhana secara tepat dan berterima , dan  baik  dalam bercakap-cakap untuk menyertai tindakan secara berterima yang melibatkan tindak tutur: memberi contoh melakukan sesuatu, memberi aba-aba, dan memberi petunjuk 
</v>
      </c>
      <c r="AM47" s="475">
        <f>IFERROR('PAI4'!CI47,"")</f>
        <v>90</v>
      </c>
      <c r="AN47" s="475" t="str">
        <f>IFERROR('PAI4'!CJ47,"")</f>
        <v>A</v>
      </c>
      <c r="AO47" s="476" t="str">
        <f>'PAI4'!CO47</f>
        <v>WAFDAN sangat baik  dalam membaca Q.S. at-Tīn dan Q.S. al-Mā’ūn dengan tartil.</v>
      </c>
      <c r="AP47" s="475">
        <f>IFERROR('PKN4'!U46,"")</f>
        <v>85</v>
      </c>
      <c r="AQ47" s="475" t="str">
        <f>IFERROR('PKN4'!V46,"")</f>
        <v>B</v>
      </c>
      <c r="AR47" s="474" t="str">
        <f>'PKN4'!AA46</f>
        <v>WAFDAN baik  dalam menjelaskan hak, kewajiban, dan tanggung  jawab sebagai warga masyarakat dalam kehidupan sehari-hari</v>
      </c>
      <c r="AS47" s="475">
        <f>IFERROR(BIND4!U46,"")</f>
        <v>92</v>
      </c>
      <c r="AT47" s="475" t="str">
        <f>IFERROR(BIND4!V46,"")</f>
        <v>A</v>
      </c>
      <c r="AU47" s="474" t="str">
        <f>BIND4!AA46</f>
        <v xml:space="preserve">WAFDAN sangat baik  dalam menyajikan ringkasan teks penjelasan (eksplanasi) dari media cetak atau elektronik dengan menggunakan kosakata baku dan kalimat efektif secara lisan, tulis, dan visual.
</v>
      </c>
      <c r="AV47" s="475">
        <f>IFERROR('MTK4'!U46,"")</f>
        <v>75</v>
      </c>
      <c r="AW47" s="475" t="str">
        <f>IFERROR('MTK4'!V46,"")</f>
        <v>C</v>
      </c>
      <c r="AX47" s="474" t="str">
        <f>'MTK4'!AA46</f>
        <v xml:space="preserve">WAFDAN cukup baik  dalam menyelesaikan masalah yang berkaitan dengan volume bangun ruang dengan menggunakan satuan volume (seperti kubus satuan) melibatkan pangkat tiga dan akar pangkat tiga
</v>
      </c>
      <c r="AY47" s="475">
        <f>IFERROR('IPA4'!U46,"")</f>
        <v>90</v>
      </c>
      <c r="AZ47" s="475" t="str">
        <f>IFERROR('IPA4'!V46,"")</f>
        <v>A</v>
      </c>
      <c r="BA47" s="474" t="str">
        <f>'IPA4'!AA46</f>
        <v>WAFDAN sangat baik  dalam melaporkan hasil pengamatan tentang perpindahan kalor.</v>
      </c>
      <c r="BB47" s="475">
        <f>IFERROR('IPS4'!U46,"")</f>
        <v>83</v>
      </c>
      <c r="BC47" s="475" t="str">
        <f>IFERROR('IPS4'!V46,"")</f>
        <v>B</v>
      </c>
      <c r="BD47" s="474" t="str">
        <f>'IPS4'!AA46</f>
        <v>WAFDAN baik  dalam menyajikan hasil identifikasi karakteristik geografis Indonesia sebagai negara kepulauan/maritim dan agraris serta pengaruhnya terhadap kehidupan ekonomi, sosial, budaya, komunikasi, serta transportasi.</v>
      </c>
      <c r="BE47" s="475">
        <f>IFERROR(SBDP4!U46,"")</f>
        <v>93</v>
      </c>
      <c r="BF47" s="475" t="str">
        <f>IFERROR(SBDP4!V46,"")</f>
        <v>A</v>
      </c>
      <c r="BG47" s="474" t="str">
        <f>SBDP4!AA46</f>
        <v>WAFDAN sangat baik  dalam membuat gambar cerita</v>
      </c>
      <c r="BH47" s="475">
        <f>IFERROR(PJOK4!U46,"")</f>
        <v>87</v>
      </c>
      <c r="BI47" s="475" t="str">
        <f>IFERROR(PJOK4!V46,"")</f>
        <v>B</v>
      </c>
      <c r="BJ47" s="476" t="str">
        <f>PJOK4!AA46</f>
        <v>WAFDAN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47" s="475">
        <f>IFERROR('MLK1-4'!U46,"")</f>
        <v>94</v>
      </c>
      <c r="BL47" s="475" t="str">
        <f>IFERROR('MLK1-4'!V46,"")</f>
        <v>A</v>
      </c>
      <c r="BM47" s="474" t="str">
        <f>'MLK1-4'!AA46</f>
        <v>WAFDAN sangat baik  dalam melantunkan dan menceritakan isi kawih tentang bangga sebagai bangsa Indonesia</v>
      </c>
      <c r="BN47" s="475">
        <f>IFERROR('MLK2-4'!U46,"")</f>
        <v>100</v>
      </c>
      <c r="BO47" s="475" t="str">
        <f>IFERROR('MLK2-4'!V46,"")</f>
        <v>A</v>
      </c>
      <c r="BP47" s="474" t="str">
        <f>'MLK2-4'!AA46</f>
        <v>WAFDAN sangat baik  dalam memahami langkah-langkah pengawasan kelestarian lingkungan hidup</v>
      </c>
      <c r="BQ47" s="475">
        <f>IFERROR('MLK3-4'!Y46,"")</f>
        <v>85</v>
      </c>
      <c r="BR47" s="475" t="str">
        <f>IFERROR('MLK3-4'!Z46,"")</f>
        <v>B</v>
      </c>
      <c r="BS47" s="474" t="str">
        <f>'MLK3-4'!AE46</f>
        <v xml:space="preserve">WAFDAN baik  dalam merespon instruksi sangat sederhana dengan tindakan secara berterima dalam konteks sekolah  </v>
      </c>
      <c r="BT47" s="475">
        <f t="shared" si="1"/>
        <v>84.681818181818187</v>
      </c>
      <c r="BU47" s="505">
        <f t="shared" si="0"/>
        <v>1863</v>
      </c>
      <c r="BV47" s="477">
        <f t="shared" si="2"/>
        <v>1863</v>
      </c>
      <c r="BW47" s="478">
        <f t="shared" si="3"/>
        <v>7</v>
      </c>
    </row>
    <row r="48" spans="1:75" ht="20.25" customHeight="1">
      <c r="A48" s="146">
        <v>43</v>
      </c>
      <c r="B48" s="146" t="str">
        <f>SISWA!B48</f>
        <v>1718250040347</v>
      </c>
      <c r="C48" s="471" t="str">
        <f>SISWA!C48</f>
        <v>ZEVA ABDEE SUGARA</v>
      </c>
      <c r="D48" s="472" t="str">
        <f>SPIRIT!P47</f>
        <v xml:space="preserve">Ananda ZEVA baik dalam  ketaatan beribadah,  berperilaku syukur,  berdoa sebelum dan sesudah melakukan kegiatan,  toleransi dalam beribadah, </v>
      </c>
      <c r="E48" s="472" t="str">
        <f>SOSIAL!T47</f>
        <v xml:space="preserve">Ananda ZEVA baik dalam sikap jujur, disiplin, tanggung jawab, santun, peduli, percaya diri, </v>
      </c>
      <c r="F48" s="473">
        <f>IFERROR('PAI3'!CI48,"")</f>
        <v>80</v>
      </c>
      <c r="G48" s="473" t="str">
        <f>IFERROR('PAI3'!CJ48,"")</f>
        <v>B</v>
      </c>
      <c r="H48" s="474" t="str">
        <f>'PAI3'!CO48</f>
        <v>ZEVA sangat baik  dalam memahami makna Q.S. at-Tīn dan Q.S. al-Mā’ūn dengan benar., dan  cukup baik  dalam memahami makna sederhana dalam kehidupan sehari-hari.</v>
      </c>
      <c r="I48" s="473">
        <f>IFERROR('PKN3'!U47,"")</f>
        <v>85</v>
      </c>
      <c r="J48" s="473" t="str">
        <f>IFERROR('PKN3'!V47,"")</f>
        <v>B</v>
      </c>
      <c r="K48" s="472" t="str">
        <f>'PKN3'!AA47</f>
        <v xml:space="preserve">ZEVA baik  dalam memahami hak, kewajiban dan tanggung jawab sebagai warga dalam kehidupan sehari-hari.
</v>
      </c>
      <c r="L48" s="475">
        <f>IFERROR(BIND3!U47,"")</f>
        <v>81</v>
      </c>
      <c r="M48" s="475" t="str">
        <f>IFERROR(BIND3!V47,"")</f>
        <v>B</v>
      </c>
      <c r="N48" s="474" t="str">
        <f>BIND3!AA47</f>
        <v>ZEVA baik  dalam meringkas teks penjelasan (eksplanasi) dari media cetak atau elektronik.</v>
      </c>
      <c r="O48" s="475">
        <f>IFERROR('MTK3'!U47,"")</f>
        <v>75</v>
      </c>
      <c r="P48" s="475" t="str">
        <f>IFERROR('MTK3'!V47,"")</f>
        <v>C</v>
      </c>
      <c r="Q48" s="474" t="str">
        <f>'MTK3'!AA47</f>
        <v xml:space="preserve">ZEVA cukup baik  dalam menjelaskan, dan menentukan volume bangun ruang dengan menggunakan satuan volume (seperti kubus satuan) serta hubungan pangkat tiga dengan akar pangkat tiga
</v>
      </c>
      <c r="R48" s="475">
        <f>IFERROR('IPA3'!U47,"")</f>
        <v>95</v>
      </c>
      <c r="S48" s="475" t="str">
        <f>IFERROR('IPA3'!V47,"")</f>
        <v>A</v>
      </c>
      <c r="T48" s="474" t="str">
        <f>'IPA3'!AA47</f>
        <v xml:space="preserve">ZEVA sangat baik  dalam menerapkan konsep perpindahan kalor dalam kehidupan sehari-hari.
</v>
      </c>
      <c r="U48" s="475">
        <f>IFERROR('IPS3'!U47,"")</f>
        <v>90</v>
      </c>
      <c r="V48" s="475" t="str">
        <f>IFERROR('IPS3'!V47,"")</f>
        <v>A</v>
      </c>
      <c r="W48" s="474" t="str">
        <f>'IPS3'!AA47</f>
        <v>ZEVA sangat baik  dalam Mengidentifikasi karakteristik geografis Indonesia sebagai negara kepulauan/maritim dan agraris serta pengaruhnya terhadap kehidupan ekonomi, sosial, budaya, komunikasi, serta transportasi.</v>
      </c>
      <c r="X48" s="475">
        <f>IFERROR(SBDP3!U47,"")</f>
        <v>93</v>
      </c>
      <c r="Y48" s="475" t="str">
        <f>IFERROR(SBDP3!V47,"")</f>
        <v>A</v>
      </c>
      <c r="Z48" s="474" t="str">
        <f>SBDP3!AA47</f>
        <v>ZEVA sangat baik  dalam memahami gambar cerita</v>
      </c>
      <c r="AA48" s="475">
        <f>IFERROR(PJOK3!U47,"")</f>
        <v>93</v>
      </c>
      <c r="AB48" s="475" t="str">
        <f>IFERROR(PJOK3!V47,"")</f>
        <v>A</v>
      </c>
      <c r="AC48" s="474" t="str">
        <f>PJOK3!AA47</f>
        <v xml:space="preserve">ZEVA sangat baik  dalam memahami kombinasi pola gerak dominan (bertumpu, bergantung, keseimbangan, berpindah/lokomotor, tolakan, putaran, ayunan, melayang, dan mendarat) untuk membentuk keterampilan dasar senam menggunakan alat
</v>
      </c>
      <c r="AD48" s="475">
        <f>IFERROR('MLK1-3'!U47,"")</f>
        <v>85</v>
      </c>
      <c r="AE48" s="475" t="str">
        <f>IFERROR('MLK1-3'!V47,"")</f>
        <v>B</v>
      </c>
      <c r="AF48" s="476" t="str">
        <f>'MLK1-3'!AA47</f>
        <v>ZEVA baik  dalam memahami teks kawih tentang bangga sebagai bangsa Indonesia</v>
      </c>
      <c r="AG48" s="475">
        <f>IFERROR('MLK2-3'!X47,"")</f>
        <v>94</v>
      </c>
      <c r="AH48" s="475" t="str">
        <f>IFERROR('MLK2-3'!Y47,"")</f>
        <v>A</v>
      </c>
      <c r="AI48" s="474" t="str">
        <f>'MLK2-3'!AD47</f>
        <v xml:space="preserve">ZEVA sangat baik  dalam merespon instruksi sangat sederhana dengan tindakan secara berterima dalam konteks sekolah  </v>
      </c>
      <c r="AJ48" s="475">
        <f>IFERROR('MLK3-3'!W47,"")</f>
        <v>82</v>
      </c>
      <c r="AK48" s="475" t="str">
        <f>IFERROR('MLK3-3'!X47,"")</f>
        <v>B</v>
      </c>
      <c r="AL48" s="476" t="str">
        <f>'MLK3-3'!AC47</f>
        <v xml:space="preserve">ZEVA sangat baik  dalam bercakap-cakap untuk menyertai tindakan secara berterima yang melibatkan tindak tutur: memberi contoh melakukan sesuatu, memberi aba-aba, dan memberi petunjuk 
, dan  cukup baik  dalam mengeja kalimat sangat sederhana secara tepat dan berterima </v>
      </c>
      <c r="AM48" s="475">
        <f>IFERROR('PAI4'!CI48,"")</f>
        <v>80</v>
      </c>
      <c r="AN48" s="475" t="str">
        <f>IFERROR('PAI4'!CJ48,"")</f>
        <v>B</v>
      </c>
      <c r="AO48" s="476" t="str">
        <f>'PAI4'!CO48</f>
        <v>ZEVA baik  dalam membaca Q.S. at-Tīn dan Q.S. al-Mā’ūn dengan tartil.</v>
      </c>
      <c r="AP48" s="475">
        <f>IFERROR('PKN4'!U47,"")</f>
        <v>85</v>
      </c>
      <c r="AQ48" s="475" t="str">
        <f>IFERROR('PKN4'!V47,"")</f>
        <v>B</v>
      </c>
      <c r="AR48" s="474" t="str">
        <f>'PKN4'!AA47</f>
        <v>ZEVA baik  dalam menjelaskan hak, kewajiban, dan tanggung  jawab sebagai warga masyarakat dalam kehidupan sehari-hari</v>
      </c>
      <c r="AS48" s="475">
        <f>IFERROR(BIND4!U47,"")</f>
        <v>81</v>
      </c>
      <c r="AT48" s="475" t="str">
        <f>IFERROR(BIND4!V47,"")</f>
        <v>B</v>
      </c>
      <c r="AU48" s="474" t="str">
        <f>BIND4!AA47</f>
        <v xml:space="preserve">ZEVA baik  dalam menyajikan ringkasan teks penjelasan (eksplanasi) dari media cetak atau elektronik dengan menggunakan kosakata baku dan kalimat efektif secara lisan, tulis, dan visual.
</v>
      </c>
      <c r="AV48" s="475">
        <f>IFERROR('MTK4'!U47,"")</f>
        <v>75</v>
      </c>
      <c r="AW48" s="475" t="str">
        <f>IFERROR('MTK4'!V47,"")</f>
        <v>C</v>
      </c>
      <c r="AX48" s="474" t="str">
        <f>'MTK4'!AA47</f>
        <v xml:space="preserve">ZEVA cukup baik  dalam menyelesaikan masalah yang berkaitan dengan volume bangun ruang dengan menggunakan satuan volume (seperti kubus satuan) melibatkan pangkat tiga dan akar pangkat tiga
</v>
      </c>
      <c r="AY48" s="475">
        <f>IFERROR('IPA4'!U47,"")</f>
        <v>95</v>
      </c>
      <c r="AZ48" s="475" t="str">
        <f>IFERROR('IPA4'!V47,"")</f>
        <v>A</v>
      </c>
      <c r="BA48" s="474" t="str">
        <f>'IPA4'!AA47</f>
        <v>ZEVA sangat baik  dalam melaporkan hasil pengamatan tentang perpindahan kalor.</v>
      </c>
      <c r="BB48" s="475">
        <f>IFERROR('IPS4'!U47,"")</f>
        <v>90</v>
      </c>
      <c r="BC48" s="475" t="str">
        <f>IFERROR('IPS4'!V47,"")</f>
        <v>A</v>
      </c>
      <c r="BD48" s="474" t="str">
        <f>'IPS4'!AA47</f>
        <v>ZEVA sangat baik  dalam menyajikan hasil identifikasi karakteristik geografis Indonesia sebagai negara kepulauan/maritim dan agraris serta pengaruhnya terhadap kehidupan ekonomi, sosial, budaya, komunikasi, serta transportasi.</v>
      </c>
      <c r="BE48" s="475">
        <f>IFERROR(SBDP4!U47,"")</f>
        <v>93</v>
      </c>
      <c r="BF48" s="475" t="str">
        <f>IFERROR(SBDP4!V47,"")</f>
        <v>A</v>
      </c>
      <c r="BG48" s="474" t="str">
        <f>SBDP4!AA47</f>
        <v>ZEVA sangat baik  dalam membuat gambar cerita</v>
      </c>
      <c r="BH48" s="475">
        <f>IFERROR(PJOK4!U47,"")</f>
        <v>92</v>
      </c>
      <c r="BI48" s="475" t="str">
        <f>IFERROR(PJOK4!V47,"")</f>
        <v>A</v>
      </c>
      <c r="BJ48" s="476" t="str">
        <f>PJOK4!AA47</f>
        <v>ZEVA sangat baik  dalam mempraktikkan kombinasi pola gerak dominan (bertumpu, bergantung, keseimbangan, berpindah/ lokomotor, tolakan, putaran, ayunan, melayang, dan mendarat) untuk membentuk keterampilan dasar senam menggunakan alat
, dan  baik  dalam mempraktikkan pengunaan kombinasi gerak dasar langkah dan ayunan lengan mengikuti irama (ketukan) tanpa/dengan musik dalam aktivitas gerak berirama</v>
      </c>
      <c r="BK48" s="475">
        <f>IFERROR('MLK1-4'!U47,"")</f>
        <v>85</v>
      </c>
      <c r="BL48" s="475" t="str">
        <f>IFERROR('MLK1-4'!V47,"")</f>
        <v>B</v>
      </c>
      <c r="BM48" s="474" t="str">
        <f>'MLK1-4'!AA47</f>
        <v>ZEVA baik  dalam melantunkan dan menceritakan isi kawih tentang bangga sebagai bangsa Indonesia</v>
      </c>
      <c r="BN48" s="475">
        <f>IFERROR('MLK2-4'!U47,"")</f>
        <v>94</v>
      </c>
      <c r="BO48" s="475" t="str">
        <f>IFERROR('MLK2-4'!V47,"")</f>
        <v>A</v>
      </c>
      <c r="BP48" s="474" t="str">
        <f>'MLK2-4'!AA47</f>
        <v>ZEVA sangat baik  dalam memahami langkah-langkah pengawasan kelestarian lingkungan hidup</v>
      </c>
      <c r="BQ48" s="475">
        <f>IFERROR('MLK3-4'!Y47,"")</f>
        <v>80</v>
      </c>
      <c r="BR48" s="475" t="str">
        <f>IFERROR('MLK3-4'!Z47,"")</f>
        <v>B</v>
      </c>
      <c r="BS48" s="474" t="str">
        <f>'MLK3-4'!AE47</f>
        <v xml:space="preserve">ZEVA baik  dalam merespon instruksi sangat sederhana dengan tindakan secara berterima dalam konteks sekolah  </v>
      </c>
      <c r="BT48" s="475">
        <f t="shared" si="1"/>
        <v>82.86363636363636</v>
      </c>
      <c r="BU48" s="505">
        <f t="shared" si="0"/>
        <v>1823</v>
      </c>
      <c r="BV48" s="477">
        <f t="shared" si="2"/>
        <v>1823</v>
      </c>
      <c r="BW48" s="478">
        <f t="shared" si="3"/>
        <v>15</v>
      </c>
    </row>
    <row r="49" spans="1:75" ht="20.25" customHeight="1">
      <c r="A49" s="146">
        <v>44</v>
      </c>
      <c r="B49" s="146">
        <f>SISWA!B49</f>
        <v>0</v>
      </c>
      <c r="C49" s="471">
        <f>SISWA!C49</f>
        <v>0</v>
      </c>
      <c r="D49" s="472" t="str">
        <f>SPIRIT!P48</f>
        <v xml:space="preserve">Ananda 0 baik dalam  ketaatan beribadah,  berperilaku syukur,  berdoa sebelum dan sesudah melakukan kegiatan,  toleransi dalam beribadah, </v>
      </c>
      <c r="E49" s="472" t="str">
        <f>SOSIAL!T48</f>
        <v xml:space="preserve">Ananda 0 baik dalam sikap jujur, disiplin, tanggung jawab, santun, peduli, percaya diri, </v>
      </c>
      <c r="F49" s="473" t="str">
        <f>IFERROR('PAI3'!CI49,"")</f>
        <v/>
      </c>
      <c r="G49" s="473" t="str">
        <f>IFERROR('PAI3'!CJ49,"")</f>
        <v/>
      </c>
      <c r="H49" s="474" t="str">
        <f>'PAI3'!CO49</f>
        <v xml:space="preserve"> </v>
      </c>
      <c r="I49" s="473" t="str">
        <f>IFERROR('PKN3'!U48,"")</f>
        <v/>
      </c>
      <c r="J49" s="473" t="str">
        <f>IFERROR('PKN3'!V48,"")</f>
        <v/>
      </c>
      <c r="K49" s="472" t="str">
        <f>'PKN3'!AA48</f>
        <v xml:space="preserve"> </v>
      </c>
      <c r="L49" s="475" t="str">
        <f>IFERROR(BIND3!U48,"")</f>
        <v/>
      </c>
      <c r="M49" s="475" t="str">
        <f>IFERROR(BIND3!V48,"")</f>
        <v/>
      </c>
      <c r="N49" s="474" t="str">
        <f>BIND3!AA48</f>
        <v xml:space="preserve"> </v>
      </c>
      <c r="O49" s="475" t="str">
        <f>IFERROR('MTK3'!U48,"")</f>
        <v/>
      </c>
      <c r="P49" s="475" t="str">
        <f>IFERROR('MTK3'!V48,"")</f>
        <v/>
      </c>
      <c r="Q49" s="474" t="str">
        <f>'MTK3'!AA48</f>
        <v xml:space="preserve"> </v>
      </c>
      <c r="R49" s="475" t="str">
        <f>IFERROR('IPA3'!U48,"")</f>
        <v/>
      </c>
      <c r="S49" s="475" t="str">
        <f>IFERROR('IPA3'!V48,"")</f>
        <v/>
      </c>
      <c r="T49" s="474" t="str">
        <f>'IPA3'!AA48</f>
        <v xml:space="preserve"> </v>
      </c>
      <c r="U49" s="475" t="str">
        <f>IFERROR('IPS3'!U48,"")</f>
        <v/>
      </c>
      <c r="V49" s="475" t="str">
        <f>IFERROR('IPS3'!V48,"")</f>
        <v/>
      </c>
      <c r="W49" s="474" t="str">
        <f>'IPS3'!AA48</f>
        <v xml:space="preserve"> </v>
      </c>
      <c r="X49" s="475" t="str">
        <f>IFERROR(SBDP3!U48,"")</f>
        <v/>
      </c>
      <c r="Y49" s="475" t="str">
        <f>IFERROR(SBDP3!V48,"")</f>
        <v/>
      </c>
      <c r="Z49" s="474" t="str">
        <f>SBDP3!AA48</f>
        <v xml:space="preserve"> </v>
      </c>
      <c r="AA49" s="475" t="str">
        <f>IFERROR(PJOK3!U48,"")</f>
        <v/>
      </c>
      <c r="AB49" s="475" t="str">
        <f>IFERROR(PJOK3!V48,"")</f>
        <v/>
      </c>
      <c r="AC49" s="474" t="str">
        <f>PJOK3!AA48</f>
        <v xml:space="preserve"> </v>
      </c>
      <c r="AD49" s="475" t="str">
        <f>IFERROR('MLK1-3'!U48,"")</f>
        <v/>
      </c>
      <c r="AE49" s="475" t="str">
        <f>IFERROR('MLK1-3'!V48,"")</f>
        <v/>
      </c>
      <c r="AF49" s="476" t="str">
        <f>'MLK1-3'!AA48</f>
        <v xml:space="preserve"> </v>
      </c>
      <c r="AG49" s="475" t="str">
        <f>IFERROR('MLK2-3'!X48,"")</f>
        <v/>
      </c>
      <c r="AH49" s="475" t="str">
        <f>IFERROR('MLK2-3'!Y48,"")</f>
        <v/>
      </c>
      <c r="AI49" s="474" t="str">
        <f>'MLK2-3'!AD48</f>
        <v xml:space="preserve"> </v>
      </c>
      <c r="AJ49" s="475" t="str">
        <f>IFERROR('MLK3-3'!W48,"")</f>
        <v/>
      </c>
      <c r="AK49" s="475" t="str">
        <f>IFERROR('MLK3-3'!X48,"")</f>
        <v/>
      </c>
      <c r="AL49" s="476" t="str">
        <f>'MLK3-3'!AC48</f>
        <v xml:space="preserve"> </v>
      </c>
      <c r="AM49" s="475" t="str">
        <f>IFERROR('PAI4'!CI49,"")</f>
        <v/>
      </c>
      <c r="AN49" s="475" t="str">
        <f>IFERROR('PAI4'!CJ49,"")</f>
        <v/>
      </c>
      <c r="AO49" s="476" t="str">
        <f>'PAI4'!CO49</f>
        <v xml:space="preserve"> </v>
      </c>
      <c r="AP49" s="475" t="str">
        <f>IFERROR('PKN4'!U48,"")</f>
        <v/>
      </c>
      <c r="AQ49" s="475" t="str">
        <f>IFERROR('PKN4'!V48,"")</f>
        <v/>
      </c>
      <c r="AR49" s="474" t="str">
        <f>'PKN4'!AA48</f>
        <v xml:space="preserve"> </v>
      </c>
      <c r="AS49" s="475" t="str">
        <f>IFERROR(BIND4!U48,"")</f>
        <v/>
      </c>
      <c r="AT49" s="475" t="str">
        <f>IFERROR(BIND4!V48,"")</f>
        <v/>
      </c>
      <c r="AU49" s="474" t="str">
        <f>BIND4!AA48</f>
        <v xml:space="preserve"> </v>
      </c>
      <c r="AV49" s="475" t="str">
        <f>IFERROR('MTK4'!U48,"")</f>
        <v/>
      </c>
      <c r="AW49" s="475" t="str">
        <f>IFERROR('MTK4'!V48,"")</f>
        <v/>
      </c>
      <c r="AX49" s="474" t="str">
        <f>'MTK4'!AA48</f>
        <v xml:space="preserve"> </v>
      </c>
      <c r="AY49" s="475" t="str">
        <f>IFERROR('IPA4'!U48,"")</f>
        <v/>
      </c>
      <c r="AZ49" s="475" t="str">
        <f>IFERROR('IPA4'!V48,"")</f>
        <v/>
      </c>
      <c r="BA49" s="474" t="str">
        <f>'IPA4'!AA48</f>
        <v xml:space="preserve"> </v>
      </c>
      <c r="BB49" s="475" t="str">
        <f>IFERROR('IPS4'!U48,"")</f>
        <v/>
      </c>
      <c r="BC49" s="475" t="str">
        <f>IFERROR('IPS4'!V48,"")</f>
        <v/>
      </c>
      <c r="BD49" s="474" t="str">
        <f>'IPS4'!AA48</f>
        <v xml:space="preserve"> </v>
      </c>
      <c r="BE49" s="475" t="str">
        <f>IFERROR(SBDP4!U48,"")</f>
        <v/>
      </c>
      <c r="BF49" s="475" t="str">
        <f>IFERROR(SBDP4!V48,"")</f>
        <v/>
      </c>
      <c r="BG49" s="474" t="str">
        <f>SBDP4!AA48</f>
        <v xml:space="preserve"> </v>
      </c>
      <c r="BH49" s="475" t="str">
        <f>IFERROR(PJOK4!U48,"")</f>
        <v/>
      </c>
      <c r="BI49" s="475" t="str">
        <f>IFERROR(PJOK4!V48,"")</f>
        <v/>
      </c>
      <c r="BJ49" s="476" t="str">
        <f>PJOK4!AA48</f>
        <v xml:space="preserve"> </v>
      </c>
      <c r="BK49" s="475" t="str">
        <f>IFERROR('MLK1-4'!U48,"")</f>
        <v/>
      </c>
      <c r="BL49" s="475" t="str">
        <f>IFERROR('MLK1-4'!V48,"")</f>
        <v/>
      </c>
      <c r="BM49" s="474" t="str">
        <f>'MLK1-4'!AA48</f>
        <v xml:space="preserve"> </v>
      </c>
      <c r="BN49" s="475" t="str">
        <f>IFERROR('MLK2-4'!U48,"")</f>
        <v/>
      </c>
      <c r="BO49" s="475" t="str">
        <f>IFERROR('MLK2-4'!V48,"")</f>
        <v/>
      </c>
      <c r="BP49" s="474" t="str">
        <f>'MLK2-4'!AA48</f>
        <v xml:space="preserve"> </v>
      </c>
      <c r="BQ49" s="475" t="str">
        <f>IFERROR('MLK3-4'!Y48,"")</f>
        <v/>
      </c>
      <c r="BR49" s="475" t="str">
        <f>IFERROR('MLK3-4'!Z48,"")</f>
        <v/>
      </c>
      <c r="BS49" s="474" t="str">
        <f>'MLK3-4'!AE48</f>
        <v xml:space="preserve"> </v>
      </c>
      <c r="BT49" s="475">
        <f t="shared" si="1"/>
        <v>0</v>
      </c>
      <c r="BU49" s="505">
        <f t="shared" si="0"/>
        <v>0</v>
      </c>
      <c r="BV49" s="477">
        <f t="shared" si="2"/>
        <v>0</v>
      </c>
      <c r="BW49" s="478">
        <f t="shared" si="3"/>
        <v>44</v>
      </c>
    </row>
    <row r="50" spans="1:75" ht="20.25" customHeight="1">
      <c r="A50" s="146">
        <v>45</v>
      </c>
      <c r="B50" s="146">
        <f>SISWA!B50</f>
        <v>0</v>
      </c>
      <c r="C50" s="471">
        <f>SISWA!C50</f>
        <v>0</v>
      </c>
      <c r="D50" s="472" t="str">
        <f>SPIRIT!P49</f>
        <v xml:space="preserve">Ananda 0 baik dalam  ketaatan beribadah,  berperilaku syukur,  berdoa sebelum dan sesudah melakukan kegiatan,  toleransi dalam beribadah, </v>
      </c>
      <c r="E50" s="472" t="str">
        <f>SOSIAL!T49</f>
        <v xml:space="preserve">Ananda 0 baik dalam sikap jujur, disiplin, tanggung jawab, santun, peduli, percaya diri, </v>
      </c>
      <c r="F50" s="473" t="str">
        <f>IFERROR('PAI3'!CI50,"")</f>
        <v/>
      </c>
      <c r="G50" s="473" t="str">
        <f>IFERROR('PAI3'!CJ50,"")</f>
        <v/>
      </c>
      <c r="H50" s="474" t="str">
        <f>'PAI3'!CO50</f>
        <v xml:space="preserve"> </v>
      </c>
      <c r="I50" s="473" t="str">
        <f>IFERROR('PKN3'!U49,"")</f>
        <v/>
      </c>
      <c r="J50" s="473" t="str">
        <f>IFERROR('PKN3'!V49,"")</f>
        <v/>
      </c>
      <c r="K50" s="472" t="str">
        <f>'PKN3'!AA49</f>
        <v xml:space="preserve"> </v>
      </c>
      <c r="L50" s="475" t="str">
        <f>IFERROR(BIND3!U49,"")</f>
        <v/>
      </c>
      <c r="M50" s="475" t="str">
        <f>IFERROR(BIND3!V49,"")</f>
        <v/>
      </c>
      <c r="N50" s="474" t="str">
        <f>BIND3!AA49</f>
        <v xml:space="preserve"> </v>
      </c>
      <c r="O50" s="475" t="str">
        <f>IFERROR('MTK3'!U49,"")</f>
        <v/>
      </c>
      <c r="P50" s="475" t="str">
        <f>IFERROR('MTK3'!V49,"")</f>
        <v/>
      </c>
      <c r="Q50" s="474" t="str">
        <f>'MTK3'!AA49</f>
        <v xml:space="preserve"> </v>
      </c>
      <c r="R50" s="475" t="str">
        <f>IFERROR('IPA3'!U49,"")</f>
        <v/>
      </c>
      <c r="S50" s="475" t="str">
        <f>IFERROR('IPA3'!V49,"")</f>
        <v/>
      </c>
      <c r="T50" s="474" t="str">
        <f>'IPA3'!AA49</f>
        <v xml:space="preserve"> </v>
      </c>
      <c r="U50" s="475" t="str">
        <f>IFERROR('IPS3'!U49,"")</f>
        <v/>
      </c>
      <c r="V50" s="475" t="str">
        <f>IFERROR('IPS3'!V49,"")</f>
        <v/>
      </c>
      <c r="W50" s="474" t="str">
        <f>'IPS3'!AA49</f>
        <v xml:space="preserve"> </v>
      </c>
      <c r="X50" s="475" t="str">
        <f>IFERROR(SBDP3!U49,"")</f>
        <v/>
      </c>
      <c r="Y50" s="475" t="str">
        <f>IFERROR(SBDP3!V49,"")</f>
        <v/>
      </c>
      <c r="Z50" s="474" t="str">
        <f>SBDP3!AA49</f>
        <v xml:space="preserve"> </v>
      </c>
      <c r="AA50" s="475" t="str">
        <f>IFERROR(PJOK3!U49,"")</f>
        <v/>
      </c>
      <c r="AB50" s="475" t="str">
        <f>IFERROR(PJOK3!V49,"")</f>
        <v/>
      </c>
      <c r="AC50" s="474" t="str">
        <f>PJOK3!AA49</f>
        <v xml:space="preserve"> </v>
      </c>
      <c r="AD50" s="475" t="str">
        <f>IFERROR('MLK1-3'!U49,"")</f>
        <v/>
      </c>
      <c r="AE50" s="475" t="str">
        <f>IFERROR('MLK1-3'!V49,"")</f>
        <v/>
      </c>
      <c r="AF50" s="476" t="str">
        <f>'MLK1-3'!AA49</f>
        <v xml:space="preserve"> </v>
      </c>
      <c r="AG50" s="475" t="str">
        <f>IFERROR('MLK2-3'!X49,"")</f>
        <v/>
      </c>
      <c r="AH50" s="475" t="str">
        <f>IFERROR('MLK2-3'!Y49,"")</f>
        <v/>
      </c>
      <c r="AI50" s="474" t="str">
        <f>'MLK2-3'!AD49</f>
        <v xml:space="preserve"> </v>
      </c>
      <c r="AJ50" s="475" t="str">
        <f>IFERROR('MLK3-3'!W49,"")</f>
        <v/>
      </c>
      <c r="AK50" s="475" t="str">
        <f>IFERROR('MLK3-3'!X49,"")</f>
        <v/>
      </c>
      <c r="AL50" s="476" t="str">
        <f>'MLK3-3'!AC49</f>
        <v xml:space="preserve"> </v>
      </c>
      <c r="AM50" s="475" t="str">
        <f>IFERROR('PAI4'!CI50,"")</f>
        <v/>
      </c>
      <c r="AN50" s="475" t="str">
        <f>IFERROR('PAI4'!CJ50,"")</f>
        <v/>
      </c>
      <c r="AO50" s="476" t="str">
        <f>'PAI4'!CO50</f>
        <v xml:space="preserve"> </v>
      </c>
      <c r="AP50" s="475" t="str">
        <f>IFERROR('PKN4'!U49,"")</f>
        <v/>
      </c>
      <c r="AQ50" s="475" t="str">
        <f>IFERROR('PKN4'!V49,"")</f>
        <v/>
      </c>
      <c r="AR50" s="474" t="str">
        <f>'PKN4'!AA49</f>
        <v xml:space="preserve"> </v>
      </c>
      <c r="AS50" s="475" t="str">
        <f>IFERROR(BIND4!U49,"")</f>
        <v/>
      </c>
      <c r="AT50" s="475" t="str">
        <f>IFERROR(BIND4!V49,"")</f>
        <v/>
      </c>
      <c r="AU50" s="474" t="str">
        <f>BIND4!AA49</f>
        <v xml:space="preserve"> </v>
      </c>
      <c r="AV50" s="475" t="str">
        <f>IFERROR('MTK4'!U49,"")</f>
        <v/>
      </c>
      <c r="AW50" s="475" t="str">
        <f>IFERROR('MTK4'!V49,"")</f>
        <v/>
      </c>
      <c r="AX50" s="474" t="str">
        <f>'MTK4'!AA49</f>
        <v xml:space="preserve"> </v>
      </c>
      <c r="AY50" s="475" t="str">
        <f>IFERROR('IPA4'!U49,"")</f>
        <v/>
      </c>
      <c r="AZ50" s="475" t="str">
        <f>IFERROR('IPA4'!V49,"")</f>
        <v/>
      </c>
      <c r="BA50" s="474" t="str">
        <f>'IPA4'!AA49</f>
        <v xml:space="preserve"> </v>
      </c>
      <c r="BB50" s="475" t="str">
        <f>IFERROR('IPS4'!U49,"")</f>
        <v/>
      </c>
      <c r="BC50" s="475" t="str">
        <f>IFERROR('IPS4'!V49,"")</f>
        <v/>
      </c>
      <c r="BD50" s="474" t="str">
        <f>'IPS4'!AA49</f>
        <v xml:space="preserve"> </v>
      </c>
      <c r="BE50" s="475" t="str">
        <f>IFERROR(SBDP4!U49,"")</f>
        <v/>
      </c>
      <c r="BF50" s="475" t="str">
        <f>IFERROR(SBDP4!V49,"")</f>
        <v/>
      </c>
      <c r="BG50" s="474" t="str">
        <f>SBDP4!AA49</f>
        <v xml:space="preserve"> </v>
      </c>
      <c r="BH50" s="475" t="str">
        <f>IFERROR(PJOK4!U49,"")</f>
        <v/>
      </c>
      <c r="BI50" s="475" t="str">
        <f>IFERROR(PJOK4!V49,"")</f>
        <v/>
      </c>
      <c r="BJ50" s="476" t="str">
        <f>PJOK4!AA49</f>
        <v xml:space="preserve"> </v>
      </c>
      <c r="BK50" s="475" t="str">
        <f>IFERROR('MLK1-4'!U49,"")</f>
        <v/>
      </c>
      <c r="BL50" s="475" t="str">
        <f>IFERROR('MLK1-4'!V49,"")</f>
        <v/>
      </c>
      <c r="BM50" s="474" t="str">
        <f>'MLK1-4'!AA49</f>
        <v xml:space="preserve"> </v>
      </c>
      <c r="BN50" s="475" t="str">
        <f>IFERROR('MLK2-4'!U49,"")</f>
        <v/>
      </c>
      <c r="BO50" s="475" t="str">
        <f>IFERROR('MLK2-4'!V49,"")</f>
        <v/>
      </c>
      <c r="BP50" s="474" t="str">
        <f>'MLK2-4'!AA49</f>
        <v xml:space="preserve"> </v>
      </c>
      <c r="BQ50" s="475" t="str">
        <f>IFERROR('MLK3-4'!Y49,"")</f>
        <v/>
      </c>
      <c r="BR50" s="475" t="str">
        <f>IFERROR('MLK3-4'!Z49,"")</f>
        <v/>
      </c>
      <c r="BS50" s="474" t="str">
        <f>'MLK3-4'!AE49</f>
        <v xml:space="preserve"> </v>
      </c>
      <c r="BT50" s="475">
        <f t="shared" si="1"/>
        <v>0</v>
      </c>
      <c r="BU50" s="505">
        <f t="shared" si="0"/>
        <v>0</v>
      </c>
      <c r="BV50" s="477">
        <f t="shared" si="2"/>
        <v>0</v>
      </c>
      <c r="BW50" s="478">
        <f t="shared" si="3"/>
        <v>44</v>
      </c>
    </row>
    <row r="51" spans="1:75" ht="20.25" customHeight="1">
      <c r="A51" s="146">
        <v>46</v>
      </c>
      <c r="B51" s="146">
        <f>SISWA!B51</f>
        <v>0</v>
      </c>
      <c r="C51" s="471">
        <f>SISWA!C51</f>
        <v>0</v>
      </c>
      <c r="D51" s="472" t="str">
        <f>SPIRIT!P50</f>
        <v xml:space="preserve">Ananda 0 baik dalam  ketaatan beribadah,  berperilaku syukur,  berdoa sebelum dan sesudah melakukan kegiatan,  toleransi dalam beribadah, </v>
      </c>
      <c r="E51" s="472" t="str">
        <f>SOSIAL!T50</f>
        <v xml:space="preserve">Ananda 0 baik dalam sikap jujur, disiplin, tanggung jawab, santun, peduli, percaya diri, </v>
      </c>
      <c r="F51" s="473" t="str">
        <f>IFERROR('PAI3'!CI51,"")</f>
        <v/>
      </c>
      <c r="G51" s="473" t="str">
        <f>IFERROR('PAI3'!CJ51,"")</f>
        <v/>
      </c>
      <c r="H51" s="474" t="str">
        <f>'PAI3'!CO51</f>
        <v xml:space="preserve"> </v>
      </c>
      <c r="I51" s="473" t="str">
        <f>IFERROR('PKN3'!U50,"")</f>
        <v/>
      </c>
      <c r="J51" s="473" t="str">
        <f>IFERROR('PKN3'!V50,"")</f>
        <v/>
      </c>
      <c r="K51" s="472" t="str">
        <f>'PKN3'!AA50</f>
        <v xml:space="preserve"> </v>
      </c>
      <c r="L51" s="475" t="str">
        <f>IFERROR(BIND3!U50,"")</f>
        <v/>
      </c>
      <c r="M51" s="475" t="str">
        <f>IFERROR(BIND3!V50,"")</f>
        <v/>
      </c>
      <c r="N51" s="474" t="str">
        <f>BIND3!AA50</f>
        <v xml:space="preserve"> </v>
      </c>
      <c r="O51" s="475" t="str">
        <f>IFERROR('MTK3'!U50,"")</f>
        <v/>
      </c>
      <c r="P51" s="475" t="str">
        <f>IFERROR('MTK3'!V50,"")</f>
        <v/>
      </c>
      <c r="Q51" s="474" t="str">
        <f>'MTK3'!AA50</f>
        <v xml:space="preserve"> </v>
      </c>
      <c r="R51" s="475" t="str">
        <f>IFERROR('IPA3'!U50,"")</f>
        <v/>
      </c>
      <c r="S51" s="475" t="str">
        <f>IFERROR('IPA3'!V50,"")</f>
        <v/>
      </c>
      <c r="T51" s="474" t="str">
        <f>'IPA3'!AA50</f>
        <v xml:space="preserve"> </v>
      </c>
      <c r="U51" s="475" t="str">
        <f>IFERROR('IPS3'!U50,"")</f>
        <v/>
      </c>
      <c r="V51" s="475" t="str">
        <f>IFERROR('IPS3'!V50,"")</f>
        <v/>
      </c>
      <c r="W51" s="474" t="str">
        <f>'IPS3'!AA50</f>
        <v xml:space="preserve"> </v>
      </c>
      <c r="X51" s="475" t="str">
        <f>IFERROR(SBDP3!U50,"")</f>
        <v/>
      </c>
      <c r="Y51" s="475" t="str">
        <f>IFERROR(SBDP3!V50,"")</f>
        <v/>
      </c>
      <c r="Z51" s="474" t="str">
        <f>SBDP3!AA50</f>
        <v xml:space="preserve"> </v>
      </c>
      <c r="AA51" s="475" t="str">
        <f>IFERROR(PJOK3!U50,"")</f>
        <v/>
      </c>
      <c r="AB51" s="475" t="str">
        <f>IFERROR(PJOK3!V50,"")</f>
        <v/>
      </c>
      <c r="AC51" s="474" t="str">
        <f>PJOK3!AA50</f>
        <v xml:space="preserve"> </v>
      </c>
      <c r="AD51" s="475" t="str">
        <f>IFERROR('MLK1-3'!U50,"")</f>
        <v/>
      </c>
      <c r="AE51" s="475" t="str">
        <f>IFERROR('MLK1-3'!V50,"")</f>
        <v/>
      </c>
      <c r="AF51" s="476" t="str">
        <f>'MLK1-3'!AA50</f>
        <v xml:space="preserve"> </v>
      </c>
      <c r="AG51" s="475" t="str">
        <f>IFERROR('MLK2-3'!X50,"")</f>
        <v/>
      </c>
      <c r="AH51" s="475" t="str">
        <f>IFERROR('MLK2-3'!Y50,"")</f>
        <v/>
      </c>
      <c r="AI51" s="474" t="str">
        <f>'MLK2-3'!AD50</f>
        <v xml:space="preserve"> </v>
      </c>
      <c r="AJ51" s="475" t="str">
        <f>IFERROR('MLK3-3'!W50,"")</f>
        <v/>
      </c>
      <c r="AK51" s="475" t="str">
        <f>IFERROR('MLK3-3'!X50,"")</f>
        <v/>
      </c>
      <c r="AL51" s="476" t="str">
        <f>'MLK3-3'!AC50</f>
        <v xml:space="preserve"> </v>
      </c>
      <c r="AM51" s="475" t="str">
        <f>IFERROR('PAI4'!CI51,"")</f>
        <v/>
      </c>
      <c r="AN51" s="475" t="str">
        <f>IFERROR('PAI4'!CJ51,"")</f>
        <v/>
      </c>
      <c r="AO51" s="476" t="str">
        <f>'PAI4'!CO51</f>
        <v xml:space="preserve"> </v>
      </c>
      <c r="AP51" s="475" t="str">
        <f>IFERROR('PKN4'!U50,"")</f>
        <v/>
      </c>
      <c r="AQ51" s="475" t="str">
        <f>IFERROR('PKN4'!V50,"")</f>
        <v/>
      </c>
      <c r="AR51" s="474" t="str">
        <f>'PKN4'!AA50</f>
        <v xml:space="preserve"> </v>
      </c>
      <c r="AS51" s="475" t="str">
        <f>IFERROR(BIND4!U50,"")</f>
        <v/>
      </c>
      <c r="AT51" s="475" t="str">
        <f>IFERROR(BIND4!V50,"")</f>
        <v/>
      </c>
      <c r="AU51" s="474" t="str">
        <f>BIND4!AA50</f>
        <v xml:space="preserve"> </v>
      </c>
      <c r="AV51" s="475" t="str">
        <f>IFERROR('MTK4'!U50,"")</f>
        <v/>
      </c>
      <c r="AW51" s="475" t="str">
        <f>IFERROR('MTK4'!V50,"")</f>
        <v/>
      </c>
      <c r="AX51" s="474" t="str">
        <f>'MTK4'!AA50</f>
        <v xml:space="preserve"> </v>
      </c>
      <c r="AY51" s="475" t="str">
        <f>IFERROR('IPA4'!U50,"")</f>
        <v/>
      </c>
      <c r="AZ51" s="475" t="str">
        <f>IFERROR('IPA4'!V50,"")</f>
        <v/>
      </c>
      <c r="BA51" s="474" t="str">
        <f>'IPA4'!AA50</f>
        <v xml:space="preserve"> </v>
      </c>
      <c r="BB51" s="475" t="str">
        <f>IFERROR('IPS4'!U50,"")</f>
        <v/>
      </c>
      <c r="BC51" s="475" t="str">
        <f>IFERROR('IPS4'!V50,"")</f>
        <v/>
      </c>
      <c r="BD51" s="474" t="str">
        <f>'IPS4'!AA50</f>
        <v xml:space="preserve"> </v>
      </c>
      <c r="BE51" s="475" t="str">
        <f>IFERROR(SBDP4!U50,"")</f>
        <v/>
      </c>
      <c r="BF51" s="475" t="str">
        <f>IFERROR(SBDP4!V50,"")</f>
        <v/>
      </c>
      <c r="BG51" s="474" t="str">
        <f>SBDP4!AA50</f>
        <v xml:space="preserve"> </v>
      </c>
      <c r="BH51" s="475" t="str">
        <f>IFERROR(PJOK4!U50,"")</f>
        <v/>
      </c>
      <c r="BI51" s="475" t="str">
        <f>IFERROR(PJOK4!V50,"")</f>
        <v/>
      </c>
      <c r="BJ51" s="476" t="str">
        <f>PJOK4!AA50</f>
        <v xml:space="preserve"> </v>
      </c>
      <c r="BK51" s="475" t="str">
        <f>IFERROR('MLK1-4'!U50,"")</f>
        <v/>
      </c>
      <c r="BL51" s="475" t="str">
        <f>IFERROR('MLK1-4'!V50,"")</f>
        <v/>
      </c>
      <c r="BM51" s="474" t="str">
        <f>'MLK1-4'!AA50</f>
        <v xml:space="preserve"> </v>
      </c>
      <c r="BN51" s="475" t="str">
        <f>IFERROR('MLK2-4'!U50,"")</f>
        <v/>
      </c>
      <c r="BO51" s="475" t="str">
        <f>IFERROR('MLK2-4'!V50,"")</f>
        <v/>
      </c>
      <c r="BP51" s="474" t="str">
        <f>'MLK2-4'!AA50</f>
        <v xml:space="preserve"> </v>
      </c>
      <c r="BQ51" s="475" t="str">
        <f>IFERROR('MLK3-4'!Y50,"")</f>
        <v/>
      </c>
      <c r="BR51" s="475" t="str">
        <f>IFERROR('MLK3-4'!Z50,"")</f>
        <v/>
      </c>
      <c r="BS51" s="474" t="str">
        <f>'MLK3-4'!AE50</f>
        <v xml:space="preserve"> </v>
      </c>
      <c r="BT51" s="475">
        <f t="shared" si="1"/>
        <v>0</v>
      </c>
      <c r="BU51" s="505">
        <f t="shared" si="0"/>
        <v>0</v>
      </c>
      <c r="BV51" s="477">
        <f t="shared" si="2"/>
        <v>0</v>
      </c>
      <c r="BW51" s="478">
        <f t="shared" si="3"/>
        <v>44</v>
      </c>
    </row>
    <row r="52" spans="1:75" ht="20.25" customHeight="1">
      <c r="A52" s="146">
        <v>47</v>
      </c>
      <c r="B52" s="146">
        <f>SISWA!B52</f>
        <v>0</v>
      </c>
      <c r="C52" s="471">
        <f>SISWA!C52</f>
        <v>0</v>
      </c>
      <c r="D52" s="472" t="str">
        <f>SPIRIT!P51</f>
        <v xml:space="preserve">Ananda 0 baik dalam  ketaatan beribadah,  berperilaku syukur,  berdoa sebelum dan sesudah melakukan kegiatan,  toleransi dalam beribadah, </v>
      </c>
      <c r="E52" s="472" t="str">
        <f>SOSIAL!T51</f>
        <v xml:space="preserve">Ananda 0 baik dalam sikap jujur, disiplin, tanggung jawab, santun, peduli, percaya diri, </v>
      </c>
      <c r="F52" s="473" t="str">
        <f>IFERROR('PAI3'!CI52,"")</f>
        <v/>
      </c>
      <c r="G52" s="473" t="str">
        <f>IFERROR('PAI3'!CJ52,"")</f>
        <v/>
      </c>
      <c r="H52" s="474" t="str">
        <f>'PAI3'!CO52</f>
        <v xml:space="preserve"> </v>
      </c>
      <c r="I52" s="473" t="str">
        <f>IFERROR('PKN3'!U51,"")</f>
        <v/>
      </c>
      <c r="J52" s="473" t="str">
        <f>IFERROR('PKN3'!V51,"")</f>
        <v/>
      </c>
      <c r="K52" s="472" t="str">
        <f>'PKN3'!AA51</f>
        <v xml:space="preserve"> </v>
      </c>
      <c r="L52" s="475" t="str">
        <f>IFERROR(BIND3!U51,"")</f>
        <v/>
      </c>
      <c r="M52" s="475" t="str">
        <f>IFERROR(BIND3!V51,"")</f>
        <v/>
      </c>
      <c r="N52" s="474" t="str">
        <f>BIND3!AA51</f>
        <v xml:space="preserve"> </v>
      </c>
      <c r="O52" s="475" t="str">
        <f>IFERROR('MTK3'!U51,"")</f>
        <v/>
      </c>
      <c r="P52" s="475" t="str">
        <f>IFERROR('MTK3'!V51,"")</f>
        <v/>
      </c>
      <c r="Q52" s="474" t="str">
        <f>'MTK3'!AA51</f>
        <v xml:space="preserve"> </v>
      </c>
      <c r="R52" s="475" t="str">
        <f>IFERROR('IPA3'!U51,"")</f>
        <v/>
      </c>
      <c r="S52" s="475" t="str">
        <f>IFERROR('IPA3'!V51,"")</f>
        <v/>
      </c>
      <c r="T52" s="474" t="str">
        <f>'IPA3'!AA51</f>
        <v xml:space="preserve"> </v>
      </c>
      <c r="U52" s="475" t="str">
        <f>IFERROR('IPS3'!U51,"")</f>
        <v/>
      </c>
      <c r="V52" s="475" t="str">
        <f>IFERROR('IPS3'!V51,"")</f>
        <v/>
      </c>
      <c r="W52" s="474" t="str">
        <f>'IPS3'!AA51</f>
        <v xml:space="preserve"> </v>
      </c>
      <c r="X52" s="475" t="str">
        <f>IFERROR(SBDP3!U51,"")</f>
        <v/>
      </c>
      <c r="Y52" s="475" t="str">
        <f>IFERROR(SBDP3!V51,"")</f>
        <v/>
      </c>
      <c r="Z52" s="474" t="str">
        <f>SBDP3!AA51</f>
        <v xml:space="preserve"> </v>
      </c>
      <c r="AA52" s="475" t="str">
        <f>IFERROR(PJOK3!U51,"")</f>
        <v/>
      </c>
      <c r="AB52" s="475" t="str">
        <f>IFERROR(PJOK3!V51,"")</f>
        <v/>
      </c>
      <c r="AC52" s="474" t="str">
        <f>PJOK3!AA51</f>
        <v xml:space="preserve"> </v>
      </c>
      <c r="AD52" s="475" t="str">
        <f>IFERROR('MLK1-3'!U51,"")</f>
        <v/>
      </c>
      <c r="AE52" s="475" t="str">
        <f>IFERROR('MLK1-3'!V51,"")</f>
        <v/>
      </c>
      <c r="AF52" s="476" t="str">
        <f>'MLK1-3'!AA51</f>
        <v xml:space="preserve"> </v>
      </c>
      <c r="AG52" s="475" t="str">
        <f>IFERROR('MLK2-3'!X51,"")</f>
        <v/>
      </c>
      <c r="AH52" s="475" t="str">
        <f>IFERROR('MLK2-3'!Y51,"")</f>
        <v/>
      </c>
      <c r="AI52" s="474" t="str">
        <f>'MLK2-3'!AD51</f>
        <v xml:space="preserve"> </v>
      </c>
      <c r="AJ52" s="475" t="str">
        <f>IFERROR('MLK3-3'!W51,"")</f>
        <v/>
      </c>
      <c r="AK52" s="475" t="str">
        <f>IFERROR('MLK3-3'!X51,"")</f>
        <v/>
      </c>
      <c r="AL52" s="476" t="str">
        <f>'MLK3-3'!AC51</f>
        <v xml:space="preserve"> </v>
      </c>
      <c r="AM52" s="475" t="str">
        <f>IFERROR('PAI4'!CI52,"")</f>
        <v/>
      </c>
      <c r="AN52" s="475" t="str">
        <f>IFERROR('PAI4'!CJ52,"")</f>
        <v/>
      </c>
      <c r="AO52" s="476" t="str">
        <f>'PAI4'!CO52</f>
        <v xml:space="preserve"> </v>
      </c>
      <c r="AP52" s="475" t="str">
        <f>IFERROR('PKN4'!U51,"")</f>
        <v/>
      </c>
      <c r="AQ52" s="475" t="str">
        <f>IFERROR('PKN4'!V51,"")</f>
        <v/>
      </c>
      <c r="AR52" s="474" t="str">
        <f>'PKN4'!AA51</f>
        <v xml:space="preserve"> </v>
      </c>
      <c r="AS52" s="475" t="str">
        <f>IFERROR(BIND4!U51,"")</f>
        <v/>
      </c>
      <c r="AT52" s="475" t="str">
        <f>IFERROR(BIND4!V51,"")</f>
        <v/>
      </c>
      <c r="AU52" s="474" t="str">
        <f>BIND4!AA51</f>
        <v xml:space="preserve"> </v>
      </c>
      <c r="AV52" s="475" t="str">
        <f>IFERROR('MTK4'!U51,"")</f>
        <v/>
      </c>
      <c r="AW52" s="475" t="str">
        <f>IFERROR('MTK4'!V51,"")</f>
        <v/>
      </c>
      <c r="AX52" s="474" t="str">
        <f>'MTK4'!AA51</f>
        <v xml:space="preserve"> </v>
      </c>
      <c r="AY52" s="475" t="str">
        <f>IFERROR('IPA4'!U51,"")</f>
        <v/>
      </c>
      <c r="AZ52" s="475" t="str">
        <f>IFERROR('IPA4'!V51,"")</f>
        <v/>
      </c>
      <c r="BA52" s="474" t="str">
        <f>'IPA4'!AA51</f>
        <v xml:space="preserve"> </v>
      </c>
      <c r="BB52" s="475" t="str">
        <f>IFERROR('IPS4'!U51,"")</f>
        <v/>
      </c>
      <c r="BC52" s="475" t="str">
        <f>IFERROR('IPS4'!V51,"")</f>
        <v/>
      </c>
      <c r="BD52" s="474" t="str">
        <f>'IPS4'!AA51</f>
        <v xml:space="preserve"> </v>
      </c>
      <c r="BE52" s="475" t="str">
        <f>IFERROR(SBDP4!U51,"")</f>
        <v/>
      </c>
      <c r="BF52" s="475" t="str">
        <f>IFERROR(SBDP4!V51,"")</f>
        <v/>
      </c>
      <c r="BG52" s="474" t="str">
        <f>SBDP4!AA51</f>
        <v xml:space="preserve"> </v>
      </c>
      <c r="BH52" s="475" t="str">
        <f>IFERROR(PJOK4!U51,"")</f>
        <v/>
      </c>
      <c r="BI52" s="475" t="str">
        <f>IFERROR(PJOK4!V51,"")</f>
        <v/>
      </c>
      <c r="BJ52" s="476" t="str">
        <f>PJOK4!AA51</f>
        <v xml:space="preserve"> </v>
      </c>
      <c r="BK52" s="475" t="str">
        <f>IFERROR('MLK1-4'!U51,"")</f>
        <v/>
      </c>
      <c r="BL52" s="475" t="str">
        <f>IFERROR('MLK1-4'!V51,"")</f>
        <v/>
      </c>
      <c r="BM52" s="474" t="str">
        <f>'MLK1-4'!AA51</f>
        <v xml:space="preserve"> </v>
      </c>
      <c r="BN52" s="475" t="str">
        <f>IFERROR('MLK2-4'!U51,"")</f>
        <v/>
      </c>
      <c r="BO52" s="475" t="str">
        <f>IFERROR('MLK2-4'!V51,"")</f>
        <v/>
      </c>
      <c r="BP52" s="474" t="str">
        <f>'MLK2-4'!AA51</f>
        <v xml:space="preserve"> </v>
      </c>
      <c r="BQ52" s="475" t="str">
        <f>IFERROR('MLK3-4'!Y51,"")</f>
        <v/>
      </c>
      <c r="BR52" s="475" t="str">
        <f>IFERROR('MLK3-4'!Z51,"")</f>
        <v/>
      </c>
      <c r="BS52" s="474" t="str">
        <f>'MLK3-4'!AE51</f>
        <v xml:space="preserve"> </v>
      </c>
      <c r="BT52" s="475">
        <f t="shared" si="1"/>
        <v>0</v>
      </c>
      <c r="BU52" s="505">
        <f t="shared" si="0"/>
        <v>0</v>
      </c>
      <c r="BV52" s="477">
        <f t="shared" si="2"/>
        <v>0</v>
      </c>
      <c r="BW52" s="478">
        <f t="shared" si="3"/>
        <v>44</v>
      </c>
    </row>
    <row r="53" spans="1:75" ht="20.25" customHeight="1">
      <c r="A53" s="146">
        <v>48</v>
      </c>
      <c r="B53" s="146">
        <f>SISWA!B53</f>
        <v>0</v>
      </c>
      <c r="C53" s="471">
        <f>SISWA!C53</f>
        <v>0</v>
      </c>
      <c r="D53" s="472" t="str">
        <f>SPIRIT!P52</f>
        <v xml:space="preserve">Ananda 0 baik dalam  ketaatan beribadah,  berperilaku syukur,  berdoa sebelum dan sesudah melakukan kegiatan,  toleransi dalam beribadah, </v>
      </c>
      <c r="E53" s="472" t="str">
        <f>SOSIAL!T52</f>
        <v xml:space="preserve">Ananda 0 baik dalam sikap jujur, disiplin, tanggung jawab, santun, peduli, percaya diri, </v>
      </c>
      <c r="F53" s="473" t="str">
        <f>IFERROR('PAI3'!CI53,"")</f>
        <v/>
      </c>
      <c r="G53" s="473" t="str">
        <f>IFERROR('PAI3'!CJ53,"")</f>
        <v/>
      </c>
      <c r="H53" s="474" t="str">
        <f>'PAI3'!CO53</f>
        <v xml:space="preserve"> </v>
      </c>
      <c r="I53" s="473" t="str">
        <f>IFERROR('PKN3'!U52,"")</f>
        <v/>
      </c>
      <c r="J53" s="473" t="str">
        <f>IFERROR('PKN3'!V52,"")</f>
        <v/>
      </c>
      <c r="K53" s="472" t="str">
        <f>'PKN3'!AA52</f>
        <v xml:space="preserve"> </v>
      </c>
      <c r="L53" s="475" t="str">
        <f>IFERROR(BIND3!U52,"")</f>
        <v/>
      </c>
      <c r="M53" s="475" t="str">
        <f>IFERROR(BIND3!V52,"")</f>
        <v/>
      </c>
      <c r="N53" s="474" t="str">
        <f>BIND3!AA52</f>
        <v xml:space="preserve"> </v>
      </c>
      <c r="O53" s="475" t="str">
        <f>IFERROR('MTK3'!U52,"")</f>
        <v/>
      </c>
      <c r="P53" s="475" t="str">
        <f>IFERROR('MTK3'!V52,"")</f>
        <v/>
      </c>
      <c r="Q53" s="474" t="str">
        <f>'MTK3'!AA52</f>
        <v xml:space="preserve"> </v>
      </c>
      <c r="R53" s="475" t="str">
        <f>IFERROR('IPA3'!U52,"")</f>
        <v/>
      </c>
      <c r="S53" s="475" t="str">
        <f>IFERROR('IPA3'!V52,"")</f>
        <v/>
      </c>
      <c r="T53" s="474" t="str">
        <f>'IPA3'!AA52</f>
        <v xml:space="preserve"> </v>
      </c>
      <c r="U53" s="475" t="str">
        <f>IFERROR('IPS3'!U52,"")</f>
        <v/>
      </c>
      <c r="V53" s="475" t="str">
        <f>IFERROR('IPS3'!V52,"")</f>
        <v/>
      </c>
      <c r="W53" s="474" t="str">
        <f>'IPS3'!AA52</f>
        <v xml:space="preserve"> </v>
      </c>
      <c r="X53" s="475" t="str">
        <f>IFERROR(SBDP3!U52,"")</f>
        <v/>
      </c>
      <c r="Y53" s="475" t="str">
        <f>IFERROR(SBDP3!V52,"")</f>
        <v/>
      </c>
      <c r="Z53" s="474" t="str">
        <f>SBDP3!AA52</f>
        <v xml:space="preserve"> </v>
      </c>
      <c r="AA53" s="475" t="str">
        <f>IFERROR(PJOK3!U52,"")</f>
        <v/>
      </c>
      <c r="AB53" s="475" t="str">
        <f>IFERROR(PJOK3!V52,"")</f>
        <v/>
      </c>
      <c r="AC53" s="474" t="str">
        <f>PJOK3!AA52</f>
        <v xml:space="preserve"> </v>
      </c>
      <c r="AD53" s="475" t="str">
        <f>IFERROR('MLK1-3'!U52,"")</f>
        <v/>
      </c>
      <c r="AE53" s="475" t="str">
        <f>IFERROR('MLK1-3'!V52,"")</f>
        <v/>
      </c>
      <c r="AF53" s="476" t="str">
        <f>'MLK1-3'!AA52</f>
        <v xml:space="preserve"> </v>
      </c>
      <c r="AG53" s="475" t="str">
        <f>IFERROR('MLK2-3'!X52,"")</f>
        <v/>
      </c>
      <c r="AH53" s="475" t="str">
        <f>IFERROR('MLK2-3'!Y52,"")</f>
        <v/>
      </c>
      <c r="AI53" s="474" t="str">
        <f>'MLK2-3'!AD52</f>
        <v xml:space="preserve"> </v>
      </c>
      <c r="AJ53" s="475" t="str">
        <f>IFERROR('MLK3-3'!W52,"")</f>
        <v/>
      </c>
      <c r="AK53" s="475" t="str">
        <f>IFERROR('MLK3-3'!X52,"")</f>
        <v/>
      </c>
      <c r="AL53" s="476" t="str">
        <f>'MLK3-3'!AC52</f>
        <v xml:space="preserve"> </v>
      </c>
      <c r="AM53" s="475" t="str">
        <f>IFERROR('PAI4'!CI53,"")</f>
        <v/>
      </c>
      <c r="AN53" s="475" t="str">
        <f>IFERROR('PAI4'!CJ53,"")</f>
        <v/>
      </c>
      <c r="AO53" s="476" t="str">
        <f>'PAI4'!CO53</f>
        <v xml:space="preserve"> </v>
      </c>
      <c r="AP53" s="475" t="str">
        <f>IFERROR('PKN4'!U52,"")</f>
        <v/>
      </c>
      <c r="AQ53" s="475" t="str">
        <f>IFERROR('PKN4'!V52,"")</f>
        <v/>
      </c>
      <c r="AR53" s="474" t="str">
        <f>'PKN4'!AA52</f>
        <v xml:space="preserve"> </v>
      </c>
      <c r="AS53" s="475" t="str">
        <f>IFERROR(BIND4!U52,"")</f>
        <v/>
      </c>
      <c r="AT53" s="475" t="str">
        <f>IFERROR(BIND4!V52,"")</f>
        <v/>
      </c>
      <c r="AU53" s="474" t="str">
        <f>BIND4!AA52</f>
        <v xml:space="preserve"> </v>
      </c>
      <c r="AV53" s="475" t="str">
        <f>IFERROR('MTK4'!U52,"")</f>
        <v/>
      </c>
      <c r="AW53" s="475" t="str">
        <f>IFERROR('MTK4'!V52,"")</f>
        <v/>
      </c>
      <c r="AX53" s="474" t="str">
        <f>'MTK4'!AA52</f>
        <v xml:space="preserve"> </v>
      </c>
      <c r="AY53" s="475" t="str">
        <f>IFERROR('IPA4'!U52,"")</f>
        <v/>
      </c>
      <c r="AZ53" s="475" t="str">
        <f>IFERROR('IPA4'!V52,"")</f>
        <v/>
      </c>
      <c r="BA53" s="474" t="str">
        <f>'IPA4'!AA52</f>
        <v xml:space="preserve"> </v>
      </c>
      <c r="BB53" s="475" t="str">
        <f>IFERROR('IPS4'!U52,"")</f>
        <v/>
      </c>
      <c r="BC53" s="475" t="str">
        <f>IFERROR('IPS4'!V52,"")</f>
        <v/>
      </c>
      <c r="BD53" s="474" t="str">
        <f>'IPS4'!AA52</f>
        <v xml:space="preserve"> </v>
      </c>
      <c r="BE53" s="475" t="str">
        <f>IFERROR(SBDP4!U52,"")</f>
        <v/>
      </c>
      <c r="BF53" s="475" t="str">
        <f>IFERROR(SBDP4!V52,"")</f>
        <v/>
      </c>
      <c r="BG53" s="474" t="str">
        <f>SBDP4!AA52</f>
        <v xml:space="preserve"> </v>
      </c>
      <c r="BH53" s="475" t="str">
        <f>IFERROR(PJOK4!U52,"")</f>
        <v/>
      </c>
      <c r="BI53" s="475" t="str">
        <f>IFERROR(PJOK4!V52,"")</f>
        <v/>
      </c>
      <c r="BJ53" s="476" t="str">
        <f>PJOK4!AA52</f>
        <v xml:space="preserve"> </v>
      </c>
      <c r="BK53" s="475" t="str">
        <f>IFERROR('MLK1-4'!U52,"")</f>
        <v/>
      </c>
      <c r="BL53" s="475" t="str">
        <f>IFERROR('MLK1-4'!V52,"")</f>
        <v/>
      </c>
      <c r="BM53" s="474" t="str">
        <f>'MLK1-4'!AA52</f>
        <v xml:space="preserve"> </v>
      </c>
      <c r="BN53" s="475" t="str">
        <f>IFERROR('MLK2-4'!U52,"")</f>
        <v/>
      </c>
      <c r="BO53" s="475" t="str">
        <f>IFERROR('MLK2-4'!V52,"")</f>
        <v/>
      </c>
      <c r="BP53" s="474" t="str">
        <f>'MLK2-4'!AA52</f>
        <v xml:space="preserve"> </v>
      </c>
      <c r="BQ53" s="475" t="str">
        <f>IFERROR('MLK3-4'!Y52,"")</f>
        <v/>
      </c>
      <c r="BR53" s="475" t="str">
        <f>IFERROR('MLK3-4'!Z52,"")</f>
        <v/>
      </c>
      <c r="BS53" s="474" t="str">
        <f>'MLK3-4'!AE52</f>
        <v xml:space="preserve"> </v>
      </c>
      <c r="BT53" s="475">
        <f t="shared" si="1"/>
        <v>0</v>
      </c>
      <c r="BU53" s="505">
        <f t="shared" si="0"/>
        <v>0</v>
      </c>
      <c r="BV53" s="477">
        <f t="shared" si="2"/>
        <v>0</v>
      </c>
      <c r="BW53" s="478">
        <f t="shared" si="3"/>
        <v>44</v>
      </c>
    </row>
    <row r="54" spans="1:75" ht="20.25" customHeight="1">
      <c r="A54" s="146">
        <v>49</v>
      </c>
      <c r="B54" s="146">
        <f>SISWA!B54</f>
        <v>0</v>
      </c>
      <c r="C54" s="471">
        <f>SISWA!C54</f>
        <v>0</v>
      </c>
      <c r="D54" s="472" t="str">
        <f>SPIRIT!P53</f>
        <v xml:space="preserve">Ananda 0 baik dalam  ketaatan beribadah,  berperilaku syukur,  berdoa sebelum dan sesudah melakukan kegiatan,  toleransi dalam beribadah, </v>
      </c>
      <c r="E54" s="472" t="str">
        <f>SOSIAL!T53</f>
        <v xml:space="preserve">Ananda 0 baik dalam sikap jujur, disiplin, tanggung jawab, santun, peduli, percaya diri, </v>
      </c>
      <c r="F54" s="473" t="str">
        <f>IFERROR('PAI3'!CI54,"")</f>
        <v/>
      </c>
      <c r="G54" s="473" t="str">
        <f>IFERROR('PAI3'!CJ54,"")</f>
        <v/>
      </c>
      <c r="H54" s="474" t="str">
        <f>'PAI3'!CO54</f>
        <v xml:space="preserve"> </v>
      </c>
      <c r="I54" s="473" t="str">
        <f>IFERROR('PKN3'!U53,"")</f>
        <v/>
      </c>
      <c r="J54" s="473" t="str">
        <f>IFERROR('PKN3'!V53,"")</f>
        <v/>
      </c>
      <c r="K54" s="472" t="str">
        <f>'PKN3'!AA53</f>
        <v xml:space="preserve"> </v>
      </c>
      <c r="L54" s="475" t="str">
        <f>IFERROR(BIND3!U53,"")</f>
        <v/>
      </c>
      <c r="M54" s="475" t="str">
        <f>IFERROR(BIND3!V53,"")</f>
        <v/>
      </c>
      <c r="N54" s="474" t="str">
        <f>BIND3!AA53</f>
        <v xml:space="preserve"> </v>
      </c>
      <c r="O54" s="475" t="str">
        <f>IFERROR('MTK3'!U53,"")</f>
        <v/>
      </c>
      <c r="P54" s="475" t="str">
        <f>IFERROR('MTK3'!V53,"")</f>
        <v/>
      </c>
      <c r="Q54" s="474" t="str">
        <f>'MTK3'!AA53</f>
        <v xml:space="preserve"> </v>
      </c>
      <c r="R54" s="475" t="str">
        <f>IFERROR('IPA3'!U53,"")</f>
        <v/>
      </c>
      <c r="S54" s="475" t="str">
        <f>IFERROR('IPA3'!V53,"")</f>
        <v/>
      </c>
      <c r="T54" s="474" t="str">
        <f>'IPA3'!AA53</f>
        <v xml:space="preserve"> </v>
      </c>
      <c r="U54" s="475" t="str">
        <f>IFERROR('IPS3'!U53,"")</f>
        <v/>
      </c>
      <c r="V54" s="475" t="str">
        <f>IFERROR('IPS3'!V53,"")</f>
        <v/>
      </c>
      <c r="W54" s="474" t="str">
        <f>'IPS3'!AA53</f>
        <v xml:space="preserve"> </v>
      </c>
      <c r="X54" s="475" t="str">
        <f>IFERROR(SBDP3!U53,"")</f>
        <v/>
      </c>
      <c r="Y54" s="475" t="str">
        <f>IFERROR(SBDP3!V53,"")</f>
        <v/>
      </c>
      <c r="Z54" s="474" t="str">
        <f>SBDP3!AA53</f>
        <v xml:space="preserve"> </v>
      </c>
      <c r="AA54" s="475" t="str">
        <f>IFERROR(PJOK3!U53,"")</f>
        <v/>
      </c>
      <c r="AB54" s="475" t="str">
        <f>IFERROR(PJOK3!V53,"")</f>
        <v/>
      </c>
      <c r="AC54" s="474" t="str">
        <f>PJOK3!AA53</f>
        <v xml:space="preserve"> </v>
      </c>
      <c r="AD54" s="475" t="str">
        <f>IFERROR('MLK1-3'!U53,"")</f>
        <v/>
      </c>
      <c r="AE54" s="475" t="str">
        <f>IFERROR('MLK1-3'!V53,"")</f>
        <v/>
      </c>
      <c r="AF54" s="476" t="str">
        <f>'MLK1-3'!AA53</f>
        <v xml:space="preserve"> </v>
      </c>
      <c r="AG54" s="475" t="str">
        <f>IFERROR('MLK2-3'!X53,"")</f>
        <v/>
      </c>
      <c r="AH54" s="475" t="str">
        <f>IFERROR('MLK2-3'!Y53,"")</f>
        <v/>
      </c>
      <c r="AI54" s="474" t="str">
        <f>'MLK2-3'!AD53</f>
        <v xml:space="preserve"> </v>
      </c>
      <c r="AJ54" s="475" t="str">
        <f>IFERROR('MLK3-3'!W53,"")</f>
        <v/>
      </c>
      <c r="AK54" s="475" t="str">
        <f>IFERROR('MLK3-3'!X53,"")</f>
        <v/>
      </c>
      <c r="AL54" s="476" t="str">
        <f>'MLK3-3'!AC53</f>
        <v xml:space="preserve"> </v>
      </c>
      <c r="AM54" s="475" t="str">
        <f>IFERROR('PAI4'!CI54,"")</f>
        <v/>
      </c>
      <c r="AN54" s="475" t="str">
        <f>IFERROR('PAI4'!CJ54,"")</f>
        <v/>
      </c>
      <c r="AO54" s="476" t="str">
        <f>'PAI4'!CO54</f>
        <v xml:space="preserve"> </v>
      </c>
      <c r="AP54" s="475" t="str">
        <f>IFERROR('PKN4'!U53,"")</f>
        <v/>
      </c>
      <c r="AQ54" s="475" t="str">
        <f>IFERROR('PKN4'!V53,"")</f>
        <v/>
      </c>
      <c r="AR54" s="474" t="str">
        <f>'PKN4'!AA53</f>
        <v xml:space="preserve"> </v>
      </c>
      <c r="AS54" s="475" t="str">
        <f>IFERROR(BIND4!U53,"")</f>
        <v/>
      </c>
      <c r="AT54" s="475" t="str">
        <f>IFERROR(BIND4!V53,"")</f>
        <v/>
      </c>
      <c r="AU54" s="474" t="str">
        <f>BIND4!AA53</f>
        <v xml:space="preserve"> </v>
      </c>
      <c r="AV54" s="475" t="str">
        <f>IFERROR('MTK4'!U53,"")</f>
        <v/>
      </c>
      <c r="AW54" s="475" t="str">
        <f>IFERROR('MTK4'!V53,"")</f>
        <v/>
      </c>
      <c r="AX54" s="474" t="str">
        <f>'MTK4'!AA53</f>
        <v xml:space="preserve"> </v>
      </c>
      <c r="AY54" s="475" t="str">
        <f>IFERROR('IPA4'!U53,"")</f>
        <v/>
      </c>
      <c r="AZ54" s="475" t="str">
        <f>IFERROR('IPA4'!V53,"")</f>
        <v/>
      </c>
      <c r="BA54" s="474" t="str">
        <f>'IPA4'!AA53</f>
        <v xml:space="preserve"> </v>
      </c>
      <c r="BB54" s="475" t="str">
        <f>IFERROR('IPS4'!U53,"")</f>
        <v/>
      </c>
      <c r="BC54" s="475" t="str">
        <f>IFERROR('IPS4'!V53,"")</f>
        <v/>
      </c>
      <c r="BD54" s="474" t="str">
        <f>'IPS4'!AA53</f>
        <v xml:space="preserve"> </v>
      </c>
      <c r="BE54" s="475" t="str">
        <f>IFERROR(SBDP4!U53,"")</f>
        <v/>
      </c>
      <c r="BF54" s="475" t="str">
        <f>IFERROR(SBDP4!V53,"")</f>
        <v/>
      </c>
      <c r="BG54" s="474" t="str">
        <f>SBDP4!AA53</f>
        <v xml:space="preserve"> </v>
      </c>
      <c r="BH54" s="475" t="str">
        <f>IFERROR(PJOK4!U53,"")</f>
        <v/>
      </c>
      <c r="BI54" s="475" t="str">
        <f>IFERROR(PJOK4!V53,"")</f>
        <v/>
      </c>
      <c r="BJ54" s="476" t="str">
        <f>PJOK4!AA53</f>
        <v xml:space="preserve"> </v>
      </c>
      <c r="BK54" s="475" t="str">
        <f>IFERROR('MLK1-4'!U53,"")</f>
        <v/>
      </c>
      <c r="BL54" s="475" t="str">
        <f>IFERROR('MLK1-4'!V53,"")</f>
        <v/>
      </c>
      <c r="BM54" s="474" t="str">
        <f>'MLK1-4'!AA53</f>
        <v xml:space="preserve"> </v>
      </c>
      <c r="BN54" s="475" t="str">
        <f>IFERROR('MLK2-4'!U53,"")</f>
        <v/>
      </c>
      <c r="BO54" s="475" t="str">
        <f>IFERROR('MLK2-4'!V53,"")</f>
        <v/>
      </c>
      <c r="BP54" s="474" t="str">
        <f>'MLK2-4'!AA53</f>
        <v xml:space="preserve"> </v>
      </c>
      <c r="BQ54" s="475" t="str">
        <f>IFERROR('MLK3-4'!Y53,"")</f>
        <v/>
      </c>
      <c r="BR54" s="475" t="str">
        <f>IFERROR('MLK3-4'!Z53,"")</f>
        <v/>
      </c>
      <c r="BS54" s="474" t="str">
        <f>'MLK3-4'!AE53</f>
        <v xml:space="preserve"> </v>
      </c>
      <c r="BT54" s="475">
        <f t="shared" si="1"/>
        <v>0</v>
      </c>
      <c r="BU54" s="505">
        <f t="shared" si="0"/>
        <v>0</v>
      </c>
      <c r="BV54" s="477">
        <f t="shared" si="2"/>
        <v>0</v>
      </c>
      <c r="BW54" s="478">
        <f t="shared" si="3"/>
        <v>44</v>
      </c>
    </row>
    <row r="55" spans="1:75" ht="20.25" customHeight="1">
      <c r="A55" s="146">
        <v>50</v>
      </c>
      <c r="B55" s="146">
        <f>SISWA!B55</f>
        <v>0</v>
      </c>
      <c r="C55" s="471">
        <f>SISWA!C55</f>
        <v>0</v>
      </c>
      <c r="D55" s="472" t="str">
        <f>SPIRIT!P54</f>
        <v xml:space="preserve">Ananda 0 baik dalam  ketaatan beribadah,  berperilaku syukur,  berdoa sebelum dan sesudah melakukan kegiatan,  toleransi dalam beribadah, </v>
      </c>
      <c r="E55" s="472" t="str">
        <f>SOSIAL!T54</f>
        <v xml:space="preserve">Ananda 0 baik dalam sikap jujur, disiplin, tanggung jawab, santun, peduli, percaya diri, </v>
      </c>
      <c r="F55" s="473" t="str">
        <f>IFERROR('PAI3'!CI55,"")</f>
        <v/>
      </c>
      <c r="G55" s="473" t="str">
        <f>IFERROR('PAI3'!CJ55,"")</f>
        <v/>
      </c>
      <c r="H55" s="474" t="str">
        <f>'PAI3'!CO55</f>
        <v xml:space="preserve"> </v>
      </c>
      <c r="I55" s="473" t="str">
        <f>IFERROR('PKN3'!U54,"")</f>
        <v/>
      </c>
      <c r="J55" s="473" t="str">
        <f>IFERROR('PKN3'!V54,"")</f>
        <v/>
      </c>
      <c r="K55" s="472" t="str">
        <f>'PKN3'!AA54</f>
        <v xml:space="preserve"> </v>
      </c>
      <c r="L55" s="475" t="str">
        <f>IFERROR(BIND3!U54,"")</f>
        <v/>
      </c>
      <c r="M55" s="475" t="str">
        <f>IFERROR(BIND3!V54,"")</f>
        <v/>
      </c>
      <c r="N55" s="474" t="str">
        <f>BIND3!AA54</f>
        <v xml:space="preserve"> </v>
      </c>
      <c r="O55" s="475" t="str">
        <f>IFERROR('MTK3'!U54,"")</f>
        <v/>
      </c>
      <c r="P55" s="475" t="str">
        <f>IFERROR('MTK3'!V54,"")</f>
        <v/>
      </c>
      <c r="Q55" s="474" t="str">
        <f>'MTK3'!AA54</f>
        <v xml:space="preserve"> </v>
      </c>
      <c r="R55" s="475" t="str">
        <f>IFERROR('IPA3'!U54,"")</f>
        <v/>
      </c>
      <c r="S55" s="475" t="str">
        <f>IFERROR('IPA3'!V54,"")</f>
        <v/>
      </c>
      <c r="T55" s="474" t="str">
        <f>'IPA3'!AA54</f>
        <v xml:space="preserve"> </v>
      </c>
      <c r="U55" s="475" t="str">
        <f>IFERROR('IPS3'!U54,"")</f>
        <v/>
      </c>
      <c r="V55" s="475" t="str">
        <f>IFERROR('IPS3'!V54,"")</f>
        <v/>
      </c>
      <c r="W55" s="474" t="str">
        <f>'IPS3'!AA54</f>
        <v xml:space="preserve"> </v>
      </c>
      <c r="X55" s="475" t="str">
        <f>IFERROR(SBDP3!U54,"")</f>
        <v/>
      </c>
      <c r="Y55" s="475" t="str">
        <f>IFERROR(SBDP3!V54,"")</f>
        <v/>
      </c>
      <c r="Z55" s="474" t="str">
        <f>SBDP3!AA54</f>
        <v xml:space="preserve"> </v>
      </c>
      <c r="AA55" s="475" t="str">
        <f>IFERROR(PJOK3!U54,"")</f>
        <v/>
      </c>
      <c r="AB55" s="475" t="str">
        <f>IFERROR(PJOK3!V54,"")</f>
        <v/>
      </c>
      <c r="AC55" s="474" t="str">
        <f>PJOK3!AA54</f>
        <v xml:space="preserve"> </v>
      </c>
      <c r="AD55" s="475" t="str">
        <f>IFERROR('MLK1-3'!U54,"")</f>
        <v/>
      </c>
      <c r="AE55" s="475" t="str">
        <f>IFERROR('MLK1-3'!V54,"")</f>
        <v/>
      </c>
      <c r="AF55" s="476" t="str">
        <f>'MLK1-3'!AA54</f>
        <v xml:space="preserve"> </v>
      </c>
      <c r="AG55" s="475" t="str">
        <f>IFERROR('MLK2-3'!X54,"")</f>
        <v/>
      </c>
      <c r="AH55" s="475" t="str">
        <f>IFERROR('MLK2-3'!Y54,"")</f>
        <v/>
      </c>
      <c r="AI55" s="474" t="str">
        <f>'MLK2-3'!AD54</f>
        <v xml:space="preserve"> </v>
      </c>
      <c r="AJ55" s="475" t="str">
        <f>IFERROR('MLK3-3'!W54,"")</f>
        <v/>
      </c>
      <c r="AK55" s="475" t="str">
        <f>IFERROR('MLK3-3'!X54,"")</f>
        <v/>
      </c>
      <c r="AL55" s="476" t="str">
        <f>'MLK3-3'!AC54</f>
        <v xml:space="preserve"> </v>
      </c>
      <c r="AM55" s="475" t="str">
        <f>IFERROR('PAI4'!CI55,"")</f>
        <v/>
      </c>
      <c r="AN55" s="475" t="str">
        <f>IFERROR('PAI4'!CJ55,"")</f>
        <v/>
      </c>
      <c r="AO55" s="476" t="str">
        <f>'PAI4'!CO55</f>
        <v xml:space="preserve"> </v>
      </c>
      <c r="AP55" s="475" t="str">
        <f>IFERROR('PKN4'!U54,"")</f>
        <v/>
      </c>
      <c r="AQ55" s="475" t="str">
        <f>IFERROR('PKN4'!V54,"")</f>
        <v/>
      </c>
      <c r="AR55" s="474" t="str">
        <f>'PKN4'!AA54</f>
        <v xml:space="preserve"> </v>
      </c>
      <c r="AS55" s="475" t="str">
        <f>IFERROR(BIND4!U54,"")</f>
        <v/>
      </c>
      <c r="AT55" s="475" t="str">
        <f>IFERROR(BIND4!V54,"")</f>
        <v/>
      </c>
      <c r="AU55" s="474" t="str">
        <f>BIND4!AA54</f>
        <v xml:space="preserve"> </v>
      </c>
      <c r="AV55" s="475" t="str">
        <f>IFERROR('MTK4'!U54,"")</f>
        <v/>
      </c>
      <c r="AW55" s="475" t="str">
        <f>IFERROR('MTK4'!V54,"")</f>
        <v/>
      </c>
      <c r="AX55" s="474" t="str">
        <f>'MTK4'!AA54</f>
        <v xml:space="preserve"> </v>
      </c>
      <c r="AY55" s="475" t="str">
        <f>IFERROR('IPA4'!U54,"")</f>
        <v/>
      </c>
      <c r="AZ55" s="475" t="str">
        <f>IFERROR('IPA4'!V54,"")</f>
        <v/>
      </c>
      <c r="BA55" s="474" t="str">
        <f>'IPA4'!AA54</f>
        <v xml:space="preserve"> </v>
      </c>
      <c r="BB55" s="475" t="str">
        <f>IFERROR('IPS4'!U54,"")</f>
        <v/>
      </c>
      <c r="BC55" s="475" t="str">
        <f>IFERROR('IPS4'!V54,"")</f>
        <v/>
      </c>
      <c r="BD55" s="474" t="str">
        <f>'IPS4'!AA54</f>
        <v xml:space="preserve"> </v>
      </c>
      <c r="BE55" s="475" t="str">
        <f>IFERROR(SBDP4!U54,"")</f>
        <v/>
      </c>
      <c r="BF55" s="475" t="str">
        <f>IFERROR(SBDP4!V54,"")</f>
        <v/>
      </c>
      <c r="BG55" s="474" t="str">
        <f>SBDP4!AA54</f>
        <v xml:space="preserve"> </v>
      </c>
      <c r="BH55" s="475" t="str">
        <f>IFERROR(PJOK4!U54,"")</f>
        <v/>
      </c>
      <c r="BI55" s="475" t="str">
        <f>IFERROR(PJOK4!V54,"")</f>
        <v/>
      </c>
      <c r="BJ55" s="476" t="str">
        <f>PJOK4!AA54</f>
        <v xml:space="preserve"> </v>
      </c>
      <c r="BK55" s="475" t="str">
        <f>IFERROR('MLK1-4'!U54,"")</f>
        <v/>
      </c>
      <c r="BL55" s="475" t="str">
        <f>IFERROR('MLK1-4'!V54,"")</f>
        <v/>
      </c>
      <c r="BM55" s="474" t="str">
        <f>'MLK1-4'!AA54</f>
        <v xml:space="preserve"> </v>
      </c>
      <c r="BN55" s="475" t="str">
        <f>IFERROR('MLK2-4'!U54,"")</f>
        <v/>
      </c>
      <c r="BO55" s="475" t="str">
        <f>IFERROR('MLK2-4'!V54,"")</f>
        <v/>
      </c>
      <c r="BP55" s="474" t="str">
        <f>'MLK2-4'!AA54</f>
        <v xml:space="preserve"> </v>
      </c>
      <c r="BQ55" s="475" t="str">
        <f>IFERROR('MLK3-4'!Y54,"")</f>
        <v/>
      </c>
      <c r="BR55" s="475" t="str">
        <f>IFERROR('MLK3-4'!Z54,"")</f>
        <v/>
      </c>
      <c r="BS55" s="474" t="str">
        <f>'MLK3-4'!AE54</f>
        <v xml:space="preserve"> </v>
      </c>
      <c r="BT55" s="475">
        <f t="shared" si="1"/>
        <v>0</v>
      </c>
      <c r="BU55" s="505">
        <f t="shared" si="0"/>
        <v>0</v>
      </c>
      <c r="BV55" s="477">
        <f t="shared" si="2"/>
        <v>0</v>
      </c>
      <c r="BW55" s="478">
        <f t="shared" si="3"/>
        <v>44</v>
      </c>
    </row>
  </sheetData>
  <mergeCells count="34">
    <mergeCell ref="AP3:AR3"/>
    <mergeCell ref="BN3:BP3"/>
    <mergeCell ref="BQ3:BS3"/>
    <mergeCell ref="BU2:BU4"/>
    <mergeCell ref="BW2:BW4"/>
    <mergeCell ref="AV3:AX3"/>
    <mergeCell ref="AY3:BA3"/>
    <mergeCell ref="BB3:BD3"/>
    <mergeCell ref="BE3:BG3"/>
    <mergeCell ref="BH3:BJ3"/>
    <mergeCell ref="BK3:BM3"/>
    <mergeCell ref="BT2:BT4"/>
    <mergeCell ref="BV2:BV4"/>
    <mergeCell ref="AA3:AC3"/>
    <mergeCell ref="AD3:AF3"/>
    <mergeCell ref="AG3:AI3"/>
    <mergeCell ref="AJ3:AL3"/>
    <mergeCell ref="AM3:AO3"/>
    <mergeCell ref="A1:AL1"/>
    <mergeCell ref="F2:AL2"/>
    <mergeCell ref="AM2:BS2"/>
    <mergeCell ref="A3:A4"/>
    <mergeCell ref="B3:B4"/>
    <mergeCell ref="C3:C4"/>
    <mergeCell ref="D3:D4"/>
    <mergeCell ref="E3:E4"/>
    <mergeCell ref="F3:H3"/>
    <mergeCell ref="I3:K3"/>
    <mergeCell ref="AS3:AU3"/>
    <mergeCell ref="L3:N3"/>
    <mergeCell ref="O3:Q3"/>
    <mergeCell ref="R3:T3"/>
    <mergeCell ref="U3:W3"/>
    <mergeCell ref="X3:Z3"/>
  </mergeCells>
  <conditionalFormatting sqref="BW6:BW55">
    <cfRule type="cellIs" dxfId="0" priority="1" operator="lessThan">
      <formula>11</formula>
    </cfRule>
  </conditionalFormatting>
  <pageMargins left="0.7" right="0.7" top="0.75" bottom="0.75" header="0.3" footer="0.3"/>
  <pageSetup paperSize="256" orientation="portrait" horizontalDpi="4294967293"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56"/>
  <sheetViews>
    <sheetView workbookViewId="0">
      <selection sqref="A1:AN1"/>
    </sheetView>
  </sheetViews>
  <sheetFormatPr defaultRowHeight="15"/>
  <cols>
    <col min="1" max="1" width="4.7109375" customWidth="1"/>
    <col min="2" max="2" width="10.7109375" style="22" customWidth="1"/>
    <col min="3" max="3" width="33.5703125" customWidth="1"/>
    <col min="4" max="4" width="16.5703125" style="19" customWidth="1"/>
    <col min="5" max="5" width="9.140625" style="19"/>
    <col min="6" max="6" width="11.42578125" style="19" customWidth="1"/>
    <col min="7" max="8" width="9.140625" style="19"/>
    <col min="9" max="11" width="9.140625" style="51"/>
    <col min="12" max="12" width="52" customWidth="1"/>
    <col min="17" max="17" width="12" customWidth="1"/>
    <col min="18" max="18" width="12.42578125" customWidth="1"/>
    <col min="21" max="21" width="18.5703125" customWidth="1"/>
    <col min="23" max="23" width="17" customWidth="1"/>
  </cols>
  <sheetData>
    <row r="1" spans="1:40" ht="36" customHeight="1">
      <c r="A1" s="806" t="s">
        <v>64</v>
      </c>
      <c r="B1" s="806"/>
      <c r="C1" s="806"/>
      <c r="D1" s="806"/>
      <c r="E1" s="806"/>
      <c r="F1" s="806"/>
      <c r="G1" s="806"/>
      <c r="H1" s="806"/>
      <c r="I1" s="806"/>
      <c r="J1" s="806"/>
      <c r="K1" s="806"/>
      <c r="L1" s="806"/>
      <c r="M1" s="806"/>
      <c r="N1" s="806"/>
      <c r="O1" s="806"/>
      <c r="P1" s="806"/>
      <c r="Q1" s="806"/>
      <c r="R1" s="806"/>
      <c r="S1" s="806"/>
      <c r="T1" s="806"/>
      <c r="U1" s="806"/>
      <c r="V1" s="806"/>
      <c r="W1" s="806"/>
      <c r="X1" s="806"/>
      <c r="Y1" s="806"/>
      <c r="Z1" s="806"/>
      <c r="AA1" s="806"/>
      <c r="AB1" s="806"/>
      <c r="AC1" s="806"/>
      <c r="AD1" s="806"/>
      <c r="AE1" s="806"/>
      <c r="AF1" s="806"/>
      <c r="AG1" s="806"/>
      <c r="AH1" s="806"/>
      <c r="AI1" s="806"/>
      <c r="AJ1" s="806"/>
      <c r="AK1" s="806"/>
      <c r="AL1" s="806"/>
      <c r="AM1" s="806"/>
      <c r="AN1" s="806"/>
    </row>
    <row r="2" spans="1:40" ht="6.75" hidden="1" customHeight="1"/>
    <row r="3" spans="1:40" s="45" customFormat="1" ht="23.25">
      <c r="A3" s="807" t="s">
        <v>4</v>
      </c>
      <c r="B3" s="808" t="s">
        <v>5</v>
      </c>
      <c r="C3" s="807" t="s">
        <v>6</v>
      </c>
      <c r="D3" s="822" t="s">
        <v>65</v>
      </c>
      <c r="E3" s="823"/>
      <c r="F3" s="823"/>
      <c r="G3" s="823"/>
      <c r="H3" s="824"/>
      <c r="I3" s="816" t="s">
        <v>66</v>
      </c>
      <c r="J3" s="817"/>
      <c r="K3" s="818"/>
      <c r="L3" s="809" t="s">
        <v>67</v>
      </c>
      <c r="M3" s="812" t="s">
        <v>68</v>
      </c>
      <c r="N3" s="813"/>
      <c r="O3" s="813"/>
      <c r="P3" s="814"/>
      <c r="Q3" s="828" t="s">
        <v>69</v>
      </c>
      <c r="R3" s="829"/>
      <c r="S3" s="830"/>
      <c r="T3" s="834" t="s">
        <v>70</v>
      </c>
      <c r="U3" s="835"/>
      <c r="V3" s="834" t="s">
        <v>71</v>
      </c>
      <c r="W3" s="835"/>
    </row>
    <row r="4" spans="1:40" s="45" customFormat="1" ht="23.25">
      <c r="A4" s="807"/>
      <c r="B4" s="808"/>
      <c r="C4" s="807"/>
      <c r="D4" s="825"/>
      <c r="E4" s="826"/>
      <c r="F4" s="826"/>
      <c r="G4" s="826"/>
      <c r="H4" s="827"/>
      <c r="I4" s="819"/>
      <c r="J4" s="820"/>
      <c r="K4" s="821"/>
      <c r="L4" s="810"/>
      <c r="M4" s="815" t="s">
        <v>274</v>
      </c>
      <c r="N4" s="815"/>
      <c r="O4" s="815" t="s">
        <v>275</v>
      </c>
      <c r="P4" s="815"/>
      <c r="Q4" s="831"/>
      <c r="R4" s="832"/>
      <c r="S4" s="833"/>
      <c r="T4" s="836"/>
      <c r="U4" s="837"/>
      <c r="V4" s="836"/>
      <c r="W4" s="837"/>
    </row>
    <row r="5" spans="1:40" s="49" customFormat="1" ht="27" customHeight="1">
      <c r="A5" s="807"/>
      <c r="B5" s="808"/>
      <c r="C5" s="807"/>
      <c r="D5" s="52" t="s">
        <v>72</v>
      </c>
      <c r="E5" s="838" t="s">
        <v>73</v>
      </c>
      <c r="F5" s="839"/>
      <c r="G5" s="838" t="s">
        <v>74</v>
      </c>
      <c r="H5" s="839"/>
      <c r="I5" s="53" t="s">
        <v>75</v>
      </c>
      <c r="J5" s="53" t="s">
        <v>76</v>
      </c>
      <c r="K5" s="53" t="s">
        <v>77</v>
      </c>
      <c r="L5" s="811"/>
      <c r="M5" s="46" t="s">
        <v>78</v>
      </c>
      <c r="N5" s="46" t="s">
        <v>79</v>
      </c>
      <c r="O5" s="46" t="s">
        <v>78</v>
      </c>
      <c r="P5" s="46" t="s">
        <v>79</v>
      </c>
      <c r="Q5" s="47" t="s">
        <v>80</v>
      </c>
      <c r="R5" s="47" t="s">
        <v>81</v>
      </c>
      <c r="S5" s="47" t="s">
        <v>82</v>
      </c>
      <c r="T5" s="48" t="s">
        <v>83</v>
      </c>
      <c r="U5" s="48" t="s">
        <v>84</v>
      </c>
      <c r="V5" s="48" t="s">
        <v>83</v>
      </c>
      <c r="W5" s="48" t="s">
        <v>84</v>
      </c>
    </row>
    <row r="6" spans="1:40" s="49" customFormat="1" ht="18.75" customHeight="1">
      <c r="A6" s="54">
        <v>1</v>
      </c>
      <c r="B6" s="54">
        <v>2</v>
      </c>
      <c r="C6" s="54">
        <v>3</v>
      </c>
      <c r="D6" s="54">
        <v>4</v>
      </c>
      <c r="E6" s="54">
        <v>5</v>
      </c>
      <c r="F6" s="54">
        <v>6</v>
      </c>
      <c r="G6" s="54">
        <v>7</v>
      </c>
      <c r="H6" s="54">
        <v>8</v>
      </c>
      <c r="I6" s="54">
        <v>9</v>
      </c>
      <c r="J6" s="54">
        <v>10</v>
      </c>
      <c r="K6" s="54">
        <v>11</v>
      </c>
      <c r="L6" s="54">
        <v>12</v>
      </c>
      <c r="M6" s="54">
        <v>13</v>
      </c>
      <c r="N6" s="54">
        <v>14</v>
      </c>
      <c r="O6" s="54">
        <v>15</v>
      </c>
      <c r="P6" s="54">
        <v>16</v>
      </c>
      <c r="Q6" s="54">
        <v>17</v>
      </c>
      <c r="R6" s="54">
        <v>18</v>
      </c>
      <c r="S6" s="54">
        <v>19</v>
      </c>
      <c r="T6" s="54">
        <v>20</v>
      </c>
      <c r="U6" s="54">
        <v>21</v>
      </c>
      <c r="V6" s="54">
        <v>22</v>
      </c>
      <c r="W6" s="54">
        <v>23</v>
      </c>
    </row>
    <row r="7" spans="1:40" ht="57" customHeight="1">
      <c r="A7" s="37">
        <v>1</v>
      </c>
      <c r="B7" s="37" t="str">
        <f>SISWA!B6</f>
        <v>1718250040305</v>
      </c>
      <c r="C7" s="50" t="str">
        <f>SISWA!C6</f>
        <v>ABDANI YAHYA</v>
      </c>
      <c r="D7" s="13" t="s">
        <v>108</v>
      </c>
      <c r="E7" s="13"/>
      <c r="F7" s="13"/>
      <c r="G7" s="13"/>
      <c r="H7" s="13"/>
      <c r="I7" s="6"/>
      <c r="J7" s="6"/>
      <c r="K7" s="6"/>
      <c r="L7" s="56" t="s">
        <v>86</v>
      </c>
      <c r="M7" s="6" t="s">
        <v>902</v>
      </c>
      <c r="N7" s="6" t="s">
        <v>915</v>
      </c>
      <c r="O7" s="6" t="s">
        <v>902</v>
      </c>
      <c r="P7" s="6" t="s">
        <v>934</v>
      </c>
      <c r="Q7" s="10" t="s">
        <v>89</v>
      </c>
      <c r="R7" s="10" t="s">
        <v>89</v>
      </c>
      <c r="S7" s="10" t="s">
        <v>90</v>
      </c>
      <c r="T7" s="6"/>
      <c r="U7" s="10"/>
      <c r="V7" s="6"/>
      <c r="W7" s="10"/>
    </row>
    <row r="8" spans="1:40" ht="57" customHeight="1">
      <c r="A8" s="37">
        <v>2</v>
      </c>
      <c r="B8" s="37" t="str">
        <f>SISWA!B7</f>
        <v>1718250040306</v>
      </c>
      <c r="C8" s="50" t="str">
        <f>SISWA!C7</f>
        <v>ADHWA BARIQ RAMDAENI BADRUL YAMAN</v>
      </c>
      <c r="D8" s="13" t="s">
        <v>108</v>
      </c>
      <c r="E8" s="13"/>
      <c r="F8" s="13"/>
      <c r="G8" s="44"/>
      <c r="H8" s="44"/>
      <c r="I8" s="6"/>
      <c r="J8" s="6"/>
      <c r="K8" s="6"/>
      <c r="L8" s="56" t="s">
        <v>91</v>
      </c>
      <c r="M8" s="6" t="s">
        <v>106</v>
      </c>
      <c r="N8" s="6" t="s">
        <v>100</v>
      </c>
      <c r="O8" s="6" t="s">
        <v>106</v>
      </c>
      <c r="P8" s="6" t="s">
        <v>100</v>
      </c>
      <c r="Q8" s="10" t="s">
        <v>89</v>
      </c>
      <c r="R8" s="10" t="s">
        <v>89</v>
      </c>
      <c r="S8" s="10" t="s">
        <v>90</v>
      </c>
      <c r="T8" s="6" t="s">
        <v>931</v>
      </c>
      <c r="U8" s="10" t="s">
        <v>929</v>
      </c>
      <c r="V8" s="6"/>
      <c r="W8" s="6"/>
    </row>
    <row r="9" spans="1:40" ht="57" customHeight="1">
      <c r="A9" s="37">
        <v>3</v>
      </c>
      <c r="B9" s="37" t="str">
        <f>SISWA!B8</f>
        <v xml:space="preserve"> 1718250040307</v>
      </c>
      <c r="C9" s="50" t="str">
        <f>SISWA!C8</f>
        <v>ANDHIKA ALDIYANSYAH</v>
      </c>
      <c r="D9" s="13" t="s">
        <v>108</v>
      </c>
      <c r="E9" s="44"/>
      <c r="F9" s="13"/>
      <c r="G9" s="44"/>
      <c r="H9" s="44"/>
      <c r="I9" s="6"/>
      <c r="J9" s="6"/>
      <c r="K9" s="6"/>
      <c r="L9" s="56" t="s">
        <v>93</v>
      </c>
      <c r="M9" s="6" t="s">
        <v>97</v>
      </c>
      <c r="N9" s="6" t="s">
        <v>916</v>
      </c>
      <c r="O9" s="6" t="s">
        <v>97</v>
      </c>
      <c r="P9" s="6" t="s">
        <v>916</v>
      </c>
      <c r="Q9" s="10" t="s">
        <v>89</v>
      </c>
      <c r="R9" s="10" t="s">
        <v>89</v>
      </c>
      <c r="S9" s="10" t="s">
        <v>90</v>
      </c>
      <c r="T9" s="6"/>
      <c r="U9" s="6"/>
      <c r="V9" s="6"/>
      <c r="W9" s="6"/>
    </row>
    <row r="10" spans="1:40" ht="57" customHeight="1">
      <c r="A10" s="37">
        <v>4</v>
      </c>
      <c r="B10" s="37" t="str">
        <f>SISWA!B9</f>
        <v xml:space="preserve"> 1718250040308</v>
      </c>
      <c r="C10" s="50" t="str">
        <f>SISWA!C9</f>
        <v>ANGGARA</v>
      </c>
      <c r="D10" s="13" t="s">
        <v>108</v>
      </c>
      <c r="E10" s="44"/>
      <c r="F10" s="13"/>
      <c r="G10" s="44"/>
      <c r="H10" s="44"/>
      <c r="I10" s="6" t="s">
        <v>92</v>
      </c>
      <c r="J10" s="6"/>
      <c r="K10" s="6"/>
      <c r="L10" s="56" t="s">
        <v>86</v>
      </c>
      <c r="M10" s="6" t="s">
        <v>903</v>
      </c>
      <c r="N10" s="6" t="s">
        <v>917</v>
      </c>
      <c r="O10" s="6" t="s">
        <v>903</v>
      </c>
      <c r="P10" s="6" t="s">
        <v>917</v>
      </c>
      <c r="Q10" s="10" t="s">
        <v>89</v>
      </c>
      <c r="R10" s="10" t="s">
        <v>89</v>
      </c>
      <c r="S10" s="10" t="s">
        <v>90</v>
      </c>
      <c r="T10" s="6"/>
      <c r="U10" s="6"/>
      <c r="V10" s="6"/>
      <c r="W10" s="6"/>
    </row>
    <row r="11" spans="1:40" ht="57" customHeight="1">
      <c r="A11" s="37">
        <v>5</v>
      </c>
      <c r="B11" s="37" t="str">
        <f>SISWA!B10</f>
        <v>1718250040309</v>
      </c>
      <c r="C11" s="50" t="str">
        <f>SISWA!C10</f>
        <v>ARIA RAY ANDARA</v>
      </c>
      <c r="D11" s="13" t="s">
        <v>108</v>
      </c>
      <c r="E11" s="44"/>
      <c r="F11" s="13"/>
      <c r="G11" s="44"/>
      <c r="H11" s="44"/>
      <c r="I11" s="6" t="s">
        <v>900</v>
      </c>
      <c r="J11" s="6"/>
      <c r="K11" s="6" t="s">
        <v>766</v>
      </c>
      <c r="L11" s="56" t="s">
        <v>86</v>
      </c>
      <c r="M11" s="6" t="s">
        <v>97</v>
      </c>
      <c r="N11" s="6" t="s">
        <v>107</v>
      </c>
      <c r="O11" s="6" t="s">
        <v>97</v>
      </c>
      <c r="P11" s="6" t="s">
        <v>107</v>
      </c>
      <c r="Q11" s="10" t="s">
        <v>89</v>
      </c>
      <c r="R11" s="10" t="s">
        <v>89</v>
      </c>
      <c r="S11" s="10" t="s">
        <v>90</v>
      </c>
      <c r="T11" s="6"/>
      <c r="U11" s="6"/>
      <c r="V11" s="6"/>
      <c r="W11" s="6"/>
    </row>
    <row r="12" spans="1:40" ht="57" customHeight="1">
      <c r="A12" s="37">
        <v>6</v>
      </c>
      <c r="B12" s="37" t="str">
        <f>SISWA!B11</f>
        <v>1718250040310</v>
      </c>
      <c r="C12" s="50" t="str">
        <f>SISWA!C11</f>
        <v>CAHAYA MAHARANI</v>
      </c>
      <c r="D12" s="13" t="s">
        <v>108</v>
      </c>
      <c r="E12" s="44"/>
      <c r="F12" s="44"/>
      <c r="G12" s="44"/>
      <c r="H12" s="44"/>
      <c r="I12" s="6"/>
      <c r="J12" s="6"/>
      <c r="K12" s="6"/>
      <c r="L12" s="56" t="s">
        <v>86</v>
      </c>
      <c r="M12" s="6" t="s">
        <v>109</v>
      </c>
      <c r="N12" s="6" t="s">
        <v>918</v>
      </c>
      <c r="O12" s="6" t="s">
        <v>109</v>
      </c>
      <c r="P12" s="6" t="s">
        <v>918</v>
      </c>
      <c r="Q12" s="10" t="s">
        <v>89</v>
      </c>
      <c r="R12" s="10" t="s">
        <v>89</v>
      </c>
      <c r="S12" s="10" t="s">
        <v>90</v>
      </c>
      <c r="T12" s="6"/>
      <c r="U12" s="6"/>
      <c r="V12" s="6"/>
      <c r="W12" s="6"/>
    </row>
    <row r="13" spans="1:40" ht="57" customHeight="1">
      <c r="A13" s="37">
        <v>7</v>
      </c>
      <c r="B13" s="37" t="str">
        <f>SISWA!B12</f>
        <v>1718250040311</v>
      </c>
      <c r="C13" s="50" t="str">
        <f>SISWA!C12</f>
        <v>CALISTA NABILA</v>
      </c>
      <c r="D13" s="13" t="s">
        <v>108</v>
      </c>
      <c r="E13" s="44"/>
      <c r="F13" s="44"/>
      <c r="G13" s="44"/>
      <c r="H13" s="44"/>
      <c r="I13" s="6"/>
      <c r="J13" s="6"/>
      <c r="K13" s="6"/>
      <c r="L13" s="56" t="s">
        <v>86</v>
      </c>
      <c r="M13" s="6" t="s">
        <v>904</v>
      </c>
      <c r="N13" s="6" t="s">
        <v>918</v>
      </c>
      <c r="O13" s="6" t="s">
        <v>904</v>
      </c>
      <c r="P13" s="6" t="s">
        <v>918</v>
      </c>
      <c r="Q13" s="10" t="s">
        <v>89</v>
      </c>
      <c r="R13" s="10" t="s">
        <v>89</v>
      </c>
      <c r="S13" s="10" t="s">
        <v>90</v>
      </c>
      <c r="T13" s="10"/>
      <c r="U13" s="10"/>
      <c r="V13" s="10"/>
      <c r="W13" s="10"/>
    </row>
    <row r="14" spans="1:40" ht="57" customHeight="1">
      <c r="A14" s="37">
        <v>8</v>
      </c>
      <c r="B14" s="37" t="str">
        <f>SISWA!B13</f>
        <v>1718250040312</v>
      </c>
      <c r="C14" s="50" t="str">
        <f>SISWA!C13</f>
        <v>CARISSA VIRGIE NAFISHA</v>
      </c>
      <c r="D14" s="13" t="s">
        <v>108</v>
      </c>
      <c r="E14" s="44"/>
      <c r="F14" s="44"/>
      <c r="G14" s="44"/>
      <c r="H14" s="44"/>
      <c r="I14" s="6"/>
      <c r="J14" s="6"/>
      <c r="K14" s="6"/>
      <c r="L14" s="56" t="s">
        <v>93</v>
      </c>
      <c r="M14" s="6" t="s">
        <v>904</v>
      </c>
      <c r="N14" s="6" t="s">
        <v>918</v>
      </c>
      <c r="O14" s="6" t="s">
        <v>904</v>
      </c>
      <c r="P14" s="6" t="s">
        <v>918</v>
      </c>
      <c r="Q14" s="10" t="s">
        <v>89</v>
      </c>
      <c r="R14" s="10" t="s">
        <v>89</v>
      </c>
      <c r="S14" s="10" t="s">
        <v>90</v>
      </c>
      <c r="T14" s="6" t="s">
        <v>931</v>
      </c>
      <c r="U14" s="6" t="s">
        <v>929</v>
      </c>
      <c r="V14" s="6"/>
      <c r="W14" s="6"/>
    </row>
    <row r="15" spans="1:40" ht="57" customHeight="1">
      <c r="A15" s="37">
        <v>9</v>
      </c>
      <c r="B15" s="37" t="str">
        <f>SISWA!B14</f>
        <v>1718250040313</v>
      </c>
      <c r="C15" s="50" t="str">
        <f>SISWA!C14</f>
        <v>CHAIDAR AHMAD FAISAL HARAHAP</v>
      </c>
      <c r="D15" s="13" t="s">
        <v>108</v>
      </c>
      <c r="E15" s="44"/>
      <c r="F15" s="44"/>
      <c r="G15" s="44"/>
      <c r="H15" s="44"/>
      <c r="I15" s="6" t="s">
        <v>92</v>
      </c>
      <c r="J15" s="6"/>
      <c r="K15" s="6"/>
      <c r="L15" s="56" t="s">
        <v>86</v>
      </c>
      <c r="M15" s="6" t="s">
        <v>106</v>
      </c>
      <c r="N15" s="6" t="s">
        <v>107</v>
      </c>
      <c r="O15" s="6" t="s">
        <v>106</v>
      </c>
      <c r="P15" s="6" t="s">
        <v>107</v>
      </c>
      <c r="Q15" s="10" t="s">
        <v>89</v>
      </c>
      <c r="R15" s="10" t="s">
        <v>89</v>
      </c>
      <c r="S15" s="10" t="s">
        <v>90</v>
      </c>
      <c r="T15" s="6"/>
      <c r="U15" s="6"/>
      <c r="V15" s="6"/>
      <c r="W15" s="6"/>
    </row>
    <row r="16" spans="1:40" ht="57" customHeight="1">
      <c r="A16" s="37">
        <v>10</v>
      </c>
      <c r="B16" s="37" t="str">
        <f>SISWA!B15</f>
        <v>1718250040314</v>
      </c>
      <c r="C16" s="50" t="str">
        <f>SISWA!C15</f>
        <v>DAVKA MAULANA FABIANDRA</v>
      </c>
      <c r="D16" s="13" t="s">
        <v>108</v>
      </c>
      <c r="E16" s="44"/>
      <c r="F16" s="44" t="s">
        <v>766</v>
      </c>
      <c r="G16" s="44"/>
      <c r="H16" s="44"/>
      <c r="I16" s="6" t="s">
        <v>92</v>
      </c>
      <c r="J16" s="6"/>
      <c r="K16" s="6"/>
      <c r="L16" s="56" t="s">
        <v>86</v>
      </c>
      <c r="M16" s="6" t="s">
        <v>87</v>
      </c>
      <c r="N16" s="6" t="s">
        <v>107</v>
      </c>
      <c r="O16" s="6" t="s">
        <v>87</v>
      </c>
      <c r="P16" s="6" t="s">
        <v>107</v>
      </c>
      <c r="Q16" s="10" t="s">
        <v>89</v>
      </c>
      <c r="R16" s="10" t="s">
        <v>89</v>
      </c>
      <c r="S16" s="10" t="s">
        <v>90</v>
      </c>
      <c r="T16" s="6"/>
      <c r="U16" s="6"/>
      <c r="V16" s="6"/>
      <c r="W16" s="6"/>
    </row>
    <row r="17" spans="1:23" ht="57" customHeight="1">
      <c r="A17" s="37">
        <v>11</v>
      </c>
      <c r="B17" s="37" t="str">
        <f>SISWA!B16</f>
        <v>1718250040315</v>
      </c>
      <c r="C17" s="50" t="str">
        <f>SISWA!C16</f>
        <v>DZIBRIL RYUKAI AL MALIKULMULKI</v>
      </c>
      <c r="D17" s="13" t="s">
        <v>108</v>
      </c>
      <c r="E17" s="44"/>
      <c r="F17" s="44"/>
      <c r="G17" s="44"/>
      <c r="H17" s="44"/>
      <c r="I17" s="6" t="s">
        <v>92</v>
      </c>
      <c r="J17" s="6"/>
      <c r="K17" s="6"/>
      <c r="L17" s="56" t="s">
        <v>86</v>
      </c>
      <c r="M17" s="6" t="s">
        <v>905</v>
      </c>
      <c r="N17" s="6" t="s">
        <v>112</v>
      </c>
      <c r="O17" s="6" t="s">
        <v>905</v>
      </c>
      <c r="P17" s="6" t="s">
        <v>112</v>
      </c>
      <c r="Q17" s="10" t="s">
        <v>89</v>
      </c>
      <c r="R17" s="10" t="s">
        <v>89</v>
      </c>
      <c r="S17" s="10" t="s">
        <v>90</v>
      </c>
      <c r="T17" s="10"/>
      <c r="U17" s="10"/>
      <c r="V17" s="6"/>
      <c r="W17" s="6"/>
    </row>
    <row r="18" spans="1:23" ht="57" customHeight="1">
      <c r="A18" s="37">
        <v>12</v>
      </c>
      <c r="B18" s="37" t="str">
        <f>SISWA!B17</f>
        <v>1718250040316</v>
      </c>
      <c r="C18" s="50" t="str">
        <f>SISWA!C17</f>
        <v>ERICHA GABRIELA AVRILIANA</v>
      </c>
      <c r="D18" s="13" t="s">
        <v>108</v>
      </c>
      <c r="E18" s="44"/>
      <c r="F18" s="44"/>
      <c r="G18" s="44"/>
      <c r="H18" s="44"/>
      <c r="I18" s="6"/>
      <c r="J18" s="6" t="s">
        <v>92</v>
      </c>
      <c r="K18" s="6"/>
      <c r="L18" s="56" t="s">
        <v>86</v>
      </c>
      <c r="M18" s="6" t="s">
        <v>110</v>
      </c>
      <c r="N18" s="6" t="s">
        <v>919</v>
      </c>
      <c r="O18" s="6" t="s">
        <v>110</v>
      </c>
      <c r="P18" s="6" t="s">
        <v>919</v>
      </c>
      <c r="Q18" s="10" t="s">
        <v>89</v>
      </c>
      <c r="R18" s="10" t="s">
        <v>89</v>
      </c>
      <c r="S18" s="10" t="s">
        <v>90</v>
      </c>
      <c r="T18" s="6"/>
      <c r="U18" s="6"/>
      <c r="V18" s="6"/>
      <c r="W18" s="6"/>
    </row>
    <row r="19" spans="1:23" ht="57" customHeight="1">
      <c r="A19" s="37">
        <v>13</v>
      </c>
      <c r="B19" s="37" t="str">
        <f>SISWA!B18</f>
        <v>1718250040317</v>
      </c>
      <c r="C19" s="50" t="str">
        <f>SISWA!C18</f>
        <v>FATIHUDDIN HISYAM FAUZI</v>
      </c>
      <c r="D19" s="13" t="s">
        <v>108</v>
      </c>
      <c r="E19" s="44"/>
      <c r="F19" s="44"/>
      <c r="G19" s="44"/>
      <c r="H19" s="44"/>
      <c r="I19" s="6" t="s">
        <v>92</v>
      </c>
      <c r="J19" s="6"/>
      <c r="K19" s="6"/>
      <c r="L19" s="56" t="s">
        <v>101</v>
      </c>
      <c r="M19" s="6" t="s">
        <v>87</v>
      </c>
      <c r="N19" s="6" t="s">
        <v>88</v>
      </c>
      <c r="O19" s="6" t="s">
        <v>87</v>
      </c>
      <c r="P19" s="6" t="s">
        <v>88</v>
      </c>
      <c r="Q19" s="10" t="s">
        <v>89</v>
      </c>
      <c r="R19" s="10" t="s">
        <v>89</v>
      </c>
      <c r="S19" s="10" t="s">
        <v>90</v>
      </c>
      <c r="T19" s="6"/>
      <c r="U19" s="6"/>
      <c r="V19" s="6"/>
      <c r="W19" s="6"/>
    </row>
    <row r="20" spans="1:23" ht="57" customHeight="1">
      <c r="A20" s="37">
        <v>14</v>
      </c>
      <c r="B20" s="37" t="str">
        <f>SISWA!B19</f>
        <v>1718250040318</v>
      </c>
      <c r="C20" s="50" t="str">
        <f>SISWA!C19</f>
        <v>FAUZI PUTRA SUNTANA</v>
      </c>
      <c r="D20" s="13" t="s">
        <v>108</v>
      </c>
      <c r="E20" s="44"/>
      <c r="F20" s="44"/>
      <c r="G20" s="44"/>
      <c r="H20" s="44"/>
      <c r="I20" s="6"/>
      <c r="J20" s="6"/>
      <c r="K20" s="6"/>
      <c r="L20" s="56" t="s">
        <v>102</v>
      </c>
      <c r="M20" s="6" t="s">
        <v>906</v>
      </c>
      <c r="N20" s="6" t="s">
        <v>98</v>
      </c>
      <c r="O20" s="6" t="s">
        <v>906</v>
      </c>
      <c r="P20" s="6" t="s">
        <v>98</v>
      </c>
      <c r="Q20" s="10" t="s">
        <v>89</v>
      </c>
      <c r="R20" s="10" t="s">
        <v>89</v>
      </c>
      <c r="S20" s="10" t="s">
        <v>90</v>
      </c>
      <c r="T20" s="6" t="s">
        <v>766</v>
      </c>
      <c r="U20" s="6"/>
      <c r="V20" s="6"/>
      <c r="W20" s="6"/>
    </row>
    <row r="21" spans="1:23" ht="57" customHeight="1">
      <c r="A21" s="37">
        <v>15</v>
      </c>
      <c r="B21" s="37" t="str">
        <f>SISWA!B20</f>
        <v>1718250040319</v>
      </c>
      <c r="C21" s="50" t="str">
        <f>SISWA!C20</f>
        <v>FIRLY GEMA ROBBANI</v>
      </c>
      <c r="D21" s="13" t="s">
        <v>108</v>
      </c>
      <c r="E21" s="44"/>
      <c r="F21" s="44"/>
      <c r="G21" s="44"/>
      <c r="H21" s="44"/>
      <c r="I21" s="6"/>
      <c r="J21" s="6"/>
      <c r="K21" s="6"/>
      <c r="L21" s="56" t="s">
        <v>86</v>
      </c>
      <c r="M21" s="6" t="s">
        <v>87</v>
      </c>
      <c r="N21" s="6" t="s">
        <v>100</v>
      </c>
      <c r="O21" s="6" t="s">
        <v>87</v>
      </c>
      <c r="P21" s="6" t="s">
        <v>100</v>
      </c>
      <c r="Q21" s="10" t="s">
        <v>89</v>
      </c>
      <c r="R21" s="10" t="s">
        <v>89</v>
      </c>
      <c r="S21" s="10" t="s">
        <v>90</v>
      </c>
      <c r="T21" s="10" t="s">
        <v>931</v>
      </c>
      <c r="U21" s="10" t="s">
        <v>929</v>
      </c>
      <c r="V21" s="6"/>
      <c r="W21" s="6"/>
    </row>
    <row r="22" spans="1:23" ht="57" customHeight="1">
      <c r="A22" s="37">
        <v>16</v>
      </c>
      <c r="B22" s="37" t="str">
        <f>SISWA!B21</f>
        <v>1718250040320</v>
      </c>
      <c r="C22" s="50" t="str">
        <f>SISWA!C21</f>
        <v>HANA NUR ROHMAH</v>
      </c>
      <c r="D22" s="13" t="s">
        <v>108</v>
      </c>
      <c r="E22" s="44"/>
      <c r="F22" s="44"/>
      <c r="G22" s="44"/>
      <c r="H22" s="44"/>
      <c r="I22" s="6" t="s">
        <v>92</v>
      </c>
      <c r="J22" s="6"/>
      <c r="K22" s="6"/>
      <c r="L22" s="56" t="s">
        <v>86</v>
      </c>
      <c r="M22" s="6" t="s">
        <v>904</v>
      </c>
      <c r="N22" s="6" t="s">
        <v>98</v>
      </c>
      <c r="O22" s="6" t="s">
        <v>904</v>
      </c>
      <c r="P22" s="6" t="s">
        <v>98</v>
      </c>
      <c r="Q22" s="10" t="s">
        <v>89</v>
      </c>
      <c r="R22" s="10" t="s">
        <v>89</v>
      </c>
      <c r="S22" s="10" t="s">
        <v>90</v>
      </c>
      <c r="T22" s="6"/>
      <c r="U22" s="10"/>
      <c r="V22" s="6"/>
      <c r="W22" s="6"/>
    </row>
    <row r="23" spans="1:23" ht="57" customHeight="1">
      <c r="A23" s="37">
        <v>17</v>
      </c>
      <c r="B23" s="37" t="str">
        <f>SISWA!B22</f>
        <v>1718250040321</v>
      </c>
      <c r="C23" s="50" t="str">
        <f>SISWA!C22</f>
        <v>HOERUL MALLA MAHARANI</v>
      </c>
      <c r="D23" s="13" t="s">
        <v>108</v>
      </c>
      <c r="E23" s="44"/>
      <c r="F23" s="44"/>
      <c r="G23" s="44"/>
      <c r="H23" s="44"/>
      <c r="I23" s="6"/>
      <c r="J23" s="6"/>
      <c r="K23" s="6"/>
      <c r="L23" s="56" t="s">
        <v>86</v>
      </c>
      <c r="M23" s="6" t="s">
        <v>907</v>
      </c>
      <c r="N23" s="6" t="s">
        <v>920</v>
      </c>
      <c r="O23" s="6" t="s">
        <v>907</v>
      </c>
      <c r="P23" s="6" t="s">
        <v>920</v>
      </c>
      <c r="Q23" s="10" t="s">
        <v>89</v>
      </c>
      <c r="R23" s="10" t="s">
        <v>89</v>
      </c>
      <c r="S23" s="10" t="s">
        <v>90</v>
      </c>
      <c r="T23" s="6"/>
      <c r="U23" s="10"/>
      <c r="V23" s="6"/>
      <c r="W23" s="6"/>
    </row>
    <row r="24" spans="1:23" ht="57" customHeight="1">
      <c r="A24" s="37">
        <v>18</v>
      </c>
      <c r="B24" s="37" t="str">
        <f>SISWA!B23</f>
        <v>1718250040322</v>
      </c>
      <c r="C24" s="50" t="str">
        <f>SISWA!C23</f>
        <v>INTAN STEPANI PUTRI</v>
      </c>
      <c r="D24" s="13" t="s">
        <v>108</v>
      </c>
      <c r="E24" s="44"/>
      <c r="F24" s="44"/>
      <c r="G24" s="44"/>
      <c r="H24" s="44"/>
      <c r="I24" s="6" t="s">
        <v>92</v>
      </c>
      <c r="J24" s="6"/>
      <c r="K24" s="6"/>
      <c r="L24" s="56" t="s">
        <v>102</v>
      </c>
      <c r="M24" s="6" t="s">
        <v>87</v>
      </c>
      <c r="N24" s="6" t="s">
        <v>98</v>
      </c>
      <c r="O24" s="6" t="s">
        <v>87</v>
      </c>
      <c r="P24" s="6" t="s">
        <v>98</v>
      </c>
      <c r="Q24" s="10" t="s">
        <v>89</v>
      </c>
      <c r="R24" s="10" t="s">
        <v>89</v>
      </c>
      <c r="S24" s="10" t="s">
        <v>90</v>
      </c>
      <c r="T24" s="6"/>
      <c r="U24" s="6"/>
      <c r="V24" s="6"/>
      <c r="W24" s="6"/>
    </row>
    <row r="25" spans="1:23" ht="57" customHeight="1">
      <c r="A25" s="37">
        <v>19</v>
      </c>
      <c r="B25" s="37" t="str">
        <f>SISWA!B24</f>
        <v>1718250040323</v>
      </c>
      <c r="C25" s="50" t="str">
        <f>SISWA!C24</f>
        <v>JORDY PARVEZ RAMADHAN</v>
      </c>
      <c r="D25" s="13" t="s">
        <v>108</v>
      </c>
      <c r="E25" s="44"/>
      <c r="F25" s="44"/>
      <c r="G25" s="44"/>
      <c r="H25" s="44"/>
      <c r="I25" s="6"/>
      <c r="J25" s="6" t="s">
        <v>85</v>
      </c>
      <c r="K25" s="6"/>
      <c r="L25" s="56" t="s">
        <v>86</v>
      </c>
      <c r="M25" s="6" t="s">
        <v>908</v>
      </c>
      <c r="N25" s="6" t="s">
        <v>98</v>
      </c>
      <c r="O25" s="6" t="s">
        <v>908</v>
      </c>
      <c r="P25" s="6" t="s">
        <v>98</v>
      </c>
      <c r="Q25" s="10" t="s">
        <v>89</v>
      </c>
      <c r="R25" s="10" t="s">
        <v>89</v>
      </c>
      <c r="S25" s="10" t="s">
        <v>90</v>
      </c>
      <c r="T25" s="6"/>
      <c r="U25" s="6"/>
      <c r="V25" s="6"/>
      <c r="W25" s="6"/>
    </row>
    <row r="26" spans="1:23" ht="57" customHeight="1">
      <c r="A26" s="37">
        <v>20</v>
      </c>
      <c r="B26" s="37" t="str">
        <f>SISWA!B25</f>
        <v>1718250040324</v>
      </c>
      <c r="C26" s="50" t="str">
        <f>SISWA!C25</f>
        <v>KURNIA KARYADIREDJA</v>
      </c>
      <c r="D26" s="13" t="s">
        <v>108</v>
      </c>
      <c r="E26" s="44"/>
      <c r="F26" s="44"/>
      <c r="G26" s="44"/>
      <c r="H26" s="44"/>
      <c r="I26" s="6"/>
      <c r="J26" s="6"/>
      <c r="K26" s="6"/>
      <c r="L26" s="56" t="s">
        <v>86</v>
      </c>
      <c r="M26" s="6" t="s">
        <v>909</v>
      </c>
      <c r="N26" s="6" t="s">
        <v>921</v>
      </c>
      <c r="O26" s="6" t="s">
        <v>909</v>
      </c>
      <c r="P26" s="6" t="s">
        <v>921</v>
      </c>
      <c r="Q26" s="10" t="s">
        <v>89</v>
      </c>
      <c r="R26" s="10" t="s">
        <v>89</v>
      </c>
      <c r="S26" s="10" t="s">
        <v>90</v>
      </c>
      <c r="T26" s="6"/>
      <c r="U26" s="6"/>
      <c r="V26" s="6"/>
      <c r="W26" s="6"/>
    </row>
    <row r="27" spans="1:23" ht="57" customHeight="1">
      <c r="A27" s="37">
        <v>21</v>
      </c>
      <c r="B27" s="37" t="str">
        <f>SISWA!B26</f>
        <v>1718250040325</v>
      </c>
      <c r="C27" s="50" t="str">
        <f>SISWA!C26</f>
        <v>LATIZA SYIFA AZURA</v>
      </c>
      <c r="D27" s="13" t="s">
        <v>108</v>
      </c>
      <c r="E27" s="44"/>
      <c r="F27" s="44"/>
      <c r="G27" s="44"/>
      <c r="H27" s="44"/>
      <c r="I27" s="6" t="s">
        <v>92</v>
      </c>
      <c r="J27" s="6"/>
      <c r="K27" s="6"/>
      <c r="L27" s="56" t="s">
        <v>86</v>
      </c>
      <c r="M27" s="6" t="s">
        <v>907</v>
      </c>
      <c r="N27" s="6" t="s">
        <v>98</v>
      </c>
      <c r="O27" s="6" t="s">
        <v>907</v>
      </c>
      <c r="P27" s="6" t="s">
        <v>98</v>
      </c>
      <c r="Q27" s="10" t="s">
        <v>89</v>
      </c>
      <c r="R27" s="10" t="s">
        <v>89</v>
      </c>
      <c r="S27" s="10" t="s">
        <v>90</v>
      </c>
      <c r="T27" s="10" t="s">
        <v>931</v>
      </c>
      <c r="U27" s="10" t="s">
        <v>932</v>
      </c>
      <c r="V27" s="6"/>
      <c r="W27" s="6"/>
    </row>
    <row r="28" spans="1:23" ht="57" customHeight="1">
      <c r="A28" s="37">
        <v>22</v>
      </c>
      <c r="B28" s="37" t="str">
        <f>SISWA!B27</f>
        <v>1718250040326</v>
      </c>
      <c r="C28" s="50" t="e">
        <f>SISWA!#REF!</f>
        <v>#REF!</v>
      </c>
      <c r="D28" s="13" t="s">
        <v>108</v>
      </c>
      <c r="E28" s="44"/>
      <c r="F28" s="44"/>
      <c r="G28" s="44"/>
      <c r="H28" s="44"/>
      <c r="I28" s="6"/>
      <c r="J28" s="6"/>
      <c r="K28" s="6"/>
      <c r="L28" s="56" t="s">
        <v>86</v>
      </c>
      <c r="M28" s="6" t="s">
        <v>905</v>
      </c>
      <c r="N28" s="6" t="s">
        <v>96</v>
      </c>
      <c r="O28" s="6" t="s">
        <v>905</v>
      </c>
      <c r="P28" s="6" t="s">
        <v>96</v>
      </c>
      <c r="Q28" s="10" t="s">
        <v>89</v>
      </c>
      <c r="R28" s="10" t="s">
        <v>89</v>
      </c>
      <c r="S28" s="10" t="s">
        <v>90</v>
      </c>
      <c r="T28" s="6"/>
      <c r="U28" s="6"/>
      <c r="V28" s="6"/>
      <c r="W28" s="6"/>
    </row>
    <row r="29" spans="1:23" ht="57" customHeight="1">
      <c r="A29" s="37">
        <v>23</v>
      </c>
      <c r="B29" s="37" t="str">
        <f>SISWA!B28</f>
        <v>1718250040327</v>
      </c>
      <c r="C29" s="50" t="e">
        <f>SISWA!#REF!</f>
        <v>#REF!</v>
      </c>
      <c r="D29" s="13" t="s">
        <v>108</v>
      </c>
      <c r="E29" s="44"/>
      <c r="F29" s="44"/>
      <c r="G29" s="44"/>
      <c r="H29" s="44"/>
      <c r="I29" s="6"/>
      <c r="J29" s="6"/>
      <c r="K29" s="6"/>
      <c r="L29" s="56" t="s">
        <v>101</v>
      </c>
      <c r="M29" s="6" t="s">
        <v>910</v>
      </c>
      <c r="N29" s="6" t="s">
        <v>95</v>
      </c>
      <c r="O29" s="6" t="s">
        <v>910</v>
      </c>
      <c r="P29" s="6" t="s">
        <v>95</v>
      </c>
      <c r="Q29" s="10" t="s">
        <v>89</v>
      </c>
      <c r="R29" s="10" t="s">
        <v>89</v>
      </c>
      <c r="S29" s="10" t="s">
        <v>90</v>
      </c>
      <c r="T29" s="6"/>
      <c r="U29" s="6"/>
      <c r="V29" s="6"/>
      <c r="W29" s="6"/>
    </row>
    <row r="30" spans="1:23" ht="57" customHeight="1">
      <c r="A30" s="37">
        <v>24</v>
      </c>
      <c r="B30" s="37" t="str">
        <f>SISWA!B29</f>
        <v>1718250040328</v>
      </c>
      <c r="C30" s="50" t="e">
        <f>SISWA!#REF!</f>
        <v>#REF!</v>
      </c>
      <c r="D30" s="13" t="s">
        <v>108</v>
      </c>
      <c r="E30" s="44"/>
      <c r="F30" s="44"/>
      <c r="G30" s="44"/>
      <c r="H30" s="44"/>
      <c r="I30" s="6"/>
      <c r="J30" s="6"/>
      <c r="K30" s="6"/>
      <c r="L30" s="56" t="s">
        <v>86</v>
      </c>
      <c r="M30" s="6" t="s">
        <v>87</v>
      </c>
      <c r="N30" s="6" t="s">
        <v>95</v>
      </c>
      <c r="O30" s="6" t="s">
        <v>87</v>
      </c>
      <c r="P30" s="6" t="s">
        <v>95</v>
      </c>
      <c r="Q30" s="10" t="s">
        <v>89</v>
      </c>
      <c r="R30" s="10" t="s">
        <v>89</v>
      </c>
      <c r="S30" s="10" t="s">
        <v>90</v>
      </c>
      <c r="T30" s="6"/>
      <c r="U30" s="6"/>
      <c r="V30" s="6"/>
      <c r="W30" s="6"/>
    </row>
    <row r="31" spans="1:23" ht="57" customHeight="1">
      <c r="A31" s="37">
        <v>25</v>
      </c>
      <c r="B31" s="37" t="str">
        <f>SISWA!B30</f>
        <v>1718250040329</v>
      </c>
      <c r="C31" s="50" t="e">
        <f>SISWA!#REF!</f>
        <v>#REF!</v>
      </c>
      <c r="D31" s="13" t="s">
        <v>108</v>
      </c>
      <c r="E31" s="44"/>
      <c r="F31" s="44"/>
      <c r="G31" s="44"/>
      <c r="H31" s="44"/>
      <c r="I31" s="6"/>
      <c r="J31" s="6"/>
      <c r="K31" s="6"/>
      <c r="L31" s="56" t="s">
        <v>86</v>
      </c>
      <c r="M31" s="6" t="s">
        <v>904</v>
      </c>
      <c r="N31" s="6" t="s">
        <v>99</v>
      </c>
      <c r="O31" s="6" t="s">
        <v>904</v>
      </c>
      <c r="P31" s="6" t="s">
        <v>99</v>
      </c>
      <c r="Q31" s="10" t="s">
        <v>89</v>
      </c>
      <c r="R31" s="10" t="s">
        <v>89</v>
      </c>
      <c r="S31" s="10" t="s">
        <v>90</v>
      </c>
      <c r="T31" s="6"/>
      <c r="U31" s="6"/>
      <c r="V31" s="6"/>
      <c r="W31" s="6"/>
    </row>
    <row r="32" spans="1:23" ht="57" customHeight="1">
      <c r="A32" s="37">
        <v>26</v>
      </c>
      <c r="B32" s="37" t="str">
        <f>SISWA!B31</f>
        <v>1718250040330</v>
      </c>
      <c r="C32" s="50" t="e">
        <f>SISWA!#REF!</f>
        <v>#REF!</v>
      </c>
      <c r="D32" s="13" t="s">
        <v>108</v>
      </c>
      <c r="E32" s="44"/>
      <c r="F32" s="44"/>
      <c r="G32" s="44"/>
      <c r="H32" s="44"/>
      <c r="I32" s="6"/>
      <c r="J32" s="6"/>
      <c r="K32" s="6"/>
      <c r="L32" s="56" t="s">
        <v>86</v>
      </c>
      <c r="M32" s="6" t="s">
        <v>904</v>
      </c>
      <c r="N32" s="6" t="s">
        <v>917</v>
      </c>
      <c r="O32" s="6" t="s">
        <v>904</v>
      </c>
      <c r="P32" s="6" t="s">
        <v>917</v>
      </c>
      <c r="Q32" s="10" t="s">
        <v>89</v>
      </c>
      <c r="R32" s="10" t="s">
        <v>89</v>
      </c>
      <c r="S32" s="10" t="s">
        <v>90</v>
      </c>
      <c r="T32" s="10"/>
      <c r="U32" s="10"/>
      <c r="V32" s="6"/>
      <c r="W32" s="6"/>
    </row>
    <row r="33" spans="1:25" ht="57" customHeight="1">
      <c r="A33" s="37">
        <v>27</v>
      </c>
      <c r="B33" s="37" t="str">
        <f>SISWA!B32</f>
        <v>1718250040331</v>
      </c>
      <c r="C33" s="50" t="e">
        <f>SISWA!#REF!</f>
        <v>#REF!</v>
      </c>
      <c r="D33" s="13" t="s">
        <v>108</v>
      </c>
      <c r="E33" s="44"/>
      <c r="F33" s="44"/>
      <c r="G33" s="44"/>
      <c r="H33" s="44"/>
      <c r="I33" s="6"/>
      <c r="J33" s="6"/>
      <c r="K33" s="6"/>
      <c r="L33" s="56" t="s">
        <v>86</v>
      </c>
      <c r="M33" s="6" t="s">
        <v>87</v>
      </c>
      <c r="N33" s="6" t="s">
        <v>100</v>
      </c>
      <c r="O33" s="6" t="s">
        <v>87</v>
      </c>
      <c r="P33" s="6" t="s">
        <v>100</v>
      </c>
      <c r="Q33" s="10" t="s">
        <v>89</v>
      </c>
      <c r="R33" s="10" t="s">
        <v>89</v>
      </c>
      <c r="S33" s="10" t="s">
        <v>90</v>
      </c>
      <c r="T33" s="6"/>
      <c r="U33" s="6"/>
      <c r="V33" s="6"/>
      <c r="W33" s="6"/>
    </row>
    <row r="34" spans="1:25" ht="57" customHeight="1">
      <c r="A34" s="37">
        <v>28</v>
      </c>
      <c r="B34" s="37" t="str">
        <f>SISWA!B33</f>
        <v>1718250040332</v>
      </c>
      <c r="C34" s="50" t="e">
        <f>SISWA!#REF!</f>
        <v>#REF!</v>
      </c>
      <c r="D34" s="13" t="s">
        <v>108</v>
      </c>
      <c r="E34" s="44"/>
      <c r="F34" s="44"/>
      <c r="G34" s="44"/>
      <c r="H34" s="44"/>
      <c r="I34" s="6"/>
      <c r="J34" s="6"/>
      <c r="K34" s="6"/>
      <c r="L34" s="56" t="s">
        <v>86</v>
      </c>
      <c r="M34" s="6" t="s">
        <v>97</v>
      </c>
      <c r="N34" s="6" t="s">
        <v>100</v>
      </c>
      <c r="O34" s="6" t="s">
        <v>97</v>
      </c>
      <c r="P34" s="6" t="s">
        <v>100</v>
      </c>
      <c r="Q34" s="10" t="s">
        <v>89</v>
      </c>
      <c r="R34" s="10" t="s">
        <v>89</v>
      </c>
      <c r="S34" s="10" t="s">
        <v>90</v>
      </c>
      <c r="T34" s="6"/>
      <c r="U34" s="6"/>
      <c r="V34" s="6"/>
      <c r="W34" s="6"/>
    </row>
    <row r="35" spans="1:25" ht="57" customHeight="1">
      <c r="A35" s="37">
        <v>29</v>
      </c>
      <c r="B35" s="37" t="str">
        <f>SISWA!B34</f>
        <v>1718250040333</v>
      </c>
      <c r="C35" s="50" t="e">
        <f>SISWA!#REF!</f>
        <v>#REF!</v>
      </c>
      <c r="D35" s="13" t="s">
        <v>108</v>
      </c>
      <c r="E35" s="44"/>
      <c r="F35" s="44"/>
      <c r="G35" s="44"/>
      <c r="H35" s="44"/>
      <c r="I35" s="6"/>
      <c r="J35" s="6"/>
      <c r="K35" s="6"/>
      <c r="L35" s="56" t="s">
        <v>86</v>
      </c>
      <c r="M35" s="6" t="s">
        <v>106</v>
      </c>
      <c r="N35" s="6" t="s">
        <v>94</v>
      </c>
      <c r="O35" s="6" t="s">
        <v>106</v>
      </c>
      <c r="P35" s="6" t="s">
        <v>94</v>
      </c>
      <c r="Q35" s="10" t="s">
        <v>89</v>
      </c>
      <c r="R35" s="10" t="s">
        <v>89</v>
      </c>
      <c r="S35" s="55" t="s">
        <v>90</v>
      </c>
      <c r="T35" s="6"/>
      <c r="U35" s="10"/>
      <c r="V35" s="6"/>
      <c r="W35" s="6"/>
    </row>
    <row r="36" spans="1:25" ht="57" customHeight="1">
      <c r="A36" s="37">
        <v>30</v>
      </c>
      <c r="B36" s="37" t="str">
        <f>SISWA!B35</f>
        <v>1718250040334</v>
      </c>
      <c r="C36" s="50" t="str">
        <f>SISWA!C35</f>
        <v>MUHAMMAD RIZKI MUJAHIDIN</v>
      </c>
      <c r="D36" s="13" t="s">
        <v>108</v>
      </c>
      <c r="E36" s="44"/>
      <c r="F36" s="44"/>
      <c r="G36" s="44"/>
      <c r="H36" s="44"/>
      <c r="I36" s="6" t="s">
        <v>92</v>
      </c>
      <c r="J36" s="6" t="s">
        <v>85</v>
      </c>
      <c r="K36" s="6"/>
      <c r="L36" s="56" t="s">
        <v>101</v>
      </c>
      <c r="M36" s="6" t="s">
        <v>911</v>
      </c>
      <c r="N36" s="6" t="s">
        <v>105</v>
      </c>
      <c r="O36" s="6" t="s">
        <v>911</v>
      </c>
      <c r="P36" s="6" t="s">
        <v>105</v>
      </c>
      <c r="Q36" s="10" t="s">
        <v>89</v>
      </c>
      <c r="R36" s="10" t="s">
        <v>89</v>
      </c>
      <c r="S36" s="10" t="s">
        <v>90</v>
      </c>
      <c r="T36" s="6" t="s">
        <v>931</v>
      </c>
      <c r="U36" s="10" t="s">
        <v>929</v>
      </c>
      <c r="V36" s="6"/>
      <c r="W36" s="6"/>
    </row>
    <row r="37" spans="1:25" ht="57" customHeight="1">
      <c r="A37" s="37">
        <v>31</v>
      </c>
      <c r="B37" s="37" t="str">
        <f>SISWA!B36</f>
        <v>1718250040335</v>
      </c>
      <c r="C37" s="50" t="str">
        <f>SISWA!C36</f>
        <v>MUHAMMAD SATRIA GHALIZHA HERMAWAN</v>
      </c>
      <c r="D37" s="44" t="s">
        <v>108</v>
      </c>
      <c r="E37" s="44"/>
      <c r="F37" s="44"/>
      <c r="G37" s="44"/>
      <c r="H37" s="44"/>
      <c r="I37" s="6"/>
      <c r="J37" s="6"/>
      <c r="K37" s="6"/>
      <c r="L37" s="56" t="s">
        <v>101</v>
      </c>
      <c r="M37" s="6" t="s">
        <v>911</v>
      </c>
      <c r="N37" s="6" t="s">
        <v>922</v>
      </c>
      <c r="O37" s="6" t="s">
        <v>911</v>
      </c>
      <c r="P37" s="6" t="s">
        <v>922</v>
      </c>
      <c r="Q37" s="10" t="s">
        <v>89</v>
      </c>
      <c r="R37" s="10" t="s">
        <v>89</v>
      </c>
      <c r="S37" s="6" t="s">
        <v>90</v>
      </c>
      <c r="T37" s="6"/>
      <c r="U37" s="6"/>
      <c r="V37" s="6"/>
      <c r="W37" s="6"/>
    </row>
    <row r="38" spans="1:25" ht="57" customHeight="1">
      <c r="A38" s="37">
        <v>32</v>
      </c>
      <c r="B38" s="37" t="str">
        <f>SISWA!B37</f>
        <v>1718250040336</v>
      </c>
      <c r="C38" s="50" t="str">
        <f>SISWA!C37</f>
        <v>NADIA RIFA FAKHIRA</v>
      </c>
      <c r="D38" s="44" t="s">
        <v>108</v>
      </c>
      <c r="E38" s="44"/>
      <c r="F38" s="44"/>
      <c r="G38" s="44"/>
      <c r="H38" s="44"/>
      <c r="I38" s="6"/>
      <c r="J38" s="6"/>
      <c r="K38" s="6"/>
      <c r="L38" s="56" t="s">
        <v>101</v>
      </c>
      <c r="M38" s="6" t="s">
        <v>905</v>
      </c>
      <c r="N38" s="6" t="s">
        <v>112</v>
      </c>
      <c r="O38" s="6" t="s">
        <v>905</v>
      </c>
      <c r="P38" s="6" t="s">
        <v>112</v>
      </c>
      <c r="Q38" s="10" t="s">
        <v>89</v>
      </c>
      <c r="R38" s="10" t="s">
        <v>928</v>
      </c>
      <c r="S38" s="6" t="s">
        <v>90</v>
      </c>
      <c r="T38" s="6" t="s">
        <v>931</v>
      </c>
      <c r="U38" s="6" t="s">
        <v>929</v>
      </c>
      <c r="V38" s="6"/>
      <c r="W38" s="6"/>
    </row>
    <row r="39" spans="1:25" ht="57" customHeight="1">
      <c r="A39" s="37">
        <v>33</v>
      </c>
      <c r="B39" s="37" t="str">
        <f>SISWA!B38</f>
        <v>1718250040337</v>
      </c>
      <c r="C39" s="50" t="str">
        <f>SISWA!C38</f>
        <v>NAFILA SEPTIYANI</v>
      </c>
      <c r="D39" s="44" t="s">
        <v>108</v>
      </c>
      <c r="E39" s="44"/>
      <c r="F39" s="44"/>
      <c r="G39" s="44"/>
      <c r="H39" s="44"/>
      <c r="I39" s="6"/>
      <c r="J39" s="6"/>
      <c r="K39" s="6"/>
      <c r="L39" s="56" t="s">
        <v>101</v>
      </c>
      <c r="M39" s="6" t="s">
        <v>902</v>
      </c>
      <c r="N39" s="6" t="s">
        <v>917</v>
      </c>
      <c r="O39" s="6" t="s">
        <v>902</v>
      </c>
      <c r="P39" s="6" t="s">
        <v>917</v>
      </c>
      <c r="Q39" s="10" t="s">
        <v>89</v>
      </c>
      <c r="R39" s="10" t="s">
        <v>89</v>
      </c>
      <c r="S39" s="6" t="s">
        <v>90</v>
      </c>
      <c r="T39" s="6"/>
      <c r="U39" s="6"/>
      <c r="V39" s="6"/>
      <c r="W39" s="6"/>
    </row>
    <row r="40" spans="1:25" ht="57" customHeight="1">
      <c r="A40" s="37">
        <v>34</v>
      </c>
      <c r="B40" s="37" t="str">
        <f>SISWA!B39</f>
        <v>1718250040338</v>
      </c>
      <c r="C40" s="50" t="str">
        <f>SISWA!C39</f>
        <v>NAZZALA PUTRI NURLAYLA</v>
      </c>
      <c r="D40" s="44" t="s">
        <v>108</v>
      </c>
      <c r="E40" s="44"/>
      <c r="F40" s="44"/>
      <c r="G40" s="44"/>
      <c r="H40" s="44"/>
      <c r="I40" s="6" t="s">
        <v>92</v>
      </c>
      <c r="J40" s="6"/>
      <c r="K40" s="6"/>
      <c r="L40" s="56" t="s">
        <v>101</v>
      </c>
      <c r="M40" s="6" t="s">
        <v>908</v>
      </c>
      <c r="N40" s="6" t="s">
        <v>923</v>
      </c>
      <c r="O40" s="6" t="s">
        <v>908</v>
      </c>
      <c r="P40" s="6" t="s">
        <v>923</v>
      </c>
      <c r="Q40" s="10" t="s">
        <v>89</v>
      </c>
      <c r="R40" s="10" t="s">
        <v>89</v>
      </c>
      <c r="S40" s="6" t="s">
        <v>90</v>
      </c>
      <c r="T40" s="6" t="s">
        <v>931</v>
      </c>
      <c r="U40" s="6" t="s">
        <v>929</v>
      </c>
      <c r="V40" s="6"/>
      <c r="W40" s="6"/>
    </row>
    <row r="41" spans="1:25" ht="57" customHeight="1">
      <c r="A41" s="37">
        <v>35</v>
      </c>
      <c r="B41" s="37" t="str">
        <f>SISWA!B40</f>
        <v>1718250040339</v>
      </c>
      <c r="C41" s="50" t="str">
        <f>SISWA!C40</f>
        <v>RAFAREL RADIFAN PUTRA</v>
      </c>
      <c r="D41" s="44" t="s">
        <v>108</v>
      </c>
      <c r="E41" s="44"/>
      <c r="F41" s="44"/>
      <c r="G41" s="44"/>
      <c r="H41" s="44"/>
      <c r="I41" s="6" t="s">
        <v>92</v>
      </c>
      <c r="J41" s="6" t="s">
        <v>92</v>
      </c>
      <c r="K41" s="6"/>
      <c r="L41" s="56" t="s">
        <v>101</v>
      </c>
      <c r="M41" s="6" t="s">
        <v>912</v>
      </c>
      <c r="N41" s="6" t="s">
        <v>924</v>
      </c>
      <c r="O41" s="6" t="s">
        <v>912</v>
      </c>
      <c r="P41" s="6" t="s">
        <v>924</v>
      </c>
      <c r="Q41" s="10" t="s">
        <v>89</v>
      </c>
      <c r="R41" s="10" t="s">
        <v>928</v>
      </c>
      <c r="S41" s="6" t="s">
        <v>90</v>
      </c>
      <c r="T41" s="6"/>
      <c r="U41" s="6"/>
      <c r="V41" s="6"/>
      <c r="W41" s="6"/>
    </row>
    <row r="42" spans="1:25" ht="57" customHeight="1">
      <c r="A42" s="37">
        <v>36</v>
      </c>
      <c r="B42" s="37" t="str">
        <f>SISWA!B41</f>
        <v>1718250040340</v>
      </c>
      <c r="C42" s="50" t="str">
        <f>SISWA!C41</f>
        <v>RAKHA ZAHRAN SUTRISNO</v>
      </c>
      <c r="D42" s="44" t="s">
        <v>108</v>
      </c>
      <c r="E42" s="44"/>
      <c r="F42" s="44"/>
      <c r="G42" s="44"/>
      <c r="H42" s="44"/>
      <c r="I42" s="6"/>
      <c r="J42" s="6"/>
      <c r="K42" s="6"/>
      <c r="L42" s="56" t="s">
        <v>101</v>
      </c>
      <c r="M42" s="6" t="s">
        <v>110</v>
      </c>
      <c r="N42" s="6" t="s">
        <v>925</v>
      </c>
      <c r="O42" s="6" t="s">
        <v>110</v>
      </c>
      <c r="P42" s="6" t="s">
        <v>925</v>
      </c>
      <c r="Q42" s="10" t="s">
        <v>89</v>
      </c>
      <c r="R42" s="10" t="s">
        <v>89</v>
      </c>
      <c r="S42" s="6" t="s">
        <v>90</v>
      </c>
      <c r="T42" s="6" t="s">
        <v>931</v>
      </c>
      <c r="U42" s="6" t="s">
        <v>929</v>
      </c>
      <c r="V42" s="6"/>
      <c r="W42" s="6"/>
    </row>
    <row r="43" spans="1:25" ht="57" customHeight="1">
      <c r="A43" s="37">
        <v>37</v>
      </c>
      <c r="B43" s="37" t="str">
        <f>SISWA!B42</f>
        <v>1718250040341</v>
      </c>
      <c r="C43" s="50" t="str">
        <f>SISWA!C42</f>
        <v>RYU FRIKLI</v>
      </c>
      <c r="D43" s="44" t="s">
        <v>108</v>
      </c>
      <c r="E43" s="44"/>
      <c r="F43" s="44"/>
      <c r="G43" s="44"/>
      <c r="H43" s="44"/>
      <c r="I43" s="6" t="s">
        <v>92</v>
      </c>
      <c r="J43" s="6"/>
      <c r="K43" s="6"/>
      <c r="L43" s="56" t="s">
        <v>101</v>
      </c>
      <c r="M43" s="6" t="s">
        <v>904</v>
      </c>
      <c r="N43" s="6" t="s">
        <v>100</v>
      </c>
      <c r="O43" s="6" t="s">
        <v>904</v>
      </c>
      <c r="P43" s="6" t="s">
        <v>100</v>
      </c>
      <c r="Q43" s="10" t="s">
        <v>89</v>
      </c>
      <c r="R43" s="10" t="s">
        <v>89</v>
      </c>
      <c r="S43" s="6" t="s">
        <v>90</v>
      </c>
      <c r="T43" s="6"/>
      <c r="U43" s="6"/>
      <c r="V43" s="6"/>
      <c r="W43" s="6"/>
    </row>
    <row r="44" spans="1:25" ht="57" customHeight="1">
      <c r="A44" s="37">
        <v>38</v>
      </c>
      <c r="B44" s="37" t="str">
        <f>SISWA!B43</f>
        <v>1718250040342</v>
      </c>
      <c r="C44" s="50" t="str">
        <f>SISWA!C43</f>
        <v>SAEPUL RAHAYU</v>
      </c>
      <c r="D44" s="44" t="s">
        <v>108</v>
      </c>
      <c r="E44" s="44"/>
      <c r="F44" s="44"/>
      <c r="G44" s="44"/>
      <c r="H44" s="44"/>
      <c r="I44" s="6" t="s">
        <v>92</v>
      </c>
      <c r="J44" s="6" t="s">
        <v>92</v>
      </c>
      <c r="K44" s="6"/>
      <c r="L44" s="56" t="s">
        <v>101</v>
      </c>
      <c r="M44" s="6" t="s">
        <v>904</v>
      </c>
      <c r="N44" s="6" t="s">
        <v>111</v>
      </c>
      <c r="O44" s="6" t="s">
        <v>904</v>
      </c>
      <c r="P44" s="6" t="s">
        <v>111</v>
      </c>
      <c r="Q44" s="10" t="s">
        <v>89</v>
      </c>
      <c r="R44" s="10" t="s">
        <v>89</v>
      </c>
      <c r="S44" s="6" t="s">
        <v>90</v>
      </c>
      <c r="T44" s="6"/>
      <c r="U44" s="6"/>
      <c r="V44" s="6"/>
      <c r="W44" s="6"/>
    </row>
    <row r="45" spans="1:25" ht="57" customHeight="1">
      <c r="A45" s="37">
        <v>39</v>
      </c>
      <c r="B45" s="37" t="str">
        <f>SISWA!B44</f>
        <v>1718250040343</v>
      </c>
      <c r="C45" s="50" t="str">
        <f>SISWA!C44</f>
        <v>SALMA KHAIRUNISA</v>
      </c>
      <c r="D45" s="44" t="s">
        <v>108</v>
      </c>
      <c r="E45" s="44"/>
      <c r="F45" s="44"/>
      <c r="G45" s="44"/>
      <c r="H45" s="44"/>
      <c r="I45" s="6"/>
      <c r="J45" s="6"/>
      <c r="K45" s="6"/>
      <c r="L45" s="56" t="s">
        <v>101</v>
      </c>
      <c r="M45" s="6" t="s">
        <v>104</v>
      </c>
      <c r="N45" s="6" t="s">
        <v>926</v>
      </c>
      <c r="O45" s="6" t="s">
        <v>104</v>
      </c>
      <c r="P45" s="6" t="s">
        <v>926</v>
      </c>
      <c r="Q45" s="10" t="s">
        <v>89</v>
      </c>
      <c r="R45" s="10" t="s">
        <v>89</v>
      </c>
      <c r="S45" s="6" t="s">
        <v>90</v>
      </c>
      <c r="T45" s="36" t="s">
        <v>931</v>
      </c>
      <c r="U45" s="36" t="s">
        <v>929</v>
      </c>
      <c r="V45" s="36"/>
      <c r="W45" s="36"/>
    </row>
    <row r="46" spans="1:25" ht="57" customHeight="1">
      <c r="A46" s="37">
        <v>40</v>
      </c>
      <c r="B46" s="37" t="str">
        <f>SISWA!B45</f>
        <v>1718250040344</v>
      </c>
      <c r="C46" s="50" t="str">
        <f>SISWA!C45</f>
        <v>SYAKILA PUTRI APRILIA</v>
      </c>
      <c r="D46" s="44" t="s">
        <v>108</v>
      </c>
      <c r="E46" s="44"/>
      <c r="F46" s="44"/>
      <c r="G46" s="44"/>
      <c r="H46" s="44"/>
      <c r="I46" s="6"/>
      <c r="J46" s="6"/>
      <c r="K46" s="6"/>
      <c r="L46" s="56" t="s">
        <v>101</v>
      </c>
      <c r="M46" s="6" t="s">
        <v>913</v>
      </c>
      <c r="N46" s="6" t="s">
        <v>927</v>
      </c>
      <c r="O46" s="6" t="s">
        <v>913</v>
      </c>
      <c r="P46" s="6" t="s">
        <v>927</v>
      </c>
      <c r="Q46" s="10" t="s">
        <v>89</v>
      </c>
      <c r="R46" s="10" t="s">
        <v>89</v>
      </c>
      <c r="S46" s="6" t="s">
        <v>90</v>
      </c>
      <c r="T46" s="36" t="s">
        <v>931</v>
      </c>
      <c r="U46" s="36" t="s">
        <v>929</v>
      </c>
      <c r="V46" s="36"/>
      <c r="W46" s="36"/>
    </row>
    <row r="47" spans="1:25" ht="57" customHeight="1">
      <c r="A47" s="37">
        <v>41</v>
      </c>
      <c r="B47" s="37" t="str">
        <f>SISWA!B46</f>
        <v>1718250040345</v>
      </c>
      <c r="C47" s="50" t="str">
        <f>SISWA!C46</f>
        <v>SYIFA FADILLA KHOERUNNISA</v>
      </c>
      <c r="D47" s="44" t="s">
        <v>108</v>
      </c>
      <c r="E47" s="44"/>
      <c r="F47" s="44"/>
      <c r="G47" s="44"/>
      <c r="H47" s="44"/>
      <c r="I47" s="6"/>
      <c r="J47" s="6" t="s">
        <v>92</v>
      </c>
      <c r="K47" s="6"/>
      <c r="L47" s="56" t="s">
        <v>101</v>
      </c>
      <c r="M47" s="6" t="s">
        <v>103</v>
      </c>
      <c r="N47" s="6" t="s">
        <v>94</v>
      </c>
      <c r="O47" s="6" t="s">
        <v>103</v>
      </c>
      <c r="P47" s="6" t="s">
        <v>94</v>
      </c>
      <c r="Q47" s="10" t="s">
        <v>89</v>
      </c>
      <c r="R47" s="10" t="s">
        <v>89</v>
      </c>
      <c r="S47" s="6" t="s">
        <v>90</v>
      </c>
      <c r="T47" s="36" t="s">
        <v>931</v>
      </c>
      <c r="U47" s="36" t="s">
        <v>929</v>
      </c>
      <c r="V47" s="36"/>
      <c r="W47" s="36"/>
    </row>
    <row r="48" spans="1:25" ht="57" customHeight="1">
      <c r="A48" s="37">
        <v>42</v>
      </c>
      <c r="B48" s="37" t="str">
        <f>SISWA!B47</f>
        <v>1718250040346</v>
      </c>
      <c r="C48" s="50" t="str">
        <f>SISWA!C47</f>
        <v>WAFDAN MUHAMMAD AMADDA</v>
      </c>
      <c r="D48" s="44" t="s">
        <v>108</v>
      </c>
      <c r="E48" s="44"/>
      <c r="F48" s="44"/>
      <c r="G48" s="44"/>
      <c r="H48" s="44"/>
      <c r="I48" s="6" t="s">
        <v>901</v>
      </c>
      <c r="J48" s="6" t="s">
        <v>901</v>
      </c>
      <c r="K48" s="6"/>
      <c r="L48" s="56" t="s">
        <v>101</v>
      </c>
      <c r="M48" s="6" t="s">
        <v>911</v>
      </c>
      <c r="N48" s="6" t="s">
        <v>88</v>
      </c>
      <c r="O48" s="6" t="s">
        <v>911</v>
      </c>
      <c r="P48" s="6" t="s">
        <v>88</v>
      </c>
      <c r="Q48" s="10" t="s">
        <v>89</v>
      </c>
      <c r="R48" s="10" t="s">
        <v>928</v>
      </c>
      <c r="S48" s="6" t="s">
        <v>90</v>
      </c>
      <c r="T48" s="36" t="s">
        <v>931</v>
      </c>
      <c r="U48" s="36" t="s">
        <v>929</v>
      </c>
      <c r="V48" s="36" t="s">
        <v>930</v>
      </c>
      <c r="W48" s="36" t="s">
        <v>933</v>
      </c>
      <c r="X48" s="592"/>
      <c r="Y48" s="592"/>
    </row>
    <row r="49" spans="1:23" ht="57" customHeight="1">
      <c r="A49" s="37">
        <v>43</v>
      </c>
      <c r="B49" s="37" t="str">
        <f>SISWA!B48</f>
        <v>1718250040347</v>
      </c>
      <c r="C49" s="50" t="str">
        <f>SISWA!C48</f>
        <v>ZEVA ABDEE SUGARA</v>
      </c>
      <c r="D49" s="44" t="s">
        <v>108</v>
      </c>
      <c r="E49" s="44"/>
      <c r="F49" s="44" t="s">
        <v>899</v>
      </c>
      <c r="G49" s="44"/>
      <c r="H49" s="44"/>
      <c r="I49" s="6" t="s">
        <v>900</v>
      </c>
      <c r="J49" s="6" t="s">
        <v>92</v>
      </c>
      <c r="K49" s="6"/>
      <c r="L49" s="56" t="s">
        <v>101</v>
      </c>
      <c r="M49" s="6" t="s">
        <v>914</v>
      </c>
      <c r="N49" s="6" t="s">
        <v>88</v>
      </c>
      <c r="O49" s="6" t="s">
        <v>914</v>
      </c>
      <c r="P49" s="6" t="s">
        <v>88</v>
      </c>
      <c r="Q49" s="10" t="s">
        <v>89</v>
      </c>
      <c r="R49" s="10" t="s">
        <v>89</v>
      </c>
      <c r="S49" s="6" t="s">
        <v>90</v>
      </c>
      <c r="T49" s="36" t="s">
        <v>931</v>
      </c>
      <c r="U49" s="36" t="s">
        <v>929</v>
      </c>
      <c r="V49" s="36"/>
      <c r="W49" s="36"/>
    </row>
    <row r="50" spans="1:23" ht="57" customHeight="1">
      <c r="A50" s="37">
        <v>44</v>
      </c>
      <c r="B50" s="37">
        <f>SISWA!B49</f>
        <v>0</v>
      </c>
      <c r="C50" s="50">
        <f>SISWA!C49</f>
        <v>0</v>
      </c>
      <c r="D50" s="44"/>
      <c r="E50" s="44"/>
      <c r="F50" s="44"/>
      <c r="G50" s="44"/>
      <c r="H50" s="44"/>
      <c r="I50" s="6"/>
      <c r="J50" s="6"/>
      <c r="K50" s="6"/>
      <c r="L50" s="36"/>
      <c r="M50" s="36"/>
      <c r="N50" s="36"/>
      <c r="O50" s="36"/>
      <c r="P50" s="36"/>
      <c r="Q50" s="36" t="s">
        <v>766</v>
      </c>
      <c r="R50" s="36"/>
      <c r="S50" s="36"/>
      <c r="T50" s="36"/>
      <c r="U50" s="36"/>
      <c r="V50" s="36"/>
      <c r="W50" s="36"/>
    </row>
    <row r="51" spans="1:23" ht="57" customHeight="1">
      <c r="A51" s="37">
        <v>45</v>
      </c>
      <c r="B51" s="37">
        <f>SISWA!B50</f>
        <v>0</v>
      </c>
      <c r="C51" s="50">
        <f>SISWA!C50</f>
        <v>0</v>
      </c>
      <c r="D51" s="44"/>
      <c r="E51" s="44"/>
      <c r="F51" s="44"/>
      <c r="G51" s="44"/>
      <c r="H51" s="44"/>
      <c r="I51" s="6"/>
      <c r="J51" s="6"/>
      <c r="K51" s="6"/>
      <c r="L51" s="36" t="s">
        <v>766</v>
      </c>
      <c r="M51" s="36"/>
      <c r="N51" s="36"/>
      <c r="O51" s="36"/>
      <c r="P51" s="36"/>
      <c r="Q51" s="36"/>
      <c r="R51" s="36"/>
      <c r="S51" s="36"/>
      <c r="T51" s="36"/>
      <c r="U51" s="36"/>
      <c r="V51" s="36"/>
      <c r="W51" s="36"/>
    </row>
    <row r="52" spans="1:23" ht="57" customHeight="1">
      <c r="A52" s="37">
        <v>46</v>
      </c>
      <c r="B52" s="37">
        <f>SISWA!B51</f>
        <v>0</v>
      </c>
      <c r="C52" s="50">
        <f>SISWA!C51</f>
        <v>0</v>
      </c>
      <c r="D52" s="44"/>
      <c r="E52" s="44"/>
      <c r="F52" s="44"/>
      <c r="G52" s="44"/>
      <c r="H52" s="44"/>
      <c r="I52" s="6"/>
      <c r="J52" s="6"/>
      <c r="K52" s="6"/>
      <c r="L52" s="36"/>
      <c r="M52" s="36"/>
      <c r="N52" s="36"/>
      <c r="O52" s="36"/>
      <c r="P52" s="36"/>
      <c r="Q52" s="36"/>
      <c r="R52" s="36"/>
      <c r="S52" s="36"/>
      <c r="T52" s="36"/>
      <c r="U52" s="36"/>
      <c r="V52" s="36"/>
      <c r="W52" s="36"/>
    </row>
    <row r="53" spans="1:23" ht="57" customHeight="1">
      <c r="A53" s="37">
        <v>47</v>
      </c>
      <c r="B53" s="37">
        <f>SISWA!B52</f>
        <v>0</v>
      </c>
      <c r="C53" s="50">
        <f>SISWA!C52</f>
        <v>0</v>
      </c>
      <c r="D53" s="44"/>
      <c r="E53" s="44"/>
      <c r="F53" s="44"/>
      <c r="G53" s="44"/>
      <c r="H53" s="44"/>
      <c r="I53" s="6"/>
      <c r="J53" s="6"/>
      <c r="K53" s="6"/>
      <c r="L53" s="36"/>
      <c r="M53" s="36"/>
      <c r="N53" s="36"/>
      <c r="O53" s="36"/>
      <c r="P53" s="36"/>
      <c r="Q53" s="36" t="s">
        <v>766</v>
      </c>
      <c r="R53" s="36"/>
      <c r="S53" s="36"/>
      <c r="T53" s="36"/>
      <c r="U53" s="36"/>
      <c r="V53" s="36"/>
      <c r="W53" s="36"/>
    </row>
    <row r="54" spans="1:23" ht="57" customHeight="1">
      <c r="A54" s="37">
        <v>48</v>
      </c>
      <c r="B54" s="37">
        <f>SISWA!B53</f>
        <v>0</v>
      </c>
      <c r="C54" s="50">
        <f>SISWA!C53</f>
        <v>0</v>
      </c>
      <c r="D54" s="44"/>
      <c r="E54" s="44"/>
      <c r="F54" s="44"/>
      <c r="G54" s="44"/>
      <c r="H54" s="44"/>
      <c r="I54" s="6"/>
      <c r="J54" s="6"/>
      <c r="K54" s="6"/>
      <c r="L54" s="36"/>
      <c r="M54" s="36"/>
      <c r="N54" s="36"/>
      <c r="O54" s="36"/>
      <c r="P54" s="36"/>
      <c r="Q54" s="36"/>
      <c r="R54" s="36"/>
      <c r="S54" s="36"/>
      <c r="T54" s="36"/>
      <c r="U54" s="36"/>
      <c r="V54" s="36"/>
      <c r="W54" s="36"/>
    </row>
    <row r="55" spans="1:23" ht="57" customHeight="1">
      <c r="A55" s="37">
        <v>49</v>
      </c>
      <c r="B55" s="37">
        <f>SISWA!B54</f>
        <v>0</v>
      </c>
      <c r="C55" s="50">
        <f>SISWA!C54</f>
        <v>0</v>
      </c>
      <c r="D55" s="44"/>
      <c r="E55" s="44"/>
      <c r="F55" s="44"/>
      <c r="G55" s="44"/>
      <c r="H55" s="44"/>
      <c r="I55" s="6"/>
      <c r="J55" s="6"/>
      <c r="K55" s="6"/>
      <c r="L55" s="36"/>
      <c r="M55" s="36"/>
      <c r="N55" s="36"/>
      <c r="O55" s="36"/>
      <c r="P55" s="36"/>
      <c r="Q55" s="36"/>
      <c r="R55" s="36"/>
      <c r="S55" s="36"/>
      <c r="T55" s="36"/>
      <c r="U55" s="36"/>
      <c r="V55" s="36"/>
      <c r="W55" s="36"/>
    </row>
    <row r="56" spans="1:23" ht="57" customHeight="1">
      <c r="A56" s="37">
        <v>50</v>
      </c>
      <c r="B56" s="37">
        <f>SISWA!B55</f>
        <v>0</v>
      </c>
      <c r="C56" s="50">
        <f>SISWA!C55</f>
        <v>0</v>
      </c>
      <c r="D56" s="44"/>
      <c r="E56" s="44"/>
      <c r="F56" s="44"/>
      <c r="G56" s="44"/>
      <c r="H56" s="44"/>
      <c r="I56" s="6"/>
      <c r="J56" s="6"/>
      <c r="K56" s="6"/>
      <c r="L56" s="36"/>
      <c r="M56" s="36"/>
      <c r="N56" s="36"/>
      <c r="O56" s="36"/>
      <c r="P56" s="36"/>
      <c r="Q56" s="36"/>
      <c r="R56" s="36"/>
      <c r="S56" s="36"/>
      <c r="T56" s="36"/>
      <c r="U56" s="36"/>
      <c r="V56" s="36"/>
      <c r="W56" s="36"/>
    </row>
  </sheetData>
  <mergeCells count="15">
    <mergeCell ref="A1:AN1"/>
    <mergeCell ref="A3:A5"/>
    <mergeCell ref="B3:B5"/>
    <mergeCell ref="C3:C5"/>
    <mergeCell ref="L3:L5"/>
    <mergeCell ref="M3:P3"/>
    <mergeCell ref="M4:N4"/>
    <mergeCell ref="O4:P4"/>
    <mergeCell ref="I3:K4"/>
    <mergeCell ref="D3:H4"/>
    <mergeCell ref="Q3:S4"/>
    <mergeCell ref="T3:U4"/>
    <mergeCell ref="V3:W4"/>
    <mergeCell ref="E5:F5"/>
    <mergeCell ref="G5:H5"/>
  </mergeCells>
  <pageMargins left="0.7" right="0.7" top="0.75" bottom="0.75" header="0.3" footer="0.3"/>
  <pageSetup paperSize="256" orientation="portrait" horizontalDpi="4294967293"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CO55"/>
  <sheetViews>
    <sheetView zoomScale="85" zoomScaleNormal="85" workbookViewId="0">
      <selection activeCell="V7" sqref="V7"/>
    </sheetView>
  </sheetViews>
  <sheetFormatPr defaultRowHeight="15"/>
  <cols>
    <col min="1" max="1" width="4.42578125" style="2" customWidth="1"/>
    <col min="2" max="2" width="6.42578125" style="2" customWidth="1"/>
    <col min="3" max="3" width="28.7109375" style="2" customWidth="1"/>
    <col min="4" max="15" width="8.85546875" style="2" customWidth="1"/>
    <col min="16" max="18" width="6.7109375" style="2" customWidth="1"/>
    <col min="19" max="22" width="10.7109375" style="2" customWidth="1"/>
    <col min="23" max="23" width="8.7109375" style="2" customWidth="1"/>
    <col min="24" max="29" width="9.42578125" style="2" customWidth="1"/>
    <col min="30" max="32" width="5.140625" style="2" hidden="1" customWidth="1"/>
    <col min="33" max="33" width="8.5703125" style="2" customWidth="1"/>
    <col min="34" max="35" width="10.7109375" style="2" hidden="1" customWidth="1"/>
    <col min="36" max="36" width="10.7109375" style="2" customWidth="1"/>
    <col min="37" max="38" width="10.7109375" style="2" hidden="1" customWidth="1"/>
    <col min="39" max="39" width="10.7109375" style="2" customWidth="1"/>
    <col min="40" max="41" width="10.7109375" style="2" hidden="1" customWidth="1"/>
    <col min="42" max="42" width="10.7109375" style="2" customWidth="1"/>
    <col min="43" max="44" width="10.7109375" style="2" hidden="1" customWidth="1"/>
    <col min="45" max="45" width="10.7109375" style="2" customWidth="1"/>
    <col min="46" max="47" width="10.7109375" style="2" hidden="1" customWidth="1"/>
    <col min="48" max="48" width="10.7109375" style="2" customWidth="1"/>
    <col min="49" max="50" width="10.7109375" style="2" hidden="1" customWidth="1"/>
    <col min="51" max="51" width="10.7109375" style="2" customWidth="1"/>
    <col min="52" max="53" width="10.7109375" style="2" hidden="1" customWidth="1"/>
    <col min="54" max="54" width="10.7109375" style="2" customWidth="1"/>
    <col min="55" max="56" width="10.7109375" style="2" hidden="1" customWidth="1"/>
    <col min="57" max="57" width="10.7109375" style="2" customWidth="1"/>
    <col min="58" max="59" width="10.7109375" style="2" hidden="1" customWidth="1"/>
    <col min="60" max="60" width="10.7109375" style="2" customWidth="1"/>
    <col min="61" max="62" width="10.7109375" style="2" hidden="1" customWidth="1"/>
    <col min="63" max="63" width="10.7109375" style="2" customWidth="1"/>
    <col min="64" max="65" width="10.7109375" style="2" hidden="1" customWidth="1"/>
    <col min="66" max="66" width="10.7109375" style="2" customWidth="1"/>
    <col min="67" max="67" width="117.42578125" style="2" customWidth="1"/>
    <col min="68" max="68" width="29.85546875" style="2" customWidth="1"/>
    <col min="69" max="82" width="10.7109375" style="2" hidden="1" customWidth="1"/>
    <col min="83" max="92" width="0" style="2" hidden="1" customWidth="1"/>
    <col min="93" max="16384" width="9.140625" style="2"/>
  </cols>
  <sheetData>
    <row r="1" spans="1:93" ht="45.75" customHeight="1">
      <c r="A1" s="843" t="s">
        <v>134</v>
      </c>
      <c r="B1" s="843"/>
      <c r="C1" s="843"/>
      <c r="D1" s="843"/>
      <c r="E1" s="843"/>
      <c r="F1" s="843"/>
      <c r="G1" s="843"/>
      <c r="H1" s="843"/>
      <c r="I1" s="843"/>
      <c r="J1" s="843"/>
      <c r="K1" s="843"/>
      <c r="L1" s="843"/>
      <c r="M1" s="843"/>
      <c r="N1" s="843"/>
      <c r="O1" s="843"/>
      <c r="P1" s="843"/>
      <c r="Q1" s="843"/>
      <c r="R1" s="843"/>
      <c r="S1" s="843"/>
      <c r="T1" s="843"/>
      <c r="U1" s="843"/>
      <c r="V1" s="843"/>
      <c r="W1" s="843"/>
      <c r="X1" s="843"/>
      <c r="Y1" s="843"/>
      <c r="Z1" s="843"/>
      <c r="AA1" s="843"/>
      <c r="AB1" s="843"/>
      <c r="AC1" s="843"/>
      <c r="AD1" s="843"/>
      <c r="AE1" s="843"/>
      <c r="AF1" s="843"/>
      <c r="AG1" s="843"/>
      <c r="AH1" s="843"/>
      <c r="AI1" s="843"/>
      <c r="AJ1" s="843"/>
      <c r="AK1" s="843"/>
      <c r="AL1" s="843"/>
      <c r="AM1" s="843"/>
      <c r="AN1" s="843"/>
      <c r="AO1" s="843"/>
      <c r="AP1" s="843"/>
      <c r="AQ1" s="843"/>
      <c r="AR1" s="843"/>
      <c r="AS1" s="843"/>
      <c r="AT1" s="843"/>
      <c r="AU1" s="843"/>
      <c r="AV1" s="843"/>
      <c r="AW1" s="843"/>
      <c r="AX1" s="843"/>
      <c r="AY1" s="843"/>
      <c r="AZ1" s="843"/>
      <c r="BA1" s="843"/>
      <c r="BB1" s="843"/>
      <c r="BC1" s="843"/>
      <c r="BD1" s="843"/>
      <c r="BE1" s="843"/>
      <c r="BF1" s="843"/>
      <c r="BG1" s="843"/>
      <c r="BH1" s="843"/>
      <c r="BI1" s="843"/>
      <c r="BJ1" s="843"/>
      <c r="BK1" s="843"/>
      <c r="BL1" s="843"/>
      <c r="BM1" s="843"/>
      <c r="BN1" s="843"/>
    </row>
    <row r="2" spans="1:93" ht="23.25" customHeight="1">
      <c r="A2" s="844" t="s">
        <v>4</v>
      </c>
      <c r="B2" s="845" t="s">
        <v>5</v>
      </c>
      <c r="C2" s="846" t="s">
        <v>52</v>
      </c>
      <c r="D2" s="847" t="s">
        <v>0</v>
      </c>
      <c r="E2" s="847"/>
      <c r="F2" s="847"/>
      <c r="G2" s="847"/>
      <c r="H2" s="847"/>
      <c r="I2" s="847"/>
      <c r="J2" s="847"/>
      <c r="K2" s="847"/>
      <c r="L2" s="847"/>
      <c r="M2" s="847"/>
      <c r="N2" s="847"/>
      <c r="O2" s="847"/>
      <c r="P2" s="848" t="s">
        <v>13</v>
      </c>
      <c r="Q2" s="848" t="s">
        <v>14</v>
      </c>
      <c r="R2" s="849" t="s">
        <v>1</v>
      </c>
      <c r="S2" s="849"/>
      <c r="T2" s="849"/>
      <c r="U2" s="849"/>
      <c r="V2" s="849"/>
      <c r="W2" s="849"/>
      <c r="X2" s="849"/>
      <c r="Y2" s="849"/>
      <c r="Z2" s="849"/>
      <c r="AA2" s="849"/>
      <c r="AB2" s="849"/>
      <c r="AC2" s="849"/>
      <c r="AD2" s="3"/>
      <c r="AE2" s="3"/>
      <c r="AF2" s="3"/>
      <c r="AG2" s="850" t="s">
        <v>2</v>
      </c>
      <c r="AH2" s="850"/>
      <c r="AI2" s="850"/>
      <c r="AJ2" s="850"/>
      <c r="AK2" s="850"/>
      <c r="AL2" s="850"/>
      <c r="AM2" s="850"/>
      <c r="AN2" s="850"/>
      <c r="AO2" s="850"/>
      <c r="AP2" s="850"/>
      <c r="AQ2" s="850"/>
      <c r="AR2" s="850"/>
      <c r="AS2" s="850"/>
      <c r="AT2" s="850"/>
      <c r="AU2" s="850"/>
      <c r="AV2" s="850"/>
      <c r="AW2" s="850"/>
      <c r="AX2" s="850"/>
      <c r="AY2" s="850"/>
      <c r="AZ2" s="850"/>
      <c r="BA2" s="850"/>
      <c r="BB2" s="850"/>
      <c r="BC2" s="850"/>
      <c r="BD2" s="850"/>
      <c r="BE2" s="850"/>
      <c r="BF2" s="850"/>
      <c r="BG2" s="850"/>
      <c r="BH2" s="850"/>
      <c r="BI2" s="850"/>
      <c r="BJ2" s="850"/>
      <c r="BK2" s="850"/>
      <c r="BL2" s="850"/>
      <c r="BM2" s="850"/>
      <c r="BN2" s="850"/>
      <c r="BO2" s="840" t="s">
        <v>3</v>
      </c>
    </row>
    <row r="3" spans="1:93" ht="94.5" customHeight="1">
      <c r="A3" s="844"/>
      <c r="B3" s="845"/>
      <c r="C3" s="846"/>
      <c r="D3" s="23" t="s">
        <v>7</v>
      </c>
      <c r="E3" s="23" t="s">
        <v>8</v>
      </c>
      <c r="F3" s="23" t="s">
        <v>9</v>
      </c>
      <c r="G3" s="24" t="s">
        <v>10</v>
      </c>
      <c r="H3" s="23" t="s">
        <v>11</v>
      </c>
      <c r="I3" s="25" t="s">
        <v>12</v>
      </c>
      <c r="J3" s="25" t="s">
        <v>12</v>
      </c>
      <c r="K3" s="25" t="s">
        <v>12</v>
      </c>
      <c r="L3" s="25" t="s">
        <v>12</v>
      </c>
      <c r="M3" s="25" t="s">
        <v>12</v>
      </c>
      <c r="N3" s="25" t="s">
        <v>12</v>
      </c>
      <c r="O3" s="25" t="s">
        <v>12</v>
      </c>
      <c r="P3" s="848"/>
      <c r="Q3" s="848"/>
      <c r="R3" s="27" t="str">
        <f>D3</f>
        <v>mengemukakan kembali dengan kalimat sendiri, membuat model matematika dan memilih strategi yang efektif dalam memecahkan masalah nyata sehari-hari yang berkaitan dengan KPK dan FPB, satuan kuantitas, desimal dan persen, serta memeriksa kebenarannya</v>
      </c>
      <c r="S3" s="27" t="str">
        <f>E3</f>
        <v>menyatakan pecahan ke bentuk desimal dan persen</v>
      </c>
      <c r="T3" s="27" t="str">
        <f t="shared" ref="T3:AC4" si="0">F3</f>
        <v>mengurai sebuah pecahan menjadi sebagai hasil penjumlahan atau pengurangan dua buah pecahan lainnya dengan berbagi kemungkinan jawaban</v>
      </c>
      <c r="U3" s="27" t="str">
        <f t="shared" si="0"/>
        <v>melakukan pengubinan menggunakan segi banyak beraturan tertentu</v>
      </c>
      <c r="V3" s="27" t="str">
        <f t="shared" si="0"/>
        <v>mengurai dan menyusun kembali jaring-jaring bangun ruang sederhana</v>
      </c>
      <c r="W3" s="27" t="str">
        <f t="shared" si="0"/>
        <v>GANTI KD DI SINI</v>
      </c>
      <c r="X3" s="27" t="str">
        <f t="shared" si="0"/>
        <v>GANTI KD DI SINI</v>
      </c>
      <c r="Y3" s="27" t="str">
        <f t="shared" si="0"/>
        <v>GANTI KD DI SINI</v>
      </c>
      <c r="Z3" s="27" t="str">
        <f t="shared" si="0"/>
        <v>GANTI KD DI SINI</v>
      </c>
      <c r="AA3" s="27" t="str">
        <f t="shared" si="0"/>
        <v>GANTI KD DI SINI</v>
      </c>
      <c r="AB3" s="27" t="str">
        <f t="shared" si="0"/>
        <v>GANTI KD DI SINI</v>
      </c>
      <c r="AC3" s="27" t="str">
        <f t="shared" si="0"/>
        <v>GANTI KD DI SINI</v>
      </c>
      <c r="AD3" s="4"/>
      <c r="AE3" s="4"/>
      <c r="AF3" s="4"/>
      <c r="AG3" s="30" t="str">
        <f>R3</f>
        <v>mengemukakan kembali dengan kalimat sendiri, membuat model matematika dan memilih strategi yang efektif dalam memecahkan masalah nyata sehari-hari yang berkaitan dengan KPK dan FPB, satuan kuantitas, desimal dan persen, serta memeriksa kebenarannya</v>
      </c>
      <c r="AH3" s="31"/>
      <c r="AI3" s="31"/>
      <c r="AJ3" s="31" t="str">
        <f>S3</f>
        <v>menyatakan pecahan ke bentuk desimal dan persen</v>
      </c>
      <c r="AK3" s="31"/>
      <c r="AL3" s="30"/>
      <c r="AM3" s="30" t="str">
        <f>T3</f>
        <v>mengurai sebuah pecahan menjadi sebagai hasil penjumlahan atau pengurangan dua buah pecahan lainnya dengan berbagi kemungkinan jawaban</v>
      </c>
      <c r="AN3" s="31"/>
      <c r="AO3" s="31"/>
      <c r="AP3" s="31" t="str">
        <f>U3</f>
        <v>melakukan pengubinan menggunakan segi banyak beraturan tertentu</v>
      </c>
      <c r="AQ3" s="31"/>
      <c r="AR3" s="30"/>
      <c r="AS3" s="30" t="str">
        <f>V3</f>
        <v>mengurai dan menyusun kembali jaring-jaring bangun ruang sederhana</v>
      </c>
      <c r="AT3" s="31"/>
      <c r="AU3" s="31"/>
      <c r="AV3" s="31" t="str">
        <f>W3</f>
        <v>GANTI KD DI SINI</v>
      </c>
      <c r="AW3" s="31"/>
      <c r="AX3" s="30"/>
      <c r="AY3" s="31" t="str">
        <f>X3</f>
        <v>GANTI KD DI SINI</v>
      </c>
      <c r="AZ3" s="31"/>
      <c r="BA3" s="30"/>
      <c r="BB3" s="30" t="str">
        <f>Y3</f>
        <v>GANTI KD DI SINI</v>
      </c>
      <c r="BC3" s="31"/>
      <c r="BD3" s="31"/>
      <c r="BE3" s="31" t="str">
        <f>Z3</f>
        <v>GANTI KD DI SINI</v>
      </c>
      <c r="BF3" s="31"/>
      <c r="BG3" s="30"/>
      <c r="BH3" s="30" t="str">
        <f>AA3</f>
        <v>GANTI KD DI SINI</v>
      </c>
      <c r="BI3" s="31"/>
      <c r="BJ3" s="31"/>
      <c r="BK3" s="31" t="str">
        <f>AB3</f>
        <v>GANTI KD DI SINI</v>
      </c>
      <c r="BL3" s="31"/>
      <c r="BM3" s="31"/>
      <c r="BN3" s="32" t="str">
        <f>AC3</f>
        <v>GANTI KD DI SINI</v>
      </c>
      <c r="BO3" s="841"/>
      <c r="BP3" s="44" t="s">
        <v>22</v>
      </c>
      <c r="BQ3" s="1"/>
      <c r="BR3" s="842"/>
      <c r="BS3" s="842"/>
      <c r="BT3" s="842"/>
      <c r="BU3" s="842"/>
      <c r="BV3" s="842"/>
    </row>
    <row r="4" spans="1:93" s="14" customFormat="1" ht="25.5" customHeight="1">
      <c r="A4" s="844"/>
      <c r="B4" s="845"/>
      <c r="C4" s="846"/>
      <c r="D4" s="26" t="s">
        <v>15</v>
      </c>
      <c r="E4" s="26" t="s">
        <v>16</v>
      </c>
      <c r="F4" s="26" t="s">
        <v>17</v>
      </c>
      <c r="G4" s="26" t="s">
        <v>18</v>
      </c>
      <c r="H4" s="26">
        <v>4.5</v>
      </c>
      <c r="I4" s="26"/>
      <c r="J4" s="26"/>
      <c r="K4" s="26"/>
      <c r="L4" s="26"/>
      <c r="M4" s="26"/>
      <c r="N4" s="26"/>
      <c r="O4" s="26"/>
      <c r="P4" s="848"/>
      <c r="Q4" s="848"/>
      <c r="R4" s="27" t="str">
        <f>D4</f>
        <v>4.1</v>
      </c>
      <c r="S4" s="28" t="str">
        <f>E4</f>
        <v>4.2</v>
      </c>
      <c r="T4" s="28" t="str">
        <f t="shared" si="0"/>
        <v>4.3</v>
      </c>
      <c r="U4" s="28" t="str">
        <f t="shared" si="0"/>
        <v>4.4</v>
      </c>
      <c r="V4" s="28">
        <f t="shared" si="0"/>
        <v>4.5</v>
      </c>
      <c r="W4" s="28">
        <f t="shared" si="0"/>
        <v>0</v>
      </c>
      <c r="X4" s="28">
        <f t="shared" si="0"/>
        <v>0</v>
      </c>
      <c r="Y4" s="28">
        <f t="shared" si="0"/>
        <v>0</v>
      </c>
      <c r="Z4" s="28">
        <f>L4</f>
        <v>0</v>
      </c>
      <c r="AA4" s="28">
        <f t="shared" si="0"/>
        <v>0</v>
      </c>
      <c r="AB4" s="28">
        <f t="shared" si="0"/>
        <v>0</v>
      </c>
      <c r="AC4" s="28">
        <f t="shared" si="0"/>
        <v>0</v>
      </c>
      <c r="AD4" s="17"/>
      <c r="AE4" s="5" t="s">
        <v>19</v>
      </c>
      <c r="AF4" s="5" t="s">
        <v>20</v>
      </c>
      <c r="AG4" s="30" t="str">
        <f>R4</f>
        <v>4.1</v>
      </c>
      <c r="AH4" s="33" t="s">
        <v>19</v>
      </c>
      <c r="AI4" s="33" t="s">
        <v>20</v>
      </c>
      <c r="AJ4" s="34" t="str">
        <f>S4</f>
        <v>4.2</v>
      </c>
      <c r="AK4" s="34" t="s">
        <v>19</v>
      </c>
      <c r="AL4" s="34" t="s">
        <v>20</v>
      </c>
      <c r="AM4" s="34" t="str">
        <f>T4</f>
        <v>4.3</v>
      </c>
      <c r="AN4" s="34" t="s">
        <v>19</v>
      </c>
      <c r="AO4" s="34" t="s">
        <v>20</v>
      </c>
      <c r="AP4" s="34" t="str">
        <f>U4</f>
        <v>4.4</v>
      </c>
      <c r="AQ4" s="34" t="s">
        <v>19</v>
      </c>
      <c r="AR4" s="34" t="s">
        <v>20</v>
      </c>
      <c r="AS4" s="34">
        <f>V4</f>
        <v>4.5</v>
      </c>
      <c r="AT4" s="34" t="s">
        <v>19</v>
      </c>
      <c r="AU4" s="34" t="s">
        <v>20</v>
      </c>
      <c r="AV4" s="34">
        <f>W4</f>
        <v>0</v>
      </c>
      <c r="AW4" s="34" t="s">
        <v>19</v>
      </c>
      <c r="AX4" s="34" t="s">
        <v>20</v>
      </c>
      <c r="AY4" s="31">
        <f>X4</f>
        <v>0</v>
      </c>
      <c r="AZ4" s="34" t="s">
        <v>19</v>
      </c>
      <c r="BA4" s="34" t="s">
        <v>20</v>
      </c>
      <c r="BB4" s="30">
        <f>Y4</f>
        <v>0</v>
      </c>
      <c r="BC4" s="34" t="s">
        <v>19</v>
      </c>
      <c r="BD4" s="34" t="s">
        <v>20</v>
      </c>
      <c r="BE4" s="31">
        <f>Z4</f>
        <v>0</v>
      </c>
      <c r="BF4" s="34" t="s">
        <v>19</v>
      </c>
      <c r="BG4" s="34" t="s">
        <v>20</v>
      </c>
      <c r="BH4" s="30">
        <f>AA4</f>
        <v>0</v>
      </c>
      <c r="BI4" s="34" t="s">
        <v>19</v>
      </c>
      <c r="BJ4" s="34" t="s">
        <v>20</v>
      </c>
      <c r="BK4" s="31">
        <f>AB4</f>
        <v>0</v>
      </c>
      <c r="BL4" s="34" t="s">
        <v>19</v>
      </c>
      <c r="BM4" s="34" t="s">
        <v>20</v>
      </c>
      <c r="BN4" s="32">
        <f>AC4</f>
        <v>0</v>
      </c>
      <c r="BO4" s="42"/>
      <c r="BP4" s="44" t="s">
        <v>21</v>
      </c>
      <c r="BQ4" s="18"/>
      <c r="BR4" s="842"/>
      <c r="BS4" s="842"/>
      <c r="BT4" s="842"/>
      <c r="BU4" s="842"/>
      <c r="BV4" s="842"/>
    </row>
    <row r="5" spans="1:93" ht="46.5" customHeight="1">
      <c r="A5" s="38">
        <v>1</v>
      </c>
      <c r="B5" s="39" t="str">
        <f>SISWA!B6</f>
        <v>1718250040305</v>
      </c>
      <c r="C5" s="40" t="str">
        <f>SISWA!E6</f>
        <v>YAHYA</v>
      </c>
      <c r="D5" s="6">
        <v>99</v>
      </c>
      <c r="E5" s="7">
        <v>56</v>
      </c>
      <c r="F5" s="7">
        <v>90</v>
      </c>
      <c r="G5" s="7">
        <v>78</v>
      </c>
      <c r="H5" s="7">
        <v>65</v>
      </c>
      <c r="I5" s="6">
        <v>67</v>
      </c>
      <c r="J5" s="6">
        <v>90</v>
      </c>
      <c r="K5" s="6">
        <v>89</v>
      </c>
      <c r="L5" s="6">
        <v>87</v>
      </c>
      <c r="M5" s="7">
        <v>76</v>
      </c>
      <c r="N5" s="7">
        <v>87</v>
      </c>
      <c r="O5" s="6">
        <v>79</v>
      </c>
      <c r="P5" s="8">
        <f>AVERAGE(D5:O5)</f>
        <v>80.25</v>
      </c>
      <c r="Q5" s="9" t="str">
        <f>IF($P5&gt;=90,"A",IF(P5&gt;=76,"B",IF(P5&gt;=67,"C","D")))</f>
        <v>B</v>
      </c>
      <c r="R5" s="29">
        <f>D5/25</f>
        <v>3.96</v>
      </c>
      <c r="S5" s="29">
        <f>E5/25</f>
        <v>2.2400000000000002</v>
      </c>
      <c r="T5" s="29">
        <f t="shared" ref="T5:AC20" si="1">F5/25</f>
        <v>3.6</v>
      </c>
      <c r="U5" s="29">
        <f t="shared" si="1"/>
        <v>3.12</v>
      </c>
      <c r="V5" s="29">
        <f t="shared" si="1"/>
        <v>2.6</v>
      </c>
      <c r="W5" s="29">
        <f t="shared" si="1"/>
        <v>2.68</v>
      </c>
      <c r="X5" s="29">
        <f t="shared" si="1"/>
        <v>3.6</v>
      </c>
      <c r="Y5" s="29">
        <f t="shared" si="1"/>
        <v>3.56</v>
      </c>
      <c r="Z5" s="29">
        <f t="shared" si="1"/>
        <v>3.48</v>
      </c>
      <c r="AA5" s="29">
        <f t="shared" si="1"/>
        <v>3.04</v>
      </c>
      <c r="AB5" s="29">
        <f t="shared" si="1"/>
        <v>3.48</v>
      </c>
      <c r="AC5" s="29">
        <f t="shared" si="1"/>
        <v>3.16</v>
      </c>
      <c r="AD5" s="10"/>
      <c r="AE5" s="11" t="str">
        <f>IF(R5=MAX(R5:AC5),"4","0")</f>
        <v>4</v>
      </c>
      <c r="AF5" s="11" t="str">
        <f>IF(R5=MIN(R5:AC5),"1","0")</f>
        <v>0</v>
      </c>
      <c r="AG5" s="35">
        <f>AE5+AF5</f>
        <v>4</v>
      </c>
      <c r="AH5" s="35" t="str">
        <f>IF(S5=MAX(R5:AC5),"4","0")</f>
        <v>0</v>
      </c>
      <c r="AI5" s="35" t="str">
        <f>IF(S5=MIN(R5:AC5),"1","0")</f>
        <v>1</v>
      </c>
      <c r="AJ5" s="35">
        <f>AH5+AI5</f>
        <v>1</v>
      </c>
      <c r="AK5" s="35" t="str">
        <f>IF(T5=MAX(R5:AC5),"4","0")</f>
        <v>0</v>
      </c>
      <c r="AL5" s="35" t="str">
        <f>IF(T5=MIN(R5:AC5),"1","0")</f>
        <v>0</v>
      </c>
      <c r="AM5" s="35">
        <f>AK5+AL5</f>
        <v>0</v>
      </c>
      <c r="AN5" s="35" t="str">
        <f>IF(U5=MAX(R5:AC5),"4","0")</f>
        <v>0</v>
      </c>
      <c r="AO5" s="35" t="str">
        <f>IF(U5=MIN(R5:AC5),"1","0")</f>
        <v>0</v>
      </c>
      <c r="AP5" s="35">
        <f>AN5+AO5</f>
        <v>0</v>
      </c>
      <c r="AQ5" s="35" t="str">
        <f>IF(V5=MAX(R5:AC5),"4","0")</f>
        <v>0</v>
      </c>
      <c r="AR5" s="35" t="str">
        <f>IF(V5=MIN(R5:AC5),"1","0")</f>
        <v>0</v>
      </c>
      <c r="AS5" s="35">
        <f>AQ5+AR5</f>
        <v>0</v>
      </c>
      <c r="AT5" s="35" t="str">
        <f>IF(W5=MAX(R5:AC5),"4","0")</f>
        <v>0</v>
      </c>
      <c r="AU5" s="35" t="str">
        <f>IF(W5=MIN(R5:AC5),"1","0")</f>
        <v>0</v>
      </c>
      <c r="AV5" s="35">
        <f>AT5+AU5</f>
        <v>0</v>
      </c>
      <c r="AW5" s="35" t="str">
        <f>IF(X5=MAX(R5:AC5),"4","0")</f>
        <v>0</v>
      </c>
      <c r="AX5" s="35" t="str">
        <f>IF(X5=MIN(R5:AC5),"1","0")</f>
        <v>0</v>
      </c>
      <c r="AY5" s="35">
        <f>AW5+AX5</f>
        <v>0</v>
      </c>
      <c r="AZ5" s="35" t="str">
        <f>IF(Y5=MAX(R5:AC5),"4","0")</f>
        <v>0</v>
      </c>
      <c r="BA5" s="35" t="str">
        <f>IF(Y5=MIN(R5:AC5),"1","0")</f>
        <v>0</v>
      </c>
      <c r="BB5" s="35">
        <f>AZ5+BA5</f>
        <v>0</v>
      </c>
      <c r="BC5" s="35" t="str">
        <f>IF(Z5=MAX(R5:AC5),"4","0")</f>
        <v>0</v>
      </c>
      <c r="BD5" s="35" t="str">
        <f>IF(Z5=MIN(R5:AC5),"1","0")</f>
        <v>0</v>
      </c>
      <c r="BE5" s="35">
        <f>BC5+BD5</f>
        <v>0</v>
      </c>
      <c r="BF5" s="35" t="str">
        <f>IF(AA5=MAX(R5:AC5),"4","0")</f>
        <v>0</v>
      </c>
      <c r="BG5" s="35" t="str">
        <f>IF(AA5=MIN(R5:AC5),"1","0")</f>
        <v>0</v>
      </c>
      <c r="BH5" s="35">
        <f>BF5+BG5</f>
        <v>0</v>
      </c>
      <c r="BI5" s="35" t="str">
        <f>IF(AB5=MAX(R5:AC5),"4","0")</f>
        <v>0</v>
      </c>
      <c r="BJ5" s="35" t="str">
        <f>IF(AB5=MIN(R5:AC5),"1","0")</f>
        <v>0</v>
      </c>
      <c r="BK5" s="35">
        <f>BI5+BJ5</f>
        <v>0</v>
      </c>
      <c r="BL5" s="35" t="str">
        <f>IF(AC5=MAX(R5:AC5),"4","0")</f>
        <v>0</v>
      </c>
      <c r="BM5" s="35" t="str">
        <f>IF(AC5=MIN(R5:AC5),"1","0")</f>
        <v>0</v>
      </c>
      <c r="BN5" s="35">
        <f>BL5+BM5</f>
        <v>0</v>
      </c>
      <c r="BO5" s="43" t="str">
        <f>CONCATENATE(C5,$BP$3,BQ5,BR5,BS5,BT5,BU5,BV5,BW5,BX5,BY5,BZ5,CA5,CB5,$BP$4,CD5,CE5,CF5,CG5,CH5,CI5,CJ5,CK5,CL5,CM5,CN5)</f>
        <v xml:space="preserve">YAHYA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5" s="12"/>
      <c r="BQ5" s="15" t="str">
        <f>IF(AG5=4,$R$3," ")</f>
        <v>mengemukakan kembali dengan kalimat sendiri, membuat model matematika dan memilih strategi yang efektif dalam memecahkan masalah nyata sehari-hari yang berkaitan dengan KPK dan FPB, satuan kuantitas, desimal dan persen, serta memeriksa kebenarannya</v>
      </c>
      <c r="BR5" s="16" t="str">
        <f>IF(AJ5=4,$S$3," ")</f>
        <v xml:space="preserve"> </v>
      </c>
      <c r="BS5" s="16" t="str">
        <f>IF(AM5=4,$T$3," ")</f>
        <v xml:space="preserve"> </v>
      </c>
      <c r="BT5" s="16" t="str">
        <f>IF(AP5=4,$U$3," ")</f>
        <v xml:space="preserve"> </v>
      </c>
      <c r="BU5" s="16" t="str">
        <f>IF(AS5=4,$V$3," ")</f>
        <v xml:space="preserve"> </v>
      </c>
      <c r="BV5" s="16" t="str">
        <f>IF(AV5=4,$W$3," ")</f>
        <v xml:space="preserve"> </v>
      </c>
      <c r="BW5" s="16" t="str">
        <f>IF(AY5=4,$X$3," ")</f>
        <v xml:space="preserve"> </v>
      </c>
      <c r="BX5" s="16" t="str">
        <f>IF(BB5=4,$Y$3," ")</f>
        <v xml:space="preserve"> </v>
      </c>
      <c r="BY5" s="16" t="str">
        <f>IF(BE5=4,$Z$3," ")</f>
        <v xml:space="preserve"> </v>
      </c>
      <c r="BZ5" s="16" t="str">
        <f>IF(BH5=4,$AA$3," ")</f>
        <v xml:space="preserve"> </v>
      </c>
      <c r="CA5" s="16" t="str">
        <f>IF(BK5=4,$AB$3," ")</f>
        <v xml:space="preserve"> </v>
      </c>
      <c r="CB5" s="16" t="str">
        <f>IF(BN5=4,$AC$3," ")</f>
        <v xml:space="preserve"> </v>
      </c>
      <c r="CC5" s="13" t="str">
        <f>IF(AG5=1,$R$3," ")</f>
        <v xml:space="preserve"> </v>
      </c>
      <c r="CD5" s="13" t="str">
        <f>IF(AJ5=1,$S$3," ")</f>
        <v>menyatakan pecahan ke bentuk desimal dan persen</v>
      </c>
      <c r="CE5" s="13" t="str">
        <f>IF(AM5=1,$T$3," ")</f>
        <v xml:space="preserve"> </v>
      </c>
      <c r="CF5" s="13" t="str">
        <f>IF(AP5=1,$U$3," ")</f>
        <v xml:space="preserve"> </v>
      </c>
      <c r="CG5" s="13" t="str">
        <f>IF(AS5=1,$V$3," ")</f>
        <v xml:space="preserve"> </v>
      </c>
      <c r="CH5" s="13" t="str">
        <f>IF(AV5=1,$W$3," ")</f>
        <v xml:space="preserve"> </v>
      </c>
      <c r="CI5" s="13" t="str">
        <f>IF(AY5=1,$X$3," ")</f>
        <v xml:space="preserve"> </v>
      </c>
      <c r="CJ5" s="13" t="str">
        <f>IF(BB5=1,$Y$3," ")</f>
        <v xml:space="preserve"> </v>
      </c>
      <c r="CK5" s="13" t="str">
        <f>IF(BE5=1,$Z$3," ")</f>
        <v xml:space="preserve"> </v>
      </c>
      <c r="CL5" s="13" t="str">
        <f>IF(BH5=1,$AA$3," ")</f>
        <v xml:space="preserve"> </v>
      </c>
      <c r="CM5" s="13" t="str">
        <f>IF(BK5=1,$AB$3," ")</f>
        <v xml:space="preserve"> </v>
      </c>
      <c r="CN5" s="13" t="str">
        <f>IF(BN5=1,$AC$3," ")</f>
        <v xml:space="preserve"> </v>
      </c>
      <c r="CO5" s="14"/>
    </row>
    <row r="6" spans="1:93" ht="90">
      <c r="A6" s="38">
        <v>2</v>
      </c>
      <c r="B6" s="39" t="str">
        <f>SISWA!B7</f>
        <v>1718250040306</v>
      </c>
      <c r="C6" s="40" t="str">
        <f>SISWA!E7</f>
        <v>ADHWA</v>
      </c>
      <c r="D6" s="6">
        <v>99</v>
      </c>
      <c r="E6" s="7">
        <v>56</v>
      </c>
      <c r="F6" s="7">
        <v>90</v>
      </c>
      <c r="G6" s="7">
        <v>78</v>
      </c>
      <c r="H6" s="7">
        <v>65</v>
      </c>
      <c r="I6" s="6">
        <v>67</v>
      </c>
      <c r="J6" s="6">
        <v>90</v>
      </c>
      <c r="K6" s="6">
        <v>89</v>
      </c>
      <c r="L6" s="6">
        <v>87</v>
      </c>
      <c r="M6" s="7">
        <v>76</v>
      </c>
      <c r="N6" s="7">
        <v>87</v>
      </c>
      <c r="O6" s="6">
        <v>79</v>
      </c>
      <c r="P6" s="8">
        <f t="shared" ref="P6:P54" si="2">AVERAGE(D6:O6)</f>
        <v>80.25</v>
      </c>
      <c r="Q6" s="9" t="str">
        <f t="shared" ref="Q6:Q54" si="3">IF($P6&gt;=90,"A",IF(P6&gt;=76,"B",IF(P6&gt;=67,"C","D")))</f>
        <v>B</v>
      </c>
      <c r="R6" s="29">
        <f t="shared" ref="R6:AC39" si="4">D6/25</f>
        <v>3.96</v>
      </c>
      <c r="S6" s="29">
        <f t="shared" si="4"/>
        <v>2.2400000000000002</v>
      </c>
      <c r="T6" s="29">
        <f t="shared" si="1"/>
        <v>3.6</v>
      </c>
      <c r="U6" s="29">
        <f t="shared" si="1"/>
        <v>3.12</v>
      </c>
      <c r="V6" s="29">
        <f t="shared" si="1"/>
        <v>2.6</v>
      </c>
      <c r="W6" s="29">
        <f t="shared" si="1"/>
        <v>2.68</v>
      </c>
      <c r="X6" s="29">
        <f t="shared" si="1"/>
        <v>3.6</v>
      </c>
      <c r="Y6" s="29">
        <f t="shared" si="1"/>
        <v>3.56</v>
      </c>
      <c r="Z6" s="29">
        <f t="shared" si="1"/>
        <v>3.48</v>
      </c>
      <c r="AA6" s="29">
        <f t="shared" si="1"/>
        <v>3.04</v>
      </c>
      <c r="AB6" s="29">
        <f t="shared" si="1"/>
        <v>3.48</v>
      </c>
      <c r="AC6" s="29">
        <f t="shared" si="1"/>
        <v>3.16</v>
      </c>
      <c r="AD6" s="10"/>
      <c r="AE6" s="11" t="str">
        <f t="shared" ref="AE6:AE54" si="5">IF(R6=MAX(R6:AC6),"4","0")</f>
        <v>4</v>
      </c>
      <c r="AF6" s="11" t="str">
        <f t="shared" ref="AF6:AF54" si="6">IF(R6=MIN(R6:AC6),"1","0")</f>
        <v>0</v>
      </c>
      <c r="AG6" s="35">
        <f t="shared" ref="AG6:AG54" si="7">AE6+AF6</f>
        <v>4</v>
      </c>
      <c r="AH6" s="35" t="str">
        <f t="shared" ref="AH6:AH54" si="8">IF(S6=MAX(R6:AC6),"4","0")</f>
        <v>0</v>
      </c>
      <c r="AI6" s="35" t="str">
        <f t="shared" ref="AI6:AI54" si="9">IF(S6=MIN(R6:AC6),"1","0")</f>
        <v>1</v>
      </c>
      <c r="AJ6" s="35">
        <f t="shared" ref="AJ6:AJ54" si="10">AH6+AI6</f>
        <v>1</v>
      </c>
      <c r="AK6" s="35" t="str">
        <f t="shared" ref="AK6:AK54" si="11">IF(T6=MAX(R6:AC6),"4","0")</f>
        <v>0</v>
      </c>
      <c r="AL6" s="35" t="str">
        <f t="shared" ref="AL6:AL54" si="12">IF(T6=MIN(R6:AC6),"1","0")</f>
        <v>0</v>
      </c>
      <c r="AM6" s="35">
        <f t="shared" ref="AM6:AM54" si="13">AK6+AL6</f>
        <v>0</v>
      </c>
      <c r="AN6" s="35" t="str">
        <f t="shared" ref="AN6:AN54" si="14">IF(U6=MAX(R6:AC6),"4","0")</f>
        <v>0</v>
      </c>
      <c r="AO6" s="35" t="str">
        <f t="shared" ref="AO6:AO54" si="15">IF(U6=MIN(R6:AC6),"1","0")</f>
        <v>0</v>
      </c>
      <c r="AP6" s="35">
        <f t="shared" ref="AP6:AP54" si="16">AN6+AO6</f>
        <v>0</v>
      </c>
      <c r="AQ6" s="35" t="str">
        <f t="shared" ref="AQ6:AQ54" si="17">IF(V6=MAX(R6:AC6),"4","0")</f>
        <v>0</v>
      </c>
      <c r="AR6" s="35" t="str">
        <f t="shared" ref="AR6:AR54" si="18">IF(V6=MIN(R6:AC6),"1","0")</f>
        <v>0</v>
      </c>
      <c r="AS6" s="35">
        <f t="shared" ref="AS6:AS54" si="19">AQ6+AR6</f>
        <v>0</v>
      </c>
      <c r="AT6" s="35" t="str">
        <f t="shared" ref="AT6:AT54" si="20">IF(W6=MAX(R6:AC6),"4","0")</f>
        <v>0</v>
      </c>
      <c r="AU6" s="35" t="str">
        <f t="shared" ref="AU6:AU54" si="21">IF(W6=MIN(R6:AC6),"1","0")</f>
        <v>0</v>
      </c>
      <c r="AV6" s="35">
        <f t="shared" ref="AV6:AV54" si="22">AT6+AU6</f>
        <v>0</v>
      </c>
      <c r="AW6" s="35" t="str">
        <f t="shared" ref="AW6:AW54" si="23">IF(X6=MAX(R6:AC6),"4","0")</f>
        <v>0</v>
      </c>
      <c r="AX6" s="35" t="str">
        <f t="shared" ref="AX6:AX54" si="24">IF(X6=MIN(R6:AC6),"1","0")</f>
        <v>0</v>
      </c>
      <c r="AY6" s="35">
        <f t="shared" ref="AY6:AY54" si="25">AW6+AX6</f>
        <v>0</v>
      </c>
      <c r="AZ6" s="35" t="str">
        <f t="shared" ref="AZ6:AZ54" si="26">IF(Y6=MAX(R6:AC6),"4","0")</f>
        <v>0</v>
      </c>
      <c r="BA6" s="35" t="str">
        <f t="shared" ref="BA6:BA54" si="27">IF(Y6=MIN(R6:AC6),"1","0")</f>
        <v>0</v>
      </c>
      <c r="BB6" s="35">
        <f t="shared" ref="BB6:BB54" si="28">AZ6+BA6</f>
        <v>0</v>
      </c>
      <c r="BC6" s="35" t="str">
        <f t="shared" ref="BC6:BC54" si="29">IF(Z6=MAX(R6:AC6),"4","0")</f>
        <v>0</v>
      </c>
      <c r="BD6" s="35" t="str">
        <f t="shared" ref="BD6:BD54" si="30">IF(Z6=MIN(R6:AC6),"1","0")</f>
        <v>0</v>
      </c>
      <c r="BE6" s="35">
        <f t="shared" ref="BE6:BE54" si="31">BC6+BD6</f>
        <v>0</v>
      </c>
      <c r="BF6" s="35" t="str">
        <f t="shared" ref="BF6:BF54" si="32">IF(AA6=MAX(R6:AC6),"4","0")</f>
        <v>0</v>
      </c>
      <c r="BG6" s="35" t="str">
        <f t="shared" ref="BG6:BG54" si="33">IF(AA6=MIN(R6:AC6),"1","0")</f>
        <v>0</v>
      </c>
      <c r="BH6" s="35">
        <f t="shared" ref="BH6:BH54" si="34">BF6+BG6</f>
        <v>0</v>
      </c>
      <c r="BI6" s="35" t="str">
        <f t="shared" ref="BI6:BI54" si="35">IF(AB6=MAX(R6:AC6),"4","0")</f>
        <v>0</v>
      </c>
      <c r="BJ6" s="35" t="str">
        <f t="shared" ref="BJ6:BJ54" si="36">IF(AB6=MIN(R6:AC6),"1","0")</f>
        <v>0</v>
      </c>
      <c r="BK6" s="35">
        <f t="shared" ref="BK6:BK54" si="37">BI6+BJ6</f>
        <v>0</v>
      </c>
      <c r="BL6" s="35" t="str">
        <f t="shared" ref="BL6:BL54" si="38">IF(AC6=MAX(R6:AC6),"4","0")</f>
        <v>0</v>
      </c>
      <c r="BM6" s="35" t="str">
        <f t="shared" ref="BM6:BM54" si="39">IF(AC6=MIN(R6:AC6),"1","0")</f>
        <v>0</v>
      </c>
      <c r="BN6" s="35">
        <f t="shared" ref="BN6:BN54" si="40">BL6+BM6</f>
        <v>0</v>
      </c>
      <c r="BO6" s="43" t="str">
        <f t="shared" ref="BO6:BO54" si="41">CONCATENATE(C6,$BP$3,BQ6,BR6,BS6,BT6,BU6,BV6,BW6,BX6,BY6,BZ6,CA6,CB6,$BP$4,CD6,CE6,CF6,CG6,CH6,CI6,CJ6,CK6,CL6,CM6,CN6)</f>
        <v xml:space="preserve">ADHWA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6" s="12"/>
      <c r="BQ6" s="15" t="str">
        <f t="shared" ref="BQ6:BQ54" si="42">IF(AG6=4,$R$3," ")</f>
        <v>mengemukakan kembali dengan kalimat sendiri, membuat model matematika dan memilih strategi yang efektif dalam memecahkan masalah nyata sehari-hari yang berkaitan dengan KPK dan FPB, satuan kuantitas, desimal dan persen, serta memeriksa kebenarannya</v>
      </c>
      <c r="BR6" s="16" t="str">
        <f t="shared" ref="BR6:BR54" si="43">IF(AJ6=4,$S$3," ")</f>
        <v xml:space="preserve"> </v>
      </c>
      <c r="BS6" s="16" t="str">
        <f t="shared" ref="BS6:BS54" si="44">IF(AM6=4,$T$3," ")</f>
        <v xml:space="preserve"> </v>
      </c>
      <c r="BT6" s="16" t="str">
        <f t="shared" ref="BT6:BT54" si="45">IF(AP6=4,$U$3," ")</f>
        <v xml:space="preserve"> </v>
      </c>
      <c r="BU6" s="16" t="str">
        <f t="shared" ref="BU6:BU54" si="46">IF(AS6=4,$V$3," ")</f>
        <v xml:space="preserve"> </v>
      </c>
      <c r="BV6" s="16" t="str">
        <f t="shared" ref="BV6:BV54" si="47">IF(AV6=4,$W$3," ")</f>
        <v xml:space="preserve"> </v>
      </c>
      <c r="BW6" s="16" t="str">
        <f t="shared" ref="BW6:BW54" si="48">IF(AY6=4,$X$3," ")</f>
        <v xml:space="preserve"> </v>
      </c>
      <c r="BX6" s="16" t="str">
        <f t="shared" ref="BX6:BX54" si="49">IF(BB6=4,$Y$3," ")</f>
        <v xml:space="preserve"> </v>
      </c>
      <c r="BY6" s="16" t="str">
        <f t="shared" ref="BY6:BY54" si="50">IF(BE6=4,$Z$3," ")</f>
        <v xml:space="preserve"> </v>
      </c>
      <c r="BZ6" s="16" t="str">
        <f t="shared" ref="BZ6:BZ54" si="51">IF(BH6=4,$AA$3," ")</f>
        <v xml:space="preserve"> </v>
      </c>
      <c r="CA6" s="16" t="str">
        <f t="shared" ref="CA6:CA54" si="52">IF(BK6=4,$AB$3," ")</f>
        <v xml:space="preserve"> </v>
      </c>
      <c r="CB6" s="16" t="str">
        <f t="shared" ref="CB6:CB54" si="53">IF(BN6=4,$AC$3," ")</f>
        <v xml:space="preserve"> </v>
      </c>
      <c r="CC6" s="13" t="str">
        <f t="shared" ref="CC6:CC54" si="54">IF(AG6=1,$R$3," ")</f>
        <v xml:space="preserve"> </v>
      </c>
      <c r="CD6" s="13" t="str">
        <f t="shared" ref="CD6:CD54" si="55">IF(AJ6=1,$S$3," ")</f>
        <v>menyatakan pecahan ke bentuk desimal dan persen</v>
      </c>
      <c r="CE6" s="13" t="str">
        <f t="shared" ref="CE6:CE54" si="56">IF(AM6=1,$T$3," ")</f>
        <v xml:space="preserve"> </v>
      </c>
      <c r="CF6" s="13" t="str">
        <f t="shared" ref="CF6:CF54" si="57">IF(AP6=1,$U$3," ")</f>
        <v xml:space="preserve"> </v>
      </c>
      <c r="CG6" s="13" t="str">
        <f t="shared" ref="CG6:CG54" si="58">IF(AS6=1,$V$3," ")</f>
        <v xml:space="preserve"> </v>
      </c>
      <c r="CH6" s="13" t="str">
        <f t="shared" ref="CH6:CH54" si="59">IF(AV6=1,$W$3," ")</f>
        <v xml:space="preserve"> </v>
      </c>
      <c r="CI6" s="13" t="str">
        <f t="shared" ref="CI6:CI54" si="60">IF(AY6=1,$X$3," ")</f>
        <v xml:space="preserve"> </v>
      </c>
      <c r="CJ6" s="13" t="str">
        <f t="shared" ref="CJ6:CJ54" si="61">IF(BB6=1,$Y$3," ")</f>
        <v xml:space="preserve"> </v>
      </c>
      <c r="CK6" s="13" t="str">
        <f t="shared" ref="CK6:CK54" si="62">IF(BE6=1,$Z$3," ")</f>
        <v xml:space="preserve"> </v>
      </c>
      <c r="CL6" s="13" t="str">
        <f t="shared" ref="CL6:CL54" si="63">IF(BH6=1,$AA$3," ")</f>
        <v xml:space="preserve"> </v>
      </c>
      <c r="CM6" s="13" t="str">
        <f t="shared" ref="CM6:CM54" si="64">IF(BK6=1,$AB$3," ")</f>
        <v xml:space="preserve"> </v>
      </c>
      <c r="CN6" s="13" t="str">
        <f t="shared" ref="CN6:CN54" si="65">IF(BN6=1,$AC$3," ")</f>
        <v xml:space="preserve"> </v>
      </c>
      <c r="CO6" s="14"/>
    </row>
    <row r="7" spans="1:93" ht="90">
      <c r="A7" s="38">
        <v>3</v>
      </c>
      <c r="B7" s="39" t="str">
        <f>SISWA!B8</f>
        <v xml:space="preserve"> 1718250040307</v>
      </c>
      <c r="C7" s="40" t="str">
        <f>SISWA!E8</f>
        <v>ANDHIKA</v>
      </c>
      <c r="D7" s="6">
        <v>99</v>
      </c>
      <c r="E7" s="7">
        <v>56</v>
      </c>
      <c r="F7" s="7">
        <v>90</v>
      </c>
      <c r="G7" s="7">
        <v>78</v>
      </c>
      <c r="H7" s="7">
        <v>65</v>
      </c>
      <c r="I7" s="6">
        <v>67</v>
      </c>
      <c r="J7" s="6">
        <v>90</v>
      </c>
      <c r="K7" s="6">
        <v>89</v>
      </c>
      <c r="L7" s="6">
        <v>87</v>
      </c>
      <c r="M7" s="7">
        <v>76</v>
      </c>
      <c r="N7" s="7">
        <v>87</v>
      </c>
      <c r="O7" s="6">
        <v>79</v>
      </c>
      <c r="P7" s="8">
        <f t="shared" si="2"/>
        <v>80.25</v>
      </c>
      <c r="Q7" s="9" t="str">
        <f t="shared" si="3"/>
        <v>B</v>
      </c>
      <c r="R7" s="29">
        <f t="shared" si="4"/>
        <v>3.96</v>
      </c>
      <c r="S7" s="29">
        <f t="shared" si="4"/>
        <v>2.2400000000000002</v>
      </c>
      <c r="T7" s="29">
        <f t="shared" si="1"/>
        <v>3.6</v>
      </c>
      <c r="U7" s="29">
        <f t="shared" si="1"/>
        <v>3.12</v>
      </c>
      <c r="V7" s="29">
        <f t="shared" si="1"/>
        <v>2.6</v>
      </c>
      <c r="W7" s="29">
        <f t="shared" si="1"/>
        <v>2.68</v>
      </c>
      <c r="X7" s="29">
        <f t="shared" si="1"/>
        <v>3.6</v>
      </c>
      <c r="Y7" s="29">
        <f t="shared" si="1"/>
        <v>3.56</v>
      </c>
      <c r="Z7" s="29">
        <f t="shared" si="1"/>
        <v>3.48</v>
      </c>
      <c r="AA7" s="29">
        <f t="shared" si="1"/>
        <v>3.04</v>
      </c>
      <c r="AB7" s="29">
        <f t="shared" si="1"/>
        <v>3.48</v>
      </c>
      <c r="AC7" s="29">
        <f t="shared" si="1"/>
        <v>3.16</v>
      </c>
      <c r="AD7" s="10"/>
      <c r="AE7" s="11" t="str">
        <f t="shared" si="5"/>
        <v>4</v>
      </c>
      <c r="AF7" s="11" t="str">
        <f t="shared" si="6"/>
        <v>0</v>
      </c>
      <c r="AG7" s="35">
        <f t="shared" si="7"/>
        <v>4</v>
      </c>
      <c r="AH7" s="35" t="str">
        <f t="shared" si="8"/>
        <v>0</v>
      </c>
      <c r="AI7" s="35" t="str">
        <f t="shared" si="9"/>
        <v>1</v>
      </c>
      <c r="AJ7" s="35">
        <f t="shared" si="10"/>
        <v>1</v>
      </c>
      <c r="AK7" s="35" t="str">
        <f t="shared" si="11"/>
        <v>0</v>
      </c>
      <c r="AL7" s="35" t="str">
        <f t="shared" si="12"/>
        <v>0</v>
      </c>
      <c r="AM7" s="35">
        <f t="shared" si="13"/>
        <v>0</v>
      </c>
      <c r="AN7" s="35" t="str">
        <f t="shared" si="14"/>
        <v>0</v>
      </c>
      <c r="AO7" s="35" t="str">
        <f t="shared" si="15"/>
        <v>0</v>
      </c>
      <c r="AP7" s="35">
        <f t="shared" si="16"/>
        <v>0</v>
      </c>
      <c r="AQ7" s="35" t="str">
        <f t="shared" si="17"/>
        <v>0</v>
      </c>
      <c r="AR7" s="35" t="str">
        <f t="shared" si="18"/>
        <v>0</v>
      </c>
      <c r="AS7" s="35">
        <f t="shared" si="19"/>
        <v>0</v>
      </c>
      <c r="AT7" s="35" t="str">
        <f t="shared" si="20"/>
        <v>0</v>
      </c>
      <c r="AU7" s="35" t="str">
        <f t="shared" si="21"/>
        <v>0</v>
      </c>
      <c r="AV7" s="35">
        <f t="shared" si="22"/>
        <v>0</v>
      </c>
      <c r="AW7" s="35" t="str">
        <f t="shared" si="23"/>
        <v>0</v>
      </c>
      <c r="AX7" s="35" t="str">
        <f t="shared" si="24"/>
        <v>0</v>
      </c>
      <c r="AY7" s="35">
        <f t="shared" si="25"/>
        <v>0</v>
      </c>
      <c r="AZ7" s="35" t="str">
        <f t="shared" si="26"/>
        <v>0</v>
      </c>
      <c r="BA7" s="35" t="str">
        <f t="shared" si="27"/>
        <v>0</v>
      </c>
      <c r="BB7" s="35">
        <f t="shared" si="28"/>
        <v>0</v>
      </c>
      <c r="BC7" s="35" t="str">
        <f t="shared" si="29"/>
        <v>0</v>
      </c>
      <c r="BD7" s="35" t="str">
        <f t="shared" si="30"/>
        <v>0</v>
      </c>
      <c r="BE7" s="35">
        <f t="shared" si="31"/>
        <v>0</v>
      </c>
      <c r="BF7" s="35" t="str">
        <f t="shared" si="32"/>
        <v>0</v>
      </c>
      <c r="BG7" s="35" t="str">
        <f t="shared" si="33"/>
        <v>0</v>
      </c>
      <c r="BH7" s="35">
        <f t="shared" si="34"/>
        <v>0</v>
      </c>
      <c r="BI7" s="35" t="str">
        <f t="shared" si="35"/>
        <v>0</v>
      </c>
      <c r="BJ7" s="35" t="str">
        <f t="shared" si="36"/>
        <v>0</v>
      </c>
      <c r="BK7" s="35">
        <f t="shared" si="37"/>
        <v>0</v>
      </c>
      <c r="BL7" s="35" t="str">
        <f t="shared" si="38"/>
        <v>0</v>
      </c>
      <c r="BM7" s="35" t="str">
        <f t="shared" si="39"/>
        <v>0</v>
      </c>
      <c r="BN7" s="35">
        <f t="shared" si="40"/>
        <v>0</v>
      </c>
      <c r="BO7" s="43" t="str">
        <f t="shared" si="41"/>
        <v xml:space="preserve">ANDHIKA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7" s="12"/>
      <c r="BQ7" s="15" t="str">
        <f t="shared" si="42"/>
        <v>mengemukakan kembali dengan kalimat sendiri, membuat model matematika dan memilih strategi yang efektif dalam memecahkan masalah nyata sehari-hari yang berkaitan dengan KPK dan FPB, satuan kuantitas, desimal dan persen, serta memeriksa kebenarannya</v>
      </c>
      <c r="BR7" s="16" t="str">
        <f t="shared" si="43"/>
        <v xml:space="preserve"> </v>
      </c>
      <c r="BS7" s="16" t="str">
        <f t="shared" si="44"/>
        <v xml:space="preserve"> </v>
      </c>
      <c r="BT7" s="16" t="str">
        <f t="shared" si="45"/>
        <v xml:space="preserve"> </v>
      </c>
      <c r="BU7" s="16" t="str">
        <f t="shared" si="46"/>
        <v xml:space="preserve"> </v>
      </c>
      <c r="BV7" s="16" t="str">
        <f t="shared" si="47"/>
        <v xml:space="preserve"> </v>
      </c>
      <c r="BW7" s="16" t="str">
        <f t="shared" si="48"/>
        <v xml:space="preserve"> </v>
      </c>
      <c r="BX7" s="16" t="str">
        <f t="shared" si="49"/>
        <v xml:space="preserve"> </v>
      </c>
      <c r="BY7" s="16" t="str">
        <f t="shared" si="50"/>
        <v xml:space="preserve"> </v>
      </c>
      <c r="BZ7" s="16" t="str">
        <f t="shared" si="51"/>
        <v xml:space="preserve"> </v>
      </c>
      <c r="CA7" s="16" t="str">
        <f t="shared" si="52"/>
        <v xml:space="preserve"> </v>
      </c>
      <c r="CB7" s="16" t="str">
        <f t="shared" si="53"/>
        <v xml:space="preserve"> </v>
      </c>
      <c r="CC7" s="13" t="str">
        <f t="shared" si="54"/>
        <v xml:space="preserve"> </v>
      </c>
      <c r="CD7" s="13" t="str">
        <f t="shared" si="55"/>
        <v>menyatakan pecahan ke bentuk desimal dan persen</v>
      </c>
      <c r="CE7" s="13" t="str">
        <f t="shared" si="56"/>
        <v xml:space="preserve"> </v>
      </c>
      <c r="CF7" s="13" t="str">
        <f t="shared" si="57"/>
        <v xml:space="preserve"> </v>
      </c>
      <c r="CG7" s="13" t="str">
        <f t="shared" si="58"/>
        <v xml:space="preserve"> </v>
      </c>
      <c r="CH7" s="13" t="str">
        <f t="shared" si="59"/>
        <v xml:space="preserve"> </v>
      </c>
      <c r="CI7" s="13" t="str">
        <f t="shared" si="60"/>
        <v xml:space="preserve"> </v>
      </c>
      <c r="CJ7" s="13" t="str">
        <f t="shared" si="61"/>
        <v xml:space="preserve"> </v>
      </c>
      <c r="CK7" s="13" t="str">
        <f t="shared" si="62"/>
        <v xml:space="preserve"> </v>
      </c>
      <c r="CL7" s="13" t="str">
        <f t="shared" si="63"/>
        <v xml:space="preserve"> </v>
      </c>
      <c r="CM7" s="13" t="str">
        <f t="shared" si="64"/>
        <v xml:space="preserve"> </v>
      </c>
      <c r="CN7" s="13" t="str">
        <f t="shared" si="65"/>
        <v xml:space="preserve"> </v>
      </c>
      <c r="CO7" s="14"/>
    </row>
    <row r="8" spans="1:93" ht="90">
      <c r="A8" s="38">
        <v>4</v>
      </c>
      <c r="B8" s="39" t="str">
        <f>SISWA!B9</f>
        <v xml:space="preserve"> 1718250040308</v>
      </c>
      <c r="C8" s="40" t="str">
        <f>SISWA!E9</f>
        <v>ANGGARA</v>
      </c>
      <c r="D8" s="6">
        <v>99</v>
      </c>
      <c r="E8" s="7">
        <v>56</v>
      </c>
      <c r="F8" s="7">
        <v>90</v>
      </c>
      <c r="G8" s="7">
        <v>78</v>
      </c>
      <c r="H8" s="7">
        <v>65</v>
      </c>
      <c r="I8" s="6">
        <v>67</v>
      </c>
      <c r="J8" s="6">
        <v>90</v>
      </c>
      <c r="K8" s="6">
        <v>89</v>
      </c>
      <c r="L8" s="6">
        <v>87</v>
      </c>
      <c r="M8" s="7">
        <v>76</v>
      </c>
      <c r="N8" s="7">
        <v>87</v>
      </c>
      <c r="O8" s="6">
        <v>79</v>
      </c>
      <c r="P8" s="8">
        <f t="shared" si="2"/>
        <v>80.25</v>
      </c>
      <c r="Q8" s="9" t="str">
        <f t="shared" si="3"/>
        <v>B</v>
      </c>
      <c r="R8" s="29">
        <f t="shared" si="4"/>
        <v>3.96</v>
      </c>
      <c r="S8" s="29">
        <f t="shared" si="4"/>
        <v>2.2400000000000002</v>
      </c>
      <c r="T8" s="29">
        <f t="shared" si="1"/>
        <v>3.6</v>
      </c>
      <c r="U8" s="29">
        <f t="shared" si="1"/>
        <v>3.12</v>
      </c>
      <c r="V8" s="29">
        <f t="shared" si="1"/>
        <v>2.6</v>
      </c>
      <c r="W8" s="29">
        <f t="shared" si="1"/>
        <v>2.68</v>
      </c>
      <c r="X8" s="29">
        <f t="shared" si="1"/>
        <v>3.6</v>
      </c>
      <c r="Y8" s="29">
        <f t="shared" si="1"/>
        <v>3.56</v>
      </c>
      <c r="Z8" s="29">
        <f t="shared" si="1"/>
        <v>3.48</v>
      </c>
      <c r="AA8" s="29">
        <f t="shared" si="1"/>
        <v>3.04</v>
      </c>
      <c r="AB8" s="29">
        <f t="shared" si="1"/>
        <v>3.48</v>
      </c>
      <c r="AC8" s="29">
        <f t="shared" si="1"/>
        <v>3.16</v>
      </c>
      <c r="AD8" s="10"/>
      <c r="AE8" s="11" t="str">
        <f t="shared" si="5"/>
        <v>4</v>
      </c>
      <c r="AF8" s="11" t="str">
        <f t="shared" si="6"/>
        <v>0</v>
      </c>
      <c r="AG8" s="35">
        <f t="shared" si="7"/>
        <v>4</v>
      </c>
      <c r="AH8" s="35" t="str">
        <f t="shared" si="8"/>
        <v>0</v>
      </c>
      <c r="AI8" s="35" t="str">
        <f t="shared" si="9"/>
        <v>1</v>
      </c>
      <c r="AJ8" s="35">
        <f t="shared" si="10"/>
        <v>1</v>
      </c>
      <c r="AK8" s="35" t="str">
        <f t="shared" si="11"/>
        <v>0</v>
      </c>
      <c r="AL8" s="35" t="str">
        <f t="shared" si="12"/>
        <v>0</v>
      </c>
      <c r="AM8" s="35">
        <f t="shared" si="13"/>
        <v>0</v>
      </c>
      <c r="AN8" s="35" t="str">
        <f t="shared" si="14"/>
        <v>0</v>
      </c>
      <c r="AO8" s="35" t="str">
        <f t="shared" si="15"/>
        <v>0</v>
      </c>
      <c r="AP8" s="35">
        <f t="shared" si="16"/>
        <v>0</v>
      </c>
      <c r="AQ8" s="35" t="str">
        <f t="shared" si="17"/>
        <v>0</v>
      </c>
      <c r="AR8" s="35" t="str">
        <f t="shared" si="18"/>
        <v>0</v>
      </c>
      <c r="AS8" s="35">
        <f t="shared" si="19"/>
        <v>0</v>
      </c>
      <c r="AT8" s="35" t="str">
        <f t="shared" si="20"/>
        <v>0</v>
      </c>
      <c r="AU8" s="35" t="str">
        <f t="shared" si="21"/>
        <v>0</v>
      </c>
      <c r="AV8" s="35">
        <f t="shared" si="22"/>
        <v>0</v>
      </c>
      <c r="AW8" s="35" t="str">
        <f t="shared" si="23"/>
        <v>0</v>
      </c>
      <c r="AX8" s="35" t="str">
        <f t="shared" si="24"/>
        <v>0</v>
      </c>
      <c r="AY8" s="35">
        <f t="shared" si="25"/>
        <v>0</v>
      </c>
      <c r="AZ8" s="35" t="str">
        <f t="shared" si="26"/>
        <v>0</v>
      </c>
      <c r="BA8" s="35" t="str">
        <f t="shared" si="27"/>
        <v>0</v>
      </c>
      <c r="BB8" s="35">
        <f t="shared" si="28"/>
        <v>0</v>
      </c>
      <c r="BC8" s="35" t="str">
        <f t="shared" si="29"/>
        <v>0</v>
      </c>
      <c r="BD8" s="35" t="str">
        <f t="shared" si="30"/>
        <v>0</v>
      </c>
      <c r="BE8" s="35">
        <f t="shared" si="31"/>
        <v>0</v>
      </c>
      <c r="BF8" s="35" t="str">
        <f t="shared" si="32"/>
        <v>0</v>
      </c>
      <c r="BG8" s="35" t="str">
        <f t="shared" si="33"/>
        <v>0</v>
      </c>
      <c r="BH8" s="35">
        <f t="shared" si="34"/>
        <v>0</v>
      </c>
      <c r="BI8" s="35" t="str">
        <f t="shared" si="35"/>
        <v>0</v>
      </c>
      <c r="BJ8" s="35" t="str">
        <f t="shared" si="36"/>
        <v>0</v>
      </c>
      <c r="BK8" s="35">
        <f t="shared" si="37"/>
        <v>0</v>
      </c>
      <c r="BL8" s="35" t="str">
        <f t="shared" si="38"/>
        <v>0</v>
      </c>
      <c r="BM8" s="35" t="str">
        <f t="shared" si="39"/>
        <v>0</v>
      </c>
      <c r="BN8" s="35">
        <f t="shared" si="40"/>
        <v>0</v>
      </c>
      <c r="BO8" s="43" t="str">
        <f t="shared" si="41"/>
        <v xml:space="preserve">ANGGARA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8" s="12"/>
      <c r="BQ8" s="15" t="str">
        <f t="shared" si="42"/>
        <v>mengemukakan kembali dengan kalimat sendiri, membuat model matematika dan memilih strategi yang efektif dalam memecahkan masalah nyata sehari-hari yang berkaitan dengan KPK dan FPB, satuan kuantitas, desimal dan persen, serta memeriksa kebenarannya</v>
      </c>
      <c r="BR8" s="16" t="str">
        <f t="shared" si="43"/>
        <v xml:space="preserve"> </v>
      </c>
      <c r="BS8" s="16" t="str">
        <f t="shared" si="44"/>
        <v xml:space="preserve"> </v>
      </c>
      <c r="BT8" s="16" t="str">
        <f t="shared" si="45"/>
        <v xml:space="preserve"> </v>
      </c>
      <c r="BU8" s="16" t="str">
        <f t="shared" si="46"/>
        <v xml:space="preserve"> </v>
      </c>
      <c r="BV8" s="16" t="str">
        <f t="shared" si="47"/>
        <v xml:space="preserve"> </v>
      </c>
      <c r="BW8" s="16" t="str">
        <f t="shared" si="48"/>
        <v xml:space="preserve"> </v>
      </c>
      <c r="BX8" s="16" t="str">
        <f t="shared" si="49"/>
        <v xml:space="preserve"> </v>
      </c>
      <c r="BY8" s="16" t="str">
        <f t="shared" si="50"/>
        <v xml:space="preserve"> </v>
      </c>
      <c r="BZ8" s="16" t="str">
        <f t="shared" si="51"/>
        <v xml:space="preserve"> </v>
      </c>
      <c r="CA8" s="16" t="str">
        <f t="shared" si="52"/>
        <v xml:space="preserve"> </v>
      </c>
      <c r="CB8" s="16" t="str">
        <f t="shared" si="53"/>
        <v xml:space="preserve"> </v>
      </c>
      <c r="CC8" s="13" t="str">
        <f t="shared" si="54"/>
        <v xml:space="preserve"> </v>
      </c>
      <c r="CD8" s="13" t="str">
        <f t="shared" si="55"/>
        <v>menyatakan pecahan ke bentuk desimal dan persen</v>
      </c>
      <c r="CE8" s="13" t="str">
        <f t="shared" si="56"/>
        <v xml:space="preserve"> </v>
      </c>
      <c r="CF8" s="13" t="str">
        <f t="shared" si="57"/>
        <v xml:space="preserve"> </v>
      </c>
      <c r="CG8" s="13" t="str">
        <f t="shared" si="58"/>
        <v xml:space="preserve"> </v>
      </c>
      <c r="CH8" s="13" t="str">
        <f t="shared" si="59"/>
        <v xml:space="preserve"> </v>
      </c>
      <c r="CI8" s="13" t="str">
        <f t="shared" si="60"/>
        <v xml:space="preserve"> </v>
      </c>
      <c r="CJ8" s="13" t="str">
        <f t="shared" si="61"/>
        <v xml:space="preserve"> </v>
      </c>
      <c r="CK8" s="13" t="str">
        <f t="shared" si="62"/>
        <v xml:space="preserve"> </v>
      </c>
      <c r="CL8" s="13" t="str">
        <f t="shared" si="63"/>
        <v xml:space="preserve"> </v>
      </c>
      <c r="CM8" s="13" t="str">
        <f t="shared" si="64"/>
        <v xml:space="preserve"> </v>
      </c>
      <c r="CN8" s="13" t="str">
        <f t="shared" si="65"/>
        <v xml:space="preserve"> </v>
      </c>
      <c r="CO8" s="14"/>
    </row>
    <row r="9" spans="1:93" ht="90">
      <c r="A9" s="38">
        <v>5</v>
      </c>
      <c r="B9" s="39" t="str">
        <f>SISWA!B10</f>
        <v>1718250040309</v>
      </c>
      <c r="C9" s="40" t="str">
        <f>SISWA!E10</f>
        <v>ARIA</v>
      </c>
      <c r="D9" s="6">
        <v>99</v>
      </c>
      <c r="E9" s="7">
        <v>56</v>
      </c>
      <c r="F9" s="7">
        <v>90</v>
      </c>
      <c r="G9" s="7">
        <v>78</v>
      </c>
      <c r="H9" s="7">
        <v>65</v>
      </c>
      <c r="I9" s="6">
        <v>67</v>
      </c>
      <c r="J9" s="6">
        <v>90</v>
      </c>
      <c r="K9" s="6">
        <v>89</v>
      </c>
      <c r="L9" s="6">
        <v>87</v>
      </c>
      <c r="M9" s="7">
        <v>76</v>
      </c>
      <c r="N9" s="7">
        <v>87</v>
      </c>
      <c r="O9" s="6">
        <v>79</v>
      </c>
      <c r="P9" s="8">
        <f t="shared" si="2"/>
        <v>80.25</v>
      </c>
      <c r="Q9" s="9" t="str">
        <f t="shared" si="3"/>
        <v>B</v>
      </c>
      <c r="R9" s="29">
        <f t="shared" si="4"/>
        <v>3.96</v>
      </c>
      <c r="S9" s="29">
        <f t="shared" si="4"/>
        <v>2.2400000000000002</v>
      </c>
      <c r="T9" s="29">
        <f t="shared" si="1"/>
        <v>3.6</v>
      </c>
      <c r="U9" s="29">
        <f t="shared" si="1"/>
        <v>3.12</v>
      </c>
      <c r="V9" s="29">
        <f t="shared" si="1"/>
        <v>2.6</v>
      </c>
      <c r="W9" s="29">
        <f t="shared" si="1"/>
        <v>2.68</v>
      </c>
      <c r="X9" s="29">
        <f t="shared" si="1"/>
        <v>3.6</v>
      </c>
      <c r="Y9" s="29">
        <f t="shared" si="1"/>
        <v>3.56</v>
      </c>
      <c r="Z9" s="29">
        <f t="shared" si="1"/>
        <v>3.48</v>
      </c>
      <c r="AA9" s="29">
        <f t="shared" si="1"/>
        <v>3.04</v>
      </c>
      <c r="AB9" s="29">
        <f t="shared" si="1"/>
        <v>3.48</v>
      </c>
      <c r="AC9" s="29">
        <f t="shared" si="1"/>
        <v>3.16</v>
      </c>
      <c r="AD9" s="10"/>
      <c r="AE9" s="11" t="str">
        <f t="shared" si="5"/>
        <v>4</v>
      </c>
      <c r="AF9" s="11" t="str">
        <f t="shared" si="6"/>
        <v>0</v>
      </c>
      <c r="AG9" s="35">
        <f t="shared" si="7"/>
        <v>4</v>
      </c>
      <c r="AH9" s="35" t="str">
        <f t="shared" si="8"/>
        <v>0</v>
      </c>
      <c r="AI9" s="35" t="str">
        <f t="shared" si="9"/>
        <v>1</v>
      </c>
      <c r="AJ9" s="35">
        <f t="shared" si="10"/>
        <v>1</v>
      </c>
      <c r="AK9" s="35" t="str">
        <f t="shared" si="11"/>
        <v>0</v>
      </c>
      <c r="AL9" s="35" t="str">
        <f t="shared" si="12"/>
        <v>0</v>
      </c>
      <c r="AM9" s="35">
        <f t="shared" si="13"/>
        <v>0</v>
      </c>
      <c r="AN9" s="35" t="str">
        <f t="shared" si="14"/>
        <v>0</v>
      </c>
      <c r="AO9" s="35" t="str">
        <f t="shared" si="15"/>
        <v>0</v>
      </c>
      <c r="AP9" s="35">
        <f t="shared" si="16"/>
        <v>0</v>
      </c>
      <c r="AQ9" s="35" t="str">
        <f t="shared" si="17"/>
        <v>0</v>
      </c>
      <c r="AR9" s="35" t="str">
        <f t="shared" si="18"/>
        <v>0</v>
      </c>
      <c r="AS9" s="35">
        <f t="shared" si="19"/>
        <v>0</v>
      </c>
      <c r="AT9" s="35" t="str">
        <f t="shared" si="20"/>
        <v>0</v>
      </c>
      <c r="AU9" s="35" t="str">
        <f t="shared" si="21"/>
        <v>0</v>
      </c>
      <c r="AV9" s="35">
        <f t="shared" si="22"/>
        <v>0</v>
      </c>
      <c r="AW9" s="35" t="str">
        <f t="shared" si="23"/>
        <v>0</v>
      </c>
      <c r="AX9" s="35" t="str">
        <f t="shared" si="24"/>
        <v>0</v>
      </c>
      <c r="AY9" s="35">
        <f t="shared" si="25"/>
        <v>0</v>
      </c>
      <c r="AZ9" s="35" t="str">
        <f t="shared" si="26"/>
        <v>0</v>
      </c>
      <c r="BA9" s="35" t="str">
        <f t="shared" si="27"/>
        <v>0</v>
      </c>
      <c r="BB9" s="35">
        <f t="shared" si="28"/>
        <v>0</v>
      </c>
      <c r="BC9" s="35" t="str">
        <f t="shared" si="29"/>
        <v>0</v>
      </c>
      <c r="BD9" s="35" t="str">
        <f t="shared" si="30"/>
        <v>0</v>
      </c>
      <c r="BE9" s="35">
        <f t="shared" si="31"/>
        <v>0</v>
      </c>
      <c r="BF9" s="35" t="str">
        <f t="shared" si="32"/>
        <v>0</v>
      </c>
      <c r="BG9" s="35" t="str">
        <f t="shared" si="33"/>
        <v>0</v>
      </c>
      <c r="BH9" s="35">
        <f t="shared" si="34"/>
        <v>0</v>
      </c>
      <c r="BI9" s="35" t="str">
        <f t="shared" si="35"/>
        <v>0</v>
      </c>
      <c r="BJ9" s="35" t="str">
        <f t="shared" si="36"/>
        <v>0</v>
      </c>
      <c r="BK9" s="35">
        <f t="shared" si="37"/>
        <v>0</v>
      </c>
      <c r="BL9" s="35" t="str">
        <f t="shared" si="38"/>
        <v>0</v>
      </c>
      <c r="BM9" s="35" t="str">
        <f t="shared" si="39"/>
        <v>0</v>
      </c>
      <c r="BN9" s="35">
        <f t="shared" si="40"/>
        <v>0</v>
      </c>
      <c r="BO9" s="43" t="str">
        <f t="shared" si="41"/>
        <v xml:space="preserve">ARIA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9" s="12"/>
      <c r="BQ9" s="15" t="str">
        <f t="shared" si="42"/>
        <v>mengemukakan kembali dengan kalimat sendiri, membuat model matematika dan memilih strategi yang efektif dalam memecahkan masalah nyata sehari-hari yang berkaitan dengan KPK dan FPB, satuan kuantitas, desimal dan persen, serta memeriksa kebenarannya</v>
      </c>
      <c r="BR9" s="16" t="str">
        <f t="shared" si="43"/>
        <v xml:space="preserve"> </v>
      </c>
      <c r="BS9" s="16" t="str">
        <f t="shared" si="44"/>
        <v xml:space="preserve"> </v>
      </c>
      <c r="BT9" s="16" t="str">
        <f t="shared" si="45"/>
        <v xml:space="preserve"> </v>
      </c>
      <c r="BU9" s="16" t="str">
        <f t="shared" si="46"/>
        <v xml:space="preserve"> </v>
      </c>
      <c r="BV9" s="16" t="str">
        <f t="shared" si="47"/>
        <v xml:space="preserve"> </v>
      </c>
      <c r="BW9" s="16" t="str">
        <f t="shared" si="48"/>
        <v xml:space="preserve"> </v>
      </c>
      <c r="BX9" s="16" t="str">
        <f t="shared" si="49"/>
        <v xml:space="preserve"> </v>
      </c>
      <c r="BY9" s="16" t="str">
        <f t="shared" si="50"/>
        <v xml:space="preserve"> </v>
      </c>
      <c r="BZ9" s="16" t="str">
        <f t="shared" si="51"/>
        <v xml:space="preserve"> </v>
      </c>
      <c r="CA9" s="16" t="str">
        <f t="shared" si="52"/>
        <v xml:space="preserve"> </v>
      </c>
      <c r="CB9" s="16" t="str">
        <f t="shared" si="53"/>
        <v xml:space="preserve"> </v>
      </c>
      <c r="CC9" s="13" t="str">
        <f t="shared" si="54"/>
        <v xml:space="preserve"> </v>
      </c>
      <c r="CD9" s="13" t="str">
        <f t="shared" si="55"/>
        <v>menyatakan pecahan ke bentuk desimal dan persen</v>
      </c>
      <c r="CE9" s="13" t="str">
        <f t="shared" si="56"/>
        <v xml:space="preserve"> </v>
      </c>
      <c r="CF9" s="13" t="str">
        <f t="shared" si="57"/>
        <v xml:space="preserve"> </v>
      </c>
      <c r="CG9" s="13" t="str">
        <f t="shared" si="58"/>
        <v xml:space="preserve"> </v>
      </c>
      <c r="CH9" s="13" t="str">
        <f t="shared" si="59"/>
        <v xml:space="preserve"> </v>
      </c>
      <c r="CI9" s="13" t="str">
        <f t="shared" si="60"/>
        <v xml:space="preserve"> </v>
      </c>
      <c r="CJ9" s="13" t="str">
        <f t="shared" si="61"/>
        <v xml:space="preserve"> </v>
      </c>
      <c r="CK9" s="13" t="str">
        <f t="shared" si="62"/>
        <v xml:space="preserve"> </v>
      </c>
      <c r="CL9" s="13" t="str">
        <f t="shared" si="63"/>
        <v xml:space="preserve"> </v>
      </c>
      <c r="CM9" s="13" t="str">
        <f t="shared" si="64"/>
        <v xml:space="preserve"> </v>
      </c>
      <c r="CN9" s="13" t="str">
        <f t="shared" si="65"/>
        <v xml:space="preserve"> </v>
      </c>
      <c r="CO9" s="14"/>
    </row>
    <row r="10" spans="1:93" ht="90">
      <c r="A10" s="38">
        <v>6</v>
      </c>
      <c r="B10" s="39" t="str">
        <f>SISWA!B11</f>
        <v>1718250040310</v>
      </c>
      <c r="C10" s="40" t="str">
        <f>SISWA!E11</f>
        <v>CAHAYA</v>
      </c>
      <c r="D10" s="6">
        <v>99</v>
      </c>
      <c r="E10" s="7">
        <v>56</v>
      </c>
      <c r="F10" s="7">
        <v>90</v>
      </c>
      <c r="G10" s="7">
        <v>78</v>
      </c>
      <c r="H10" s="7">
        <v>65</v>
      </c>
      <c r="I10" s="6">
        <v>67</v>
      </c>
      <c r="J10" s="6">
        <v>90</v>
      </c>
      <c r="K10" s="6">
        <v>89</v>
      </c>
      <c r="L10" s="6">
        <v>87</v>
      </c>
      <c r="M10" s="7">
        <v>76</v>
      </c>
      <c r="N10" s="7">
        <v>87</v>
      </c>
      <c r="O10" s="6">
        <v>79</v>
      </c>
      <c r="P10" s="8">
        <f t="shared" si="2"/>
        <v>80.25</v>
      </c>
      <c r="Q10" s="9" t="str">
        <f t="shared" si="3"/>
        <v>B</v>
      </c>
      <c r="R10" s="29">
        <f t="shared" si="4"/>
        <v>3.96</v>
      </c>
      <c r="S10" s="29">
        <f t="shared" si="4"/>
        <v>2.2400000000000002</v>
      </c>
      <c r="T10" s="29">
        <f t="shared" si="1"/>
        <v>3.6</v>
      </c>
      <c r="U10" s="29">
        <f t="shared" si="1"/>
        <v>3.12</v>
      </c>
      <c r="V10" s="29">
        <f t="shared" si="1"/>
        <v>2.6</v>
      </c>
      <c r="W10" s="29">
        <f t="shared" si="1"/>
        <v>2.68</v>
      </c>
      <c r="X10" s="29">
        <f t="shared" si="1"/>
        <v>3.6</v>
      </c>
      <c r="Y10" s="29">
        <f t="shared" si="1"/>
        <v>3.56</v>
      </c>
      <c r="Z10" s="29">
        <f t="shared" si="1"/>
        <v>3.48</v>
      </c>
      <c r="AA10" s="29">
        <f t="shared" si="1"/>
        <v>3.04</v>
      </c>
      <c r="AB10" s="29">
        <f t="shared" si="1"/>
        <v>3.48</v>
      </c>
      <c r="AC10" s="29">
        <f t="shared" si="1"/>
        <v>3.16</v>
      </c>
      <c r="AD10" s="10"/>
      <c r="AE10" s="11" t="str">
        <f t="shared" si="5"/>
        <v>4</v>
      </c>
      <c r="AF10" s="11" t="str">
        <f t="shared" si="6"/>
        <v>0</v>
      </c>
      <c r="AG10" s="35">
        <f t="shared" si="7"/>
        <v>4</v>
      </c>
      <c r="AH10" s="35" t="str">
        <f t="shared" si="8"/>
        <v>0</v>
      </c>
      <c r="AI10" s="35" t="str">
        <f t="shared" si="9"/>
        <v>1</v>
      </c>
      <c r="AJ10" s="35">
        <f t="shared" si="10"/>
        <v>1</v>
      </c>
      <c r="AK10" s="35" t="str">
        <f t="shared" si="11"/>
        <v>0</v>
      </c>
      <c r="AL10" s="35" t="str">
        <f t="shared" si="12"/>
        <v>0</v>
      </c>
      <c r="AM10" s="35">
        <f t="shared" si="13"/>
        <v>0</v>
      </c>
      <c r="AN10" s="35" t="str">
        <f t="shared" si="14"/>
        <v>0</v>
      </c>
      <c r="AO10" s="35" t="str">
        <f t="shared" si="15"/>
        <v>0</v>
      </c>
      <c r="AP10" s="35">
        <f t="shared" si="16"/>
        <v>0</v>
      </c>
      <c r="AQ10" s="35" t="str">
        <f t="shared" si="17"/>
        <v>0</v>
      </c>
      <c r="AR10" s="35" t="str">
        <f t="shared" si="18"/>
        <v>0</v>
      </c>
      <c r="AS10" s="35">
        <f t="shared" si="19"/>
        <v>0</v>
      </c>
      <c r="AT10" s="35" t="str">
        <f t="shared" si="20"/>
        <v>0</v>
      </c>
      <c r="AU10" s="35" t="str">
        <f t="shared" si="21"/>
        <v>0</v>
      </c>
      <c r="AV10" s="35">
        <f t="shared" si="22"/>
        <v>0</v>
      </c>
      <c r="AW10" s="35" t="str">
        <f t="shared" si="23"/>
        <v>0</v>
      </c>
      <c r="AX10" s="35" t="str">
        <f t="shared" si="24"/>
        <v>0</v>
      </c>
      <c r="AY10" s="35">
        <f t="shared" si="25"/>
        <v>0</v>
      </c>
      <c r="AZ10" s="35" t="str">
        <f t="shared" si="26"/>
        <v>0</v>
      </c>
      <c r="BA10" s="35" t="str">
        <f t="shared" si="27"/>
        <v>0</v>
      </c>
      <c r="BB10" s="35">
        <f t="shared" si="28"/>
        <v>0</v>
      </c>
      <c r="BC10" s="35" t="str">
        <f t="shared" si="29"/>
        <v>0</v>
      </c>
      <c r="BD10" s="35" t="str">
        <f t="shared" si="30"/>
        <v>0</v>
      </c>
      <c r="BE10" s="35">
        <f t="shared" si="31"/>
        <v>0</v>
      </c>
      <c r="BF10" s="35" t="str">
        <f t="shared" si="32"/>
        <v>0</v>
      </c>
      <c r="BG10" s="35" t="str">
        <f t="shared" si="33"/>
        <v>0</v>
      </c>
      <c r="BH10" s="35">
        <f t="shared" si="34"/>
        <v>0</v>
      </c>
      <c r="BI10" s="35" t="str">
        <f t="shared" si="35"/>
        <v>0</v>
      </c>
      <c r="BJ10" s="35" t="str">
        <f t="shared" si="36"/>
        <v>0</v>
      </c>
      <c r="BK10" s="35">
        <f t="shared" si="37"/>
        <v>0</v>
      </c>
      <c r="BL10" s="35" t="str">
        <f t="shared" si="38"/>
        <v>0</v>
      </c>
      <c r="BM10" s="35" t="str">
        <f t="shared" si="39"/>
        <v>0</v>
      </c>
      <c r="BN10" s="35">
        <f t="shared" si="40"/>
        <v>0</v>
      </c>
      <c r="BO10" s="43" t="str">
        <f t="shared" si="41"/>
        <v xml:space="preserve">CAHAYA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10" s="12"/>
      <c r="BQ10" s="15" t="str">
        <f t="shared" si="42"/>
        <v>mengemukakan kembali dengan kalimat sendiri, membuat model matematika dan memilih strategi yang efektif dalam memecahkan masalah nyata sehari-hari yang berkaitan dengan KPK dan FPB, satuan kuantitas, desimal dan persen, serta memeriksa kebenarannya</v>
      </c>
      <c r="BR10" s="16" t="str">
        <f t="shared" si="43"/>
        <v xml:space="preserve"> </v>
      </c>
      <c r="BS10" s="16" t="str">
        <f t="shared" si="44"/>
        <v xml:space="preserve"> </v>
      </c>
      <c r="BT10" s="16" t="str">
        <f t="shared" si="45"/>
        <v xml:space="preserve"> </v>
      </c>
      <c r="BU10" s="16" t="str">
        <f t="shared" si="46"/>
        <v xml:space="preserve"> </v>
      </c>
      <c r="BV10" s="16" t="str">
        <f t="shared" si="47"/>
        <v xml:space="preserve"> </v>
      </c>
      <c r="BW10" s="16" t="str">
        <f t="shared" si="48"/>
        <v xml:space="preserve"> </v>
      </c>
      <c r="BX10" s="16" t="str">
        <f t="shared" si="49"/>
        <v xml:space="preserve"> </v>
      </c>
      <c r="BY10" s="16" t="str">
        <f t="shared" si="50"/>
        <v xml:space="preserve"> </v>
      </c>
      <c r="BZ10" s="16" t="str">
        <f t="shared" si="51"/>
        <v xml:space="preserve"> </v>
      </c>
      <c r="CA10" s="16" t="str">
        <f t="shared" si="52"/>
        <v xml:space="preserve"> </v>
      </c>
      <c r="CB10" s="16" t="str">
        <f t="shared" si="53"/>
        <v xml:space="preserve"> </v>
      </c>
      <c r="CC10" s="13" t="str">
        <f t="shared" si="54"/>
        <v xml:space="preserve"> </v>
      </c>
      <c r="CD10" s="13" t="str">
        <f t="shared" si="55"/>
        <v>menyatakan pecahan ke bentuk desimal dan persen</v>
      </c>
      <c r="CE10" s="13" t="str">
        <f t="shared" si="56"/>
        <v xml:space="preserve"> </v>
      </c>
      <c r="CF10" s="13" t="str">
        <f t="shared" si="57"/>
        <v xml:space="preserve"> </v>
      </c>
      <c r="CG10" s="13" t="str">
        <f t="shared" si="58"/>
        <v xml:space="preserve"> </v>
      </c>
      <c r="CH10" s="13" t="str">
        <f t="shared" si="59"/>
        <v xml:space="preserve"> </v>
      </c>
      <c r="CI10" s="13" t="str">
        <f t="shared" si="60"/>
        <v xml:space="preserve"> </v>
      </c>
      <c r="CJ10" s="13" t="str">
        <f t="shared" si="61"/>
        <v xml:space="preserve"> </v>
      </c>
      <c r="CK10" s="13" t="str">
        <f t="shared" si="62"/>
        <v xml:space="preserve"> </v>
      </c>
      <c r="CL10" s="13" t="str">
        <f t="shared" si="63"/>
        <v xml:space="preserve"> </v>
      </c>
      <c r="CM10" s="13" t="str">
        <f t="shared" si="64"/>
        <v xml:space="preserve"> </v>
      </c>
      <c r="CN10" s="13" t="str">
        <f t="shared" si="65"/>
        <v xml:space="preserve"> </v>
      </c>
      <c r="CO10" s="14"/>
    </row>
    <row r="11" spans="1:93" ht="90">
      <c r="A11" s="38">
        <v>7</v>
      </c>
      <c r="B11" s="39" t="str">
        <f>SISWA!B12</f>
        <v>1718250040311</v>
      </c>
      <c r="C11" s="40" t="str">
        <f>SISWA!E12</f>
        <v>CALISTA</v>
      </c>
      <c r="D11" s="6">
        <v>99</v>
      </c>
      <c r="E11" s="7">
        <v>56</v>
      </c>
      <c r="F11" s="7">
        <v>90</v>
      </c>
      <c r="G11" s="7">
        <v>78</v>
      </c>
      <c r="H11" s="7">
        <v>65</v>
      </c>
      <c r="I11" s="6">
        <v>67</v>
      </c>
      <c r="J11" s="6">
        <v>90</v>
      </c>
      <c r="K11" s="6">
        <v>89</v>
      </c>
      <c r="L11" s="6">
        <v>87</v>
      </c>
      <c r="M11" s="7">
        <v>76</v>
      </c>
      <c r="N11" s="7">
        <v>87</v>
      </c>
      <c r="O11" s="6">
        <v>79</v>
      </c>
      <c r="P11" s="8">
        <f t="shared" si="2"/>
        <v>80.25</v>
      </c>
      <c r="Q11" s="9" t="str">
        <f t="shared" si="3"/>
        <v>B</v>
      </c>
      <c r="R11" s="29">
        <f t="shared" si="4"/>
        <v>3.96</v>
      </c>
      <c r="S11" s="29">
        <f t="shared" si="4"/>
        <v>2.2400000000000002</v>
      </c>
      <c r="T11" s="29">
        <f t="shared" si="1"/>
        <v>3.6</v>
      </c>
      <c r="U11" s="29">
        <f t="shared" si="1"/>
        <v>3.12</v>
      </c>
      <c r="V11" s="29">
        <f t="shared" si="1"/>
        <v>2.6</v>
      </c>
      <c r="W11" s="29">
        <f t="shared" si="1"/>
        <v>2.68</v>
      </c>
      <c r="X11" s="29">
        <f t="shared" si="1"/>
        <v>3.6</v>
      </c>
      <c r="Y11" s="29">
        <f t="shared" si="1"/>
        <v>3.56</v>
      </c>
      <c r="Z11" s="29">
        <f t="shared" si="1"/>
        <v>3.48</v>
      </c>
      <c r="AA11" s="29">
        <f t="shared" si="1"/>
        <v>3.04</v>
      </c>
      <c r="AB11" s="29">
        <f t="shared" si="1"/>
        <v>3.48</v>
      </c>
      <c r="AC11" s="29">
        <f t="shared" si="1"/>
        <v>3.16</v>
      </c>
      <c r="AD11" s="10"/>
      <c r="AE11" s="11" t="str">
        <f t="shared" si="5"/>
        <v>4</v>
      </c>
      <c r="AF11" s="11" t="str">
        <f t="shared" si="6"/>
        <v>0</v>
      </c>
      <c r="AG11" s="35">
        <f t="shared" si="7"/>
        <v>4</v>
      </c>
      <c r="AH11" s="35" t="str">
        <f t="shared" si="8"/>
        <v>0</v>
      </c>
      <c r="AI11" s="35" t="str">
        <f t="shared" si="9"/>
        <v>1</v>
      </c>
      <c r="AJ11" s="35">
        <f t="shared" si="10"/>
        <v>1</v>
      </c>
      <c r="AK11" s="35" t="str">
        <f t="shared" si="11"/>
        <v>0</v>
      </c>
      <c r="AL11" s="35" t="str">
        <f t="shared" si="12"/>
        <v>0</v>
      </c>
      <c r="AM11" s="35">
        <f t="shared" si="13"/>
        <v>0</v>
      </c>
      <c r="AN11" s="35" t="str">
        <f t="shared" si="14"/>
        <v>0</v>
      </c>
      <c r="AO11" s="35" t="str">
        <f t="shared" si="15"/>
        <v>0</v>
      </c>
      <c r="AP11" s="35">
        <f t="shared" si="16"/>
        <v>0</v>
      </c>
      <c r="AQ11" s="35" t="str">
        <f t="shared" si="17"/>
        <v>0</v>
      </c>
      <c r="AR11" s="35" t="str">
        <f t="shared" si="18"/>
        <v>0</v>
      </c>
      <c r="AS11" s="35">
        <f t="shared" si="19"/>
        <v>0</v>
      </c>
      <c r="AT11" s="35" t="str">
        <f t="shared" si="20"/>
        <v>0</v>
      </c>
      <c r="AU11" s="35" t="str">
        <f t="shared" si="21"/>
        <v>0</v>
      </c>
      <c r="AV11" s="35">
        <f t="shared" si="22"/>
        <v>0</v>
      </c>
      <c r="AW11" s="35" t="str">
        <f t="shared" si="23"/>
        <v>0</v>
      </c>
      <c r="AX11" s="35" t="str">
        <f t="shared" si="24"/>
        <v>0</v>
      </c>
      <c r="AY11" s="35">
        <f t="shared" si="25"/>
        <v>0</v>
      </c>
      <c r="AZ11" s="35" t="str">
        <f t="shared" si="26"/>
        <v>0</v>
      </c>
      <c r="BA11" s="35" t="str">
        <f t="shared" si="27"/>
        <v>0</v>
      </c>
      <c r="BB11" s="35">
        <f t="shared" si="28"/>
        <v>0</v>
      </c>
      <c r="BC11" s="35" t="str">
        <f t="shared" si="29"/>
        <v>0</v>
      </c>
      <c r="BD11" s="35" t="str">
        <f t="shared" si="30"/>
        <v>0</v>
      </c>
      <c r="BE11" s="35">
        <f t="shared" si="31"/>
        <v>0</v>
      </c>
      <c r="BF11" s="35" t="str">
        <f t="shared" si="32"/>
        <v>0</v>
      </c>
      <c r="BG11" s="35" t="str">
        <f t="shared" si="33"/>
        <v>0</v>
      </c>
      <c r="BH11" s="35">
        <f t="shared" si="34"/>
        <v>0</v>
      </c>
      <c r="BI11" s="35" t="str">
        <f t="shared" si="35"/>
        <v>0</v>
      </c>
      <c r="BJ11" s="35" t="str">
        <f t="shared" si="36"/>
        <v>0</v>
      </c>
      <c r="BK11" s="35">
        <f t="shared" si="37"/>
        <v>0</v>
      </c>
      <c r="BL11" s="35" t="str">
        <f t="shared" si="38"/>
        <v>0</v>
      </c>
      <c r="BM11" s="35" t="str">
        <f t="shared" si="39"/>
        <v>0</v>
      </c>
      <c r="BN11" s="35">
        <f t="shared" si="40"/>
        <v>0</v>
      </c>
      <c r="BO11" s="43" t="str">
        <f t="shared" si="41"/>
        <v xml:space="preserve">CALISTA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11" s="12"/>
      <c r="BQ11" s="15" t="str">
        <f t="shared" si="42"/>
        <v>mengemukakan kembali dengan kalimat sendiri, membuat model matematika dan memilih strategi yang efektif dalam memecahkan masalah nyata sehari-hari yang berkaitan dengan KPK dan FPB, satuan kuantitas, desimal dan persen, serta memeriksa kebenarannya</v>
      </c>
      <c r="BR11" s="16" t="str">
        <f t="shared" si="43"/>
        <v xml:space="preserve"> </v>
      </c>
      <c r="BS11" s="16" t="str">
        <f t="shared" si="44"/>
        <v xml:space="preserve"> </v>
      </c>
      <c r="BT11" s="16" t="str">
        <f t="shared" si="45"/>
        <v xml:space="preserve"> </v>
      </c>
      <c r="BU11" s="16" t="str">
        <f t="shared" si="46"/>
        <v xml:space="preserve"> </v>
      </c>
      <c r="BV11" s="16" t="str">
        <f t="shared" si="47"/>
        <v xml:space="preserve"> </v>
      </c>
      <c r="BW11" s="16" t="str">
        <f t="shared" si="48"/>
        <v xml:space="preserve"> </v>
      </c>
      <c r="BX11" s="16" t="str">
        <f t="shared" si="49"/>
        <v xml:space="preserve"> </v>
      </c>
      <c r="BY11" s="16" t="str">
        <f t="shared" si="50"/>
        <v xml:space="preserve"> </v>
      </c>
      <c r="BZ11" s="16" t="str">
        <f t="shared" si="51"/>
        <v xml:space="preserve"> </v>
      </c>
      <c r="CA11" s="16" t="str">
        <f t="shared" si="52"/>
        <v xml:space="preserve"> </v>
      </c>
      <c r="CB11" s="16" t="str">
        <f t="shared" si="53"/>
        <v xml:space="preserve"> </v>
      </c>
      <c r="CC11" s="13" t="str">
        <f t="shared" si="54"/>
        <v xml:space="preserve"> </v>
      </c>
      <c r="CD11" s="13" t="str">
        <f t="shared" si="55"/>
        <v>menyatakan pecahan ke bentuk desimal dan persen</v>
      </c>
      <c r="CE11" s="13" t="str">
        <f t="shared" si="56"/>
        <v xml:space="preserve"> </v>
      </c>
      <c r="CF11" s="13" t="str">
        <f t="shared" si="57"/>
        <v xml:space="preserve"> </v>
      </c>
      <c r="CG11" s="13" t="str">
        <f t="shared" si="58"/>
        <v xml:space="preserve"> </v>
      </c>
      <c r="CH11" s="13" t="str">
        <f t="shared" si="59"/>
        <v xml:space="preserve"> </v>
      </c>
      <c r="CI11" s="13" t="str">
        <f t="shared" si="60"/>
        <v xml:space="preserve"> </v>
      </c>
      <c r="CJ11" s="13" t="str">
        <f t="shared" si="61"/>
        <v xml:space="preserve"> </v>
      </c>
      <c r="CK11" s="13" t="str">
        <f t="shared" si="62"/>
        <v xml:space="preserve"> </v>
      </c>
      <c r="CL11" s="13" t="str">
        <f t="shared" si="63"/>
        <v xml:space="preserve"> </v>
      </c>
      <c r="CM11" s="13" t="str">
        <f t="shared" si="64"/>
        <v xml:space="preserve"> </v>
      </c>
      <c r="CN11" s="13" t="str">
        <f t="shared" si="65"/>
        <v xml:space="preserve"> </v>
      </c>
      <c r="CO11" s="14"/>
    </row>
    <row r="12" spans="1:93" ht="90">
      <c r="A12" s="38">
        <v>8</v>
      </c>
      <c r="B12" s="39" t="str">
        <f>SISWA!B13</f>
        <v>1718250040312</v>
      </c>
      <c r="C12" s="40" t="str">
        <f>SISWA!E13</f>
        <v>CARISSA</v>
      </c>
      <c r="D12" s="6">
        <v>99</v>
      </c>
      <c r="E12" s="7">
        <v>56</v>
      </c>
      <c r="F12" s="7">
        <v>90</v>
      </c>
      <c r="G12" s="7">
        <v>78</v>
      </c>
      <c r="H12" s="7">
        <v>65</v>
      </c>
      <c r="I12" s="6">
        <v>67</v>
      </c>
      <c r="J12" s="6">
        <v>90</v>
      </c>
      <c r="K12" s="6">
        <v>89</v>
      </c>
      <c r="L12" s="6">
        <v>87</v>
      </c>
      <c r="M12" s="7">
        <v>76</v>
      </c>
      <c r="N12" s="7">
        <v>87</v>
      </c>
      <c r="O12" s="6">
        <v>79</v>
      </c>
      <c r="P12" s="8">
        <f t="shared" si="2"/>
        <v>80.25</v>
      </c>
      <c r="Q12" s="9" t="str">
        <f t="shared" si="3"/>
        <v>B</v>
      </c>
      <c r="R12" s="29">
        <f t="shared" si="4"/>
        <v>3.96</v>
      </c>
      <c r="S12" s="29">
        <f t="shared" si="4"/>
        <v>2.2400000000000002</v>
      </c>
      <c r="T12" s="29">
        <f t="shared" si="1"/>
        <v>3.6</v>
      </c>
      <c r="U12" s="29">
        <f t="shared" si="1"/>
        <v>3.12</v>
      </c>
      <c r="V12" s="29">
        <f t="shared" si="1"/>
        <v>2.6</v>
      </c>
      <c r="W12" s="29">
        <f t="shared" si="1"/>
        <v>2.68</v>
      </c>
      <c r="X12" s="29">
        <f t="shared" si="1"/>
        <v>3.6</v>
      </c>
      <c r="Y12" s="29">
        <f t="shared" si="1"/>
        <v>3.56</v>
      </c>
      <c r="Z12" s="29">
        <f t="shared" si="1"/>
        <v>3.48</v>
      </c>
      <c r="AA12" s="29">
        <f t="shared" si="1"/>
        <v>3.04</v>
      </c>
      <c r="AB12" s="29">
        <f t="shared" si="1"/>
        <v>3.48</v>
      </c>
      <c r="AC12" s="29">
        <f t="shared" si="1"/>
        <v>3.16</v>
      </c>
      <c r="AD12" s="10"/>
      <c r="AE12" s="11" t="str">
        <f t="shared" si="5"/>
        <v>4</v>
      </c>
      <c r="AF12" s="11" t="str">
        <f t="shared" si="6"/>
        <v>0</v>
      </c>
      <c r="AG12" s="35">
        <f t="shared" si="7"/>
        <v>4</v>
      </c>
      <c r="AH12" s="35" t="str">
        <f t="shared" si="8"/>
        <v>0</v>
      </c>
      <c r="AI12" s="35" t="str">
        <f t="shared" si="9"/>
        <v>1</v>
      </c>
      <c r="AJ12" s="35">
        <f t="shared" si="10"/>
        <v>1</v>
      </c>
      <c r="AK12" s="35" t="str">
        <f t="shared" si="11"/>
        <v>0</v>
      </c>
      <c r="AL12" s="35" t="str">
        <f t="shared" si="12"/>
        <v>0</v>
      </c>
      <c r="AM12" s="35">
        <f t="shared" si="13"/>
        <v>0</v>
      </c>
      <c r="AN12" s="35" t="str">
        <f t="shared" si="14"/>
        <v>0</v>
      </c>
      <c r="AO12" s="35" t="str">
        <f t="shared" si="15"/>
        <v>0</v>
      </c>
      <c r="AP12" s="35">
        <f t="shared" si="16"/>
        <v>0</v>
      </c>
      <c r="AQ12" s="35" t="str">
        <f t="shared" si="17"/>
        <v>0</v>
      </c>
      <c r="AR12" s="35" t="str">
        <f t="shared" si="18"/>
        <v>0</v>
      </c>
      <c r="AS12" s="35">
        <f t="shared" si="19"/>
        <v>0</v>
      </c>
      <c r="AT12" s="35" t="str">
        <f t="shared" si="20"/>
        <v>0</v>
      </c>
      <c r="AU12" s="35" t="str">
        <f t="shared" si="21"/>
        <v>0</v>
      </c>
      <c r="AV12" s="35">
        <f t="shared" si="22"/>
        <v>0</v>
      </c>
      <c r="AW12" s="35" t="str">
        <f t="shared" si="23"/>
        <v>0</v>
      </c>
      <c r="AX12" s="35" t="str">
        <f t="shared" si="24"/>
        <v>0</v>
      </c>
      <c r="AY12" s="35">
        <f t="shared" si="25"/>
        <v>0</v>
      </c>
      <c r="AZ12" s="35" t="str">
        <f t="shared" si="26"/>
        <v>0</v>
      </c>
      <c r="BA12" s="35" t="str">
        <f t="shared" si="27"/>
        <v>0</v>
      </c>
      <c r="BB12" s="35">
        <f t="shared" si="28"/>
        <v>0</v>
      </c>
      <c r="BC12" s="35" t="str">
        <f t="shared" si="29"/>
        <v>0</v>
      </c>
      <c r="BD12" s="35" t="str">
        <f t="shared" si="30"/>
        <v>0</v>
      </c>
      <c r="BE12" s="35">
        <f t="shared" si="31"/>
        <v>0</v>
      </c>
      <c r="BF12" s="35" t="str">
        <f t="shared" si="32"/>
        <v>0</v>
      </c>
      <c r="BG12" s="35" t="str">
        <f t="shared" si="33"/>
        <v>0</v>
      </c>
      <c r="BH12" s="35">
        <f t="shared" si="34"/>
        <v>0</v>
      </c>
      <c r="BI12" s="35" t="str">
        <f t="shared" si="35"/>
        <v>0</v>
      </c>
      <c r="BJ12" s="35" t="str">
        <f t="shared" si="36"/>
        <v>0</v>
      </c>
      <c r="BK12" s="35">
        <f t="shared" si="37"/>
        <v>0</v>
      </c>
      <c r="BL12" s="35" t="str">
        <f t="shared" si="38"/>
        <v>0</v>
      </c>
      <c r="BM12" s="35" t="str">
        <f t="shared" si="39"/>
        <v>0</v>
      </c>
      <c r="BN12" s="35">
        <f t="shared" si="40"/>
        <v>0</v>
      </c>
      <c r="BO12" s="43" t="str">
        <f t="shared" si="41"/>
        <v xml:space="preserve">CARISSA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12" s="12"/>
      <c r="BQ12" s="15" t="str">
        <f t="shared" si="42"/>
        <v>mengemukakan kembali dengan kalimat sendiri, membuat model matematika dan memilih strategi yang efektif dalam memecahkan masalah nyata sehari-hari yang berkaitan dengan KPK dan FPB, satuan kuantitas, desimal dan persen, serta memeriksa kebenarannya</v>
      </c>
      <c r="BR12" s="16" t="str">
        <f t="shared" si="43"/>
        <v xml:space="preserve"> </v>
      </c>
      <c r="BS12" s="16" t="str">
        <f t="shared" si="44"/>
        <v xml:space="preserve"> </v>
      </c>
      <c r="BT12" s="16" t="str">
        <f t="shared" si="45"/>
        <v xml:space="preserve"> </v>
      </c>
      <c r="BU12" s="16" t="str">
        <f t="shared" si="46"/>
        <v xml:space="preserve"> </v>
      </c>
      <c r="BV12" s="16" t="str">
        <f t="shared" si="47"/>
        <v xml:space="preserve"> </v>
      </c>
      <c r="BW12" s="16" t="str">
        <f t="shared" si="48"/>
        <v xml:space="preserve"> </v>
      </c>
      <c r="BX12" s="16" t="str">
        <f t="shared" si="49"/>
        <v xml:space="preserve"> </v>
      </c>
      <c r="BY12" s="16" t="str">
        <f t="shared" si="50"/>
        <v xml:space="preserve"> </v>
      </c>
      <c r="BZ12" s="16" t="str">
        <f t="shared" si="51"/>
        <v xml:space="preserve"> </v>
      </c>
      <c r="CA12" s="16" t="str">
        <f t="shared" si="52"/>
        <v xml:space="preserve"> </v>
      </c>
      <c r="CB12" s="16" t="str">
        <f t="shared" si="53"/>
        <v xml:space="preserve"> </v>
      </c>
      <c r="CC12" s="13" t="str">
        <f t="shared" si="54"/>
        <v xml:space="preserve"> </v>
      </c>
      <c r="CD12" s="13" t="str">
        <f t="shared" si="55"/>
        <v>menyatakan pecahan ke bentuk desimal dan persen</v>
      </c>
      <c r="CE12" s="13" t="str">
        <f t="shared" si="56"/>
        <v xml:space="preserve"> </v>
      </c>
      <c r="CF12" s="13" t="str">
        <f t="shared" si="57"/>
        <v xml:space="preserve"> </v>
      </c>
      <c r="CG12" s="13" t="str">
        <f t="shared" si="58"/>
        <v xml:space="preserve"> </v>
      </c>
      <c r="CH12" s="13" t="str">
        <f t="shared" si="59"/>
        <v xml:space="preserve"> </v>
      </c>
      <c r="CI12" s="13" t="str">
        <f t="shared" si="60"/>
        <v xml:space="preserve"> </v>
      </c>
      <c r="CJ12" s="13" t="str">
        <f t="shared" si="61"/>
        <v xml:space="preserve"> </v>
      </c>
      <c r="CK12" s="13" t="str">
        <f t="shared" si="62"/>
        <v xml:space="preserve"> </v>
      </c>
      <c r="CL12" s="13" t="str">
        <f t="shared" si="63"/>
        <v xml:space="preserve"> </v>
      </c>
      <c r="CM12" s="13" t="str">
        <f t="shared" si="64"/>
        <v xml:space="preserve"> </v>
      </c>
      <c r="CN12" s="13" t="str">
        <f t="shared" si="65"/>
        <v xml:space="preserve"> </v>
      </c>
      <c r="CO12" s="14"/>
    </row>
    <row r="13" spans="1:93" ht="90">
      <c r="A13" s="38">
        <v>9</v>
      </c>
      <c r="B13" s="39" t="str">
        <f>SISWA!B14</f>
        <v>1718250040313</v>
      </c>
      <c r="C13" s="40" t="str">
        <f>SISWA!E14</f>
        <v>CHAIDAR</v>
      </c>
      <c r="D13" s="6">
        <v>99</v>
      </c>
      <c r="E13" s="7">
        <v>56</v>
      </c>
      <c r="F13" s="7">
        <v>90</v>
      </c>
      <c r="G13" s="7">
        <v>78</v>
      </c>
      <c r="H13" s="7">
        <v>65</v>
      </c>
      <c r="I13" s="6">
        <v>67</v>
      </c>
      <c r="J13" s="6">
        <v>90</v>
      </c>
      <c r="K13" s="6">
        <v>89</v>
      </c>
      <c r="L13" s="6">
        <v>87</v>
      </c>
      <c r="M13" s="7">
        <v>76</v>
      </c>
      <c r="N13" s="7">
        <v>87</v>
      </c>
      <c r="O13" s="6">
        <v>79</v>
      </c>
      <c r="P13" s="8">
        <f t="shared" si="2"/>
        <v>80.25</v>
      </c>
      <c r="Q13" s="9" t="str">
        <f t="shared" si="3"/>
        <v>B</v>
      </c>
      <c r="R13" s="29">
        <f t="shared" si="4"/>
        <v>3.96</v>
      </c>
      <c r="S13" s="29">
        <f t="shared" si="4"/>
        <v>2.2400000000000002</v>
      </c>
      <c r="T13" s="29">
        <f t="shared" si="1"/>
        <v>3.6</v>
      </c>
      <c r="U13" s="29">
        <f t="shared" si="1"/>
        <v>3.12</v>
      </c>
      <c r="V13" s="29">
        <f t="shared" si="1"/>
        <v>2.6</v>
      </c>
      <c r="W13" s="29">
        <f t="shared" si="1"/>
        <v>2.68</v>
      </c>
      <c r="X13" s="29">
        <f t="shared" si="1"/>
        <v>3.6</v>
      </c>
      <c r="Y13" s="29">
        <f t="shared" si="1"/>
        <v>3.56</v>
      </c>
      <c r="Z13" s="29">
        <f t="shared" si="1"/>
        <v>3.48</v>
      </c>
      <c r="AA13" s="29">
        <f t="shared" si="1"/>
        <v>3.04</v>
      </c>
      <c r="AB13" s="29">
        <f t="shared" si="1"/>
        <v>3.48</v>
      </c>
      <c r="AC13" s="29">
        <f t="shared" si="1"/>
        <v>3.16</v>
      </c>
      <c r="AD13" s="10"/>
      <c r="AE13" s="11" t="str">
        <f t="shared" si="5"/>
        <v>4</v>
      </c>
      <c r="AF13" s="11" t="str">
        <f t="shared" si="6"/>
        <v>0</v>
      </c>
      <c r="AG13" s="35">
        <f t="shared" si="7"/>
        <v>4</v>
      </c>
      <c r="AH13" s="35" t="str">
        <f t="shared" si="8"/>
        <v>0</v>
      </c>
      <c r="AI13" s="35" t="str">
        <f t="shared" si="9"/>
        <v>1</v>
      </c>
      <c r="AJ13" s="35">
        <f t="shared" si="10"/>
        <v>1</v>
      </c>
      <c r="AK13" s="35" t="str">
        <f t="shared" si="11"/>
        <v>0</v>
      </c>
      <c r="AL13" s="35" t="str">
        <f t="shared" si="12"/>
        <v>0</v>
      </c>
      <c r="AM13" s="35">
        <f t="shared" si="13"/>
        <v>0</v>
      </c>
      <c r="AN13" s="35" t="str">
        <f t="shared" si="14"/>
        <v>0</v>
      </c>
      <c r="AO13" s="35" t="str">
        <f t="shared" si="15"/>
        <v>0</v>
      </c>
      <c r="AP13" s="35">
        <f t="shared" si="16"/>
        <v>0</v>
      </c>
      <c r="AQ13" s="35" t="str">
        <f t="shared" si="17"/>
        <v>0</v>
      </c>
      <c r="AR13" s="35" t="str">
        <f t="shared" si="18"/>
        <v>0</v>
      </c>
      <c r="AS13" s="35">
        <f t="shared" si="19"/>
        <v>0</v>
      </c>
      <c r="AT13" s="35" t="str">
        <f t="shared" si="20"/>
        <v>0</v>
      </c>
      <c r="AU13" s="35" t="str">
        <f t="shared" si="21"/>
        <v>0</v>
      </c>
      <c r="AV13" s="35">
        <f t="shared" si="22"/>
        <v>0</v>
      </c>
      <c r="AW13" s="35" t="str">
        <f t="shared" si="23"/>
        <v>0</v>
      </c>
      <c r="AX13" s="35" t="str">
        <f t="shared" si="24"/>
        <v>0</v>
      </c>
      <c r="AY13" s="35">
        <f t="shared" si="25"/>
        <v>0</v>
      </c>
      <c r="AZ13" s="35" t="str">
        <f t="shared" si="26"/>
        <v>0</v>
      </c>
      <c r="BA13" s="35" t="str">
        <f t="shared" si="27"/>
        <v>0</v>
      </c>
      <c r="BB13" s="35">
        <f t="shared" si="28"/>
        <v>0</v>
      </c>
      <c r="BC13" s="35" t="str">
        <f t="shared" si="29"/>
        <v>0</v>
      </c>
      <c r="BD13" s="35" t="str">
        <f t="shared" si="30"/>
        <v>0</v>
      </c>
      <c r="BE13" s="35">
        <f t="shared" si="31"/>
        <v>0</v>
      </c>
      <c r="BF13" s="35" t="str">
        <f t="shared" si="32"/>
        <v>0</v>
      </c>
      <c r="BG13" s="35" t="str">
        <f t="shared" si="33"/>
        <v>0</v>
      </c>
      <c r="BH13" s="35">
        <f t="shared" si="34"/>
        <v>0</v>
      </c>
      <c r="BI13" s="35" t="str">
        <f t="shared" si="35"/>
        <v>0</v>
      </c>
      <c r="BJ13" s="35" t="str">
        <f t="shared" si="36"/>
        <v>0</v>
      </c>
      <c r="BK13" s="35">
        <f t="shared" si="37"/>
        <v>0</v>
      </c>
      <c r="BL13" s="35" t="str">
        <f t="shared" si="38"/>
        <v>0</v>
      </c>
      <c r="BM13" s="35" t="str">
        <f t="shared" si="39"/>
        <v>0</v>
      </c>
      <c r="BN13" s="35">
        <f t="shared" si="40"/>
        <v>0</v>
      </c>
      <c r="BO13" s="43" t="str">
        <f t="shared" si="41"/>
        <v xml:space="preserve">CHAIDAR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13" s="12"/>
      <c r="BQ13" s="15" t="str">
        <f t="shared" si="42"/>
        <v>mengemukakan kembali dengan kalimat sendiri, membuat model matematika dan memilih strategi yang efektif dalam memecahkan masalah nyata sehari-hari yang berkaitan dengan KPK dan FPB, satuan kuantitas, desimal dan persen, serta memeriksa kebenarannya</v>
      </c>
      <c r="BR13" s="16" t="str">
        <f t="shared" si="43"/>
        <v xml:space="preserve"> </v>
      </c>
      <c r="BS13" s="16" t="str">
        <f t="shared" si="44"/>
        <v xml:space="preserve"> </v>
      </c>
      <c r="BT13" s="16" t="str">
        <f t="shared" si="45"/>
        <v xml:space="preserve"> </v>
      </c>
      <c r="BU13" s="16" t="str">
        <f t="shared" si="46"/>
        <v xml:space="preserve"> </v>
      </c>
      <c r="BV13" s="16" t="str">
        <f t="shared" si="47"/>
        <v xml:space="preserve"> </v>
      </c>
      <c r="BW13" s="16" t="str">
        <f t="shared" si="48"/>
        <v xml:space="preserve"> </v>
      </c>
      <c r="BX13" s="16" t="str">
        <f t="shared" si="49"/>
        <v xml:space="preserve"> </v>
      </c>
      <c r="BY13" s="16" t="str">
        <f t="shared" si="50"/>
        <v xml:space="preserve"> </v>
      </c>
      <c r="BZ13" s="16" t="str">
        <f t="shared" si="51"/>
        <v xml:space="preserve"> </v>
      </c>
      <c r="CA13" s="16" t="str">
        <f t="shared" si="52"/>
        <v xml:space="preserve"> </v>
      </c>
      <c r="CB13" s="16" t="str">
        <f t="shared" si="53"/>
        <v xml:space="preserve"> </v>
      </c>
      <c r="CC13" s="13" t="str">
        <f t="shared" si="54"/>
        <v xml:space="preserve"> </v>
      </c>
      <c r="CD13" s="13" t="str">
        <f t="shared" si="55"/>
        <v>menyatakan pecahan ke bentuk desimal dan persen</v>
      </c>
      <c r="CE13" s="13" t="str">
        <f t="shared" si="56"/>
        <v xml:space="preserve"> </v>
      </c>
      <c r="CF13" s="13" t="str">
        <f t="shared" si="57"/>
        <v xml:space="preserve"> </v>
      </c>
      <c r="CG13" s="13" t="str">
        <f t="shared" si="58"/>
        <v xml:space="preserve"> </v>
      </c>
      <c r="CH13" s="13" t="str">
        <f t="shared" si="59"/>
        <v xml:space="preserve"> </v>
      </c>
      <c r="CI13" s="13" t="str">
        <f t="shared" si="60"/>
        <v xml:space="preserve"> </v>
      </c>
      <c r="CJ13" s="13" t="str">
        <f t="shared" si="61"/>
        <v xml:space="preserve"> </v>
      </c>
      <c r="CK13" s="13" t="str">
        <f t="shared" si="62"/>
        <v xml:space="preserve"> </v>
      </c>
      <c r="CL13" s="13" t="str">
        <f t="shared" si="63"/>
        <v xml:space="preserve"> </v>
      </c>
      <c r="CM13" s="13" t="str">
        <f t="shared" si="64"/>
        <v xml:space="preserve"> </v>
      </c>
      <c r="CN13" s="13" t="str">
        <f t="shared" si="65"/>
        <v xml:space="preserve"> </v>
      </c>
      <c r="CO13" s="14"/>
    </row>
    <row r="14" spans="1:93" ht="90">
      <c r="A14" s="38">
        <v>10</v>
      </c>
      <c r="B14" s="39" t="str">
        <f>SISWA!B15</f>
        <v>1718250040314</v>
      </c>
      <c r="C14" s="40" t="str">
        <f>SISWA!E15</f>
        <v>DAVKA</v>
      </c>
      <c r="D14" s="6">
        <v>99</v>
      </c>
      <c r="E14" s="7">
        <v>56</v>
      </c>
      <c r="F14" s="7">
        <v>90</v>
      </c>
      <c r="G14" s="7">
        <v>78</v>
      </c>
      <c r="H14" s="7">
        <v>65</v>
      </c>
      <c r="I14" s="6">
        <v>67</v>
      </c>
      <c r="J14" s="6">
        <v>90</v>
      </c>
      <c r="K14" s="6">
        <v>89</v>
      </c>
      <c r="L14" s="6">
        <v>87</v>
      </c>
      <c r="M14" s="7">
        <v>76</v>
      </c>
      <c r="N14" s="7">
        <v>87</v>
      </c>
      <c r="O14" s="6">
        <v>79</v>
      </c>
      <c r="P14" s="8">
        <f t="shared" si="2"/>
        <v>80.25</v>
      </c>
      <c r="Q14" s="9" t="str">
        <f t="shared" si="3"/>
        <v>B</v>
      </c>
      <c r="R14" s="29">
        <f t="shared" si="4"/>
        <v>3.96</v>
      </c>
      <c r="S14" s="29">
        <f t="shared" si="4"/>
        <v>2.2400000000000002</v>
      </c>
      <c r="T14" s="29">
        <f t="shared" si="1"/>
        <v>3.6</v>
      </c>
      <c r="U14" s="29">
        <f t="shared" si="1"/>
        <v>3.12</v>
      </c>
      <c r="V14" s="29">
        <f t="shared" si="1"/>
        <v>2.6</v>
      </c>
      <c r="W14" s="29">
        <f t="shared" si="1"/>
        <v>2.68</v>
      </c>
      <c r="X14" s="29">
        <f t="shared" si="1"/>
        <v>3.6</v>
      </c>
      <c r="Y14" s="29">
        <f t="shared" si="1"/>
        <v>3.56</v>
      </c>
      <c r="Z14" s="29">
        <f t="shared" si="1"/>
        <v>3.48</v>
      </c>
      <c r="AA14" s="29">
        <f t="shared" si="1"/>
        <v>3.04</v>
      </c>
      <c r="AB14" s="29">
        <f t="shared" si="1"/>
        <v>3.48</v>
      </c>
      <c r="AC14" s="29">
        <f t="shared" si="1"/>
        <v>3.16</v>
      </c>
      <c r="AD14" s="10"/>
      <c r="AE14" s="11" t="str">
        <f t="shared" si="5"/>
        <v>4</v>
      </c>
      <c r="AF14" s="11" t="str">
        <f t="shared" si="6"/>
        <v>0</v>
      </c>
      <c r="AG14" s="35">
        <f t="shared" si="7"/>
        <v>4</v>
      </c>
      <c r="AH14" s="35" t="str">
        <f t="shared" si="8"/>
        <v>0</v>
      </c>
      <c r="AI14" s="35" t="str">
        <f t="shared" si="9"/>
        <v>1</v>
      </c>
      <c r="AJ14" s="35">
        <f t="shared" si="10"/>
        <v>1</v>
      </c>
      <c r="AK14" s="35" t="str">
        <f t="shared" si="11"/>
        <v>0</v>
      </c>
      <c r="AL14" s="35" t="str">
        <f t="shared" si="12"/>
        <v>0</v>
      </c>
      <c r="AM14" s="35">
        <f t="shared" si="13"/>
        <v>0</v>
      </c>
      <c r="AN14" s="35" t="str">
        <f t="shared" si="14"/>
        <v>0</v>
      </c>
      <c r="AO14" s="35" t="str">
        <f t="shared" si="15"/>
        <v>0</v>
      </c>
      <c r="AP14" s="35">
        <f t="shared" si="16"/>
        <v>0</v>
      </c>
      <c r="AQ14" s="35" t="str">
        <f t="shared" si="17"/>
        <v>0</v>
      </c>
      <c r="AR14" s="35" t="str">
        <f t="shared" si="18"/>
        <v>0</v>
      </c>
      <c r="AS14" s="35">
        <f t="shared" si="19"/>
        <v>0</v>
      </c>
      <c r="AT14" s="35" t="str">
        <f t="shared" si="20"/>
        <v>0</v>
      </c>
      <c r="AU14" s="35" t="str">
        <f t="shared" si="21"/>
        <v>0</v>
      </c>
      <c r="AV14" s="35">
        <f t="shared" si="22"/>
        <v>0</v>
      </c>
      <c r="AW14" s="35" t="str">
        <f t="shared" si="23"/>
        <v>0</v>
      </c>
      <c r="AX14" s="35" t="str">
        <f t="shared" si="24"/>
        <v>0</v>
      </c>
      <c r="AY14" s="35">
        <f t="shared" si="25"/>
        <v>0</v>
      </c>
      <c r="AZ14" s="35" t="str">
        <f t="shared" si="26"/>
        <v>0</v>
      </c>
      <c r="BA14" s="35" t="str">
        <f t="shared" si="27"/>
        <v>0</v>
      </c>
      <c r="BB14" s="35">
        <f t="shared" si="28"/>
        <v>0</v>
      </c>
      <c r="BC14" s="35" t="str">
        <f t="shared" si="29"/>
        <v>0</v>
      </c>
      <c r="BD14" s="35" t="str">
        <f t="shared" si="30"/>
        <v>0</v>
      </c>
      <c r="BE14" s="35">
        <f t="shared" si="31"/>
        <v>0</v>
      </c>
      <c r="BF14" s="35" t="str">
        <f t="shared" si="32"/>
        <v>0</v>
      </c>
      <c r="BG14" s="35" t="str">
        <f t="shared" si="33"/>
        <v>0</v>
      </c>
      <c r="BH14" s="35">
        <f t="shared" si="34"/>
        <v>0</v>
      </c>
      <c r="BI14" s="35" t="str">
        <f t="shared" si="35"/>
        <v>0</v>
      </c>
      <c r="BJ14" s="35" t="str">
        <f t="shared" si="36"/>
        <v>0</v>
      </c>
      <c r="BK14" s="35">
        <f t="shared" si="37"/>
        <v>0</v>
      </c>
      <c r="BL14" s="35" t="str">
        <f t="shared" si="38"/>
        <v>0</v>
      </c>
      <c r="BM14" s="35" t="str">
        <f t="shared" si="39"/>
        <v>0</v>
      </c>
      <c r="BN14" s="35">
        <f t="shared" si="40"/>
        <v>0</v>
      </c>
      <c r="BO14" s="43" t="str">
        <f t="shared" si="41"/>
        <v xml:space="preserve">DAVKA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14" s="12"/>
      <c r="BQ14" s="15" t="str">
        <f t="shared" si="42"/>
        <v>mengemukakan kembali dengan kalimat sendiri, membuat model matematika dan memilih strategi yang efektif dalam memecahkan masalah nyata sehari-hari yang berkaitan dengan KPK dan FPB, satuan kuantitas, desimal dan persen, serta memeriksa kebenarannya</v>
      </c>
      <c r="BR14" s="16" t="str">
        <f t="shared" si="43"/>
        <v xml:space="preserve"> </v>
      </c>
      <c r="BS14" s="16" t="str">
        <f t="shared" si="44"/>
        <v xml:space="preserve"> </v>
      </c>
      <c r="BT14" s="16" t="str">
        <f t="shared" si="45"/>
        <v xml:space="preserve"> </v>
      </c>
      <c r="BU14" s="16" t="str">
        <f t="shared" si="46"/>
        <v xml:space="preserve"> </v>
      </c>
      <c r="BV14" s="16" t="str">
        <f t="shared" si="47"/>
        <v xml:space="preserve"> </v>
      </c>
      <c r="BW14" s="16" t="str">
        <f t="shared" si="48"/>
        <v xml:space="preserve"> </v>
      </c>
      <c r="BX14" s="16" t="str">
        <f t="shared" si="49"/>
        <v xml:space="preserve"> </v>
      </c>
      <c r="BY14" s="16" t="str">
        <f t="shared" si="50"/>
        <v xml:space="preserve"> </v>
      </c>
      <c r="BZ14" s="16" t="str">
        <f t="shared" si="51"/>
        <v xml:space="preserve"> </v>
      </c>
      <c r="CA14" s="16" t="str">
        <f t="shared" si="52"/>
        <v xml:space="preserve"> </v>
      </c>
      <c r="CB14" s="16" t="str">
        <f t="shared" si="53"/>
        <v xml:space="preserve"> </v>
      </c>
      <c r="CC14" s="13" t="str">
        <f t="shared" si="54"/>
        <v xml:space="preserve"> </v>
      </c>
      <c r="CD14" s="13" t="str">
        <f t="shared" si="55"/>
        <v>menyatakan pecahan ke bentuk desimal dan persen</v>
      </c>
      <c r="CE14" s="13" t="str">
        <f t="shared" si="56"/>
        <v xml:space="preserve"> </v>
      </c>
      <c r="CF14" s="13" t="str">
        <f t="shared" si="57"/>
        <v xml:space="preserve"> </v>
      </c>
      <c r="CG14" s="13" t="str">
        <f t="shared" si="58"/>
        <v xml:space="preserve"> </v>
      </c>
      <c r="CH14" s="13" t="str">
        <f t="shared" si="59"/>
        <v xml:space="preserve"> </v>
      </c>
      <c r="CI14" s="13" t="str">
        <f t="shared" si="60"/>
        <v xml:space="preserve"> </v>
      </c>
      <c r="CJ14" s="13" t="str">
        <f t="shared" si="61"/>
        <v xml:space="preserve"> </v>
      </c>
      <c r="CK14" s="13" t="str">
        <f t="shared" si="62"/>
        <v xml:space="preserve"> </v>
      </c>
      <c r="CL14" s="13" t="str">
        <f t="shared" si="63"/>
        <v xml:space="preserve"> </v>
      </c>
      <c r="CM14" s="13" t="str">
        <f t="shared" si="64"/>
        <v xml:space="preserve"> </v>
      </c>
      <c r="CN14" s="13" t="str">
        <f t="shared" si="65"/>
        <v xml:space="preserve"> </v>
      </c>
      <c r="CO14" s="14"/>
    </row>
    <row r="15" spans="1:93" ht="90">
      <c r="A15" s="38">
        <v>11</v>
      </c>
      <c r="B15" s="39" t="str">
        <f>SISWA!B16</f>
        <v>1718250040315</v>
      </c>
      <c r="C15" s="40" t="str">
        <f>SISWA!E16</f>
        <v>DZIBRIL</v>
      </c>
      <c r="D15" s="6">
        <v>99</v>
      </c>
      <c r="E15" s="7">
        <v>56</v>
      </c>
      <c r="F15" s="7">
        <v>90</v>
      </c>
      <c r="G15" s="7">
        <v>78</v>
      </c>
      <c r="H15" s="7">
        <v>65</v>
      </c>
      <c r="I15" s="6">
        <v>67</v>
      </c>
      <c r="J15" s="6">
        <v>90</v>
      </c>
      <c r="K15" s="6">
        <v>89</v>
      </c>
      <c r="L15" s="6">
        <v>87</v>
      </c>
      <c r="M15" s="7">
        <v>76</v>
      </c>
      <c r="N15" s="7">
        <v>87</v>
      </c>
      <c r="O15" s="6">
        <v>79</v>
      </c>
      <c r="P15" s="8">
        <f t="shared" si="2"/>
        <v>80.25</v>
      </c>
      <c r="Q15" s="9" t="str">
        <f t="shared" si="3"/>
        <v>B</v>
      </c>
      <c r="R15" s="29">
        <f t="shared" si="4"/>
        <v>3.96</v>
      </c>
      <c r="S15" s="29">
        <f t="shared" si="4"/>
        <v>2.2400000000000002</v>
      </c>
      <c r="T15" s="29">
        <f t="shared" si="1"/>
        <v>3.6</v>
      </c>
      <c r="U15" s="29">
        <f t="shared" si="1"/>
        <v>3.12</v>
      </c>
      <c r="V15" s="29">
        <f t="shared" si="1"/>
        <v>2.6</v>
      </c>
      <c r="W15" s="29">
        <f t="shared" si="1"/>
        <v>2.68</v>
      </c>
      <c r="X15" s="29">
        <f t="shared" si="1"/>
        <v>3.6</v>
      </c>
      <c r="Y15" s="29">
        <f t="shared" si="1"/>
        <v>3.56</v>
      </c>
      <c r="Z15" s="29">
        <f t="shared" si="1"/>
        <v>3.48</v>
      </c>
      <c r="AA15" s="29">
        <f t="shared" si="1"/>
        <v>3.04</v>
      </c>
      <c r="AB15" s="29">
        <f t="shared" si="1"/>
        <v>3.48</v>
      </c>
      <c r="AC15" s="29">
        <f t="shared" si="1"/>
        <v>3.16</v>
      </c>
      <c r="AD15" s="10"/>
      <c r="AE15" s="11" t="str">
        <f t="shared" si="5"/>
        <v>4</v>
      </c>
      <c r="AF15" s="11" t="str">
        <f t="shared" si="6"/>
        <v>0</v>
      </c>
      <c r="AG15" s="35">
        <f t="shared" si="7"/>
        <v>4</v>
      </c>
      <c r="AH15" s="35" t="str">
        <f t="shared" si="8"/>
        <v>0</v>
      </c>
      <c r="AI15" s="35" t="str">
        <f t="shared" si="9"/>
        <v>1</v>
      </c>
      <c r="AJ15" s="35">
        <f t="shared" si="10"/>
        <v>1</v>
      </c>
      <c r="AK15" s="35" t="str">
        <f t="shared" si="11"/>
        <v>0</v>
      </c>
      <c r="AL15" s="35" t="str">
        <f t="shared" si="12"/>
        <v>0</v>
      </c>
      <c r="AM15" s="35">
        <f t="shared" si="13"/>
        <v>0</v>
      </c>
      <c r="AN15" s="35" t="str">
        <f t="shared" si="14"/>
        <v>0</v>
      </c>
      <c r="AO15" s="35" t="str">
        <f t="shared" si="15"/>
        <v>0</v>
      </c>
      <c r="AP15" s="35">
        <f t="shared" si="16"/>
        <v>0</v>
      </c>
      <c r="AQ15" s="35" t="str">
        <f t="shared" si="17"/>
        <v>0</v>
      </c>
      <c r="AR15" s="35" t="str">
        <f t="shared" si="18"/>
        <v>0</v>
      </c>
      <c r="AS15" s="35">
        <f t="shared" si="19"/>
        <v>0</v>
      </c>
      <c r="AT15" s="35" t="str">
        <f t="shared" si="20"/>
        <v>0</v>
      </c>
      <c r="AU15" s="35" t="str">
        <f t="shared" si="21"/>
        <v>0</v>
      </c>
      <c r="AV15" s="35">
        <f t="shared" si="22"/>
        <v>0</v>
      </c>
      <c r="AW15" s="35" t="str">
        <f t="shared" si="23"/>
        <v>0</v>
      </c>
      <c r="AX15" s="35" t="str">
        <f t="shared" si="24"/>
        <v>0</v>
      </c>
      <c r="AY15" s="35">
        <f t="shared" si="25"/>
        <v>0</v>
      </c>
      <c r="AZ15" s="35" t="str">
        <f t="shared" si="26"/>
        <v>0</v>
      </c>
      <c r="BA15" s="35" t="str">
        <f t="shared" si="27"/>
        <v>0</v>
      </c>
      <c r="BB15" s="35">
        <f t="shared" si="28"/>
        <v>0</v>
      </c>
      <c r="BC15" s="35" t="str">
        <f t="shared" si="29"/>
        <v>0</v>
      </c>
      <c r="BD15" s="35" t="str">
        <f t="shared" si="30"/>
        <v>0</v>
      </c>
      <c r="BE15" s="35">
        <f t="shared" si="31"/>
        <v>0</v>
      </c>
      <c r="BF15" s="35" t="str">
        <f t="shared" si="32"/>
        <v>0</v>
      </c>
      <c r="BG15" s="35" t="str">
        <f t="shared" si="33"/>
        <v>0</v>
      </c>
      <c r="BH15" s="35">
        <f t="shared" si="34"/>
        <v>0</v>
      </c>
      <c r="BI15" s="35" t="str">
        <f t="shared" si="35"/>
        <v>0</v>
      </c>
      <c r="BJ15" s="35" t="str">
        <f t="shared" si="36"/>
        <v>0</v>
      </c>
      <c r="BK15" s="35">
        <f t="shared" si="37"/>
        <v>0</v>
      </c>
      <c r="BL15" s="35" t="str">
        <f t="shared" si="38"/>
        <v>0</v>
      </c>
      <c r="BM15" s="35" t="str">
        <f t="shared" si="39"/>
        <v>0</v>
      </c>
      <c r="BN15" s="35">
        <f t="shared" si="40"/>
        <v>0</v>
      </c>
      <c r="BO15" s="43" t="str">
        <f t="shared" si="41"/>
        <v xml:space="preserve">DZIBRIL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15" s="12"/>
      <c r="BQ15" s="15" t="str">
        <f t="shared" si="42"/>
        <v>mengemukakan kembali dengan kalimat sendiri, membuat model matematika dan memilih strategi yang efektif dalam memecahkan masalah nyata sehari-hari yang berkaitan dengan KPK dan FPB, satuan kuantitas, desimal dan persen, serta memeriksa kebenarannya</v>
      </c>
      <c r="BR15" s="16" t="str">
        <f t="shared" si="43"/>
        <v xml:space="preserve"> </v>
      </c>
      <c r="BS15" s="16" t="str">
        <f t="shared" si="44"/>
        <v xml:space="preserve"> </v>
      </c>
      <c r="BT15" s="16" t="str">
        <f t="shared" si="45"/>
        <v xml:space="preserve"> </v>
      </c>
      <c r="BU15" s="16" t="str">
        <f t="shared" si="46"/>
        <v xml:space="preserve"> </v>
      </c>
      <c r="BV15" s="16" t="str">
        <f t="shared" si="47"/>
        <v xml:space="preserve"> </v>
      </c>
      <c r="BW15" s="16" t="str">
        <f t="shared" si="48"/>
        <v xml:space="preserve"> </v>
      </c>
      <c r="BX15" s="16" t="str">
        <f t="shared" si="49"/>
        <v xml:space="preserve"> </v>
      </c>
      <c r="BY15" s="16" t="str">
        <f t="shared" si="50"/>
        <v xml:space="preserve"> </v>
      </c>
      <c r="BZ15" s="16" t="str">
        <f t="shared" si="51"/>
        <v xml:space="preserve"> </v>
      </c>
      <c r="CA15" s="16" t="str">
        <f t="shared" si="52"/>
        <v xml:space="preserve"> </v>
      </c>
      <c r="CB15" s="16" t="str">
        <f t="shared" si="53"/>
        <v xml:space="preserve"> </v>
      </c>
      <c r="CC15" s="13" t="str">
        <f t="shared" si="54"/>
        <v xml:space="preserve"> </v>
      </c>
      <c r="CD15" s="13" t="str">
        <f t="shared" si="55"/>
        <v>menyatakan pecahan ke bentuk desimal dan persen</v>
      </c>
      <c r="CE15" s="13" t="str">
        <f t="shared" si="56"/>
        <v xml:space="preserve"> </v>
      </c>
      <c r="CF15" s="13" t="str">
        <f t="shared" si="57"/>
        <v xml:space="preserve"> </v>
      </c>
      <c r="CG15" s="13" t="str">
        <f t="shared" si="58"/>
        <v xml:space="preserve"> </v>
      </c>
      <c r="CH15" s="13" t="str">
        <f t="shared" si="59"/>
        <v xml:space="preserve"> </v>
      </c>
      <c r="CI15" s="13" t="str">
        <f t="shared" si="60"/>
        <v xml:space="preserve"> </v>
      </c>
      <c r="CJ15" s="13" t="str">
        <f t="shared" si="61"/>
        <v xml:space="preserve"> </v>
      </c>
      <c r="CK15" s="13" t="str">
        <f t="shared" si="62"/>
        <v xml:space="preserve"> </v>
      </c>
      <c r="CL15" s="13" t="str">
        <f t="shared" si="63"/>
        <v xml:space="preserve"> </v>
      </c>
      <c r="CM15" s="13" t="str">
        <f t="shared" si="64"/>
        <v xml:space="preserve"> </v>
      </c>
      <c r="CN15" s="13" t="str">
        <f t="shared" si="65"/>
        <v xml:space="preserve"> </v>
      </c>
      <c r="CO15" s="14"/>
    </row>
    <row r="16" spans="1:93" ht="90">
      <c r="A16" s="38">
        <v>12</v>
      </c>
      <c r="B16" s="39" t="str">
        <f>SISWA!B17</f>
        <v>1718250040316</v>
      </c>
      <c r="C16" s="40" t="str">
        <f>SISWA!E17</f>
        <v>ERICHA</v>
      </c>
      <c r="D16" s="6">
        <v>99</v>
      </c>
      <c r="E16" s="7">
        <v>56</v>
      </c>
      <c r="F16" s="7">
        <v>90</v>
      </c>
      <c r="G16" s="7">
        <v>78</v>
      </c>
      <c r="H16" s="7">
        <v>65</v>
      </c>
      <c r="I16" s="6">
        <v>67</v>
      </c>
      <c r="J16" s="6">
        <v>90</v>
      </c>
      <c r="K16" s="6">
        <v>89</v>
      </c>
      <c r="L16" s="6">
        <v>87</v>
      </c>
      <c r="M16" s="7">
        <v>76</v>
      </c>
      <c r="N16" s="7">
        <v>87</v>
      </c>
      <c r="O16" s="6">
        <v>79</v>
      </c>
      <c r="P16" s="8">
        <f t="shared" si="2"/>
        <v>80.25</v>
      </c>
      <c r="Q16" s="9" t="str">
        <f t="shared" si="3"/>
        <v>B</v>
      </c>
      <c r="R16" s="29">
        <f t="shared" si="4"/>
        <v>3.96</v>
      </c>
      <c r="S16" s="29">
        <f t="shared" si="4"/>
        <v>2.2400000000000002</v>
      </c>
      <c r="T16" s="29">
        <f t="shared" si="1"/>
        <v>3.6</v>
      </c>
      <c r="U16" s="29">
        <f t="shared" si="1"/>
        <v>3.12</v>
      </c>
      <c r="V16" s="29">
        <f t="shared" si="1"/>
        <v>2.6</v>
      </c>
      <c r="W16" s="29">
        <f t="shared" si="1"/>
        <v>2.68</v>
      </c>
      <c r="X16" s="29">
        <f t="shared" si="1"/>
        <v>3.6</v>
      </c>
      <c r="Y16" s="29">
        <f t="shared" si="1"/>
        <v>3.56</v>
      </c>
      <c r="Z16" s="29">
        <f t="shared" si="1"/>
        <v>3.48</v>
      </c>
      <c r="AA16" s="29">
        <f t="shared" si="1"/>
        <v>3.04</v>
      </c>
      <c r="AB16" s="29">
        <f t="shared" si="1"/>
        <v>3.48</v>
      </c>
      <c r="AC16" s="29">
        <f t="shared" si="1"/>
        <v>3.16</v>
      </c>
      <c r="AD16" s="10"/>
      <c r="AE16" s="11" t="str">
        <f t="shared" si="5"/>
        <v>4</v>
      </c>
      <c r="AF16" s="11" t="str">
        <f t="shared" si="6"/>
        <v>0</v>
      </c>
      <c r="AG16" s="35">
        <f t="shared" si="7"/>
        <v>4</v>
      </c>
      <c r="AH16" s="35" t="str">
        <f t="shared" si="8"/>
        <v>0</v>
      </c>
      <c r="AI16" s="35" t="str">
        <f t="shared" si="9"/>
        <v>1</v>
      </c>
      <c r="AJ16" s="35">
        <f t="shared" si="10"/>
        <v>1</v>
      </c>
      <c r="AK16" s="35" t="str">
        <f t="shared" si="11"/>
        <v>0</v>
      </c>
      <c r="AL16" s="35" t="str">
        <f t="shared" si="12"/>
        <v>0</v>
      </c>
      <c r="AM16" s="35">
        <f t="shared" si="13"/>
        <v>0</v>
      </c>
      <c r="AN16" s="35" t="str">
        <f t="shared" si="14"/>
        <v>0</v>
      </c>
      <c r="AO16" s="35" t="str">
        <f t="shared" si="15"/>
        <v>0</v>
      </c>
      <c r="AP16" s="35">
        <f t="shared" si="16"/>
        <v>0</v>
      </c>
      <c r="AQ16" s="35" t="str">
        <f t="shared" si="17"/>
        <v>0</v>
      </c>
      <c r="AR16" s="35" t="str">
        <f t="shared" si="18"/>
        <v>0</v>
      </c>
      <c r="AS16" s="35">
        <f t="shared" si="19"/>
        <v>0</v>
      </c>
      <c r="AT16" s="35" t="str">
        <f t="shared" si="20"/>
        <v>0</v>
      </c>
      <c r="AU16" s="35" t="str">
        <f t="shared" si="21"/>
        <v>0</v>
      </c>
      <c r="AV16" s="35">
        <f t="shared" si="22"/>
        <v>0</v>
      </c>
      <c r="AW16" s="35" t="str">
        <f t="shared" si="23"/>
        <v>0</v>
      </c>
      <c r="AX16" s="35" t="str">
        <f t="shared" si="24"/>
        <v>0</v>
      </c>
      <c r="AY16" s="35">
        <f t="shared" si="25"/>
        <v>0</v>
      </c>
      <c r="AZ16" s="35" t="str">
        <f t="shared" si="26"/>
        <v>0</v>
      </c>
      <c r="BA16" s="35" t="str">
        <f t="shared" si="27"/>
        <v>0</v>
      </c>
      <c r="BB16" s="35">
        <f t="shared" si="28"/>
        <v>0</v>
      </c>
      <c r="BC16" s="35" t="str">
        <f t="shared" si="29"/>
        <v>0</v>
      </c>
      <c r="BD16" s="35" t="str">
        <f t="shared" si="30"/>
        <v>0</v>
      </c>
      <c r="BE16" s="35">
        <f t="shared" si="31"/>
        <v>0</v>
      </c>
      <c r="BF16" s="35" t="str">
        <f t="shared" si="32"/>
        <v>0</v>
      </c>
      <c r="BG16" s="35" t="str">
        <f t="shared" si="33"/>
        <v>0</v>
      </c>
      <c r="BH16" s="35">
        <f t="shared" si="34"/>
        <v>0</v>
      </c>
      <c r="BI16" s="35" t="str">
        <f t="shared" si="35"/>
        <v>0</v>
      </c>
      <c r="BJ16" s="35" t="str">
        <f t="shared" si="36"/>
        <v>0</v>
      </c>
      <c r="BK16" s="35">
        <f t="shared" si="37"/>
        <v>0</v>
      </c>
      <c r="BL16" s="35" t="str">
        <f t="shared" si="38"/>
        <v>0</v>
      </c>
      <c r="BM16" s="35" t="str">
        <f t="shared" si="39"/>
        <v>0</v>
      </c>
      <c r="BN16" s="35">
        <f t="shared" si="40"/>
        <v>0</v>
      </c>
      <c r="BO16" s="43" t="str">
        <f t="shared" si="41"/>
        <v xml:space="preserve">ERICHA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16" s="12"/>
      <c r="BQ16" s="15" t="str">
        <f t="shared" si="42"/>
        <v>mengemukakan kembali dengan kalimat sendiri, membuat model matematika dan memilih strategi yang efektif dalam memecahkan masalah nyata sehari-hari yang berkaitan dengan KPK dan FPB, satuan kuantitas, desimal dan persen, serta memeriksa kebenarannya</v>
      </c>
      <c r="BR16" s="16" t="str">
        <f t="shared" si="43"/>
        <v xml:space="preserve"> </v>
      </c>
      <c r="BS16" s="16" t="str">
        <f t="shared" si="44"/>
        <v xml:space="preserve"> </v>
      </c>
      <c r="BT16" s="16" t="str">
        <f t="shared" si="45"/>
        <v xml:space="preserve"> </v>
      </c>
      <c r="BU16" s="16" t="str">
        <f t="shared" si="46"/>
        <v xml:space="preserve"> </v>
      </c>
      <c r="BV16" s="16" t="str">
        <f t="shared" si="47"/>
        <v xml:space="preserve"> </v>
      </c>
      <c r="BW16" s="16" t="str">
        <f t="shared" si="48"/>
        <v xml:space="preserve"> </v>
      </c>
      <c r="BX16" s="16" t="str">
        <f t="shared" si="49"/>
        <v xml:space="preserve"> </v>
      </c>
      <c r="BY16" s="16" t="str">
        <f t="shared" si="50"/>
        <v xml:space="preserve"> </v>
      </c>
      <c r="BZ16" s="16" t="str">
        <f t="shared" si="51"/>
        <v xml:space="preserve"> </v>
      </c>
      <c r="CA16" s="16" t="str">
        <f t="shared" si="52"/>
        <v xml:space="preserve"> </v>
      </c>
      <c r="CB16" s="16" t="str">
        <f t="shared" si="53"/>
        <v xml:space="preserve"> </v>
      </c>
      <c r="CC16" s="13" t="str">
        <f t="shared" si="54"/>
        <v xml:space="preserve"> </v>
      </c>
      <c r="CD16" s="13" t="str">
        <f t="shared" si="55"/>
        <v>menyatakan pecahan ke bentuk desimal dan persen</v>
      </c>
      <c r="CE16" s="13" t="str">
        <f t="shared" si="56"/>
        <v xml:space="preserve"> </v>
      </c>
      <c r="CF16" s="13" t="str">
        <f t="shared" si="57"/>
        <v xml:space="preserve"> </v>
      </c>
      <c r="CG16" s="13" t="str">
        <f t="shared" si="58"/>
        <v xml:space="preserve"> </v>
      </c>
      <c r="CH16" s="13" t="str">
        <f t="shared" si="59"/>
        <v xml:space="preserve"> </v>
      </c>
      <c r="CI16" s="13" t="str">
        <f t="shared" si="60"/>
        <v xml:space="preserve"> </v>
      </c>
      <c r="CJ16" s="13" t="str">
        <f t="shared" si="61"/>
        <v xml:space="preserve"> </v>
      </c>
      <c r="CK16" s="13" t="str">
        <f t="shared" si="62"/>
        <v xml:space="preserve"> </v>
      </c>
      <c r="CL16" s="13" t="str">
        <f t="shared" si="63"/>
        <v xml:space="preserve"> </v>
      </c>
      <c r="CM16" s="13" t="str">
        <f t="shared" si="64"/>
        <v xml:space="preserve"> </v>
      </c>
      <c r="CN16" s="13" t="str">
        <f t="shared" si="65"/>
        <v xml:space="preserve"> </v>
      </c>
      <c r="CO16" s="14"/>
    </row>
    <row r="17" spans="1:93" ht="90">
      <c r="A17" s="38">
        <v>13</v>
      </c>
      <c r="B17" s="39" t="str">
        <f>SISWA!B18</f>
        <v>1718250040317</v>
      </c>
      <c r="C17" s="40" t="str">
        <f>SISWA!E18</f>
        <v>HISYAM</v>
      </c>
      <c r="D17" s="6">
        <v>99</v>
      </c>
      <c r="E17" s="7">
        <v>56</v>
      </c>
      <c r="F17" s="7">
        <v>90</v>
      </c>
      <c r="G17" s="7">
        <v>78</v>
      </c>
      <c r="H17" s="7">
        <v>65</v>
      </c>
      <c r="I17" s="6">
        <v>67</v>
      </c>
      <c r="J17" s="6">
        <v>90</v>
      </c>
      <c r="K17" s="6">
        <v>89</v>
      </c>
      <c r="L17" s="6">
        <v>87</v>
      </c>
      <c r="M17" s="7">
        <v>76</v>
      </c>
      <c r="N17" s="7">
        <v>87</v>
      </c>
      <c r="O17" s="6">
        <v>79</v>
      </c>
      <c r="P17" s="8">
        <f t="shared" si="2"/>
        <v>80.25</v>
      </c>
      <c r="Q17" s="9" t="str">
        <f t="shared" si="3"/>
        <v>B</v>
      </c>
      <c r="R17" s="29">
        <f t="shared" si="4"/>
        <v>3.96</v>
      </c>
      <c r="S17" s="29">
        <f t="shared" si="4"/>
        <v>2.2400000000000002</v>
      </c>
      <c r="T17" s="29">
        <f t="shared" si="1"/>
        <v>3.6</v>
      </c>
      <c r="U17" s="29">
        <f t="shared" si="1"/>
        <v>3.12</v>
      </c>
      <c r="V17" s="29">
        <f t="shared" si="1"/>
        <v>2.6</v>
      </c>
      <c r="W17" s="29">
        <f t="shared" si="1"/>
        <v>2.68</v>
      </c>
      <c r="X17" s="29">
        <f t="shared" si="1"/>
        <v>3.6</v>
      </c>
      <c r="Y17" s="29">
        <f t="shared" si="1"/>
        <v>3.56</v>
      </c>
      <c r="Z17" s="29">
        <f t="shared" si="1"/>
        <v>3.48</v>
      </c>
      <c r="AA17" s="29">
        <f t="shared" si="1"/>
        <v>3.04</v>
      </c>
      <c r="AB17" s="29">
        <f t="shared" si="1"/>
        <v>3.48</v>
      </c>
      <c r="AC17" s="29">
        <f t="shared" si="1"/>
        <v>3.16</v>
      </c>
      <c r="AD17" s="10"/>
      <c r="AE17" s="11" t="str">
        <f t="shared" si="5"/>
        <v>4</v>
      </c>
      <c r="AF17" s="11" t="str">
        <f t="shared" si="6"/>
        <v>0</v>
      </c>
      <c r="AG17" s="35">
        <f t="shared" si="7"/>
        <v>4</v>
      </c>
      <c r="AH17" s="35" t="str">
        <f t="shared" si="8"/>
        <v>0</v>
      </c>
      <c r="AI17" s="35" t="str">
        <f t="shared" si="9"/>
        <v>1</v>
      </c>
      <c r="AJ17" s="35">
        <f t="shared" si="10"/>
        <v>1</v>
      </c>
      <c r="AK17" s="35" t="str">
        <f t="shared" si="11"/>
        <v>0</v>
      </c>
      <c r="AL17" s="35" t="str">
        <f t="shared" si="12"/>
        <v>0</v>
      </c>
      <c r="AM17" s="35">
        <f t="shared" si="13"/>
        <v>0</v>
      </c>
      <c r="AN17" s="35" t="str">
        <f t="shared" si="14"/>
        <v>0</v>
      </c>
      <c r="AO17" s="35" t="str">
        <f t="shared" si="15"/>
        <v>0</v>
      </c>
      <c r="AP17" s="35">
        <f t="shared" si="16"/>
        <v>0</v>
      </c>
      <c r="AQ17" s="35" t="str">
        <f t="shared" si="17"/>
        <v>0</v>
      </c>
      <c r="AR17" s="35" t="str">
        <f t="shared" si="18"/>
        <v>0</v>
      </c>
      <c r="AS17" s="35">
        <f t="shared" si="19"/>
        <v>0</v>
      </c>
      <c r="AT17" s="35" t="str">
        <f t="shared" si="20"/>
        <v>0</v>
      </c>
      <c r="AU17" s="35" t="str">
        <f t="shared" si="21"/>
        <v>0</v>
      </c>
      <c r="AV17" s="35">
        <f t="shared" si="22"/>
        <v>0</v>
      </c>
      <c r="AW17" s="35" t="str">
        <f t="shared" si="23"/>
        <v>0</v>
      </c>
      <c r="AX17" s="35" t="str">
        <f t="shared" si="24"/>
        <v>0</v>
      </c>
      <c r="AY17" s="35">
        <f t="shared" si="25"/>
        <v>0</v>
      </c>
      <c r="AZ17" s="35" t="str">
        <f t="shared" si="26"/>
        <v>0</v>
      </c>
      <c r="BA17" s="35" t="str">
        <f t="shared" si="27"/>
        <v>0</v>
      </c>
      <c r="BB17" s="35">
        <f t="shared" si="28"/>
        <v>0</v>
      </c>
      <c r="BC17" s="35" t="str">
        <f t="shared" si="29"/>
        <v>0</v>
      </c>
      <c r="BD17" s="35" t="str">
        <f t="shared" si="30"/>
        <v>0</v>
      </c>
      <c r="BE17" s="35">
        <f t="shared" si="31"/>
        <v>0</v>
      </c>
      <c r="BF17" s="35" t="str">
        <f t="shared" si="32"/>
        <v>0</v>
      </c>
      <c r="BG17" s="35" t="str">
        <f t="shared" si="33"/>
        <v>0</v>
      </c>
      <c r="BH17" s="35">
        <f t="shared" si="34"/>
        <v>0</v>
      </c>
      <c r="BI17" s="35" t="str">
        <f t="shared" si="35"/>
        <v>0</v>
      </c>
      <c r="BJ17" s="35" t="str">
        <f t="shared" si="36"/>
        <v>0</v>
      </c>
      <c r="BK17" s="35">
        <f t="shared" si="37"/>
        <v>0</v>
      </c>
      <c r="BL17" s="35" t="str">
        <f t="shared" si="38"/>
        <v>0</v>
      </c>
      <c r="BM17" s="35" t="str">
        <f t="shared" si="39"/>
        <v>0</v>
      </c>
      <c r="BN17" s="35">
        <f t="shared" si="40"/>
        <v>0</v>
      </c>
      <c r="BO17" s="43" t="str">
        <f t="shared" si="41"/>
        <v xml:space="preserve">HISYAM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17" s="12"/>
      <c r="BQ17" s="15" t="str">
        <f t="shared" si="42"/>
        <v>mengemukakan kembali dengan kalimat sendiri, membuat model matematika dan memilih strategi yang efektif dalam memecahkan masalah nyata sehari-hari yang berkaitan dengan KPK dan FPB, satuan kuantitas, desimal dan persen, serta memeriksa kebenarannya</v>
      </c>
      <c r="BR17" s="16" t="str">
        <f t="shared" si="43"/>
        <v xml:space="preserve"> </v>
      </c>
      <c r="BS17" s="16" t="str">
        <f t="shared" si="44"/>
        <v xml:space="preserve"> </v>
      </c>
      <c r="BT17" s="16" t="str">
        <f t="shared" si="45"/>
        <v xml:space="preserve"> </v>
      </c>
      <c r="BU17" s="16" t="str">
        <f t="shared" si="46"/>
        <v xml:space="preserve"> </v>
      </c>
      <c r="BV17" s="16" t="str">
        <f t="shared" si="47"/>
        <v xml:space="preserve"> </v>
      </c>
      <c r="BW17" s="16" t="str">
        <f t="shared" si="48"/>
        <v xml:space="preserve"> </v>
      </c>
      <c r="BX17" s="16" t="str">
        <f t="shared" si="49"/>
        <v xml:space="preserve"> </v>
      </c>
      <c r="BY17" s="16" t="str">
        <f t="shared" si="50"/>
        <v xml:space="preserve"> </v>
      </c>
      <c r="BZ17" s="16" t="str">
        <f t="shared" si="51"/>
        <v xml:space="preserve"> </v>
      </c>
      <c r="CA17" s="16" t="str">
        <f t="shared" si="52"/>
        <v xml:space="preserve"> </v>
      </c>
      <c r="CB17" s="16" t="str">
        <f t="shared" si="53"/>
        <v xml:space="preserve"> </v>
      </c>
      <c r="CC17" s="13" t="str">
        <f t="shared" si="54"/>
        <v xml:space="preserve"> </v>
      </c>
      <c r="CD17" s="13" t="str">
        <f t="shared" si="55"/>
        <v>menyatakan pecahan ke bentuk desimal dan persen</v>
      </c>
      <c r="CE17" s="13" t="str">
        <f t="shared" si="56"/>
        <v xml:space="preserve"> </v>
      </c>
      <c r="CF17" s="13" t="str">
        <f t="shared" si="57"/>
        <v xml:space="preserve"> </v>
      </c>
      <c r="CG17" s="13" t="str">
        <f t="shared" si="58"/>
        <v xml:space="preserve"> </v>
      </c>
      <c r="CH17" s="13" t="str">
        <f t="shared" si="59"/>
        <v xml:space="preserve"> </v>
      </c>
      <c r="CI17" s="13" t="str">
        <f t="shared" si="60"/>
        <v xml:space="preserve"> </v>
      </c>
      <c r="CJ17" s="13" t="str">
        <f t="shared" si="61"/>
        <v xml:space="preserve"> </v>
      </c>
      <c r="CK17" s="13" t="str">
        <f t="shared" si="62"/>
        <v xml:space="preserve"> </v>
      </c>
      <c r="CL17" s="13" t="str">
        <f t="shared" si="63"/>
        <v xml:space="preserve"> </v>
      </c>
      <c r="CM17" s="13" t="str">
        <f t="shared" si="64"/>
        <v xml:space="preserve"> </v>
      </c>
      <c r="CN17" s="13" t="str">
        <f t="shared" si="65"/>
        <v xml:space="preserve"> </v>
      </c>
      <c r="CO17" s="14"/>
    </row>
    <row r="18" spans="1:93" ht="90">
      <c r="A18" s="38">
        <v>14</v>
      </c>
      <c r="B18" s="39" t="str">
        <f>SISWA!B19</f>
        <v>1718250040318</v>
      </c>
      <c r="C18" s="40" t="str">
        <f>SISWA!E19</f>
        <v>FAUZI</v>
      </c>
      <c r="D18" s="6">
        <v>99</v>
      </c>
      <c r="E18" s="7">
        <v>56</v>
      </c>
      <c r="F18" s="7">
        <v>90</v>
      </c>
      <c r="G18" s="7">
        <v>78</v>
      </c>
      <c r="H18" s="7">
        <v>65</v>
      </c>
      <c r="I18" s="6">
        <v>67</v>
      </c>
      <c r="J18" s="6">
        <v>90</v>
      </c>
      <c r="K18" s="6">
        <v>89</v>
      </c>
      <c r="L18" s="6">
        <v>87</v>
      </c>
      <c r="M18" s="7">
        <v>76</v>
      </c>
      <c r="N18" s="7">
        <v>87</v>
      </c>
      <c r="O18" s="6">
        <v>79</v>
      </c>
      <c r="P18" s="8">
        <f t="shared" si="2"/>
        <v>80.25</v>
      </c>
      <c r="Q18" s="9" t="str">
        <f t="shared" si="3"/>
        <v>B</v>
      </c>
      <c r="R18" s="29">
        <f t="shared" si="4"/>
        <v>3.96</v>
      </c>
      <c r="S18" s="29">
        <f t="shared" si="4"/>
        <v>2.2400000000000002</v>
      </c>
      <c r="T18" s="29">
        <f t="shared" si="1"/>
        <v>3.6</v>
      </c>
      <c r="U18" s="29">
        <f t="shared" si="1"/>
        <v>3.12</v>
      </c>
      <c r="V18" s="29">
        <f t="shared" si="1"/>
        <v>2.6</v>
      </c>
      <c r="W18" s="29">
        <f t="shared" si="1"/>
        <v>2.68</v>
      </c>
      <c r="X18" s="29">
        <f t="shared" si="1"/>
        <v>3.6</v>
      </c>
      <c r="Y18" s="29">
        <f t="shared" si="1"/>
        <v>3.56</v>
      </c>
      <c r="Z18" s="29">
        <f t="shared" si="1"/>
        <v>3.48</v>
      </c>
      <c r="AA18" s="29">
        <f t="shared" si="1"/>
        <v>3.04</v>
      </c>
      <c r="AB18" s="29">
        <f t="shared" si="1"/>
        <v>3.48</v>
      </c>
      <c r="AC18" s="29">
        <f t="shared" si="1"/>
        <v>3.16</v>
      </c>
      <c r="AD18" s="10"/>
      <c r="AE18" s="11" t="str">
        <f t="shared" si="5"/>
        <v>4</v>
      </c>
      <c r="AF18" s="11" t="str">
        <f t="shared" si="6"/>
        <v>0</v>
      </c>
      <c r="AG18" s="35">
        <f t="shared" si="7"/>
        <v>4</v>
      </c>
      <c r="AH18" s="35" t="str">
        <f t="shared" si="8"/>
        <v>0</v>
      </c>
      <c r="AI18" s="35" t="str">
        <f t="shared" si="9"/>
        <v>1</v>
      </c>
      <c r="AJ18" s="35">
        <f t="shared" si="10"/>
        <v>1</v>
      </c>
      <c r="AK18" s="35" t="str">
        <f t="shared" si="11"/>
        <v>0</v>
      </c>
      <c r="AL18" s="35" t="str">
        <f t="shared" si="12"/>
        <v>0</v>
      </c>
      <c r="AM18" s="35">
        <f t="shared" si="13"/>
        <v>0</v>
      </c>
      <c r="AN18" s="35" t="str">
        <f t="shared" si="14"/>
        <v>0</v>
      </c>
      <c r="AO18" s="35" t="str">
        <f t="shared" si="15"/>
        <v>0</v>
      </c>
      <c r="AP18" s="35">
        <f t="shared" si="16"/>
        <v>0</v>
      </c>
      <c r="AQ18" s="35" t="str">
        <f t="shared" si="17"/>
        <v>0</v>
      </c>
      <c r="AR18" s="35" t="str">
        <f t="shared" si="18"/>
        <v>0</v>
      </c>
      <c r="AS18" s="35">
        <f t="shared" si="19"/>
        <v>0</v>
      </c>
      <c r="AT18" s="35" t="str">
        <f t="shared" si="20"/>
        <v>0</v>
      </c>
      <c r="AU18" s="35" t="str">
        <f t="shared" si="21"/>
        <v>0</v>
      </c>
      <c r="AV18" s="35">
        <f t="shared" si="22"/>
        <v>0</v>
      </c>
      <c r="AW18" s="35" t="str">
        <f t="shared" si="23"/>
        <v>0</v>
      </c>
      <c r="AX18" s="35" t="str">
        <f t="shared" si="24"/>
        <v>0</v>
      </c>
      <c r="AY18" s="35">
        <f t="shared" si="25"/>
        <v>0</v>
      </c>
      <c r="AZ18" s="35" t="str">
        <f t="shared" si="26"/>
        <v>0</v>
      </c>
      <c r="BA18" s="35" t="str">
        <f t="shared" si="27"/>
        <v>0</v>
      </c>
      <c r="BB18" s="35">
        <f t="shared" si="28"/>
        <v>0</v>
      </c>
      <c r="BC18" s="35" t="str">
        <f t="shared" si="29"/>
        <v>0</v>
      </c>
      <c r="BD18" s="35" t="str">
        <f t="shared" si="30"/>
        <v>0</v>
      </c>
      <c r="BE18" s="35">
        <f t="shared" si="31"/>
        <v>0</v>
      </c>
      <c r="BF18" s="35" t="str">
        <f t="shared" si="32"/>
        <v>0</v>
      </c>
      <c r="BG18" s="35" t="str">
        <f t="shared" si="33"/>
        <v>0</v>
      </c>
      <c r="BH18" s="35">
        <f t="shared" si="34"/>
        <v>0</v>
      </c>
      <c r="BI18" s="35" t="str">
        <f t="shared" si="35"/>
        <v>0</v>
      </c>
      <c r="BJ18" s="35" t="str">
        <f t="shared" si="36"/>
        <v>0</v>
      </c>
      <c r="BK18" s="35">
        <f t="shared" si="37"/>
        <v>0</v>
      </c>
      <c r="BL18" s="35" t="str">
        <f t="shared" si="38"/>
        <v>0</v>
      </c>
      <c r="BM18" s="35" t="str">
        <f t="shared" si="39"/>
        <v>0</v>
      </c>
      <c r="BN18" s="35">
        <f t="shared" si="40"/>
        <v>0</v>
      </c>
      <c r="BO18" s="43" t="str">
        <f t="shared" si="41"/>
        <v xml:space="preserve">FAUZI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18" s="12"/>
      <c r="BQ18" s="15" t="str">
        <f t="shared" si="42"/>
        <v>mengemukakan kembali dengan kalimat sendiri, membuat model matematika dan memilih strategi yang efektif dalam memecahkan masalah nyata sehari-hari yang berkaitan dengan KPK dan FPB, satuan kuantitas, desimal dan persen, serta memeriksa kebenarannya</v>
      </c>
      <c r="BR18" s="16" t="str">
        <f t="shared" si="43"/>
        <v xml:space="preserve"> </v>
      </c>
      <c r="BS18" s="16" t="str">
        <f t="shared" si="44"/>
        <v xml:space="preserve"> </v>
      </c>
      <c r="BT18" s="16" t="str">
        <f t="shared" si="45"/>
        <v xml:space="preserve"> </v>
      </c>
      <c r="BU18" s="16" t="str">
        <f t="shared" si="46"/>
        <v xml:space="preserve"> </v>
      </c>
      <c r="BV18" s="16" t="str">
        <f t="shared" si="47"/>
        <v xml:space="preserve"> </v>
      </c>
      <c r="BW18" s="16" t="str">
        <f t="shared" si="48"/>
        <v xml:space="preserve"> </v>
      </c>
      <c r="BX18" s="16" t="str">
        <f t="shared" si="49"/>
        <v xml:space="preserve"> </v>
      </c>
      <c r="BY18" s="16" t="str">
        <f t="shared" si="50"/>
        <v xml:space="preserve"> </v>
      </c>
      <c r="BZ18" s="16" t="str">
        <f t="shared" si="51"/>
        <v xml:space="preserve"> </v>
      </c>
      <c r="CA18" s="16" t="str">
        <f t="shared" si="52"/>
        <v xml:space="preserve"> </v>
      </c>
      <c r="CB18" s="16" t="str">
        <f t="shared" si="53"/>
        <v xml:space="preserve"> </v>
      </c>
      <c r="CC18" s="13" t="str">
        <f t="shared" si="54"/>
        <v xml:space="preserve"> </v>
      </c>
      <c r="CD18" s="13" t="str">
        <f t="shared" si="55"/>
        <v>menyatakan pecahan ke bentuk desimal dan persen</v>
      </c>
      <c r="CE18" s="13" t="str">
        <f t="shared" si="56"/>
        <v xml:space="preserve"> </v>
      </c>
      <c r="CF18" s="13" t="str">
        <f t="shared" si="57"/>
        <v xml:space="preserve"> </v>
      </c>
      <c r="CG18" s="13" t="str">
        <f t="shared" si="58"/>
        <v xml:space="preserve"> </v>
      </c>
      <c r="CH18" s="13" t="str">
        <f t="shared" si="59"/>
        <v xml:space="preserve"> </v>
      </c>
      <c r="CI18" s="13" t="str">
        <f t="shared" si="60"/>
        <v xml:space="preserve"> </v>
      </c>
      <c r="CJ18" s="13" t="str">
        <f t="shared" si="61"/>
        <v xml:space="preserve"> </v>
      </c>
      <c r="CK18" s="13" t="str">
        <f t="shared" si="62"/>
        <v xml:space="preserve"> </v>
      </c>
      <c r="CL18" s="13" t="str">
        <f t="shared" si="63"/>
        <v xml:space="preserve"> </v>
      </c>
      <c r="CM18" s="13" t="str">
        <f t="shared" si="64"/>
        <v xml:space="preserve"> </v>
      </c>
      <c r="CN18" s="13" t="str">
        <f t="shared" si="65"/>
        <v xml:space="preserve"> </v>
      </c>
      <c r="CO18" s="14"/>
    </row>
    <row r="19" spans="1:93" ht="90">
      <c r="A19" s="38">
        <v>15</v>
      </c>
      <c r="B19" s="39" t="str">
        <f>SISWA!B20</f>
        <v>1718250040319</v>
      </c>
      <c r="C19" s="40" t="str">
        <f>SISWA!E20</f>
        <v>FIRLY</v>
      </c>
      <c r="D19" s="6">
        <v>99</v>
      </c>
      <c r="E19" s="7">
        <v>56</v>
      </c>
      <c r="F19" s="7">
        <v>90</v>
      </c>
      <c r="G19" s="7">
        <v>78</v>
      </c>
      <c r="H19" s="7">
        <v>65</v>
      </c>
      <c r="I19" s="6">
        <v>67</v>
      </c>
      <c r="J19" s="6">
        <v>90</v>
      </c>
      <c r="K19" s="6">
        <v>89</v>
      </c>
      <c r="L19" s="6">
        <v>87</v>
      </c>
      <c r="M19" s="7">
        <v>76</v>
      </c>
      <c r="N19" s="7">
        <v>87</v>
      </c>
      <c r="O19" s="6">
        <v>79</v>
      </c>
      <c r="P19" s="8">
        <f t="shared" si="2"/>
        <v>80.25</v>
      </c>
      <c r="Q19" s="9" t="str">
        <f t="shared" si="3"/>
        <v>B</v>
      </c>
      <c r="R19" s="29">
        <f t="shared" si="4"/>
        <v>3.96</v>
      </c>
      <c r="S19" s="29">
        <f t="shared" si="4"/>
        <v>2.2400000000000002</v>
      </c>
      <c r="T19" s="29">
        <f t="shared" si="1"/>
        <v>3.6</v>
      </c>
      <c r="U19" s="29">
        <f t="shared" si="1"/>
        <v>3.12</v>
      </c>
      <c r="V19" s="29">
        <f t="shared" si="1"/>
        <v>2.6</v>
      </c>
      <c r="W19" s="29">
        <f t="shared" si="1"/>
        <v>2.68</v>
      </c>
      <c r="X19" s="29">
        <f t="shared" si="1"/>
        <v>3.6</v>
      </c>
      <c r="Y19" s="29">
        <f t="shared" si="1"/>
        <v>3.56</v>
      </c>
      <c r="Z19" s="29">
        <f t="shared" si="1"/>
        <v>3.48</v>
      </c>
      <c r="AA19" s="29">
        <f t="shared" si="1"/>
        <v>3.04</v>
      </c>
      <c r="AB19" s="29">
        <f t="shared" si="1"/>
        <v>3.48</v>
      </c>
      <c r="AC19" s="29">
        <f t="shared" si="1"/>
        <v>3.16</v>
      </c>
      <c r="AD19" s="10"/>
      <c r="AE19" s="11" t="str">
        <f t="shared" si="5"/>
        <v>4</v>
      </c>
      <c r="AF19" s="11" t="str">
        <f t="shared" si="6"/>
        <v>0</v>
      </c>
      <c r="AG19" s="35">
        <f t="shared" si="7"/>
        <v>4</v>
      </c>
      <c r="AH19" s="35" t="str">
        <f t="shared" si="8"/>
        <v>0</v>
      </c>
      <c r="AI19" s="35" t="str">
        <f t="shared" si="9"/>
        <v>1</v>
      </c>
      <c r="AJ19" s="35">
        <f t="shared" si="10"/>
        <v>1</v>
      </c>
      <c r="AK19" s="35" t="str">
        <f t="shared" si="11"/>
        <v>0</v>
      </c>
      <c r="AL19" s="35" t="str">
        <f t="shared" si="12"/>
        <v>0</v>
      </c>
      <c r="AM19" s="35">
        <f t="shared" si="13"/>
        <v>0</v>
      </c>
      <c r="AN19" s="35" t="str">
        <f t="shared" si="14"/>
        <v>0</v>
      </c>
      <c r="AO19" s="35" t="str">
        <f t="shared" si="15"/>
        <v>0</v>
      </c>
      <c r="AP19" s="35">
        <f t="shared" si="16"/>
        <v>0</v>
      </c>
      <c r="AQ19" s="35" t="str">
        <f t="shared" si="17"/>
        <v>0</v>
      </c>
      <c r="AR19" s="35" t="str">
        <f t="shared" si="18"/>
        <v>0</v>
      </c>
      <c r="AS19" s="35">
        <f t="shared" si="19"/>
        <v>0</v>
      </c>
      <c r="AT19" s="35" t="str">
        <f t="shared" si="20"/>
        <v>0</v>
      </c>
      <c r="AU19" s="35" t="str">
        <f t="shared" si="21"/>
        <v>0</v>
      </c>
      <c r="AV19" s="35">
        <f t="shared" si="22"/>
        <v>0</v>
      </c>
      <c r="AW19" s="35" t="str">
        <f t="shared" si="23"/>
        <v>0</v>
      </c>
      <c r="AX19" s="35" t="str">
        <f t="shared" si="24"/>
        <v>0</v>
      </c>
      <c r="AY19" s="35">
        <f t="shared" si="25"/>
        <v>0</v>
      </c>
      <c r="AZ19" s="35" t="str">
        <f t="shared" si="26"/>
        <v>0</v>
      </c>
      <c r="BA19" s="35" t="str">
        <f t="shared" si="27"/>
        <v>0</v>
      </c>
      <c r="BB19" s="35">
        <f t="shared" si="28"/>
        <v>0</v>
      </c>
      <c r="BC19" s="35" t="str">
        <f t="shared" si="29"/>
        <v>0</v>
      </c>
      <c r="BD19" s="35" t="str">
        <f t="shared" si="30"/>
        <v>0</v>
      </c>
      <c r="BE19" s="35">
        <f t="shared" si="31"/>
        <v>0</v>
      </c>
      <c r="BF19" s="35" t="str">
        <f t="shared" si="32"/>
        <v>0</v>
      </c>
      <c r="BG19" s="35" t="str">
        <f t="shared" si="33"/>
        <v>0</v>
      </c>
      <c r="BH19" s="35">
        <f t="shared" si="34"/>
        <v>0</v>
      </c>
      <c r="BI19" s="35" t="str">
        <f t="shared" si="35"/>
        <v>0</v>
      </c>
      <c r="BJ19" s="35" t="str">
        <f t="shared" si="36"/>
        <v>0</v>
      </c>
      <c r="BK19" s="35">
        <f t="shared" si="37"/>
        <v>0</v>
      </c>
      <c r="BL19" s="35" t="str">
        <f t="shared" si="38"/>
        <v>0</v>
      </c>
      <c r="BM19" s="35" t="str">
        <f t="shared" si="39"/>
        <v>0</v>
      </c>
      <c r="BN19" s="35">
        <f t="shared" si="40"/>
        <v>0</v>
      </c>
      <c r="BO19" s="43" t="str">
        <f t="shared" si="41"/>
        <v xml:space="preserve">FIRLY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19" s="12"/>
      <c r="BQ19" s="15" t="str">
        <f t="shared" si="42"/>
        <v>mengemukakan kembali dengan kalimat sendiri, membuat model matematika dan memilih strategi yang efektif dalam memecahkan masalah nyata sehari-hari yang berkaitan dengan KPK dan FPB, satuan kuantitas, desimal dan persen, serta memeriksa kebenarannya</v>
      </c>
      <c r="BR19" s="16" t="str">
        <f t="shared" si="43"/>
        <v xml:space="preserve"> </v>
      </c>
      <c r="BS19" s="16" t="str">
        <f t="shared" si="44"/>
        <v xml:space="preserve"> </v>
      </c>
      <c r="BT19" s="16" t="str">
        <f t="shared" si="45"/>
        <v xml:space="preserve"> </v>
      </c>
      <c r="BU19" s="16" t="str">
        <f t="shared" si="46"/>
        <v xml:space="preserve"> </v>
      </c>
      <c r="BV19" s="16" t="str">
        <f t="shared" si="47"/>
        <v xml:space="preserve"> </v>
      </c>
      <c r="BW19" s="16" t="str">
        <f t="shared" si="48"/>
        <v xml:space="preserve"> </v>
      </c>
      <c r="BX19" s="16" t="str">
        <f t="shared" si="49"/>
        <v xml:space="preserve"> </v>
      </c>
      <c r="BY19" s="16" t="str">
        <f t="shared" si="50"/>
        <v xml:space="preserve"> </v>
      </c>
      <c r="BZ19" s="16" t="str">
        <f t="shared" si="51"/>
        <v xml:space="preserve"> </v>
      </c>
      <c r="CA19" s="16" t="str">
        <f t="shared" si="52"/>
        <v xml:space="preserve"> </v>
      </c>
      <c r="CB19" s="16" t="str">
        <f t="shared" si="53"/>
        <v xml:space="preserve"> </v>
      </c>
      <c r="CC19" s="13" t="str">
        <f t="shared" si="54"/>
        <v xml:space="preserve"> </v>
      </c>
      <c r="CD19" s="13" t="str">
        <f t="shared" si="55"/>
        <v>menyatakan pecahan ke bentuk desimal dan persen</v>
      </c>
      <c r="CE19" s="13" t="str">
        <f t="shared" si="56"/>
        <v xml:space="preserve"> </v>
      </c>
      <c r="CF19" s="13" t="str">
        <f t="shared" si="57"/>
        <v xml:space="preserve"> </v>
      </c>
      <c r="CG19" s="13" t="str">
        <f t="shared" si="58"/>
        <v xml:space="preserve"> </v>
      </c>
      <c r="CH19" s="13" t="str">
        <f t="shared" si="59"/>
        <v xml:space="preserve"> </v>
      </c>
      <c r="CI19" s="13" t="str">
        <f t="shared" si="60"/>
        <v xml:space="preserve"> </v>
      </c>
      <c r="CJ19" s="13" t="str">
        <f t="shared" si="61"/>
        <v xml:space="preserve"> </v>
      </c>
      <c r="CK19" s="13" t="str">
        <f t="shared" si="62"/>
        <v xml:space="preserve"> </v>
      </c>
      <c r="CL19" s="13" t="str">
        <f t="shared" si="63"/>
        <v xml:space="preserve"> </v>
      </c>
      <c r="CM19" s="13" t="str">
        <f t="shared" si="64"/>
        <v xml:space="preserve"> </v>
      </c>
      <c r="CN19" s="13" t="str">
        <f t="shared" si="65"/>
        <v xml:space="preserve"> </v>
      </c>
      <c r="CO19" s="14"/>
    </row>
    <row r="20" spans="1:93" ht="90">
      <c r="A20" s="38">
        <v>16</v>
      </c>
      <c r="B20" s="39" t="str">
        <f>SISWA!B21</f>
        <v>1718250040320</v>
      </c>
      <c r="C20" s="40" t="str">
        <f>SISWA!E21</f>
        <v>HANA</v>
      </c>
      <c r="D20" s="6">
        <v>99</v>
      </c>
      <c r="E20" s="7">
        <v>56</v>
      </c>
      <c r="F20" s="7">
        <v>90</v>
      </c>
      <c r="G20" s="7">
        <v>78</v>
      </c>
      <c r="H20" s="7">
        <v>65</v>
      </c>
      <c r="I20" s="6">
        <v>67</v>
      </c>
      <c r="J20" s="6">
        <v>90</v>
      </c>
      <c r="K20" s="6">
        <v>89</v>
      </c>
      <c r="L20" s="6">
        <v>87</v>
      </c>
      <c r="M20" s="7">
        <v>76</v>
      </c>
      <c r="N20" s="7">
        <v>87</v>
      </c>
      <c r="O20" s="6">
        <v>79</v>
      </c>
      <c r="P20" s="8">
        <f t="shared" si="2"/>
        <v>80.25</v>
      </c>
      <c r="Q20" s="9" t="str">
        <f t="shared" si="3"/>
        <v>B</v>
      </c>
      <c r="R20" s="29">
        <f t="shared" si="4"/>
        <v>3.96</v>
      </c>
      <c r="S20" s="29">
        <f t="shared" si="4"/>
        <v>2.2400000000000002</v>
      </c>
      <c r="T20" s="29">
        <f t="shared" si="1"/>
        <v>3.6</v>
      </c>
      <c r="U20" s="29">
        <f t="shared" si="1"/>
        <v>3.12</v>
      </c>
      <c r="V20" s="29">
        <f t="shared" si="1"/>
        <v>2.6</v>
      </c>
      <c r="W20" s="29">
        <f t="shared" si="1"/>
        <v>2.68</v>
      </c>
      <c r="X20" s="29">
        <f t="shared" si="1"/>
        <v>3.6</v>
      </c>
      <c r="Y20" s="29">
        <f t="shared" si="1"/>
        <v>3.56</v>
      </c>
      <c r="Z20" s="29">
        <f t="shared" si="1"/>
        <v>3.48</v>
      </c>
      <c r="AA20" s="29">
        <f t="shared" si="1"/>
        <v>3.04</v>
      </c>
      <c r="AB20" s="29">
        <f t="shared" si="1"/>
        <v>3.48</v>
      </c>
      <c r="AC20" s="29">
        <f t="shared" si="1"/>
        <v>3.16</v>
      </c>
      <c r="AD20" s="10"/>
      <c r="AE20" s="11" t="str">
        <f t="shared" si="5"/>
        <v>4</v>
      </c>
      <c r="AF20" s="11" t="str">
        <f t="shared" si="6"/>
        <v>0</v>
      </c>
      <c r="AG20" s="35">
        <f t="shared" si="7"/>
        <v>4</v>
      </c>
      <c r="AH20" s="35" t="str">
        <f t="shared" si="8"/>
        <v>0</v>
      </c>
      <c r="AI20" s="35" t="str">
        <f t="shared" si="9"/>
        <v>1</v>
      </c>
      <c r="AJ20" s="35">
        <f t="shared" si="10"/>
        <v>1</v>
      </c>
      <c r="AK20" s="35" t="str">
        <f t="shared" si="11"/>
        <v>0</v>
      </c>
      <c r="AL20" s="35" t="str">
        <f t="shared" si="12"/>
        <v>0</v>
      </c>
      <c r="AM20" s="35">
        <f t="shared" si="13"/>
        <v>0</v>
      </c>
      <c r="AN20" s="35" t="str">
        <f t="shared" si="14"/>
        <v>0</v>
      </c>
      <c r="AO20" s="35" t="str">
        <f t="shared" si="15"/>
        <v>0</v>
      </c>
      <c r="AP20" s="35">
        <f t="shared" si="16"/>
        <v>0</v>
      </c>
      <c r="AQ20" s="35" t="str">
        <f t="shared" si="17"/>
        <v>0</v>
      </c>
      <c r="AR20" s="35" t="str">
        <f t="shared" si="18"/>
        <v>0</v>
      </c>
      <c r="AS20" s="35">
        <f t="shared" si="19"/>
        <v>0</v>
      </c>
      <c r="AT20" s="35" t="str">
        <f t="shared" si="20"/>
        <v>0</v>
      </c>
      <c r="AU20" s="35" t="str">
        <f t="shared" si="21"/>
        <v>0</v>
      </c>
      <c r="AV20" s="35">
        <f t="shared" si="22"/>
        <v>0</v>
      </c>
      <c r="AW20" s="35" t="str">
        <f t="shared" si="23"/>
        <v>0</v>
      </c>
      <c r="AX20" s="35" t="str">
        <f t="shared" si="24"/>
        <v>0</v>
      </c>
      <c r="AY20" s="35">
        <f t="shared" si="25"/>
        <v>0</v>
      </c>
      <c r="AZ20" s="35" t="str">
        <f t="shared" si="26"/>
        <v>0</v>
      </c>
      <c r="BA20" s="35" t="str">
        <f t="shared" si="27"/>
        <v>0</v>
      </c>
      <c r="BB20" s="35">
        <f t="shared" si="28"/>
        <v>0</v>
      </c>
      <c r="BC20" s="35" t="str">
        <f t="shared" si="29"/>
        <v>0</v>
      </c>
      <c r="BD20" s="35" t="str">
        <f t="shared" si="30"/>
        <v>0</v>
      </c>
      <c r="BE20" s="35">
        <f t="shared" si="31"/>
        <v>0</v>
      </c>
      <c r="BF20" s="35" t="str">
        <f t="shared" si="32"/>
        <v>0</v>
      </c>
      <c r="BG20" s="35" t="str">
        <f t="shared" si="33"/>
        <v>0</v>
      </c>
      <c r="BH20" s="35">
        <f t="shared" si="34"/>
        <v>0</v>
      </c>
      <c r="BI20" s="35" t="str">
        <f t="shared" si="35"/>
        <v>0</v>
      </c>
      <c r="BJ20" s="35" t="str">
        <f t="shared" si="36"/>
        <v>0</v>
      </c>
      <c r="BK20" s="35">
        <f t="shared" si="37"/>
        <v>0</v>
      </c>
      <c r="BL20" s="35" t="str">
        <f t="shared" si="38"/>
        <v>0</v>
      </c>
      <c r="BM20" s="35" t="str">
        <f t="shared" si="39"/>
        <v>0</v>
      </c>
      <c r="BN20" s="35">
        <f t="shared" si="40"/>
        <v>0</v>
      </c>
      <c r="BO20" s="43" t="str">
        <f t="shared" si="41"/>
        <v xml:space="preserve">HANA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20" s="12"/>
      <c r="BQ20" s="15" t="str">
        <f t="shared" si="42"/>
        <v>mengemukakan kembali dengan kalimat sendiri, membuat model matematika dan memilih strategi yang efektif dalam memecahkan masalah nyata sehari-hari yang berkaitan dengan KPK dan FPB, satuan kuantitas, desimal dan persen, serta memeriksa kebenarannya</v>
      </c>
      <c r="BR20" s="16" t="str">
        <f t="shared" si="43"/>
        <v xml:space="preserve"> </v>
      </c>
      <c r="BS20" s="16" t="str">
        <f t="shared" si="44"/>
        <v xml:space="preserve"> </v>
      </c>
      <c r="BT20" s="16" t="str">
        <f t="shared" si="45"/>
        <v xml:space="preserve"> </v>
      </c>
      <c r="BU20" s="16" t="str">
        <f t="shared" si="46"/>
        <v xml:space="preserve"> </v>
      </c>
      <c r="BV20" s="16" t="str">
        <f t="shared" si="47"/>
        <v xml:space="preserve"> </v>
      </c>
      <c r="BW20" s="16" t="str">
        <f t="shared" si="48"/>
        <v xml:space="preserve"> </v>
      </c>
      <c r="BX20" s="16" t="str">
        <f t="shared" si="49"/>
        <v xml:space="preserve"> </v>
      </c>
      <c r="BY20" s="16" t="str">
        <f t="shared" si="50"/>
        <v xml:space="preserve"> </v>
      </c>
      <c r="BZ20" s="16" t="str">
        <f t="shared" si="51"/>
        <v xml:space="preserve"> </v>
      </c>
      <c r="CA20" s="16" t="str">
        <f t="shared" si="52"/>
        <v xml:space="preserve"> </v>
      </c>
      <c r="CB20" s="16" t="str">
        <f t="shared" si="53"/>
        <v xml:space="preserve"> </v>
      </c>
      <c r="CC20" s="13" t="str">
        <f t="shared" si="54"/>
        <v xml:space="preserve"> </v>
      </c>
      <c r="CD20" s="13" t="str">
        <f t="shared" si="55"/>
        <v>menyatakan pecahan ke bentuk desimal dan persen</v>
      </c>
      <c r="CE20" s="13" t="str">
        <f t="shared" si="56"/>
        <v xml:space="preserve"> </v>
      </c>
      <c r="CF20" s="13" t="str">
        <f t="shared" si="57"/>
        <v xml:space="preserve"> </v>
      </c>
      <c r="CG20" s="13" t="str">
        <f t="shared" si="58"/>
        <v xml:space="preserve"> </v>
      </c>
      <c r="CH20" s="13" t="str">
        <f t="shared" si="59"/>
        <v xml:space="preserve"> </v>
      </c>
      <c r="CI20" s="13" t="str">
        <f t="shared" si="60"/>
        <v xml:space="preserve"> </v>
      </c>
      <c r="CJ20" s="13" t="str">
        <f t="shared" si="61"/>
        <v xml:space="preserve"> </v>
      </c>
      <c r="CK20" s="13" t="str">
        <f t="shared" si="62"/>
        <v xml:space="preserve"> </v>
      </c>
      <c r="CL20" s="13" t="str">
        <f t="shared" si="63"/>
        <v xml:space="preserve"> </v>
      </c>
      <c r="CM20" s="13" t="str">
        <f t="shared" si="64"/>
        <v xml:space="preserve"> </v>
      </c>
      <c r="CN20" s="13" t="str">
        <f t="shared" si="65"/>
        <v xml:space="preserve"> </v>
      </c>
      <c r="CO20" s="14"/>
    </row>
    <row r="21" spans="1:93" ht="90">
      <c r="A21" s="38">
        <v>17</v>
      </c>
      <c r="B21" s="39" t="str">
        <f>SISWA!B22</f>
        <v>1718250040321</v>
      </c>
      <c r="C21" s="40" t="str">
        <f>SISWA!E22</f>
        <v>MALLA</v>
      </c>
      <c r="D21" s="6">
        <v>99</v>
      </c>
      <c r="E21" s="7">
        <v>56</v>
      </c>
      <c r="F21" s="7">
        <v>90</v>
      </c>
      <c r="G21" s="7">
        <v>78</v>
      </c>
      <c r="H21" s="7">
        <v>65</v>
      </c>
      <c r="I21" s="6">
        <v>67</v>
      </c>
      <c r="J21" s="6">
        <v>90</v>
      </c>
      <c r="K21" s="6">
        <v>89</v>
      </c>
      <c r="L21" s="6">
        <v>87</v>
      </c>
      <c r="M21" s="7">
        <v>76</v>
      </c>
      <c r="N21" s="7">
        <v>87</v>
      </c>
      <c r="O21" s="6">
        <v>79</v>
      </c>
      <c r="P21" s="8">
        <f t="shared" si="2"/>
        <v>80.25</v>
      </c>
      <c r="Q21" s="9" t="str">
        <f t="shared" si="3"/>
        <v>B</v>
      </c>
      <c r="R21" s="29">
        <f t="shared" si="4"/>
        <v>3.96</v>
      </c>
      <c r="S21" s="29">
        <f t="shared" si="4"/>
        <v>2.2400000000000002</v>
      </c>
      <c r="T21" s="29">
        <f t="shared" si="4"/>
        <v>3.6</v>
      </c>
      <c r="U21" s="29">
        <f t="shared" si="4"/>
        <v>3.12</v>
      </c>
      <c r="V21" s="29">
        <f t="shared" si="4"/>
        <v>2.6</v>
      </c>
      <c r="W21" s="29">
        <f t="shared" si="4"/>
        <v>2.68</v>
      </c>
      <c r="X21" s="29">
        <f t="shared" si="4"/>
        <v>3.6</v>
      </c>
      <c r="Y21" s="29">
        <f t="shared" si="4"/>
        <v>3.56</v>
      </c>
      <c r="Z21" s="29">
        <f t="shared" si="4"/>
        <v>3.48</v>
      </c>
      <c r="AA21" s="29">
        <f t="shared" si="4"/>
        <v>3.04</v>
      </c>
      <c r="AB21" s="29">
        <f t="shared" si="4"/>
        <v>3.48</v>
      </c>
      <c r="AC21" s="29">
        <f t="shared" si="4"/>
        <v>3.16</v>
      </c>
      <c r="AD21" s="10"/>
      <c r="AE21" s="11" t="str">
        <f t="shared" si="5"/>
        <v>4</v>
      </c>
      <c r="AF21" s="11" t="str">
        <f t="shared" si="6"/>
        <v>0</v>
      </c>
      <c r="AG21" s="35">
        <f t="shared" si="7"/>
        <v>4</v>
      </c>
      <c r="AH21" s="35" t="str">
        <f t="shared" si="8"/>
        <v>0</v>
      </c>
      <c r="AI21" s="35" t="str">
        <f t="shared" si="9"/>
        <v>1</v>
      </c>
      <c r="AJ21" s="35">
        <f t="shared" si="10"/>
        <v>1</v>
      </c>
      <c r="AK21" s="35" t="str">
        <f t="shared" si="11"/>
        <v>0</v>
      </c>
      <c r="AL21" s="35" t="str">
        <f t="shared" si="12"/>
        <v>0</v>
      </c>
      <c r="AM21" s="35">
        <f t="shared" si="13"/>
        <v>0</v>
      </c>
      <c r="AN21" s="35" t="str">
        <f t="shared" si="14"/>
        <v>0</v>
      </c>
      <c r="AO21" s="35" t="str">
        <f t="shared" si="15"/>
        <v>0</v>
      </c>
      <c r="AP21" s="35">
        <f t="shared" si="16"/>
        <v>0</v>
      </c>
      <c r="AQ21" s="35" t="str">
        <f t="shared" si="17"/>
        <v>0</v>
      </c>
      <c r="AR21" s="35" t="str">
        <f t="shared" si="18"/>
        <v>0</v>
      </c>
      <c r="AS21" s="35">
        <f t="shared" si="19"/>
        <v>0</v>
      </c>
      <c r="AT21" s="35" t="str">
        <f t="shared" si="20"/>
        <v>0</v>
      </c>
      <c r="AU21" s="35" t="str">
        <f t="shared" si="21"/>
        <v>0</v>
      </c>
      <c r="AV21" s="35">
        <f t="shared" si="22"/>
        <v>0</v>
      </c>
      <c r="AW21" s="35" t="str">
        <f t="shared" si="23"/>
        <v>0</v>
      </c>
      <c r="AX21" s="35" t="str">
        <f t="shared" si="24"/>
        <v>0</v>
      </c>
      <c r="AY21" s="35">
        <f t="shared" si="25"/>
        <v>0</v>
      </c>
      <c r="AZ21" s="35" t="str">
        <f t="shared" si="26"/>
        <v>0</v>
      </c>
      <c r="BA21" s="35" t="str">
        <f t="shared" si="27"/>
        <v>0</v>
      </c>
      <c r="BB21" s="35">
        <f t="shared" si="28"/>
        <v>0</v>
      </c>
      <c r="BC21" s="35" t="str">
        <f t="shared" si="29"/>
        <v>0</v>
      </c>
      <c r="BD21" s="35" t="str">
        <f t="shared" si="30"/>
        <v>0</v>
      </c>
      <c r="BE21" s="35">
        <f t="shared" si="31"/>
        <v>0</v>
      </c>
      <c r="BF21" s="35" t="str">
        <f t="shared" si="32"/>
        <v>0</v>
      </c>
      <c r="BG21" s="35" t="str">
        <f t="shared" si="33"/>
        <v>0</v>
      </c>
      <c r="BH21" s="35">
        <f t="shared" si="34"/>
        <v>0</v>
      </c>
      <c r="BI21" s="35" t="str">
        <f t="shared" si="35"/>
        <v>0</v>
      </c>
      <c r="BJ21" s="35" t="str">
        <f t="shared" si="36"/>
        <v>0</v>
      </c>
      <c r="BK21" s="35">
        <f t="shared" si="37"/>
        <v>0</v>
      </c>
      <c r="BL21" s="35" t="str">
        <f t="shared" si="38"/>
        <v>0</v>
      </c>
      <c r="BM21" s="35" t="str">
        <f t="shared" si="39"/>
        <v>0</v>
      </c>
      <c r="BN21" s="35">
        <f t="shared" si="40"/>
        <v>0</v>
      </c>
      <c r="BO21" s="43" t="str">
        <f t="shared" si="41"/>
        <v xml:space="preserve">MALLA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21" s="12"/>
      <c r="BQ21" s="15" t="str">
        <f t="shared" si="42"/>
        <v>mengemukakan kembali dengan kalimat sendiri, membuat model matematika dan memilih strategi yang efektif dalam memecahkan masalah nyata sehari-hari yang berkaitan dengan KPK dan FPB, satuan kuantitas, desimal dan persen, serta memeriksa kebenarannya</v>
      </c>
      <c r="BR21" s="16" t="str">
        <f t="shared" si="43"/>
        <v xml:space="preserve"> </v>
      </c>
      <c r="BS21" s="16" t="str">
        <f t="shared" si="44"/>
        <v xml:space="preserve"> </v>
      </c>
      <c r="BT21" s="16" t="str">
        <f t="shared" si="45"/>
        <v xml:space="preserve"> </v>
      </c>
      <c r="BU21" s="16" t="str">
        <f t="shared" si="46"/>
        <v xml:space="preserve"> </v>
      </c>
      <c r="BV21" s="16" t="str">
        <f t="shared" si="47"/>
        <v xml:space="preserve"> </v>
      </c>
      <c r="BW21" s="16" t="str">
        <f t="shared" si="48"/>
        <v xml:space="preserve"> </v>
      </c>
      <c r="BX21" s="16" t="str">
        <f t="shared" si="49"/>
        <v xml:space="preserve"> </v>
      </c>
      <c r="BY21" s="16" t="str">
        <f t="shared" si="50"/>
        <v xml:space="preserve"> </v>
      </c>
      <c r="BZ21" s="16" t="str">
        <f t="shared" si="51"/>
        <v xml:space="preserve"> </v>
      </c>
      <c r="CA21" s="16" t="str">
        <f t="shared" si="52"/>
        <v xml:space="preserve"> </v>
      </c>
      <c r="CB21" s="16" t="str">
        <f t="shared" si="53"/>
        <v xml:space="preserve"> </v>
      </c>
      <c r="CC21" s="13" t="str">
        <f t="shared" si="54"/>
        <v xml:space="preserve"> </v>
      </c>
      <c r="CD21" s="13" t="str">
        <f t="shared" si="55"/>
        <v>menyatakan pecahan ke bentuk desimal dan persen</v>
      </c>
      <c r="CE21" s="13" t="str">
        <f t="shared" si="56"/>
        <v xml:space="preserve"> </v>
      </c>
      <c r="CF21" s="13" t="str">
        <f t="shared" si="57"/>
        <v xml:space="preserve"> </v>
      </c>
      <c r="CG21" s="13" t="str">
        <f t="shared" si="58"/>
        <v xml:space="preserve"> </v>
      </c>
      <c r="CH21" s="13" t="str">
        <f t="shared" si="59"/>
        <v xml:space="preserve"> </v>
      </c>
      <c r="CI21" s="13" t="str">
        <f t="shared" si="60"/>
        <v xml:space="preserve"> </v>
      </c>
      <c r="CJ21" s="13" t="str">
        <f t="shared" si="61"/>
        <v xml:space="preserve"> </v>
      </c>
      <c r="CK21" s="13" t="str">
        <f t="shared" si="62"/>
        <v xml:space="preserve"> </v>
      </c>
      <c r="CL21" s="13" t="str">
        <f t="shared" si="63"/>
        <v xml:space="preserve"> </v>
      </c>
      <c r="CM21" s="13" t="str">
        <f t="shared" si="64"/>
        <v xml:space="preserve"> </v>
      </c>
      <c r="CN21" s="13" t="str">
        <f t="shared" si="65"/>
        <v xml:space="preserve"> </v>
      </c>
      <c r="CO21" s="14"/>
    </row>
    <row r="22" spans="1:93" ht="90">
      <c r="A22" s="38">
        <v>18</v>
      </c>
      <c r="B22" s="39" t="str">
        <f>SISWA!B23</f>
        <v>1718250040322</v>
      </c>
      <c r="C22" s="40" t="str">
        <f>SISWA!E23</f>
        <v>INTAN</v>
      </c>
      <c r="D22" s="6">
        <v>99</v>
      </c>
      <c r="E22" s="7">
        <v>56</v>
      </c>
      <c r="F22" s="7">
        <v>90</v>
      </c>
      <c r="G22" s="7">
        <v>78</v>
      </c>
      <c r="H22" s="7">
        <v>65</v>
      </c>
      <c r="I22" s="6">
        <v>67</v>
      </c>
      <c r="J22" s="6">
        <v>90</v>
      </c>
      <c r="K22" s="6">
        <v>89</v>
      </c>
      <c r="L22" s="6">
        <v>87</v>
      </c>
      <c r="M22" s="7">
        <v>76</v>
      </c>
      <c r="N22" s="7">
        <v>87</v>
      </c>
      <c r="O22" s="6">
        <v>79</v>
      </c>
      <c r="P22" s="8">
        <f t="shared" si="2"/>
        <v>80.25</v>
      </c>
      <c r="Q22" s="9" t="str">
        <f t="shared" si="3"/>
        <v>B</v>
      </c>
      <c r="R22" s="29">
        <f t="shared" si="4"/>
        <v>3.96</v>
      </c>
      <c r="S22" s="29">
        <f t="shared" si="4"/>
        <v>2.2400000000000002</v>
      </c>
      <c r="T22" s="29">
        <f t="shared" si="4"/>
        <v>3.6</v>
      </c>
      <c r="U22" s="29">
        <f t="shared" si="4"/>
        <v>3.12</v>
      </c>
      <c r="V22" s="29">
        <f t="shared" si="4"/>
        <v>2.6</v>
      </c>
      <c r="W22" s="29">
        <f t="shared" si="4"/>
        <v>2.68</v>
      </c>
      <c r="X22" s="29">
        <f t="shared" si="4"/>
        <v>3.6</v>
      </c>
      <c r="Y22" s="29">
        <f t="shared" si="4"/>
        <v>3.56</v>
      </c>
      <c r="Z22" s="29">
        <f t="shared" si="4"/>
        <v>3.48</v>
      </c>
      <c r="AA22" s="29">
        <f t="shared" si="4"/>
        <v>3.04</v>
      </c>
      <c r="AB22" s="29">
        <f t="shared" si="4"/>
        <v>3.48</v>
      </c>
      <c r="AC22" s="29">
        <f t="shared" si="4"/>
        <v>3.16</v>
      </c>
      <c r="AD22" s="10"/>
      <c r="AE22" s="11" t="str">
        <f t="shared" si="5"/>
        <v>4</v>
      </c>
      <c r="AF22" s="11" t="str">
        <f t="shared" si="6"/>
        <v>0</v>
      </c>
      <c r="AG22" s="35">
        <f t="shared" si="7"/>
        <v>4</v>
      </c>
      <c r="AH22" s="35" t="str">
        <f t="shared" si="8"/>
        <v>0</v>
      </c>
      <c r="AI22" s="35" t="str">
        <f t="shared" si="9"/>
        <v>1</v>
      </c>
      <c r="AJ22" s="35">
        <f t="shared" si="10"/>
        <v>1</v>
      </c>
      <c r="AK22" s="35" t="str">
        <f t="shared" si="11"/>
        <v>0</v>
      </c>
      <c r="AL22" s="35" t="str">
        <f t="shared" si="12"/>
        <v>0</v>
      </c>
      <c r="AM22" s="35">
        <f t="shared" si="13"/>
        <v>0</v>
      </c>
      <c r="AN22" s="35" t="str">
        <f t="shared" si="14"/>
        <v>0</v>
      </c>
      <c r="AO22" s="35" t="str">
        <f t="shared" si="15"/>
        <v>0</v>
      </c>
      <c r="AP22" s="35">
        <f t="shared" si="16"/>
        <v>0</v>
      </c>
      <c r="AQ22" s="35" t="str">
        <f t="shared" si="17"/>
        <v>0</v>
      </c>
      <c r="AR22" s="35" t="str">
        <f t="shared" si="18"/>
        <v>0</v>
      </c>
      <c r="AS22" s="35">
        <f t="shared" si="19"/>
        <v>0</v>
      </c>
      <c r="AT22" s="35" t="str">
        <f t="shared" si="20"/>
        <v>0</v>
      </c>
      <c r="AU22" s="35" t="str">
        <f t="shared" si="21"/>
        <v>0</v>
      </c>
      <c r="AV22" s="35">
        <f t="shared" si="22"/>
        <v>0</v>
      </c>
      <c r="AW22" s="35" t="str">
        <f t="shared" si="23"/>
        <v>0</v>
      </c>
      <c r="AX22" s="35" t="str">
        <f t="shared" si="24"/>
        <v>0</v>
      </c>
      <c r="AY22" s="35">
        <f t="shared" si="25"/>
        <v>0</v>
      </c>
      <c r="AZ22" s="35" t="str">
        <f t="shared" si="26"/>
        <v>0</v>
      </c>
      <c r="BA22" s="35" t="str">
        <f t="shared" si="27"/>
        <v>0</v>
      </c>
      <c r="BB22" s="35">
        <f t="shared" si="28"/>
        <v>0</v>
      </c>
      <c r="BC22" s="35" t="str">
        <f t="shared" si="29"/>
        <v>0</v>
      </c>
      <c r="BD22" s="35" t="str">
        <f t="shared" si="30"/>
        <v>0</v>
      </c>
      <c r="BE22" s="35">
        <f t="shared" si="31"/>
        <v>0</v>
      </c>
      <c r="BF22" s="35" t="str">
        <f t="shared" si="32"/>
        <v>0</v>
      </c>
      <c r="BG22" s="35" t="str">
        <f t="shared" si="33"/>
        <v>0</v>
      </c>
      <c r="BH22" s="35">
        <f t="shared" si="34"/>
        <v>0</v>
      </c>
      <c r="BI22" s="35" t="str">
        <f t="shared" si="35"/>
        <v>0</v>
      </c>
      <c r="BJ22" s="35" t="str">
        <f t="shared" si="36"/>
        <v>0</v>
      </c>
      <c r="BK22" s="35">
        <f t="shared" si="37"/>
        <v>0</v>
      </c>
      <c r="BL22" s="35" t="str">
        <f t="shared" si="38"/>
        <v>0</v>
      </c>
      <c r="BM22" s="35" t="str">
        <f t="shared" si="39"/>
        <v>0</v>
      </c>
      <c r="BN22" s="35">
        <f t="shared" si="40"/>
        <v>0</v>
      </c>
      <c r="BO22" s="43" t="str">
        <f t="shared" si="41"/>
        <v xml:space="preserve">INTAN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22" s="12"/>
      <c r="BQ22" s="15" t="str">
        <f t="shared" si="42"/>
        <v>mengemukakan kembali dengan kalimat sendiri, membuat model matematika dan memilih strategi yang efektif dalam memecahkan masalah nyata sehari-hari yang berkaitan dengan KPK dan FPB, satuan kuantitas, desimal dan persen, serta memeriksa kebenarannya</v>
      </c>
      <c r="BR22" s="16" t="str">
        <f t="shared" si="43"/>
        <v xml:space="preserve"> </v>
      </c>
      <c r="BS22" s="16" t="str">
        <f t="shared" si="44"/>
        <v xml:space="preserve"> </v>
      </c>
      <c r="BT22" s="16" t="str">
        <f t="shared" si="45"/>
        <v xml:space="preserve"> </v>
      </c>
      <c r="BU22" s="16" t="str">
        <f t="shared" si="46"/>
        <v xml:space="preserve"> </v>
      </c>
      <c r="BV22" s="16" t="str">
        <f t="shared" si="47"/>
        <v xml:space="preserve"> </v>
      </c>
      <c r="BW22" s="16" t="str">
        <f t="shared" si="48"/>
        <v xml:space="preserve"> </v>
      </c>
      <c r="BX22" s="16" t="str">
        <f t="shared" si="49"/>
        <v xml:space="preserve"> </v>
      </c>
      <c r="BY22" s="16" t="str">
        <f t="shared" si="50"/>
        <v xml:space="preserve"> </v>
      </c>
      <c r="BZ22" s="16" t="str">
        <f t="shared" si="51"/>
        <v xml:space="preserve"> </v>
      </c>
      <c r="CA22" s="16" t="str">
        <f t="shared" si="52"/>
        <v xml:space="preserve"> </v>
      </c>
      <c r="CB22" s="16" t="str">
        <f t="shared" si="53"/>
        <v xml:space="preserve"> </v>
      </c>
      <c r="CC22" s="13" t="str">
        <f t="shared" si="54"/>
        <v xml:space="preserve"> </v>
      </c>
      <c r="CD22" s="13" t="str">
        <f t="shared" si="55"/>
        <v>menyatakan pecahan ke bentuk desimal dan persen</v>
      </c>
      <c r="CE22" s="13" t="str">
        <f t="shared" si="56"/>
        <v xml:space="preserve"> </v>
      </c>
      <c r="CF22" s="13" t="str">
        <f t="shared" si="57"/>
        <v xml:space="preserve"> </v>
      </c>
      <c r="CG22" s="13" t="str">
        <f t="shared" si="58"/>
        <v xml:space="preserve"> </v>
      </c>
      <c r="CH22" s="13" t="str">
        <f t="shared" si="59"/>
        <v xml:space="preserve"> </v>
      </c>
      <c r="CI22" s="13" t="str">
        <f t="shared" si="60"/>
        <v xml:space="preserve"> </v>
      </c>
      <c r="CJ22" s="13" t="str">
        <f t="shared" si="61"/>
        <v xml:space="preserve"> </v>
      </c>
      <c r="CK22" s="13" t="str">
        <f t="shared" si="62"/>
        <v xml:space="preserve"> </v>
      </c>
      <c r="CL22" s="13" t="str">
        <f t="shared" si="63"/>
        <v xml:space="preserve"> </v>
      </c>
      <c r="CM22" s="13" t="str">
        <f t="shared" si="64"/>
        <v xml:space="preserve"> </v>
      </c>
      <c r="CN22" s="13" t="str">
        <f t="shared" si="65"/>
        <v xml:space="preserve"> </v>
      </c>
      <c r="CO22" s="14"/>
    </row>
    <row r="23" spans="1:93" ht="90">
      <c r="A23" s="38">
        <v>19</v>
      </c>
      <c r="B23" s="39" t="str">
        <f>SISWA!B24</f>
        <v>1718250040323</v>
      </c>
      <c r="C23" s="40" t="str">
        <f>SISWA!E24</f>
        <v>JORDY</v>
      </c>
      <c r="D23" s="6">
        <v>99</v>
      </c>
      <c r="E23" s="7">
        <v>56</v>
      </c>
      <c r="F23" s="7">
        <v>90</v>
      </c>
      <c r="G23" s="7">
        <v>78</v>
      </c>
      <c r="H23" s="7">
        <v>65</v>
      </c>
      <c r="I23" s="6">
        <v>67</v>
      </c>
      <c r="J23" s="6">
        <v>90</v>
      </c>
      <c r="K23" s="6">
        <v>89</v>
      </c>
      <c r="L23" s="6">
        <v>87</v>
      </c>
      <c r="M23" s="7">
        <v>76</v>
      </c>
      <c r="N23" s="7">
        <v>87</v>
      </c>
      <c r="O23" s="6">
        <v>79</v>
      </c>
      <c r="P23" s="8">
        <f t="shared" si="2"/>
        <v>80.25</v>
      </c>
      <c r="Q23" s="9" t="str">
        <f t="shared" si="3"/>
        <v>B</v>
      </c>
      <c r="R23" s="29">
        <f t="shared" si="4"/>
        <v>3.96</v>
      </c>
      <c r="S23" s="29">
        <f t="shared" si="4"/>
        <v>2.2400000000000002</v>
      </c>
      <c r="T23" s="29">
        <f t="shared" si="4"/>
        <v>3.6</v>
      </c>
      <c r="U23" s="29">
        <f t="shared" si="4"/>
        <v>3.12</v>
      </c>
      <c r="V23" s="29">
        <f t="shared" si="4"/>
        <v>2.6</v>
      </c>
      <c r="W23" s="29">
        <f t="shared" si="4"/>
        <v>2.68</v>
      </c>
      <c r="X23" s="29">
        <f t="shared" si="4"/>
        <v>3.6</v>
      </c>
      <c r="Y23" s="29">
        <f t="shared" si="4"/>
        <v>3.56</v>
      </c>
      <c r="Z23" s="29">
        <f t="shared" si="4"/>
        <v>3.48</v>
      </c>
      <c r="AA23" s="29">
        <f t="shared" si="4"/>
        <v>3.04</v>
      </c>
      <c r="AB23" s="29">
        <f t="shared" si="4"/>
        <v>3.48</v>
      </c>
      <c r="AC23" s="29">
        <f t="shared" si="4"/>
        <v>3.16</v>
      </c>
      <c r="AD23" s="10"/>
      <c r="AE23" s="11" t="str">
        <f t="shared" si="5"/>
        <v>4</v>
      </c>
      <c r="AF23" s="11" t="str">
        <f t="shared" si="6"/>
        <v>0</v>
      </c>
      <c r="AG23" s="35">
        <f t="shared" si="7"/>
        <v>4</v>
      </c>
      <c r="AH23" s="35" t="str">
        <f t="shared" si="8"/>
        <v>0</v>
      </c>
      <c r="AI23" s="35" t="str">
        <f t="shared" si="9"/>
        <v>1</v>
      </c>
      <c r="AJ23" s="35">
        <f t="shared" si="10"/>
        <v>1</v>
      </c>
      <c r="AK23" s="35" t="str">
        <f t="shared" si="11"/>
        <v>0</v>
      </c>
      <c r="AL23" s="35" t="str">
        <f t="shared" si="12"/>
        <v>0</v>
      </c>
      <c r="AM23" s="35">
        <f t="shared" si="13"/>
        <v>0</v>
      </c>
      <c r="AN23" s="35" t="str">
        <f t="shared" si="14"/>
        <v>0</v>
      </c>
      <c r="AO23" s="35" t="str">
        <f t="shared" si="15"/>
        <v>0</v>
      </c>
      <c r="AP23" s="35">
        <f t="shared" si="16"/>
        <v>0</v>
      </c>
      <c r="AQ23" s="35" t="str">
        <f t="shared" si="17"/>
        <v>0</v>
      </c>
      <c r="AR23" s="35" t="str">
        <f t="shared" si="18"/>
        <v>0</v>
      </c>
      <c r="AS23" s="35">
        <f t="shared" si="19"/>
        <v>0</v>
      </c>
      <c r="AT23" s="35" t="str">
        <f t="shared" si="20"/>
        <v>0</v>
      </c>
      <c r="AU23" s="35" t="str">
        <f t="shared" si="21"/>
        <v>0</v>
      </c>
      <c r="AV23" s="35">
        <f t="shared" si="22"/>
        <v>0</v>
      </c>
      <c r="AW23" s="35" t="str">
        <f t="shared" si="23"/>
        <v>0</v>
      </c>
      <c r="AX23" s="35" t="str">
        <f t="shared" si="24"/>
        <v>0</v>
      </c>
      <c r="AY23" s="35">
        <f t="shared" si="25"/>
        <v>0</v>
      </c>
      <c r="AZ23" s="35" t="str">
        <f t="shared" si="26"/>
        <v>0</v>
      </c>
      <c r="BA23" s="35" t="str">
        <f t="shared" si="27"/>
        <v>0</v>
      </c>
      <c r="BB23" s="35">
        <f t="shared" si="28"/>
        <v>0</v>
      </c>
      <c r="BC23" s="35" t="str">
        <f t="shared" si="29"/>
        <v>0</v>
      </c>
      <c r="BD23" s="35" t="str">
        <f t="shared" si="30"/>
        <v>0</v>
      </c>
      <c r="BE23" s="35">
        <f t="shared" si="31"/>
        <v>0</v>
      </c>
      <c r="BF23" s="35" t="str">
        <f t="shared" si="32"/>
        <v>0</v>
      </c>
      <c r="BG23" s="35" t="str">
        <f t="shared" si="33"/>
        <v>0</v>
      </c>
      <c r="BH23" s="35">
        <f t="shared" si="34"/>
        <v>0</v>
      </c>
      <c r="BI23" s="35" t="str">
        <f t="shared" si="35"/>
        <v>0</v>
      </c>
      <c r="BJ23" s="35" t="str">
        <f t="shared" si="36"/>
        <v>0</v>
      </c>
      <c r="BK23" s="35">
        <f t="shared" si="37"/>
        <v>0</v>
      </c>
      <c r="BL23" s="35" t="str">
        <f t="shared" si="38"/>
        <v>0</v>
      </c>
      <c r="BM23" s="35" t="str">
        <f t="shared" si="39"/>
        <v>0</v>
      </c>
      <c r="BN23" s="35">
        <f t="shared" si="40"/>
        <v>0</v>
      </c>
      <c r="BO23" s="43" t="str">
        <f t="shared" si="41"/>
        <v xml:space="preserve">JORDY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23" s="12"/>
      <c r="BQ23" s="15" t="str">
        <f t="shared" si="42"/>
        <v>mengemukakan kembali dengan kalimat sendiri, membuat model matematika dan memilih strategi yang efektif dalam memecahkan masalah nyata sehari-hari yang berkaitan dengan KPK dan FPB, satuan kuantitas, desimal dan persen, serta memeriksa kebenarannya</v>
      </c>
      <c r="BR23" s="16" t="str">
        <f t="shared" si="43"/>
        <v xml:space="preserve"> </v>
      </c>
      <c r="BS23" s="16" t="str">
        <f t="shared" si="44"/>
        <v xml:space="preserve"> </v>
      </c>
      <c r="BT23" s="16" t="str">
        <f t="shared" si="45"/>
        <v xml:space="preserve"> </v>
      </c>
      <c r="BU23" s="16" t="str">
        <f t="shared" si="46"/>
        <v xml:space="preserve"> </v>
      </c>
      <c r="BV23" s="16" t="str">
        <f t="shared" si="47"/>
        <v xml:space="preserve"> </v>
      </c>
      <c r="BW23" s="16" t="str">
        <f t="shared" si="48"/>
        <v xml:space="preserve"> </v>
      </c>
      <c r="BX23" s="16" t="str">
        <f t="shared" si="49"/>
        <v xml:space="preserve"> </v>
      </c>
      <c r="BY23" s="16" t="str">
        <f t="shared" si="50"/>
        <v xml:space="preserve"> </v>
      </c>
      <c r="BZ23" s="16" t="str">
        <f t="shared" si="51"/>
        <v xml:space="preserve"> </v>
      </c>
      <c r="CA23" s="16" t="str">
        <f t="shared" si="52"/>
        <v xml:space="preserve"> </v>
      </c>
      <c r="CB23" s="16" t="str">
        <f t="shared" si="53"/>
        <v xml:space="preserve"> </v>
      </c>
      <c r="CC23" s="13" t="str">
        <f t="shared" si="54"/>
        <v xml:space="preserve"> </v>
      </c>
      <c r="CD23" s="13" t="str">
        <f t="shared" si="55"/>
        <v>menyatakan pecahan ke bentuk desimal dan persen</v>
      </c>
      <c r="CE23" s="13" t="str">
        <f t="shared" si="56"/>
        <v xml:space="preserve"> </v>
      </c>
      <c r="CF23" s="13" t="str">
        <f t="shared" si="57"/>
        <v xml:space="preserve"> </v>
      </c>
      <c r="CG23" s="13" t="str">
        <f t="shared" si="58"/>
        <v xml:space="preserve"> </v>
      </c>
      <c r="CH23" s="13" t="str">
        <f t="shared" si="59"/>
        <v xml:space="preserve"> </v>
      </c>
      <c r="CI23" s="13" t="str">
        <f t="shared" si="60"/>
        <v xml:space="preserve"> </v>
      </c>
      <c r="CJ23" s="13" t="str">
        <f t="shared" si="61"/>
        <v xml:space="preserve"> </v>
      </c>
      <c r="CK23" s="13" t="str">
        <f t="shared" si="62"/>
        <v xml:space="preserve"> </v>
      </c>
      <c r="CL23" s="13" t="str">
        <f t="shared" si="63"/>
        <v xml:space="preserve"> </v>
      </c>
      <c r="CM23" s="13" t="str">
        <f t="shared" si="64"/>
        <v xml:space="preserve"> </v>
      </c>
      <c r="CN23" s="13" t="str">
        <f t="shared" si="65"/>
        <v xml:space="preserve"> </v>
      </c>
      <c r="CO23" s="14"/>
    </row>
    <row r="24" spans="1:93" ht="90">
      <c r="A24" s="38">
        <v>20</v>
      </c>
      <c r="B24" s="39" t="str">
        <f>SISWA!B25</f>
        <v>1718250040324</v>
      </c>
      <c r="C24" s="40" t="str">
        <f>SISWA!E25</f>
        <v>KURNIA</v>
      </c>
      <c r="D24" s="6">
        <v>99</v>
      </c>
      <c r="E24" s="7">
        <v>56</v>
      </c>
      <c r="F24" s="7">
        <v>90</v>
      </c>
      <c r="G24" s="7">
        <v>78</v>
      </c>
      <c r="H24" s="7">
        <v>65</v>
      </c>
      <c r="I24" s="6">
        <v>67</v>
      </c>
      <c r="J24" s="6">
        <v>90</v>
      </c>
      <c r="K24" s="6">
        <v>89</v>
      </c>
      <c r="L24" s="6">
        <v>87</v>
      </c>
      <c r="M24" s="7">
        <v>76</v>
      </c>
      <c r="N24" s="7">
        <v>87</v>
      </c>
      <c r="O24" s="6">
        <v>79</v>
      </c>
      <c r="P24" s="8">
        <f t="shared" si="2"/>
        <v>80.25</v>
      </c>
      <c r="Q24" s="9" t="str">
        <f t="shared" si="3"/>
        <v>B</v>
      </c>
      <c r="R24" s="29">
        <f t="shared" si="4"/>
        <v>3.96</v>
      </c>
      <c r="S24" s="29">
        <f t="shared" si="4"/>
        <v>2.2400000000000002</v>
      </c>
      <c r="T24" s="29">
        <f t="shared" si="4"/>
        <v>3.6</v>
      </c>
      <c r="U24" s="29">
        <f t="shared" si="4"/>
        <v>3.12</v>
      </c>
      <c r="V24" s="29">
        <f t="shared" si="4"/>
        <v>2.6</v>
      </c>
      <c r="W24" s="29">
        <f t="shared" si="4"/>
        <v>2.68</v>
      </c>
      <c r="X24" s="29">
        <f t="shared" si="4"/>
        <v>3.6</v>
      </c>
      <c r="Y24" s="29">
        <f t="shared" si="4"/>
        <v>3.56</v>
      </c>
      <c r="Z24" s="29">
        <f t="shared" si="4"/>
        <v>3.48</v>
      </c>
      <c r="AA24" s="29">
        <f t="shared" si="4"/>
        <v>3.04</v>
      </c>
      <c r="AB24" s="29">
        <f t="shared" si="4"/>
        <v>3.48</v>
      </c>
      <c r="AC24" s="29">
        <f t="shared" si="4"/>
        <v>3.16</v>
      </c>
      <c r="AD24" s="10"/>
      <c r="AE24" s="11" t="str">
        <f t="shared" si="5"/>
        <v>4</v>
      </c>
      <c r="AF24" s="11" t="str">
        <f t="shared" si="6"/>
        <v>0</v>
      </c>
      <c r="AG24" s="35">
        <f t="shared" si="7"/>
        <v>4</v>
      </c>
      <c r="AH24" s="35" t="str">
        <f t="shared" si="8"/>
        <v>0</v>
      </c>
      <c r="AI24" s="35" t="str">
        <f t="shared" si="9"/>
        <v>1</v>
      </c>
      <c r="AJ24" s="35">
        <f t="shared" si="10"/>
        <v>1</v>
      </c>
      <c r="AK24" s="35" t="str">
        <f t="shared" si="11"/>
        <v>0</v>
      </c>
      <c r="AL24" s="35" t="str">
        <f t="shared" si="12"/>
        <v>0</v>
      </c>
      <c r="AM24" s="35">
        <f t="shared" si="13"/>
        <v>0</v>
      </c>
      <c r="AN24" s="35" t="str">
        <f t="shared" si="14"/>
        <v>0</v>
      </c>
      <c r="AO24" s="35" t="str">
        <f t="shared" si="15"/>
        <v>0</v>
      </c>
      <c r="AP24" s="35">
        <f t="shared" si="16"/>
        <v>0</v>
      </c>
      <c r="AQ24" s="35" t="str">
        <f t="shared" si="17"/>
        <v>0</v>
      </c>
      <c r="AR24" s="35" t="str">
        <f t="shared" si="18"/>
        <v>0</v>
      </c>
      <c r="AS24" s="35">
        <f t="shared" si="19"/>
        <v>0</v>
      </c>
      <c r="AT24" s="35" t="str">
        <f t="shared" si="20"/>
        <v>0</v>
      </c>
      <c r="AU24" s="35" t="str">
        <f t="shared" si="21"/>
        <v>0</v>
      </c>
      <c r="AV24" s="35">
        <f t="shared" si="22"/>
        <v>0</v>
      </c>
      <c r="AW24" s="35" t="str">
        <f t="shared" si="23"/>
        <v>0</v>
      </c>
      <c r="AX24" s="35" t="str">
        <f t="shared" si="24"/>
        <v>0</v>
      </c>
      <c r="AY24" s="35">
        <f t="shared" si="25"/>
        <v>0</v>
      </c>
      <c r="AZ24" s="35" t="str">
        <f t="shared" si="26"/>
        <v>0</v>
      </c>
      <c r="BA24" s="35" t="str">
        <f t="shared" si="27"/>
        <v>0</v>
      </c>
      <c r="BB24" s="35">
        <f t="shared" si="28"/>
        <v>0</v>
      </c>
      <c r="BC24" s="35" t="str">
        <f t="shared" si="29"/>
        <v>0</v>
      </c>
      <c r="BD24" s="35" t="str">
        <f t="shared" si="30"/>
        <v>0</v>
      </c>
      <c r="BE24" s="35">
        <f t="shared" si="31"/>
        <v>0</v>
      </c>
      <c r="BF24" s="35" t="str">
        <f t="shared" si="32"/>
        <v>0</v>
      </c>
      <c r="BG24" s="35" t="str">
        <f t="shared" si="33"/>
        <v>0</v>
      </c>
      <c r="BH24" s="35">
        <f t="shared" si="34"/>
        <v>0</v>
      </c>
      <c r="BI24" s="35" t="str">
        <f t="shared" si="35"/>
        <v>0</v>
      </c>
      <c r="BJ24" s="35" t="str">
        <f t="shared" si="36"/>
        <v>0</v>
      </c>
      <c r="BK24" s="35">
        <f t="shared" si="37"/>
        <v>0</v>
      </c>
      <c r="BL24" s="35" t="str">
        <f t="shared" si="38"/>
        <v>0</v>
      </c>
      <c r="BM24" s="35" t="str">
        <f t="shared" si="39"/>
        <v>0</v>
      </c>
      <c r="BN24" s="35">
        <f t="shared" si="40"/>
        <v>0</v>
      </c>
      <c r="BO24" s="43" t="str">
        <f t="shared" si="41"/>
        <v xml:space="preserve">KURNIA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24" s="12"/>
      <c r="BQ24" s="15" t="str">
        <f t="shared" si="42"/>
        <v>mengemukakan kembali dengan kalimat sendiri, membuat model matematika dan memilih strategi yang efektif dalam memecahkan masalah nyata sehari-hari yang berkaitan dengan KPK dan FPB, satuan kuantitas, desimal dan persen, serta memeriksa kebenarannya</v>
      </c>
      <c r="BR24" s="16" t="str">
        <f t="shared" si="43"/>
        <v xml:space="preserve"> </v>
      </c>
      <c r="BS24" s="16" t="str">
        <f t="shared" si="44"/>
        <v xml:space="preserve"> </v>
      </c>
      <c r="BT24" s="16" t="str">
        <f t="shared" si="45"/>
        <v xml:space="preserve"> </v>
      </c>
      <c r="BU24" s="16" t="str">
        <f t="shared" si="46"/>
        <v xml:space="preserve"> </v>
      </c>
      <c r="BV24" s="16" t="str">
        <f t="shared" si="47"/>
        <v xml:space="preserve"> </v>
      </c>
      <c r="BW24" s="16" t="str">
        <f t="shared" si="48"/>
        <v xml:space="preserve"> </v>
      </c>
      <c r="BX24" s="16" t="str">
        <f t="shared" si="49"/>
        <v xml:space="preserve"> </v>
      </c>
      <c r="BY24" s="16" t="str">
        <f t="shared" si="50"/>
        <v xml:space="preserve"> </v>
      </c>
      <c r="BZ24" s="16" t="str">
        <f t="shared" si="51"/>
        <v xml:space="preserve"> </v>
      </c>
      <c r="CA24" s="16" t="str">
        <f t="shared" si="52"/>
        <v xml:space="preserve"> </v>
      </c>
      <c r="CB24" s="16" t="str">
        <f t="shared" si="53"/>
        <v xml:space="preserve"> </v>
      </c>
      <c r="CC24" s="13" t="str">
        <f t="shared" si="54"/>
        <v xml:space="preserve"> </v>
      </c>
      <c r="CD24" s="13" t="str">
        <f t="shared" si="55"/>
        <v>menyatakan pecahan ke bentuk desimal dan persen</v>
      </c>
      <c r="CE24" s="13" t="str">
        <f t="shared" si="56"/>
        <v xml:space="preserve"> </v>
      </c>
      <c r="CF24" s="13" t="str">
        <f t="shared" si="57"/>
        <v xml:space="preserve"> </v>
      </c>
      <c r="CG24" s="13" t="str">
        <f t="shared" si="58"/>
        <v xml:space="preserve"> </v>
      </c>
      <c r="CH24" s="13" t="str">
        <f t="shared" si="59"/>
        <v xml:space="preserve"> </v>
      </c>
      <c r="CI24" s="13" t="str">
        <f t="shared" si="60"/>
        <v xml:space="preserve"> </v>
      </c>
      <c r="CJ24" s="13" t="str">
        <f t="shared" si="61"/>
        <v xml:space="preserve"> </v>
      </c>
      <c r="CK24" s="13" t="str">
        <f t="shared" si="62"/>
        <v xml:space="preserve"> </v>
      </c>
      <c r="CL24" s="13" t="str">
        <f t="shared" si="63"/>
        <v xml:space="preserve"> </v>
      </c>
      <c r="CM24" s="13" t="str">
        <f t="shared" si="64"/>
        <v xml:space="preserve"> </v>
      </c>
      <c r="CN24" s="13" t="str">
        <f t="shared" si="65"/>
        <v xml:space="preserve"> </v>
      </c>
      <c r="CO24" s="14"/>
    </row>
    <row r="25" spans="1:93" ht="90">
      <c r="A25" s="38">
        <v>21</v>
      </c>
      <c r="B25" s="39" t="str">
        <f>SISWA!B26</f>
        <v>1718250040325</v>
      </c>
      <c r="C25" s="40" t="str">
        <f>SISWA!E26</f>
        <v>LATIZA</v>
      </c>
      <c r="D25" s="6">
        <v>99</v>
      </c>
      <c r="E25" s="7">
        <v>56</v>
      </c>
      <c r="F25" s="7">
        <v>90</v>
      </c>
      <c r="G25" s="7">
        <v>78</v>
      </c>
      <c r="H25" s="7">
        <v>65</v>
      </c>
      <c r="I25" s="6">
        <v>67</v>
      </c>
      <c r="J25" s="6">
        <v>90</v>
      </c>
      <c r="K25" s="6">
        <v>89</v>
      </c>
      <c r="L25" s="6">
        <v>87</v>
      </c>
      <c r="M25" s="7">
        <v>76</v>
      </c>
      <c r="N25" s="7">
        <v>87</v>
      </c>
      <c r="O25" s="6">
        <v>79</v>
      </c>
      <c r="P25" s="8">
        <f t="shared" si="2"/>
        <v>80.25</v>
      </c>
      <c r="Q25" s="9" t="str">
        <f t="shared" si="3"/>
        <v>B</v>
      </c>
      <c r="R25" s="29">
        <f t="shared" si="4"/>
        <v>3.96</v>
      </c>
      <c r="S25" s="29">
        <f t="shared" si="4"/>
        <v>2.2400000000000002</v>
      </c>
      <c r="T25" s="29">
        <f t="shared" si="4"/>
        <v>3.6</v>
      </c>
      <c r="U25" s="29">
        <f t="shared" si="4"/>
        <v>3.12</v>
      </c>
      <c r="V25" s="29">
        <f t="shared" si="4"/>
        <v>2.6</v>
      </c>
      <c r="W25" s="29">
        <f t="shared" si="4"/>
        <v>2.68</v>
      </c>
      <c r="X25" s="29">
        <f t="shared" si="4"/>
        <v>3.6</v>
      </c>
      <c r="Y25" s="29">
        <f t="shared" si="4"/>
        <v>3.56</v>
      </c>
      <c r="Z25" s="29">
        <f t="shared" si="4"/>
        <v>3.48</v>
      </c>
      <c r="AA25" s="29">
        <f t="shared" si="4"/>
        <v>3.04</v>
      </c>
      <c r="AB25" s="29">
        <f t="shared" si="4"/>
        <v>3.48</v>
      </c>
      <c r="AC25" s="29">
        <f t="shared" si="4"/>
        <v>3.16</v>
      </c>
      <c r="AD25" s="10"/>
      <c r="AE25" s="11" t="str">
        <f t="shared" si="5"/>
        <v>4</v>
      </c>
      <c r="AF25" s="11" t="str">
        <f t="shared" si="6"/>
        <v>0</v>
      </c>
      <c r="AG25" s="35">
        <f t="shared" si="7"/>
        <v>4</v>
      </c>
      <c r="AH25" s="35" t="str">
        <f t="shared" si="8"/>
        <v>0</v>
      </c>
      <c r="AI25" s="35" t="str">
        <f t="shared" si="9"/>
        <v>1</v>
      </c>
      <c r="AJ25" s="35">
        <f t="shared" si="10"/>
        <v>1</v>
      </c>
      <c r="AK25" s="35" t="str">
        <f t="shared" si="11"/>
        <v>0</v>
      </c>
      <c r="AL25" s="35" t="str">
        <f t="shared" si="12"/>
        <v>0</v>
      </c>
      <c r="AM25" s="35">
        <f t="shared" si="13"/>
        <v>0</v>
      </c>
      <c r="AN25" s="35" t="str">
        <f t="shared" si="14"/>
        <v>0</v>
      </c>
      <c r="AO25" s="35" t="str">
        <f t="shared" si="15"/>
        <v>0</v>
      </c>
      <c r="AP25" s="35">
        <f t="shared" si="16"/>
        <v>0</v>
      </c>
      <c r="AQ25" s="35" t="str">
        <f t="shared" si="17"/>
        <v>0</v>
      </c>
      <c r="AR25" s="35" t="str">
        <f t="shared" si="18"/>
        <v>0</v>
      </c>
      <c r="AS25" s="35">
        <f t="shared" si="19"/>
        <v>0</v>
      </c>
      <c r="AT25" s="35" t="str">
        <f t="shared" si="20"/>
        <v>0</v>
      </c>
      <c r="AU25" s="35" t="str">
        <f t="shared" si="21"/>
        <v>0</v>
      </c>
      <c r="AV25" s="35">
        <f t="shared" si="22"/>
        <v>0</v>
      </c>
      <c r="AW25" s="35" t="str">
        <f t="shared" si="23"/>
        <v>0</v>
      </c>
      <c r="AX25" s="35" t="str">
        <f t="shared" si="24"/>
        <v>0</v>
      </c>
      <c r="AY25" s="35">
        <f t="shared" si="25"/>
        <v>0</v>
      </c>
      <c r="AZ25" s="35" t="str">
        <f t="shared" si="26"/>
        <v>0</v>
      </c>
      <c r="BA25" s="35" t="str">
        <f t="shared" si="27"/>
        <v>0</v>
      </c>
      <c r="BB25" s="35">
        <f t="shared" si="28"/>
        <v>0</v>
      </c>
      <c r="BC25" s="35" t="str">
        <f t="shared" si="29"/>
        <v>0</v>
      </c>
      <c r="BD25" s="35" t="str">
        <f t="shared" si="30"/>
        <v>0</v>
      </c>
      <c r="BE25" s="35">
        <f t="shared" si="31"/>
        <v>0</v>
      </c>
      <c r="BF25" s="35" t="str">
        <f t="shared" si="32"/>
        <v>0</v>
      </c>
      <c r="BG25" s="35" t="str">
        <f t="shared" si="33"/>
        <v>0</v>
      </c>
      <c r="BH25" s="35">
        <f t="shared" si="34"/>
        <v>0</v>
      </c>
      <c r="BI25" s="35" t="str">
        <f t="shared" si="35"/>
        <v>0</v>
      </c>
      <c r="BJ25" s="35" t="str">
        <f t="shared" si="36"/>
        <v>0</v>
      </c>
      <c r="BK25" s="35">
        <f t="shared" si="37"/>
        <v>0</v>
      </c>
      <c r="BL25" s="35" t="str">
        <f t="shared" si="38"/>
        <v>0</v>
      </c>
      <c r="BM25" s="35" t="str">
        <f t="shared" si="39"/>
        <v>0</v>
      </c>
      <c r="BN25" s="35">
        <f t="shared" si="40"/>
        <v>0</v>
      </c>
      <c r="BO25" s="43" t="str">
        <f t="shared" si="41"/>
        <v xml:space="preserve">LATIZA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25" s="12"/>
      <c r="BQ25" s="15" t="str">
        <f t="shared" si="42"/>
        <v>mengemukakan kembali dengan kalimat sendiri, membuat model matematika dan memilih strategi yang efektif dalam memecahkan masalah nyata sehari-hari yang berkaitan dengan KPK dan FPB, satuan kuantitas, desimal dan persen, serta memeriksa kebenarannya</v>
      </c>
      <c r="BR25" s="16" t="str">
        <f t="shared" si="43"/>
        <v xml:space="preserve"> </v>
      </c>
      <c r="BS25" s="16" t="str">
        <f t="shared" si="44"/>
        <v xml:space="preserve"> </v>
      </c>
      <c r="BT25" s="16" t="str">
        <f t="shared" si="45"/>
        <v xml:space="preserve"> </v>
      </c>
      <c r="BU25" s="16" t="str">
        <f t="shared" si="46"/>
        <v xml:space="preserve"> </v>
      </c>
      <c r="BV25" s="16" t="str">
        <f t="shared" si="47"/>
        <v xml:space="preserve"> </v>
      </c>
      <c r="BW25" s="16" t="str">
        <f t="shared" si="48"/>
        <v xml:space="preserve"> </v>
      </c>
      <c r="BX25" s="16" t="str">
        <f t="shared" si="49"/>
        <v xml:space="preserve"> </v>
      </c>
      <c r="BY25" s="16" t="str">
        <f t="shared" si="50"/>
        <v xml:space="preserve"> </v>
      </c>
      <c r="BZ25" s="16" t="str">
        <f t="shared" si="51"/>
        <v xml:space="preserve"> </v>
      </c>
      <c r="CA25" s="16" t="str">
        <f t="shared" si="52"/>
        <v xml:space="preserve"> </v>
      </c>
      <c r="CB25" s="16" t="str">
        <f t="shared" si="53"/>
        <v xml:space="preserve"> </v>
      </c>
      <c r="CC25" s="13" t="str">
        <f t="shared" si="54"/>
        <v xml:space="preserve"> </v>
      </c>
      <c r="CD25" s="13" t="str">
        <f t="shared" si="55"/>
        <v>menyatakan pecahan ke bentuk desimal dan persen</v>
      </c>
      <c r="CE25" s="13" t="str">
        <f t="shared" si="56"/>
        <v xml:space="preserve"> </v>
      </c>
      <c r="CF25" s="13" t="str">
        <f t="shared" si="57"/>
        <v xml:space="preserve"> </v>
      </c>
      <c r="CG25" s="13" t="str">
        <f t="shared" si="58"/>
        <v xml:space="preserve"> </v>
      </c>
      <c r="CH25" s="13" t="str">
        <f t="shared" si="59"/>
        <v xml:space="preserve"> </v>
      </c>
      <c r="CI25" s="13" t="str">
        <f t="shared" si="60"/>
        <v xml:space="preserve"> </v>
      </c>
      <c r="CJ25" s="13" t="str">
        <f t="shared" si="61"/>
        <v xml:space="preserve"> </v>
      </c>
      <c r="CK25" s="13" t="str">
        <f t="shared" si="62"/>
        <v xml:space="preserve"> </v>
      </c>
      <c r="CL25" s="13" t="str">
        <f t="shared" si="63"/>
        <v xml:space="preserve"> </v>
      </c>
      <c r="CM25" s="13" t="str">
        <f t="shared" si="64"/>
        <v xml:space="preserve"> </v>
      </c>
      <c r="CN25" s="13" t="str">
        <f t="shared" si="65"/>
        <v xml:space="preserve"> </v>
      </c>
      <c r="CO25" s="14"/>
    </row>
    <row r="26" spans="1:93" ht="90">
      <c r="A26" s="38">
        <v>22</v>
      </c>
      <c r="B26" s="39" t="str">
        <f>SISWA!B27</f>
        <v>1718250040326</v>
      </c>
      <c r="C26" s="40" t="str">
        <f>SISWA!E27</f>
        <v>RIZKY</v>
      </c>
      <c r="D26" s="6">
        <v>99</v>
      </c>
      <c r="E26" s="7">
        <v>56</v>
      </c>
      <c r="F26" s="7">
        <v>90</v>
      </c>
      <c r="G26" s="7">
        <v>78</v>
      </c>
      <c r="H26" s="7">
        <v>65</v>
      </c>
      <c r="I26" s="6">
        <v>67</v>
      </c>
      <c r="J26" s="6">
        <v>90</v>
      </c>
      <c r="K26" s="6">
        <v>89</v>
      </c>
      <c r="L26" s="6">
        <v>87</v>
      </c>
      <c r="M26" s="7">
        <v>76</v>
      </c>
      <c r="N26" s="7">
        <v>87</v>
      </c>
      <c r="O26" s="6">
        <v>79</v>
      </c>
      <c r="P26" s="8">
        <f t="shared" si="2"/>
        <v>80.25</v>
      </c>
      <c r="Q26" s="9" t="str">
        <f t="shared" si="3"/>
        <v>B</v>
      </c>
      <c r="R26" s="29">
        <f t="shared" si="4"/>
        <v>3.96</v>
      </c>
      <c r="S26" s="29">
        <f t="shared" si="4"/>
        <v>2.2400000000000002</v>
      </c>
      <c r="T26" s="29">
        <f t="shared" si="4"/>
        <v>3.6</v>
      </c>
      <c r="U26" s="29">
        <f t="shared" si="4"/>
        <v>3.12</v>
      </c>
      <c r="V26" s="29">
        <f t="shared" si="4"/>
        <v>2.6</v>
      </c>
      <c r="W26" s="29">
        <f t="shared" si="4"/>
        <v>2.68</v>
      </c>
      <c r="X26" s="29">
        <f t="shared" si="4"/>
        <v>3.6</v>
      </c>
      <c r="Y26" s="29">
        <f t="shared" si="4"/>
        <v>3.56</v>
      </c>
      <c r="Z26" s="29">
        <f t="shared" si="4"/>
        <v>3.48</v>
      </c>
      <c r="AA26" s="29">
        <f t="shared" si="4"/>
        <v>3.04</v>
      </c>
      <c r="AB26" s="29">
        <f t="shared" si="4"/>
        <v>3.48</v>
      </c>
      <c r="AC26" s="29">
        <f t="shared" si="4"/>
        <v>3.16</v>
      </c>
      <c r="AD26" s="10"/>
      <c r="AE26" s="11" t="str">
        <f t="shared" si="5"/>
        <v>4</v>
      </c>
      <c r="AF26" s="11" t="str">
        <f t="shared" si="6"/>
        <v>0</v>
      </c>
      <c r="AG26" s="35">
        <f t="shared" si="7"/>
        <v>4</v>
      </c>
      <c r="AH26" s="35" t="str">
        <f t="shared" si="8"/>
        <v>0</v>
      </c>
      <c r="AI26" s="35" t="str">
        <f t="shared" si="9"/>
        <v>1</v>
      </c>
      <c r="AJ26" s="35">
        <f t="shared" si="10"/>
        <v>1</v>
      </c>
      <c r="AK26" s="35" t="str">
        <f t="shared" si="11"/>
        <v>0</v>
      </c>
      <c r="AL26" s="35" t="str">
        <f t="shared" si="12"/>
        <v>0</v>
      </c>
      <c r="AM26" s="35">
        <f t="shared" si="13"/>
        <v>0</v>
      </c>
      <c r="AN26" s="35" t="str">
        <f t="shared" si="14"/>
        <v>0</v>
      </c>
      <c r="AO26" s="35" t="str">
        <f t="shared" si="15"/>
        <v>0</v>
      </c>
      <c r="AP26" s="35">
        <f t="shared" si="16"/>
        <v>0</v>
      </c>
      <c r="AQ26" s="35" t="str">
        <f t="shared" si="17"/>
        <v>0</v>
      </c>
      <c r="AR26" s="35" t="str">
        <f t="shared" si="18"/>
        <v>0</v>
      </c>
      <c r="AS26" s="35">
        <f t="shared" si="19"/>
        <v>0</v>
      </c>
      <c r="AT26" s="35" t="str">
        <f t="shared" si="20"/>
        <v>0</v>
      </c>
      <c r="AU26" s="35" t="str">
        <f t="shared" si="21"/>
        <v>0</v>
      </c>
      <c r="AV26" s="35">
        <f t="shared" si="22"/>
        <v>0</v>
      </c>
      <c r="AW26" s="35" t="str">
        <f t="shared" si="23"/>
        <v>0</v>
      </c>
      <c r="AX26" s="35" t="str">
        <f t="shared" si="24"/>
        <v>0</v>
      </c>
      <c r="AY26" s="35">
        <f t="shared" si="25"/>
        <v>0</v>
      </c>
      <c r="AZ26" s="35" t="str">
        <f t="shared" si="26"/>
        <v>0</v>
      </c>
      <c r="BA26" s="35" t="str">
        <f t="shared" si="27"/>
        <v>0</v>
      </c>
      <c r="BB26" s="35">
        <f t="shared" si="28"/>
        <v>0</v>
      </c>
      <c r="BC26" s="35" t="str">
        <f t="shared" si="29"/>
        <v>0</v>
      </c>
      <c r="BD26" s="35" t="str">
        <f t="shared" si="30"/>
        <v>0</v>
      </c>
      <c r="BE26" s="35">
        <f t="shared" si="31"/>
        <v>0</v>
      </c>
      <c r="BF26" s="35" t="str">
        <f t="shared" si="32"/>
        <v>0</v>
      </c>
      <c r="BG26" s="35" t="str">
        <f t="shared" si="33"/>
        <v>0</v>
      </c>
      <c r="BH26" s="35">
        <f t="shared" si="34"/>
        <v>0</v>
      </c>
      <c r="BI26" s="35" t="str">
        <f t="shared" si="35"/>
        <v>0</v>
      </c>
      <c r="BJ26" s="35" t="str">
        <f t="shared" si="36"/>
        <v>0</v>
      </c>
      <c r="BK26" s="35">
        <f t="shared" si="37"/>
        <v>0</v>
      </c>
      <c r="BL26" s="35" t="str">
        <f t="shared" si="38"/>
        <v>0</v>
      </c>
      <c r="BM26" s="35" t="str">
        <f t="shared" si="39"/>
        <v>0</v>
      </c>
      <c r="BN26" s="35">
        <f t="shared" si="40"/>
        <v>0</v>
      </c>
      <c r="BO26" s="43" t="str">
        <f t="shared" si="41"/>
        <v xml:space="preserve">RIZKY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26" s="12"/>
      <c r="BQ26" s="15" t="str">
        <f t="shared" si="42"/>
        <v>mengemukakan kembali dengan kalimat sendiri, membuat model matematika dan memilih strategi yang efektif dalam memecahkan masalah nyata sehari-hari yang berkaitan dengan KPK dan FPB, satuan kuantitas, desimal dan persen, serta memeriksa kebenarannya</v>
      </c>
      <c r="BR26" s="16" t="str">
        <f t="shared" si="43"/>
        <v xml:space="preserve"> </v>
      </c>
      <c r="BS26" s="16" t="str">
        <f t="shared" si="44"/>
        <v xml:space="preserve"> </v>
      </c>
      <c r="BT26" s="16" t="str">
        <f t="shared" si="45"/>
        <v xml:space="preserve"> </v>
      </c>
      <c r="BU26" s="16" t="str">
        <f t="shared" si="46"/>
        <v xml:space="preserve"> </v>
      </c>
      <c r="BV26" s="16" t="str">
        <f t="shared" si="47"/>
        <v xml:space="preserve"> </v>
      </c>
      <c r="BW26" s="16" t="str">
        <f t="shared" si="48"/>
        <v xml:space="preserve"> </v>
      </c>
      <c r="BX26" s="16" t="str">
        <f t="shared" si="49"/>
        <v xml:space="preserve"> </v>
      </c>
      <c r="BY26" s="16" t="str">
        <f t="shared" si="50"/>
        <v xml:space="preserve"> </v>
      </c>
      <c r="BZ26" s="16" t="str">
        <f t="shared" si="51"/>
        <v xml:space="preserve"> </v>
      </c>
      <c r="CA26" s="16" t="str">
        <f t="shared" si="52"/>
        <v xml:space="preserve"> </v>
      </c>
      <c r="CB26" s="16" t="str">
        <f t="shared" si="53"/>
        <v xml:space="preserve"> </v>
      </c>
      <c r="CC26" s="13" t="str">
        <f t="shared" si="54"/>
        <v xml:space="preserve"> </v>
      </c>
      <c r="CD26" s="13" t="str">
        <f t="shared" si="55"/>
        <v>menyatakan pecahan ke bentuk desimal dan persen</v>
      </c>
      <c r="CE26" s="13" t="str">
        <f t="shared" si="56"/>
        <v xml:space="preserve"> </v>
      </c>
      <c r="CF26" s="13" t="str">
        <f t="shared" si="57"/>
        <v xml:space="preserve"> </v>
      </c>
      <c r="CG26" s="13" t="str">
        <f t="shared" si="58"/>
        <v xml:space="preserve"> </v>
      </c>
      <c r="CH26" s="13" t="str">
        <f t="shared" si="59"/>
        <v xml:space="preserve"> </v>
      </c>
      <c r="CI26" s="13" t="str">
        <f t="shared" si="60"/>
        <v xml:space="preserve"> </v>
      </c>
      <c r="CJ26" s="13" t="str">
        <f t="shared" si="61"/>
        <v xml:space="preserve"> </v>
      </c>
      <c r="CK26" s="13" t="str">
        <f t="shared" si="62"/>
        <v xml:space="preserve"> </v>
      </c>
      <c r="CL26" s="13" t="str">
        <f t="shared" si="63"/>
        <v xml:space="preserve"> </v>
      </c>
      <c r="CM26" s="13" t="str">
        <f t="shared" si="64"/>
        <v xml:space="preserve"> </v>
      </c>
      <c r="CN26" s="13" t="str">
        <f t="shared" si="65"/>
        <v xml:space="preserve"> </v>
      </c>
      <c r="CO26" s="14"/>
    </row>
    <row r="27" spans="1:93" ht="90">
      <c r="A27" s="38">
        <v>23</v>
      </c>
      <c r="B27" s="39" t="str">
        <f>SISWA!B28</f>
        <v>1718250040327</v>
      </c>
      <c r="C27" s="40" t="str">
        <f>SISWA!E28</f>
        <v>RAMADHANDANI</v>
      </c>
      <c r="D27" s="6">
        <v>99</v>
      </c>
      <c r="E27" s="7">
        <v>56</v>
      </c>
      <c r="F27" s="7">
        <v>90</v>
      </c>
      <c r="G27" s="7">
        <v>78</v>
      </c>
      <c r="H27" s="7">
        <v>65</v>
      </c>
      <c r="I27" s="6">
        <v>67</v>
      </c>
      <c r="J27" s="6">
        <v>90</v>
      </c>
      <c r="K27" s="6">
        <v>89</v>
      </c>
      <c r="L27" s="6">
        <v>87</v>
      </c>
      <c r="M27" s="7">
        <v>76</v>
      </c>
      <c r="N27" s="7">
        <v>87</v>
      </c>
      <c r="O27" s="6">
        <v>79</v>
      </c>
      <c r="P27" s="8">
        <f t="shared" si="2"/>
        <v>80.25</v>
      </c>
      <c r="Q27" s="9" t="str">
        <f t="shared" si="3"/>
        <v>B</v>
      </c>
      <c r="R27" s="29">
        <f t="shared" si="4"/>
        <v>3.96</v>
      </c>
      <c r="S27" s="29">
        <f t="shared" si="4"/>
        <v>2.2400000000000002</v>
      </c>
      <c r="T27" s="29">
        <f t="shared" si="4"/>
        <v>3.6</v>
      </c>
      <c r="U27" s="29">
        <f t="shared" si="4"/>
        <v>3.12</v>
      </c>
      <c r="V27" s="29">
        <f t="shared" si="4"/>
        <v>2.6</v>
      </c>
      <c r="W27" s="29">
        <f t="shared" si="4"/>
        <v>2.68</v>
      </c>
      <c r="X27" s="29">
        <f t="shared" si="4"/>
        <v>3.6</v>
      </c>
      <c r="Y27" s="29">
        <f t="shared" si="4"/>
        <v>3.56</v>
      </c>
      <c r="Z27" s="29">
        <f t="shared" si="4"/>
        <v>3.48</v>
      </c>
      <c r="AA27" s="29">
        <f t="shared" si="4"/>
        <v>3.04</v>
      </c>
      <c r="AB27" s="29">
        <f t="shared" si="4"/>
        <v>3.48</v>
      </c>
      <c r="AC27" s="29">
        <f t="shared" si="4"/>
        <v>3.16</v>
      </c>
      <c r="AD27" s="10"/>
      <c r="AE27" s="11" t="str">
        <f t="shared" si="5"/>
        <v>4</v>
      </c>
      <c r="AF27" s="11" t="str">
        <f t="shared" si="6"/>
        <v>0</v>
      </c>
      <c r="AG27" s="35">
        <f t="shared" si="7"/>
        <v>4</v>
      </c>
      <c r="AH27" s="35" t="str">
        <f t="shared" si="8"/>
        <v>0</v>
      </c>
      <c r="AI27" s="35" t="str">
        <f t="shared" si="9"/>
        <v>1</v>
      </c>
      <c r="AJ27" s="35">
        <f t="shared" si="10"/>
        <v>1</v>
      </c>
      <c r="AK27" s="35" t="str">
        <f t="shared" si="11"/>
        <v>0</v>
      </c>
      <c r="AL27" s="35" t="str">
        <f t="shared" si="12"/>
        <v>0</v>
      </c>
      <c r="AM27" s="35">
        <f t="shared" si="13"/>
        <v>0</v>
      </c>
      <c r="AN27" s="35" t="str">
        <f t="shared" si="14"/>
        <v>0</v>
      </c>
      <c r="AO27" s="35" t="str">
        <f t="shared" si="15"/>
        <v>0</v>
      </c>
      <c r="AP27" s="35">
        <f t="shared" si="16"/>
        <v>0</v>
      </c>
      <c r="AQ27" s="35" t="str">
        <f t="shared" si="17"/>
        <v>0</v>
      </c>
      <c r="AR27" s="35" t="str">
        <f t="shared" si="18"/>
        <v>0</v>
      </c>
      <c r="AS27" s="35">
        <f t="shared" si="19"/>
        <v>0</v>
      </c>
      <c r="AT27" s="35" t="str">
        <f t="shared" si="20"/>
        <v>0</v>
      </c>
      <c r="AU27" s="35" t="str">
        <f t="shared" si="21"/>
        <v>0</v>
      </c>
      <c r="AV27" s="35">
        <f t="shared" si="22"/>
        <v>0</v>
      </c>
      <c r="AW27" s="35" t="str">
        <f t="shared" si="23"/>
        <v>0</v>
      </c>
      <c r="AX27" s="35" t="str">
        <f t="shared" si="24"/>
        <v>0</v>
      </c>
      <c r="AY27" s="35">
        <f t="shared" si="25"/>
        <v>0</v>
      </c>
      <c r="AZ27" s="35" t="str">
        <f t="shared" si="26"/>
        <v>0</v>
      </c>
      <c r="BA27" s="35" t="str">
        <f t="shared" si="27"/>
        <v>0</v>
      </c>
      <c r="BB27" s="35">
        <f t="shared" si="28"/>
        <v>0</v>
      </c>
      <c r="BC27" s="35" t="str">
        <f t="shared" si="29"/>
        <v>0</v>
      </c>
      <c r="BD27" s="35" t="str">
        <f t="shared" si="30"/>
        <v>0</v>
      </c>
      <c r="BE27" s="35">
        <f t="shared" si="31"/>
        <v>0</v>
      </c>
      <c r="BF27" s="35" t="str">
        <f t="shared" si="32"/>
        <v>0</v>
      </c>
      <c r="BG27" s="35" t="str">
        <f t="shared" si="33"/>
        <v>0</v>
      </c>
      <c r="BH27" s="35">
        <f t="shared" si="34"/>
        <v>0</v>
      </c>
      <c r="BI27" s="35" t="str">
        <f t="shared" si="35"/>
        <v>0</v>
      </c>
      <c r="BJ27" s="35" t="str">
        <f t="shared" si="36"/>
        <v>0</v>
      </c>
      <c r="BK27" s="35">
        <f t="shared" si="37"/>
        <v>0</v>
      </c>
      <c r="BL27" s="35" t="str">
        <f t="shared" si="38"/>
        <v>0</v>
      </c>
      <c r="BM27" s="35" t="str">
        <f t="shared" si="39"/>
        <v>0</v>
      </c>
      <c r="BN27" s="35">
        <f t="shared" si="40"/>
        <v>0</v>
      </c>
      <c r="BO27" s="43" t="str">
        <f t="shared" si="41"/>
        <v xml:space="preserve">RAMADHANDANI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27" s="12"/>
      <c r="BQ27" s="15" t="str">
        <f t="shared" si="42"/>
        <v>mengemukakan kembali dengan kalimat sendiri, membuat model matematika dan memilih strategi yang efektif dalam memecahkan masalah nyata sehari-hari yang berkaitan dengan KPK dan FPB, satuan kuantitas, desimal dan persen, serta memeriksa kebenarannya</v>
      </c>
      <c r="BR27" s="16" t="str">
        <f t="shared" si="43"/>
        <v xml:space="preserve"> </v>
      </c>
      <c r="BS27" s="16" t="str">
        <f t="shared" si="44"/>
        <v xml:space="preserve"> </v>
      </c>
      <c r="BT27" s="16" t="str">
        <f t="shared" si="45"/>
        <v xml:space="preserve"> </v>
      </c>
      <c r="BU27" s="16" t="str">
        <f t="shared" si="46"/>
        <v xml:space="preserve"> </v>
      </c>
      <c r="BV27" s="16" t="str">
        <f t="shared" si="47"/>
        <v xml:space="preserve"> </v>
      </c>
      <c r="BW27" s="16" t="str">
        <f t="shared" si="48"/>
        <v xml:space="preserve"> </v>
      </c>
      <c r="BX27" s="16" t="str">
        <f t="shared" si="49"/>
        <v xml:space="preserve"> </v>
      </c>
      <c r="BY27" s="16" t="str">
        <f t="shared" si="50"/>
        <v xml:space="preserve"> </v>
      </c>
      <c r="BZ27" s="16" t="str">
        <f t="shared" si="51"/>
        <v xml:space="preserve"> </v>
      </c>
      <c r="CA27" s="16" t="str">
        <f t="shared" si="52"/>
        <v xml:space="preserve"> </v>
      </c>
      <c r="CB27" s="16" t="str">
        <f t="shared" si="53"/>
        <v xml:space="preserve"> </v>
      </c>
      <c r="CC27" s="13" t="str">
        <f t="shared" si="54"/>
        <v xml:space="preserve"> </v>
      </c>
      <c r="CD27" s="13" t="str">
        <f t="shared" si="55"/>
        <v>menyatakan pecahan ke bentuk desimal dan persen</v>
      </c>
      <c r="CE27" s="13" t="str">
        <f t="shared" si="56"/>
        <v xml:space="preserve"> </v>
      </c>
      <c r="CF27" s="13" t="str">
        <f t="shared" si="57"/>
        <v xml:space="preserve"> </v>
      </c>
      <c r="CG27" s="13" t="str">
        <f t="shared" si="58"/>
        <v xml:space="preserve"> </v>
      </c>
      <c r="CH27" s="13" t="str">
        <f t="shared" si="59"/>
        <v xml:space="preserve"> </v>
      </c>
      <c r="CI27" s="13" t="str">
        <f t="shared" si="60"/>
        <v xml:space="preserve"> </v>
      </c>
      <c r="CJ27" s="13" t="str">
        <f t="shared" si="61"/>
        <v xml:space="preserve"> </v>
      </c>
      <c r="CK27" s="13" t="str">
        <f t="shared" si="62"/>
        <v xml:space="preserve"> </v>
      </c>
      <c r="CL27" s="13" t="str">
        <f t="shared" si="63"/>
        <v xml:space="preserve"> </v>
      </c>
      <c r="CM27" s="13" t="str">
        <f t="shared" si="64"/>
        <v xml:space="preserve"> </v>
      </c>
      <c r="CN27" s="13" t="str">
        <f t="shared" si="65"/>
        <v xml:space="preserve"> </v>
      </c>
      <c r="CO27" s="14"/>
    </row>
    <row r="28" spans="1:93" ht="90">
      <c r="A28" s="38">
        <v>24</v>
      </c>
      <c r="B28" s="39" t="str">
        <f>SISWA!B29</f>
        <v>1718250040328</v>
      </c>
      <c r="C28" s="40" t="str">
        <f>SISWA!E29</f>
        <v>SYAEPUL</v>
      </c>
      <c r="D28" s="6">
        <v>99</v>
      </c>
      <c r="E28" s="7">
        <v>56</v>
      </c>
      <c r="F28" s="7">
        <v>90</v>
      </c>
      <c r="G28" s="7">
        <v>78</v>
      </c>
      <c r="H28" s="7">
        <v>65</v>
      </c>
      <c r="I28" s="6">
        <v>67</v>
      </c>
      <c r="J28" s="6">
        <v>90</v>
      </c>
      <c r="K28" s="6">
        <v>89</v>
      </c>
      <c r="L28" s="6">
        <v>87</v>
      </c>
      <c r="M28" s="7">
        <v>76</v>
      </c>
      <c r="N28" s="7">
        <v>87</v>
      </c>
      <c r="O28" s="6">
        <v>79</v>
      </c>
      <c r="P28" s="8">
        <f t="shared" si="2"/>
        <v>80.25</v>
      </c>
      <c r="Q28" s="9" t="str">
        <f t="shared" si="3"/>
        <v>B</v>
      </c>
      <c r="R28" s="29">
        <f t="shared" si="4"/>
        <v>3.96</v>
      </c>
      <c r="S28" s="29">
        <f t="shared" si="4"/>
        <v>2.2400000000000002</v>
      </c>
      <c r="T28" s="29">
        <f t="shared" si="4"/>
        <v>3.6</v>
      </c>
      <c r="U28" s="29">
        <f t="shared" si="4"/>
        <v>3.12</v>
      </c>
      <c r="V28" s="29">
        <f t="shared" si="4"/>
        <v>2.6</v>
      </c>
      <c r="W28" s="29">
        <f t="shared" si="4"/>
        <v>2.68</v>
      </c>
      <c r="X28" s="29">
        <f t="shared" si="4"/>
        <v>3.6</v>
      </c>
      <c r="Y28" s="29">
        <f t="shared" si="4"/>
        <v>3.56</v>
      </c>
      <c r="Z28" s="29">
        <f t="shared" si="4"/>
        <v>3.48</v>
      </c>
      <c r="AA28" s="29">
        <f t="shared" si="4"/>
        <v>3.04</v>
      </c>
      <c r="AB28" s="29">
        <f t="shared" si="4"/>
        <v>3.48</v>
      </c>
      <c r="AC28" s="29">
        <f t="shared" si="4"/>
        <v>3.16</v>
      </c>
      <c r="AD28" s="10"/>
      <c r="AE28" s="11" t="str">
        <f t="shared" si="5"/>
        <v>4</v>
      </c>
      <c r="AF28" s="11" t="str">
        <f t="shared" si="6"/>
        <v>0</v>
      </c>
      <c r="AG28" s="35">
        <f t="shared" si="7"/>
        <v>4</v>
      </c>
      <c r="AH28" s="35" t="str">
        <f t="shared" si="8"/>
        <v>0</v>
      </c>
      <c r="AI28" s="35" t="str">
        <f t="shared" si="9"/>
        <v>1</v>
      </c>
      <c r="AJ28" s="35">
        <f t="shared" si="10"/>
        <v>1</v>
      </c>
      <c r="AK28" s="35" t="str">
        <f t="shared" si="11"/>
        <v>0</v>
      </c>
      <c r="AL28" s="35" t="str">
        <f t="shared" si="12"/>
        <v>0</v>
      </c>
      <c r="AM28" s="35">
        <f t="shared" si="13"/>
        <v>0</v>
      </c>
      <c r="AN28" s="35" t="str">
        <f t="shared" si="14"/>
        <v>0</v>
      </c>
      <c r="AO28" s="35" t="str">
        <f t="shared" si="15"/>
        <v>0</v>
      </c>
      <c r="AP28" s="35">
        <f t="shared" si="16"/>
        <v>0</v>
      </c>
      <c r="AQ28" s="35" t="str">
        <f t="shared" si="17"/>
        <v>0</v>
      </c>
      <c r="AR28" s="35" t="str">
        <f t="shared" si="18"/>
        <v>0</v>
      </c>
      <c r="AS28" s="35">
        <f t="shared" si="19"/>
        <v>0</v>
      </c>
      <c r="AT28" s="35" t="str">
        <f t="shared" si="20"/>
        <v>0</v>
      </c>
      <c r="AU28" s="35" t="str">
        <f t="shared" si="21"/>
        <v>0</v>
      </c>
      <c r="AV28" s="35">
        <f t="shared" si="22"/>
        <v>0</v>
      </c>
      <c r="AW28" s="35" t="str">
        <f t="shared" si="23"/>
        <v>0</v>
      </c>
      <c r="AX28" s="35" t="str">
        <f t="shared" si="24"/>
        <v>0</v>
      </c>
      <c r="AY28" s="35">
        <f t="shared" si="25"/>
        <v>0</v>
      </c>
      <c r="AZ28" s="35" t="str">
        <f t="shared" si="26"/>
        <v>0</v>
      </c>
      <c r="BA28" s="35" t="str">
        <f t="shared" si="27"/>
        <v>0</v>
      </c>
      <c r="BB28" s="35">
        <f t="shared" si="28"/>
        <v>0</v>
      </c>
      <c r="BC28" s="35" t="str">
        <f t="shared" si="29"/>
        <v>0</v>
      </c>
      <c r="BD28" s="35" t="str">
        <f t="shared" si="30"/>
        <v>0</v>
      </c>
      <c r="BE28" s="35">
        <f t="shared" si="31"/>
        <v>0</v>
      </c>
      <c r="BF28" s="35" t="str">
        <f t="shared" si="32"/>
        <v>0</v>
      </c>
      <c r="BG28" s="35" t="str">
        <f t="shared" si="33"/>
        <v>0</v>
      </c>
      <c r="BH28" s="35">
        <f t="shared" si="34"/>
        <v>0</v>
      </c>
      <c r="BI28" s="35" t="str">
        <f t="shared" si="35"/>
        <v>0</v>
      </c>
      <c r="BJ28" s="35" t="str">
        <f t="shared" si="36"/>
        <v>0</v>
      </c>
      <c r="BK28" s="35">
        <f t="shared" si="37"/>
        <v>0</v>
      </c>
      <c r="BL28" s="35" t="str">
        <f t="shared" si="38"/>
        <v>0</v>
      </c>
      <c r="BM28" s="35" t="str">
        <f t="shared" si="39"/>
        <v>0</v>
      </c>
      <c r="BN28" s="35">
        <f t="shared" si="40"/>
        <v>0</v>
      </c>
      <c r="BO28" s="43" t="str">
        <f t="shared" si="41"/>
        <v xml:space="preserve">SYAEPUL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28" s="12"/>
      <c r="BQ28" s="15" t="str">
        <f t="shared" si="42"/>
        <v>mengemukakan kembali dengan kalimat sendiri, membuat model matematika dan memilih strategi yang efektif dalam memecahkan masalah nyata sehari-hari yang berkaitan dengan KPK dan FPB, satuan kuantitas, desimal dan persen, serta memeriksa kebenarannya</v>
      </c>
      <c r="BR28" s="16" t="str">
        <f t="shared" si="43"/>
        <v xml:space="preserve"> </v>
      </c>
      <c r="BS28" s="16" t="str">
        <f t="shared" si="44"/>
        <v xml:space="preserve"> </v>
      </c>
      <c r="BT28" s="16" t="str">
        <f t="shared" si="45"/>
        <v xml:space="preserve"> </v>
      </c>
      <c r="BU28" s="16" t="str">
        <f t="shared" si="46"/>
        <v xml:space="preserve"> </v>
      </c>
      <c r="BV28" s="16" t="str">
        <f t="shared" si="47"/>
        <v xml:space="preserve"> </v>
      </c>
      <c r="BW28" s="16" t="str">
        <f t="shared" si="48"/>
        <v xml:space="preserve"> </v>
      </c>
      <c r="BX28" s="16" t="str">
        <f t="shared" si="49"/>
        <v xml:space="preserve"> </v>
      </c>
      <c r="BY28" s="16" t="str">
        <f t="shared" si="50"/>
        <v xml:space="preserve"> </v>
      </c>
      <c r="BZ28" s="16" t="str">
        <f t="shared" si="51"/>
        <v xml:space="preserve"> </v>
      </c>
      <c r="CA28" s="16" t="str">
        <f t="shared" si="52"/>
        <v xml:space="preserve"> </v>
      </c>
      <c r="CB28" s="16" t="str">
        <f t="shared" si="53"/>
        <v xml:space="preserve"> </v>
      </c>
      <c r="CC28" s="13" t="str">
        <f t="shared" si="54"/>
        <v xml:space="preserve"> </v>
      </c>
      <c r="CD28" s="13" t="str">
        <f t="shared" si="55"/>
        <v>menyatakan pecahan ke bentuk desimal dan persen</v>
      </c>
      <c r="CE28" s="13" t="str">
        <f t="shared" si="56"/>
        <v xml:space="preserve"> </v>
      </c>
      <c r="CF28" s="13" t="str">
        <f t="shared" si="57"/>
        <v xml:space="preserve"> </v>
      </c>
      <c r="CG28" s="13" t="str">
        <f t="shared" si="58"/>
        <v xml:space="preserve"> </v>
      </c>
      <c r="CH28" s="13" t="str">
        <f t="shared" si="59"/>
        <v xml:space="preserve"> </v>
      </c>
      <c r="CI28" s="13" t="str">
        <f t="shared" si="60"/>
        <v xml:space="preserve"> </v>
      </c>
      <c r="CJ28" s="13" t="str">
        <f t="shared" si="61"/>
        <v xml:space="preserve"> </v>
      </c>
      <c r="CK28" s="13" t="str">
        <f t="shared" si="62"/>
        <v xml:space="preserve"> </v>
      </c>
      <c r="CL28" s="13" t="str">
        <f t="shared" si="63"/>
        <v xml:space="preserve"> </v>
      </c>
      <c r="CM28" s="13" t="str">
        <f t="shared" si="64"/>
        <v xml:space="preserve"> </v>
      </c>
      <c r="CN28" s="13" t="str">
        <f t="shared" si="65"/>
        <v xml:space="preserve"> </v>
      </c>
      <c r="CO28" s="14"/>
    </row>
    <row r="29" spans="1:93" ht="90">
      <c r="A29" s="38">
        <v>25</v>
      </c>
      <c r="B29" s="39" t="str">
        <f>SISWA!B30</f>
        <v>1718250040329</v>
      </c>
      <c r="C29" s="40" t="str">
        <f>SISWA!E30</f>
        <v>ALIF</v>
      </c>
      <c r="D29" s="6">
        <v>99</v>
      </c>
      <c r="E29" s="7">
        <v>56</v>
      </c>
      <c r="F29" s="7">
        <v>90</v>
      </c>
      <c r="G29" s="7">
        <v>78</v>
      </c>
      <c r="H29" s="7">
        <v>65</v>
      </c>
      <c r="I29" s="6">
        <v>67</v>
      </c>
      <c r="J29" s="6">
        <v>90</v>
      </c>
      <c r="K29" s="6">
        <v>89</v>
      </c>
      <c r="L29" s="6">
        <v>87</v>
      </c>
      <c r="M29" s="7">
        <v>76</v>
      </c>
      <c r="N29" s="7">
        <v>87</v>
      </c>
      <c r="O29" s="6">
        <v>79</v>
      </c>
      <c r="P29" s="8">
        <f t="shared" si="2"/>
        <v>80.25</v>
      </c>
      <c r="Q29" s="9" t="str">
        <f t="shared" si="3"/>
        <v>B</v>
      </c>
      <c r="R29" s="29">
        <f t="shared" si="4"/>
        <v>3.96</v>
      </c>
      <c r="S29" s="29">
        <f t="shared" si="4"/>
        <v>2.2400000000000002</v>
      </c>
      <c r="T29" s="29">
        <f t="shared" si="4"/>
        <v>3.6</v>
      </c>
      <c r="U29" s="29">
        <f t="shared" si="4"/>
        <v>3.12</v>
      </c>
      <c r="V29" s="29">
        <f t="shared" si="4"/>
        <v>2.6</v>
      </c>
      <c r="W29" s="29">
        <f t="shared" si="4"/>
        <v>2.68</v>
      </c>
      <c r="X29" s="29">
        <f t="shared" si="4"/>
        <v>3.6</v>
      </c>
      <c r="Y29" s="29">
        <f t="shared" si="4"/>
        <v>3.56</v>
      </c>
      <c r="Z29" s="29">
        <f t="shared" si="4"/>
        <v>3.48</v>
      </c>
      <c r="AA29" s="29">
        <f t="shared" si="4"/>
        <v>3.04</v>
      </c>
      <c r="AB29" s="29">
        <f t="shared" si="4"/>
        <v>3.48</v>
      </c>
      <c r="AC29" s="29">
        <f t="shared" si="4"/>
        <v>3.16</v>
      </c>
      <c r="AD29" s="10"/>
      <c r="AE29" s="11" t="str">
        <f t="shared" si="5"/>
        <v>4</v>
      </c>
      <c r="AF29" s="11" t="str">
        <f t="shared" si="6"/>
        <v>0</v>
      </c>
      <c r="AG29" s="35">
        <f t="shared" si="7"/>
        <v>4</v>
      </c>
      <c r="AH29" s="35" t="str">
        <f t="shared" si="8"/>
        <v>0</v>
      </c>
      <c r="AI29" s="35" t="str">
        <f t="shared" si="9"/>
        <v>1</v>
      </c>
      <c r="AJ29" s="35">
        <f t="shared" si="10"/>
        <v>1</v>
      </c>
      <c r="AK29" s="35" t="str">
        <f t="shared" si="11"/>
        <v>0</v>
      </c>
      <c r="AL29" s="35" t="str">
        <f t="shared" si="12"/>
        <v>0</v>
      </c>
      <c r="AM29" s="35">
        <f t="shared" si="13"/>
        <v>0</v>
      </c>
      <c r="AN29" s="35" t="str">
        <f t="shared" si="14"/>
        <v>0</v>
      </c>
      <c r="AO29" s="35" t="str">
        <f t="shared" si="15"/>
        <v>0</v>
      </c>
      <c r="AP29" s="35">
        <f t="shared" si="16"/>
        <v>0</v>
      </c>
      <c r="AQ29" s="35" t="str">
        <f t="shared" si="17"/>
        <v>0</v>
      </c>
      <c r="AR29" s="35" t="str">
        <f t="shared" si="18"/>
        <v>0</v>
      </c>
      <c r="AS29" s="35">
        <f t="shared" si="19"/>
        <v>0</v>
      </c>
      <c r="AT29" s="35" t="str">
        <f t="shared" si="20"/>
        <v>0</v>
      </c>
      <c r="AU29" s="35" t="str">
        <f t="shared" si="21"/>
        <v>0</v>
      </c>
      <c r="AV29" s="35">
        <f t="shared" si="22"/>
        <v>0</v>
      </c>
      <c r="AW29" s="35" t="str">
        <f t="shared" si="23"/>
        <v>0</v>
      </c>
      <c r="AX29" s="35" t="str">
        <f t="shared" si="24"/>
        <v>0</v>
      </c>
      <c r="AY29" s="35">
        <f t="shared" si="25"/>
        <v>0</v>
      </c>
      <c r="AZ29" s="35" t="str">
        <f t="shared" si="26"/>
        <v>0</v>
      </c>
      <c r="BA29" s="35" t="str">
        <f t="shared" si="27"/>
        <v>0</v>
      </c>
      <c r="BB29" s="35">
        <f t="shared" si="28"/>
        <v>0</v>
      </c>
      <c r="BC29" s="35" t="str">
        <f t="shared" si="29"/>
        <v>0</v>
      </c>
      <c r="BD29" s="35" t="str">
        <f t="shared" si="30"/>
        <v>0</v>
      </c>
      <c r="BE29" s="35">
        <f t="shared" si="31"/>
        <v>0</v>
      </c>
      <c r="BF29" s="35" t="str">
        <f t="shared" si="32"/>
        <v>0</v>
      </c>
      <c r="BG29" s="35" t="str">
        <f t="shared" si="33"/>
        <v>0</v>
      </c>
      <c r="BH29" s="35">
        <f t="shared" si="34"/>
        <v>0</v>
      </c>
      <c r="BI29" s="35" t="str">
        <f t="shared" si="35"/>
        <v>0</v>
      </c>
      <c r="BJ29" s="35" t="str">
        <f t="shared" si="36"/>
        <v>0</v>
      </c>
      <c r="BK29" s="35">
        <f t="shared" si="37"/>
        <v>0</v>
      </c>
      <c r="BL29" s="35" t="str">
        <f t="shared" si="38"/>
        <v>0</v>
      </c>
      <c r="BM29" s="35" t="str">
        <f t="shared" si="39"/>
        <v>0</v>
      </c>
      <c r="BN29" s="35">
        <f t="shared" si="40"/>
        <v>0</v>
      </c>
      <c r="BO29" s="43" t="str">
        <f t="shared" si="41"/>
        <v xml:space="preserve">ALIF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29" s="12"/>
      <c r="BQ29" s="15" t="str">
        <f t="shared" si="42"/>
        <v>mengemukakan kembali dengan kalimat sendiri, membuat model matematika dan memilih strategi yang efektif dalam memecahkan masalah nyata sehari-hari yang berkaitan dengan KPK dan FPB, satuan kuantitas, desimal dan persen, serta memeriksa kebenarannya</v>
      </c>
      <c r="BR29" s="16" t="str">
        <f t="shared" si="43"/>
        <v xml:space="preserve"> </v>
      </c>
      <c r="BS29" s="16" t="str">
        <f t="shared" si="44"/>
        <v xml:space="preserve"> </v>
      </c>
      <c r="BT29" s="16" t="str">
        <f t="shared" si="45"/>
        <v xml:space="preserve"> </v>
      </c>
      <c r="BU29" s="16" t="str">
        <f t="shared" si="46"/>
        <v xml:space="preserve"> </v>
      </c>
      <c r="BV29" s="16" t="str">
        <f t="shared" si="47"/>
        <v xml:space="preserve"> </v>
      </c>
      <c r="BW29" s="16" t="str">
        <f t="shared" si="48"/>
        <v xml:space="preserve"> </v>
      </c>
      <c r="BX29" s="16" t="str">
        <f t="shared" si="49"/>
        <v xml:space="preserve"> </v>
      </c>
      <c r="BY29" s="16" t="str">
        <f t="shared" si="50"/>
        <v xml:space="preserve"> </v>
      </c>
      <c r="BZ29" s="16" t="str">
        <f t="shared" si="51"/>
        <v xml:space="preserve"> </v>
      </c>
      <c r="CA29" s="16" t="str">
        <f t="shared" si="52"/>
        <v xml:space="preserve"> </v>
      </c>
      <c r="CB29" s="16" t="str">
        <f t="shared" si="53"/>
        <v xml:space="preserve"> </v>
      </c>
      <c r="CC29" s="13" t="str">
        <f t="shared" si="54"/>
        <v xml:space="preserve"> </v>
      </c>
      <c r="CD29" s="13" t="str">
        <f t="shared" si="55"/>
        <v>menyatakan pecahan ke bentuk desimal dan persen</v>
      </c>
      <c r="CE29" s="13" t="str">
        <f t="shared" si="56"/>
        <v xml:space="preserve"> </v>
      </c>
      <c r="CF29" s="13" t="str">
        <f t="shared" si="57"/>
        <v xml:space="preserve"> </v>
      </c>
      <c r="CG29" s="13" t="str">
        <f t="shared" si="58"/>
        <v xml:space="preserve"> </v>
      </c>
      <c r="CH29" s="13" t="str">
        <f t="shared" si="59"/>
        <v xml:space="preserve"> </v>
      </c>
      <c r="CI29" s="13" t="str">
        <f t="shared" si="60"/>
        <v xml:space="preserve"> </v>
      </c>
      <c r="CJ29" s="13" t="str">
        <f t="shared" si="61"/>
        <v xml:space="preserve"> </v>
      </c>
      <c r="CK29" s="13" t="str">
        <f t="shared" si="62"/>
        <v xml:space="preserve"> </v>
      </c>
      <c r="CL29" s="13" t="str">
        <f t="shared" si="63"/>
        <v xml:space="preserve"> </v>
      </c>
      <c r="CM29" s="13" t="str">
        <f t="shared" si="64"/>
        <v xml:space="preserve"> </v>
      </c>
      <c r="CN29" s="13" t="str">
        <f t="shared" si="65"/>
        <v xml:space="preserve"> </v>
      </c>
      <c r="CO29" s="14"/>
    </row>
    <row r="30" spans="1:93" ht="90">
      <c r="A30" s="38">
        <v>26</v>
      </c>
      <c r="B30" s="39" t="str">
        <f>SISWA!B31</f>
        <v>1718250040330</v>
      </c>
      <c r="C30" s="40" t="str">
        <f>SISWA!E31</f>
        <v>HIZKIEL</v>
      </c>
      <c r="D30" s="6">
        <v>99</v>
      </c>
      <c r="E30" s="7">
        <v>56</v>
      </c>
      <c r="F30" s="7">
        <v>90</v>
      </c>
      <c r="G30" s="7">
        <v>78</v>
      </c>
      <c r="H30" s="7">
        <v>65</v>
      </c>
      <c r="I30" s="6">
        <v>67</v>
      </c>
      <c r="J30" s="6">
        <v>90</v>
      </c>
      <c r="K30" s="6">
        <v>89</v>
      </c>
      <c r="L30" s="6">
        <v>87</v>
      </c>
      <c r="M30" s="7">
        <v>76</v>
      </c>
      <c r="N30" s="7">
        <v>87</v>
      </c>
      <c r="O30" s="6">
        <v>79</v>
      </c>
      <c r="P30" s="8">
        <f t="shared" si="2"/>
        <v>80.25</v>
      </c>
      <c r="Q30" s="9" t="str">
        <f t="shared" si="3"/>
        <v>B</v>
      </c>
      <c r="R30" s="29">
        <f t="shared" si="4"/>
        <v>3.96</v>
      </c>
      <c r="S30" s="29">
        <f t="shared" si="4"/>
        <v>2.2400000000000002</v>
      </c>
      <c r="T30" s="29">
        <f t="shared" si="4"/>
        <v>3.6</v>
      </c>
      <c r="U30" s="29">
        <f t="shared" si="4"/>
        <v>3.12</v>
      </c>
      <c r="V30" s="29">
        <f t="shared" si="4"/>
        <v>2.6</v>
      </c>
      <c r="W30" s="29">
        <f t="shared" si="4"/>
        <v>2.68</v>
      </c>
      <c r="X30" s="29">
        <f t="shared" si="4"/>
        <v>3.6</v>
      </c>
      <c r="Y30" s="29">
        <f t="shared" si="4"/>
        <v>3.56</v>
      </c>
      <c r="Z30" s="29">
        <f t="shared" si="4"/>
        <v>3.48</v>
      </c>
      <c r="AA30" s="29">
        <f t="shared" si="4"/>
        <v>3.04</v>
      </c>
      <c r="AB30" s="29">
        <f t="shared" si="4"/>
        <v>3.48</v>
      </c>
      <c r="AC30" s="29">
        <f t="shared" si="4"/>
        <v>3.16</v>
      </c>
      <c r="AD30" s="10"/>
      <c r="AE30" s="11" t="str">
        <f t="shared" si="5"/>
        <v>4</v>
      </c>
      <c r="AF30" s="11" t="str">
        <f t="shared" si="6"/>
        <v>0</v>
      </c>
      <c r="AG30" s="35">
        <f t="shared" si="7"/>
        <v>4</v>
      </c>
      <c r="AH30" s="35" t="str">
        <f t="shared" si="8"/>
        <v>0</v>
      </c>
      <c r="AI30" s="35" t="str">
        <f t="shared" si="9"/>
        <v>1</v>
      </c>
      <c r="AJ30" s="35">
        <f t="shared" si="10"/>
        <v>1</v>
      </c>
      <c r="AK30" s="35" t="str">
        <f t="shared" si="11"/>
        <v>0</v>
      </c>
      <c r="AL30" s="35" t="str">
        <f t="shared" si="12"/>
        <v>0</v>
      </c>
      <c r="AM30" s="35">
        <f t="shared" si="13"/>
        <v>0</v>
      </c>
      <c r="AN30" s="35" t="str">
        <f t="shared" si="14"/>
        <v>0</v>
      </c>
      <c r="AO30" s="35" t="str">
        <f t="shared" si="15"/>
        <v>0</v>
      </c>
      <c r="AP30" s="35">
        <f t="shared" si="16"/>
        <v>0</v>
      </c>
      <c r="AQ30" s="35" t="str">
        <f t="shared" si="17"/>
        <v>0</v>
      </c>
      <c r="AR30" s="35" t="str">
        <f t="shared" si="18"/>
        <v>0</v>
      </c>
      <c r="AS30" s="35">
        <f t="shared" si="19"/>
        <v>0</v>
      </c>
      <c r="AT30" s="35" t="str">
        <f t="shared" si="20"/>
        <v>0</v>
      </c>
      <c r="AU30" s="35" t="str">
        <f t="shared" si="21"/>
        <v>0</v>
      </c>
      <c r="AV30" s="35">
        <f t="shared" si="22"/>
        <v>0</v>
      </c>
      <c r="AW30" s="35" t="str">
        <f t="shared" si="23"/>
        <v>0</v>
      </c>
      <c r="AX30" s="35" t="str">
        <f t="shared" si="24"/>
        <v>0</v>
      </c>
      <c r="AY30" s="35">
        <f t="shared" si="25"/>
        <v>0</v>
      </c>
      <c r="AZ30" s="35" t="str">
        <f t="shared" si="26"/>
        <v>0</v>
      </c>
      <c r="BA30" s="35" t="str">
        <f t="shared" si="27"/>
        <v>0</v>
      </c>
      <c r="BB30" s="35">
        <f t="shared" si="28"/>
        <v>0</v>
      </c>
      <c r="BC30" s="35" t="str">
        <f t="shared" si="29"/>
        <v>0</v>
      </c>
      <c r="BD30" s="35" t="str">
        <f t="shared" si="30"/>
        <v>0</v>
      </c>
      <c r="BE30" s="35">
        <f t="shared" si="31"/>
        <v>0</v>
      </c>
      <c r="BF30" s="35" t="str">
        <f t="shared" si="32"/>
        <v>0</v>
      </c>
      <c r="BG30" s="35" t="str">
        <f t="shared" si="33"/>
        <v>0</v>
      </c>
      <c r="BH30" s="35">
        <f t="shared" si="34"/>
        <v>0</v>
      </c>
      <c r="BI30" s="35" t="str">
        <f t="shared" si="35"/>
        <v>0</v>
      </c>
      <c r="BJ30" s="35" t="str">
        <f t="shared" si="36"/>
        <v>0</v>
      </c>
      <c r="BK30" s="35">
        <f t="shared" si="37"/>
        <v>0</v>
      </c>
      <c r="BL30" s="35" t="str">
        <f t="shared" si="38"/>
        <v>0</v>
      </c>
      <c r="BM30" s="35" t="str">
        <f t="shared" si="39"/>
        <v>0</v>
      </c>
      <c r="BN30" s="35">
        <f t="shared" si="40"/>
        <v>0</v>
      </c>
      <c r="BO30" s="43" t="str">
        <f t="shared" si="41"/>
        <v xml:space="preserve">HIZKIEL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30" s="12"/>
      <c r="BQ30" s="15" t="str">
        <f t="shared" si="42"/>
        <v>mengemukakan kembali dengan kalimat sendiri, membuat model matematika dan memilih strategi yang efektif dalam memecahkan masalah nyata sehari-hari yang berkaitan dengan KPK dan FPB, satuan kuantitas, desimal dan persen, serta memeriksa kebenarannya</v>
      </c>
      <c r="BR30" s="16" t="str">
        <f t="shared" si="43"/>
        <v xml:space="preserve"> </v>
      </c>
      <c r="BS30" s="16" t="str">
        <f t="shared" si="44"/>
        <v xml:space="preserve"> </v>
      </c>
      <c r="BT30" s="16" t="str">
        <f t="shared" si="45"/>
        <v xml:space="preserve"> </v>
      </c>
      <c r="BU30" s="16" t="str">
        <f t="shared" si="46"/>
        <v xml:space="preserve"> </v>
      </c>
      <c r="BV30" s="16" t="str">
        <f t="shared" si="47"/>
        <v xml:space="preserve"> </v>
      </c>
      <c r="BW30" s="16" t="str">
        <f t="shared" si="48"/>
        <v xml:space="preserve"> </v>
      </c>
      <c r="BX30" s="16" t="str">
        <f t="shared" si="49"/>
        <v xml:space="preserve"> </v>
      </c>
      <c r="BY30" s="16" t="str">
        <f t="shared" si="50"/>
        <v xml:space="preserve"> </v>
      </c>
      <c r="BZ30" s="16" t="str">
        <f t="shared" si="51"/>
        <v xml:space="preserve"> </v>
      </c>
      <c r="CA30" s="16" t="str">
        <f t="shared" si="52"/>
        <v xml:space="preserve"> </v>
      </c>
      <c r="CB30" s="16" t="str">
        <f t="shared" si="53"/>
        <v xml:space="preserve"> </v>
      </c>
      <c r="CC30" s="13" t="str">
        <f t="shared" si="54"/>
        <v xml:space="preserve"> </v>
      </c>
      <c r="CD30" s="13" t="str">
        <f t="shared" si="55"/>
        <v>menyatakan pecahan ke bentuk desimal dan persen</v>
      </c>
      <c r="CE30" s="13" t="str">
        <f t="shared" si="56"/>
        <v xml:space="preserve"> </v>
      </c>
      <c r="CF30" s="13" t="str">
        <f t="shared" si="57"/>
        <v xml:space="preserve"> </v>
      </c>
      <c r="CG30" s="13" t="str">
        <f t="shared" si="58"/>
        <v xml:space="preserve"> </v>
      </c>
      <c r="CH30" s="13" t="str">
        <f t="shared" si="59"/>
        <v xml:space="preserve"> </v>
      </c>
      <c r="CI30" s="13" t="str">
        <f t="shared" si="60"/>
        <v xml:space="preserve"> </v>
      </c>
      <c r="CJ30" s="13" t="str">
        <f t="shared" si="61"/>
        <v xml:space="preserve"> </v>
      </c>
      <c r="CK30" s="13" t="str">
        <f t="shared" si="62"/>
        <v xml:space="preserve"> </v>
      </c>
      <c r="CL30" s="13" t="str">
        <f t="shared" si="63"/>
        <v xml:space="preserve"> </v>
      </c>
      <c r="CM30" s="13" t="str">
        <f t="shared" si="64"/>
        <v xml:space="preserve"> </v>
      </c>
      <c r="CN30" s="13" t="str">
        <f t="shared" si="65"/>
        <v xml:space="preserve"> </v>
      </c>
      <c r="CO30" s="14"/>
    </row>
    <row r="31" spans="1:93" ht="90">
      <c r="A31" s="38">
        <v>27</v>
      </c>
      <c r="B31" s="39" t="str">
        <f>SISWA!B32</f>
        <v>1718250040331</v>
      </c>
      <c r="C31" s="40" t="str">
        <f>SISWA!E32</f>
        <v>LAEL</v>
      </c>
      <c r="D31" s="6">
        <v>99</v>
      </c>
      <c r="E31" s="7">
        <v>56</v>
      </c>
      <c r="F31" s="7">
        <v>90</v>
      </c>
      <c r="G31" s="7">
        <v>78</v>
      </c>
      <c r="H31" s="7">
        <v>65</v>
      </c>
      <c r="I31" s="6">
        <v>67</v>
      </c>
      <c r="J31" s="6">
        <v>90</v>
      </c>
      <c r="K31" s="6">
        <v>89</v>
      </c>
      <c r="L31" s="6">
        <v>87</v>
      </c>
      <c r="M31" s="7">
        <v>76</v>
      </c>
      <c r="N31" s="7">
        <v>87</v>
      </c>
      <c r="O31" s="6">
        <v>79</v>
      </c>
      <c r="P31" s="8">
        <f t="shared" si="2"/>
        <v>80.25</v>
      </c>
      <c r="Q31" s="9" t="str">
        <f t="shared" si="3"/>
        <v>B</v>
      </c>
      <c r="R31" s="29">
        <f t="shared" si="4"/>
        <v>3.96</v>
      </c>
      <c r="S31" s="29">
        <f t="shared" si="4"/>
        <v>2.2400000000000002</v>
      </c>
      <c r="T31" s="29">
        <f t="shared" si="4"/>
        <v>3.6</v>
      </c>
      <c r="U31" s="29">
        <f t="shared" si="4"/>
        <v>3.12</v>
      </c>
      <c r="V31" s="29">
        <f t="shared" si="4"/>
        <v>2.6</v>
      </c>
      <c r="W31" s="29">
        <f t="shared" si="4"/>
        <v>2.68</v>
      </c>
      <c r="X31" s="29">
        <f t="shared" si="4"/>
        <v>3.6</v>
      </c>
      <c r="Y31" s="29">
        <f t="shared" si="4"/>
        <v>3.56</v>
      </c>
      <c r="Z31" s="29">
        <f t="shared" si="4"/>
        <v>3.48</v>
      </c>
      <c r="AA31" s="29">
        <f t="shared" si="4"/>
        <v>3.04</v>
      </c>
      <c r="AB31" s="29">
        <f t="shared" si="4"/>
        <v>3.48</v>
      </c>
      <c r="AC31" s="29">
        <f t="shared" si="4"/>
        <v>3.16</v>
      </c>
      <c r="AD31" s="10"/>
      <c r="AE31" s="11" t="str">
        <f t="shared" si="5"/>
        <v>4</v>
      </c>
      <c r="AF31" s="11" t="str">
        <f t="shared" si="6"/>
        <v>0</v>
      </c>
      <c r="AG31" s="35">
        <f t="shared" si="7"/>
        <v>4</v>
      </c>
      <c r="AH31" s="35" t="str">
        <f t="shared" si="8"/>
        <v>0</v>
      </c>
      <c r="AI31" s="35" t="str">
        <f t="shared" si="9"/>
        <v>1</v>
      </c>
      <c r="AJ31" s="35">
        <f t="shared" si="10"/>
        <v>1</v>
      </c>
      <c r="AK31" s="35" t="str">
        <f t="shared" si="11"/>
        <v>0</v>
      </c>
      <c r="AL31" s="35" t="str">
        <f t="shared" si="12"/>
        <v>0</v>
      </c>
      <c r="AM31" s="35">
        <f t="shared" si="13"/>
        <v>0</v>
      </c>
      <c r="AN31" s="35" t="str">
        <f t="shared" si="14"/>
        <v>0</v>
      </c>
      <c r="AO31" s="35" t="str">
        <f t="shared" si="15"/>
        <v>0</v>
      </c>
      <c r="AP31" s="35">
        <f t="shared" si="16"/>
        <v>0</v>
      </c>
      <c r="AQ31" s="35" t="str">
        <f t="shared" si="17"/>
        <v>0</v>
      </c>
      <c r="AR31" s="35" t="str">
        <f t="shared" si="18"/>
        <v>0</v>
      </c>
      <c r="AS31" s="35">
        <f t="shared" si="19"/>
        <v>0</v>
      </c>
      <c r="AT31" s="35" t="str">
        <f t="shared" si="20"/>
        <v>0</v>
      </c>
      <c r="AU31" s="35" t="str">
        <f t="shared" si="21"/>
        <v>0</v>
      </c>
      <c r="AV31" s="35">
        <f t="shared" si="22"/>
        <v>0</v>
      </c>
      <c r="AW31" s="35" t="str">
        <f t="shared" si="23"/>
        <v>0</v>
      </c>
      <c r="AX31" s="35" t="str">
        <f t="shared" si="24"/>
        <v>0</v>
      </c>
      <c r="AY31" s="35">
        <f t="shared" si="25"/>
        <v>0</v>
      </c>
      <c r="AZ31" s="35" t="str">
        <f t="shared" si="26"/>
        <v>0</v>
      </c>
      <c r="BA31" s="35" t="str">
        <f t="shared" si="27"/>
        <v>0</v>
      </c>
      <c r="BB31" s="35">
        <f t="shared" si="28"/>
        <v>0</v>
      </c>
      <c r="BC31" s="35" t="str">
        <f t="shared" si="29"/>
        <v>0</v>
      </c>
      <c r="BD31" s="35" t="str">
        <f t="shared" si="30"/>
        <v>0</v>
      </c>
      <c r="BE31" s="35">
        <f t="shared" si="31"/>
        <v>0</v>
      </c>
      <c r="BF31" s="35" t="str">
        <f t="shared" si="32"/>
        <v>0</v>
      </c>
      <c r="BG31" s="35" t="str">
        <f t="shared" si="33"/>
        <v>0</v>
      </c>
      <c r="BH31" s="35">
        <f t="shared" si="34"/>
        <v>0</v>
      </c>
      <c r="BI31" s="35" t="str">
        <f t="shared" si="35"/>
        <v>0</v>
      </c>
      <c r="BJ31" s="35" t="str">
        <f t="shared" si="36"/>
        <v>0</v>
      </c>
      <c r="BK31" s="35">
        <f t="shared" si="37"/>
        <v>0</v>
      </c>
      <c r="BL31" s="35" t="str">
        <f t="shared" si="38"/>
        <v>0</v>
      </c>
      <c r="BM31" s="35" t="str">
        <f t="shared" si="39"/>
        <v>0</v>
      </c>
      <c r="BN31" s="35">
        <f t="shared" si="40"/>
        <v>0</v>
      </c>
      <c r="BO31" s="43" t="str">
        <f t="shared" si="41"/>
        <v xml:space="preserve">LAEL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31" s="12"/>
      <c r="BQ31" s="15" t="str">
        <f t="shared" si="42"/>
        <v>mengemukakan kembali dengan kalimat sendiri, membuat model matematika dan memilih strategi yang efektif dalam memecahkan masalah nyata sehari-hari yang berkaitan dengan KPK dan FPB, satuan kuantitas, desimal dan persen, serta memeriksa kebenarannya</v>
      </c>
      <c r="BR31" s="16" t="str">
        <f t="shared" si="43"/>
        <v xml:space="preserve"> </v>
      </c>
      <c r="BS31" s="16" t="str">
        <f t="shared" si="44"/>
        <v xml:space="preserve"> </v>
      </c>
      <c r="BT31" s="16" t="str">
        <f t="shared" si="45"/>
        <v xml:space="preserve"> </v>
      </c>
      <c r="BU31" s="16" t="str">
        <f t="shared" si="46"/>
        <v xml:space="preserve"> </v>
      </c>
      <c r="BV31" s="16" t="str">
        <f t="shared" si="47"/>
        <v xml:space="preserve"> </v>
      </c>
      <c r="BW31" s="16" t="str">
        <f t="shared" si="48"/>
        <v xml:space="preserve"> </v>
      </c>
      <c r="BX31" s="16" t="str">
        <f t="shared" si="49"/>
        <v xml:space="preserve"> </v>
      </c>
      <c r="BY31" s="16" t="str">
        <f t="shared" si="50"/>
        <v xml:space="preserve"> </v>
      </c>
      <c r="BZ31" s="16" t="str">
        <f t="shared" si="51"/>
        <v xml:space="preserve"> </v>
      </c>
      <c r="CA31" s="16" t="str">
        <f t="shared" si="52"/>
        <v xml:space="preserve"> </v>
      </c>
      <c r="CB31" s="16" t="str">
        <f t="shared" si="53"/>
        <v xml:space="preserve"> </v>
      </c>
      <c r="CC31" s="13" t="str">
        <f t="shared" si="54"/>
        <v xml:space="preserve"> </v>
      </c>
      <c r="CD31" s="13" t="str">
        <f t="shared" si="55"/>
        <v>menyatakan pecahan ke bentuk desimal dan persen</v>
      </c>
      <c r="CE31" s="13" t="str">
        <f t="shared" si="56"/>
        <v xml:space="preserve"> </v>
      </c>
      <c r="CF31" s="13" t="str">
        <f t="shared" si="57"/>
        <v xml:space="preserve"> </v>
      </c>
      <c r="CG31" s="13" t="str">
        <f t="shared" si="58"/>
        <v xml:space="preserve"> </v>
      </c>
      <c r="CH31" s="13" t="str">
        <f t="shared" si="59"/>
        <v xml:space="preserve"> </v>
      </c>
      <c r="CI31" s="13" t="str">
        <f t="shared" si="60"/>
        <v xml:space="preserve"> </v>
      </c>
      <c r="CJ31" s="13" t="str">
        <f t="shared" si="61"/>
        <v xml:space="preserve"> </v>
      </c>
      <c r="CK31" s="13" t="str">
        <f t="shared" si="62"/>
        <v xml:space="preserve"> </v>
      </c>
      <c r="CL31" s="13" t="str">
        <f t="shared" si="63"/>
        <v xml:space="preserve"> </v>
      </c>
      <c r="CM31" s="13" t="str">
        <f t="shared" si="64"/>
        <v xml:space="preserve"> </v>
      </c>
      <c r="CN31" s="13" t="str">
        <f t="shared" si="65"/>
        <v xml:space="preserve"> </v>
      </c>
      <c r="CO31" s="14"/>
    </row>
    <row r="32" spans="1:93" ht="90">
      <c r="A32" s="38">
        <v>28</v>
      </c>
      <c r="B32" s="39" t="str">
        <f>SISWA!B33</f>
        <v>1718250040332</v>
      </c>
      <c r="C32" s="40" t="str">
        <f>SISWA!E33</f>
        <v>NABIL</v>
      </c>
      <c r="D32" s="6">
        <v>99</v>
      </c>
      <c r="E32" s="7">
        <v>56</v>
      </c>
      <c r="F32" s="7">
        <v>90</v>
      </c>
      <c r="G32" s="7">
        <v>78</v>
      </c>
      <c r="H32" s="7">
        <v>65</v>
      </c>
      <c r="I32" s="6">
        <v>67</v>
      </c>
      <c r="J32" s="6">
        <v>90</v>
      </c>
      <c r="K32" s="6">
        <v>89</v>
      </c>
      <c r="L32" s="6">
        <v>87</v>
      </c>
      <c r="M32" s="7">
        <v>76</v>
      </c>
      <c r="N32" s="7">
        <v>87</v>
      </c>
      <c r="O32" s="6">
        <v>79</v>
      </c>
      <c r="P32" s="8">
        <f t="shared" si="2"/>
        <v>80.25</v>
      </c>
      <c r="Q32" s="9" t="str">
        <f t="shared" si="3"/>
        <v>B</v>
      </c>
      <c r="R32" s="29">
        <f t="shared" si="4"/>
        <v>3.96</v>
      </c>
      <c r="S32" s="29">
        <f t="shared" si="4"/>
        <v>2.2400000000000002</v>
      </c>
      <c r="T32" s="29">
        <f t="shared" si="4"/>
        <v>3.6</v>
      </c>
      <c r="U32" s="29">
        <f t="shared" si="4"/>
        <v>3.12</v>
      </c>
      <c r="V32" s="29">
        <f t="shared" si="4"/>
        <v>2.6</v>
      </c>
      <c r="W32" s="29">
        <f t="shared" si="4"/>
        <v>2.68</v>
      </c>
      <c r="X32" s="29">
        <f t="shared" si="4"/>
        <v>3.6</v>
      </c>
      <c r="Y32" s="29">
        <f t="shared" si="4"/>
        <v>3.56</v>
      </c>
      <c r="Z32" s="29">
        <f t="shared" si="4"/>
        <v>3.48</v>
      </c>
      <c r="AA32" s="29">
        <f t="shared" si="4"/>
        <v>3.04</v>
      </c>
      <c r="AB32" s="29">
        <f t="shared" si="4"/>
        <v>3.48</v>
      </c>
      <c r="AC32" s="29">
        <f t="shared" si="4"/>
        <v>3.16</v>
      </c>
      <c r="AD32" s="10"/>
      <c r="AE32" s="11" t="str">
        <f t="shared" si="5"/>
        <v>4</v>
      </c>
      <c r="AF32" s="11" t="str">
        <f t="shared" si="6"/>
        <v>0</v>
      </c>
      <c r="AG32" s="35">
        <f t="shared" si="7"/>
        <v>4</v>
      </c>
      <c r="AH32" s="35" t="str">
        <f t="shared" si="8"/>
        <v>0</v>
      </c>
      <c r="AI32" s="35" t="str">
        <f t="shared" si="9"/>
        <v>1</v>
      </c>
      <c r="AJ32" s="35">
        <f t="shared" si="10"/>
        <v>1</v>
      </c>
      <c r="AK32" s="35" t="str">
        <f t="shared" si="11"/>
        <v>0</v>
      </c>
      <c r="AL32" s="35" t="str">
        <f t="shared" si="12"/>
        <v>0</v>
      </c>
      <c r="AM32" s="35">
        <f t="shared" si="13"/>
        <v>0</v>
      </c>
      <c r="AN32" s="35" t="str">
        <f t="shared" si="14"/>
        <v>0</v>
      </c>
      <c r="AO32" s="35" t="str">
        <f t="shared" si="15"/>
        <v>0</v>
      </c>
      <c r="AP32" s="35">
        <f t="shared" si="16"/>
        <v>0</v>
      </c>
      <c r="AQ32" s="35" t="str">
        <f t="shared" si="17"/>
        <v>0</v>
      </c>
      <c r="AR32" s="35" t="str">
        <f t="shared" si="18"/>
        <v>0</v>
      </c>
      <c r="AS32" s="35">
        <f t="shared" si="19"/>
        <v>0</v>
      </c>
      <c r="AT32" s="35" t="str">
        <f t="shared" si="20"/>
        <v>0</v>
      </c>
      <c r="AU32" s="35" t="str">
        <f t="shared" si="21"/>
        <v>0</v>
      </c>
      <c r="AV32" s="35">
        <f t="shared" si="22"/>
        <v>0</v>
      </c>
      <c r="AW32" s="35" t="str">
        <f t="shared" si="23"/>
        <v>0</v>
      </c>
      <c r="AX32" s="35" t="str">
        <f t="shared" si="24"/>
        <v>0</v>
      </c>
      <c r="AY32" s="35">
        <f t="shared" si="25"/>
        <v>0</v>
      </c>
      <c r="AZ32" s="35" t="str">
        <f t="shared" si="26"/>
        <v>0</v>
      </c>
      <c r="BA32" s="35" t="str">
        <f t="shared" si="27"/>
        <v>0</v>
      </c>
      <c r="BB32" s="35">
        <f t="shared" si="28"/>
        <v>0</v>
      </c>
      <c r="BC32" s="35" t="str">
        <f t="shared" si="29"/>
        <v>0</v>
      </c>
      <c r="BD32" s="35" t="str">
        <f t="shared" si="30"/>
        <v>0</v>
      </c>
      <c r="BE32" s="35">
        <f t="shared" si="31"/>
        <v>0</v>
      </c>
      <c r="BF32" s="35" t="str">
        <f t="shared" si="32"/>
        <v>0</v>
      </c>
      <c r="BG32" s="35" t="str">
        <f t="shared" si="33"/>
        <v>0</v>
      </c>
      <c r="BH32" s="35">
        <f t="shared" si="34"/>
        <v>0</v>
      </c>
      <c r="BI32" s="35" t="str">
        <f t="shared" si="35"/>
        <v>0</v>
      </c>
      <c r="BJ32" s="35" t="str">
        <f t="shared" si="36"/>
        <v>0</v>
      </c>
      <c r="BK32" s="35">
        <f t="shared" si="37"/>
        <v>0</v>
      </c>
      <c r="BL32" s="35" t="str">
        <f t="shared" si="38"/>
        <v>0</v>
      </c>
      <c r="BM32" s="35" t="str">
        <f t="shared" si="39"/>
        <v>0</v>
      </c>
      <c r="BN32" s="35">
        <f t="shared" si="40"/>
        <v>0</v>
      </c>
      <c r="BO32" s="43" t="str">
        <f t="shared" si="41"/>
        <v xml:space="preserve">NABIL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32" s="12"/>
      <c r="BQ32" s="15" t="str">
        <f t="shared" si="42"/>
        <v>mengemukakan kembali dengan kalimat sendiri, membuat model matematika dan memilih strategi yang efektif dalam memecahkan masalah nyata sehari-hari yang berkaitan dengan KPK dan FPB, satuan kuantitas, desimal dan persen, serta memeriksa kebenarannya</v>
      </c>
      <c r="BR32" s="16" t="str">
        <f t="shared" si="43"/>
        <v xml:space="preserve"> </v>
      </c>
      <c r="BS32" s="16" t="str">
        <f t="shared" si="44"/>
        <v xml:space="preserve"> </v>
      </c>
      <c r="BT32" s="16" t="str">
        <f t="shared" si="45"/>
        <v xml:space="preserve"> </v>
      </c>
      <c r="BU32" s="16" t="str">
        <f t="shared" si="46"/>
        <v xml:space="preserve"> </v>
      </c>
      <c r="BV32" s="16" t="str">
        <f t="shared" si="47"/>
        <v xml:space="preserve"> </v>
      </c>
      <c r="BW32" s="16" t="str">
        <f t="shared" si="48"/>
        <v xml:space="preserve"> </v>
      </c>
      <c r="BX32" s="16" t="str">
        <f t="shared" si="49"/>
        <v xml:space="preserve"> </v>
      </c>
      <c r="BY32" s="16" t="str">
        <f t="shared" si="50"/>
        <v xml:space="preserve"> </v>
      </c>
      <c r="BZ32" s="16" t="str">
        <f t="shared" si="51"/>
        <v xml:space="preserve"> </v>
      </c>
      <c r="CA32" s="16" t="str">
        <f t="shared" si="52"/>
        <v xml:space="preserve"> </v>
      </c>
      <c r="CB32" s="16" t="str">
        <f t="shared" si="53"/>
        <v xml:space="preserve"> </v>
      </c>
      <c r="CC32" s="13" t="str">
        <f t="shared" si="54"/>
        <v xml:space="preserve"> </v>
      </c>
      <c r="CD32" s="13" t="str">
        <f t="shared" si="55"/>
        <v>menyatakan pecahan ke bentuk desimal dan persen</v>
      </c>
      <c r="CE32" s="13" t="str">
        <f t="shared" si="56"/>
        <v xml:space="preserve"> </v>
      </c>
      <c r="CF32" s="13" t="str">
        <f t="shared" si="57"/>
        <v xml:space="preserve"> </v>
      </c>
      <c r="CG32" s="13" t="str">
        <f t="shared" si="58"/>
        <v xml:space="preserve"> </v>
      </c>
      <c r="CH32" s="13" t="str">
        <f t="shared" si="59"/>
        <v xml:space="preserve"> </v>
      </c>
      <c r="CI32" s="13" t="str">
        <f t="shared" si="60"/>
        <v xml:space="preserve"> </v>
      </c>
      <c r="CJ32" s="13" t="str">
        <f t="shared" si="61"/>
        <v xml:space="preserve"> </v>
      </c>
      <c r="CK32" s="13" t="str">
        <f t="shared" si="62"/>
        <v xml:space="preserve"> </v>
      </c>
      <c r="CL32" s="13" t="str">
        <f t="shared" si="63"/>
        <v xml:space="preserve"> </v>
      </c>
      <c r="CM32" s="13" t="str">
        <f t="shared" si="64"/>
        <v xml:space="preserve"> </v>
      </c>
      <c r="CN32" s="13" t="str">
        <f t="shared" si="65"/>
        <v xml:space="preserve"> </v>
      </c>
      <c r="CO32" s="14"/>
    </row>
    <row r="33" spans="1:93" ht="90">
      <c r="A33" s="38">
        <v>29</v>
      </c>
      <c r="B33" s="39" t="str">
        <f>SISWA!B34</f>
        <v>1718250040333</v>
      </c>
      <c r="C33" s="40" t="str">
        <f>SISWA!E34</f>
        <v>RASYA</v>
      </c>
      <c r="D33" s="6">
        <v>99</v>
      </c>
      <c r="E33" s="7">
        <v>56</v>
      </c>
      <c r="F33" s="7">
        <v>90</v>
      </c>
      <c r="G33" s="7">
        <v>78</v>
      </c>
      <c r="H33" s="7">
        <v>65</v>
      </c>
      <c r="I33" s="6">
        <v>67</v>
      </c>
      <c r="J33" s="6">
        <v>90</v>
      </c>
      <c r="K33" s="6">
        <v>89</v>
      </c>
      <c r="L33" s="6">
        <v>87</v>
      </c>
      <c r="M33" s="7">
        <v>76</v>
      </c>
      <c r="N33" s="7">
        <v>87</v>
      </c>
      <c r="O33" s="6">
        <v>79</v>
      </c>
      <c r="P33" s="8">
        <f t="shared" si="2"/>
        <v>80.25</v>
      </c>
      <c r="Q33" s="9" t="str">
        <f t="shared" si="3"/>
        <v>B</v>
      </c>
      <c r="R33" s="29">
        <f t="shared" si="4"/>
        <v>3.96</v>
      </c>
      <c r="S33" s="29">
        <f t="shared" si="4"/>
        <v>2.2400000000000002</v>
      </c>
      <c r="T33" s="29">
        <f t="shared" si="4"/>
        <v>3.6</v>
      </c>
      <c r="U33" s="29">
        <f t="shared" si="4"/>
        <v>3.12</v>
      </c>
      <c r="V33" s="29">
        <f t="shared" si="4"/>
        <v>2.6</v>
      </c>
      <c r="W33" s="29">
        <f t="shared" si="4"/>
        <v>2.68</v>
      </c>
      <c r="X33" s="29">
        <f t="shared" si="4"/>
        <v>3.6</v>
      </c>
      <c r="Y33" s="29">
        <f t="shared" si="4"/>
        <v>3.56</v>
      </c>
      <c r="Z33" s="29">
        <f t="shared" si="4"/>
        <v>3.48</v>
      </c>
      <c r="AA33" s="29">
        <f t="shared" si="4"/>
        <v>3.04</v>
      </c>
      <c r="AB33" s="29">
        <f t="shared" si="4"/>
        <v>3.48</v>
      </c>
      <c r="AC33" s="29">
        <f t="shared" si="4"/>
        <v>3.16</v>
      </c>
      <c r="AD33" s="10"/>
      <c r="AE33" s="11" t="str">
        <f t="shared" si="5"/>
        <v>4</v>
      </c>
      <c r="AF33" s="11" t="str">
        <f t="shared" si="6"/>
        <v>0</v>
      </c>
      <c r="AG33" s="35">
        <f t="shared" si="7"/>
        <v>4</v>
      </c>
      <c r="AH33" s="35" t="str">
        <f t="shared" si="8"/>
        <v>0</v>
      </c>
      <c r="AI33" s="35" t="str">
        <f t="shared" si="9"/>
        <v>1</v>
      </c>
      <c r="AJ33" s="35">
        <f t="shared" si="10"/>
        <v>1</v>
      </c>
      <c r="AK33" s="35" t="str">
        <f t="shared" si="11"/>
        <v>0</v>
      </c>
      <c r="AL33" s="35" t="str">
        <f t="shared" si="12"/>
        <v>0</v>
      </c>
      <c r="AM33" s="35">
        <f t="shared" si="13"/>
        <v>0</v>
      </c>
      <c r="AN33" s="35" t="str">
        <f t="shared" si="14"/>
        <v>0</v>
      </c>
      <c r="AO33" s="35" t="str">
        <f t="shared" si="15"/>
        <v>0</v>
      </c>
      <c r="AP33" s="35">
        <f t="shared" si="16"/>
        <v>0</v>
      </c>
      <c r="AQ33" s="35" t="str">
        <f t="shared" si="17"/>
        <v>0</v>
      </c>
      <c r="AR33" s="35" t="str">
        <f t="shared" si="18"/>
        <v>0</v>
      </c>
      <c r="AS33" s="35">
        <f t="shared" si="19"/>
        <v>0</v>
      </c>
      <c r="AT33" s="35" t="str">
        <f t="shared" si="20"/>
        <v>0</v>
      </c>
      <c r="AU33" s="35" t="str">
        <f t="shared" si="21"/>
        <v>0</v>
      </c>
      <c r="AV33" s="35">
        <f t="shared" si="22"/>
        <v>0</v>
      </c>
      <c r="AW33" s="35" t="str">
        <f t="shared" si="23"/>
        <v>0</v>
      </c>
      <c r="AX33" s="35" t="str">
        <f t="shared" si="24"/>
        <v>0</v>
      </c>
      <c r="AY33" s="35">
        <f t="shared" si="25"/>
        <v>0</v>
      </c>
      <c r="AZ33" s="35" t="str">
        <f t="shared" si="26"/>
        <v>0</v>
      </c>
      <c r="BA33" s="35" t="str">
        <f t="shared" si="27"/>
        <v>0</v>
      </c>
      <c r="BB33" s="35">
        <f t="shared" si="28"/>
        <v>0</v>
      </c>
      <c r="BC33" s="35" t="str">
        <f t="shared" si="29"/>
        <v>0</v>
      </c>
      <c r="BD33" s="35" t="str">
        <f t="shared" si="30"/>
        <v>0</v>
      </c>
      <c r="BE33" s="35">
        <f t="shared" si="31"/>
        <v>0</v>
      </c>
      <c r="BF33" s="35" t="str">
        <f t="shared" si="32"/>
        <v>0</v>
      </c>
      <c r="BG33" s="35" t="str">
        <f t="shared" si="33"/>
        <v>0</v>
      </c>
      <c r="BH33" s="35">
        <f t="shared" si="34"/>
        <v>0</v>
      </c>
      <c r="BI33" s="35" t="str">
        <f t="shared" si="35"/>
        <v>0</v>
      </c>
      <c r="BJ33" s="35" t="str">
        <f t="shared" si="36"/>
        <v>0</v>
      </c>
      <c r="BK33" s="35">
        <f t="shared" si="37"/>
        <v>0</v>
      </c>
      <c r="BL33" s="35" t="str">
        <f t="shared" si="38"/>
        <v>0</v>
      </c>
      <c r="BM33" s="35" t="str">
        <f t="shared" si="39"/>
        <v>0</v>
      </c>
      <c r="BN33" s="35">
        <f t="shared" si="40"/>
        <v>0</v>
      </c>
      <c r="BO33" s="43" t="str">
        <f t="shared" si="41"/>
        <v xml:space="preserve">RASYA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33" s="12"/>
      <c r="BQ33" s="15" t="str">
        <f t="shared" si="42"/>
        <v>mengemukakan kembali dengan kalimat sendiri, membuat model matematika dan memilih strategi yang efektif dalam memecahkan masalah nyata sehari-hari yang berkaitan dengan KPK dan FPB, satuan kuantitas, desimal dan persen, serta memeriksa kebenarannya</v>
      </c>
      <c r="BR33" s="16" t="str">
        <f t="shared" si="43"/>
        <v xml:space="preserve"> </v>
      </c>
      <c r="BS33" s="16" t="str">
        <f t="shared" si="44"/>
        <v xml:space="preserve"> </v>
      </c>
      <c r="BT33" s="16" t="str">
        <f t="shared" si="45"/>
        <v xml:space="preserve"> </v>
      </c>
      <c r="BU33" s="16" t="str">
        <f t="shared" si="46"/>
        <v xml:space="preserve"> </v>
      </c>
      <c r="BV33" s="16" t="str">
        <f t="shared" si="47"/>
        <v xml:space="preserve"> </v>
      </c>
      <c r="BW33" s="16" t="str">
        <f t="shared" si="48"/>
        <v xml:space="preserve"> </v>
      </c>
      <c r="BX33" s="16" t="str">
        <f t="shared" si="49"/>
        <v xml:space="preserve"> </v>
      </c>
      <c r="BY33" s="16" t="str">
        <f t="shared" si="50"/>
        <v xml:space="preserve"> </v>
      </c>
      <c r="BZ33" s="16" t="str">
        <f t="shared" si="51"/>
        <v xml:space="preserve"> </v>
      </c>
      <c r="CA33" s="16" t="str">
        <f t="shared" si="52"/>
        <v xml:space="preserve"> </v>
      </c>
      <c r="CB33" s="16" t="str">
        <f t="shared" si="53"/>
        <v xml:space="preserve"> </v>
      </c>
      <c r="CC33" s="13" t="str">
        <f t="shared" si="54"/>
        <v xml:space="preserve"> </v>
      </c>
      <c r="CD33" s="13" t="str">
        <f t="shared" si="55"/>
        <v>menyatakan pecahan ke bentuk desimal dan persen</v>
      </c>
      <c r="CE33" s="13" t="str">
        <f t="shared" si="56"/>
        <v xml:space="preserve"> </v>
      </c>
      <c r="CF33" s="13" t="str">
        <f t="shared" si="57"/>
        <v xml:space="preserve"> </v>
      </c>
      <c r="CG33" s="13" t="str">
        <f t="shared" si="58"/>
        <v xml:space="preserve"> </v>
      </c>
      <c r="CH33" s="13" t="str">
        <f t="shared" si="59"/>
        <v xml:space="preserve"> </v>
      </c>
      <c r="CI33" s="13" t="str">
        <f t="shared" si="60"/>
        <v xml:space="preserve"> </v>
      </c>
      <c r="CJ33" s="13" t="str">
        <f t="shared" si="61"/>
        <v xml:space="preserve"> </v>
      </c>
      <c r="CK33" s="13" t="str">
        <f t="shared" si="62"/>
        <v xml:space="preserve"> </v>
      </c>
      <c r="CL33" s="13" t="str">
        <f t="shared" si="63"/>
        <v xml:space="preserve"> </v>
      </c>
      <c r="CM33" s="13" t="str">
        <f t="shared" si="64"/>
        <v xml:space="preserve"> </v>
      </c>
      <c r="CN33" s="13" t="str">
        <f t="shared" si="65"/>
        <v xml:space="preserve"> </v>
      </c>
      <c r="CO33" s="14"/>
    </row>
    <row r="34" spans="1:93" ht="90">
      <c r="A34" s="38">
        <v>30</v>
      </c>
      <c r="B34" s="39" t="str">
        <f>SISWA!B35</f>
        <v>1718250040334</v>
      </c>
      <c r="C34" s="40" t="str">
        <f>SISWA!E35</f>
        <v>RIZKI</v>
      </c>
      <c r="D34" s="6">
        <v>99</v>
      </c>
      <c r="E34" s="7">
        <v>56</v>
      </c>
      <c r="F34" s="7">
        <v>90</v>
      </c>
      <c r="G34" s="7">
        <v>78</v>
      </c>
      <c r="H34" s="7">
        <v>65</v>
      </c>
      <c r="I34" s="6">
        <v>67</v>
      </c>
      <c r="J34" s="6">
        <v>90</v>
      </c>
      <c r="K34" s="6">
        <v>89</v>
      </c>
      <c r="L34" s="6">
        <v>87</v>
      </c>
      <c r="M34" s="7">
        <v>76</v>
      </c>
      <c r="N34" s="7">
        <v>87</v>
      </c>
      <c r="O34" s="6">
        <v>79</v>
      </c>
      <c r="P34" s="8">
        <f t="shared" si="2"/>
        <v>80.25</v>
      </c>
      <c r="Q34" s="9" t="str">
        <f t="shared" si="3"/>
        <v>B</v>
      </c>
      <c r="R34" s="29">
        <f t="shared" si="4"/>
        <v>3.96</v>
      </c>
      <c r="S34" s="29">
        <f t="shared" si="4"/>
        <v>2.2400000000000002</v>
      </c>
      <c r="T34" s="29">
        <f t="shared" si="4"/>
        <v>3.6</v>
      </c>
      <c r="U34" s="29">
        <f t="shared" si="4"/>
        <v>3.12</v>
      </c>
      <c r="V34" s="29">
        <f t="shared" si="4"/>
        <v>2.6</v>
      </c>
      <c r="W34" s="29">
        <f t="shared" si="4"/>
        <v>2.68</v>
      </c>
      <c r="X34" s="29">
        <f t="shared" si="4"/>
        <v>3.6</v>
      </c>
      <c r="Y34" s="29">
        <f t="shared" si="4"/>
        <v>3.56</v>
      </c>
      <c r="Z34" s="29">
        <f t="shared" si="4"/>
        <v>3.48</v>
      </c>
      <c r="AA34" s="29">
        <f t="shared" si="4"/>
        <v>3.04</v>
      </c>
      <c r="AB34" s="29">
        <f t="shared" si="4"/>
        <v>3.48</v>
      </c>
      <c r="AC34" s="29">
        <f t="shared" si="4"/>
        <v>3.16</v>
      </c>
      <c r="AD34" s="10"/>
      <c r="AE34" s="11" t="str">
        <f t="shared" si="5"/>
        <v>4</v>
      </c>
      <c r="AF34" s="11" t="str">
        <f t="shared" si="6"/>
        <v>0</v>
      </c>
      <c r="AG34" s="35">
        <f t="shared" si="7"/>
        <v>4</v>
      </c>
      <c r="AH34" s="35" t="str">
        <f t="shared" si="8"/>
        <v>0</v>
      </c>
      <c r="AI34" s="35" t="str">
        <f t="shared" si="9"/>
        <v>1</v>
      </c>
      <c r="AJ34" s="35">
        <f t="shared" si="10"/>
        <v>1</v>
      </c>
      <c r="AK34" s="35" t="str">
        <f t="shared" si="11"/>
        <v>0</v>
      </c>
      <c r="AL34" s="35" t="str">
        <f t="shared" si="12"/>
        <v>0</v>
      </c>
      <c r="AM34" s="35">
        <f t="shared" si="13"/>
        <v>0</v>
      </c>
      <c r="AN34" s="35" t="str">
        <f t="shared" si="14"/>
        <v>0</v>
      </c>
      <c r="AO34" s="35" t="str">
        <f t="shared" si="15"/>
        <v>0</v>
      </c>
      <c r="AP34" s="35">
        <f t="shared" si="16"/>
        <v>0</v>
      </c>
      <c r="AQ34" s="35" t="str">
        <f t="shared" si="17"/>
        <v>0</v>
      </c>
      <c r="AR34" s="35" t="str">
        <f t="shared" si="18"/>
        <v>0</v>
      </c>
      <c r="AS34" s="35">
        <f t="shared" si="19"/>
        <v>0</v>
      </c>
      <c r="AT34" s="35" t="str">
        <f t="shared" si="20"/>
        <v>0</v>
      </c>
      <c r="AU34" s="35" t="str">
        <f t="shared" si="21"/>
        <v>0</v>
      </c>
      <c r="AV34" s="35">
        <f t="shared" si="22"/>
        <v>0</v>
      </c>
      <c r="AW34" s="35" t="str">
        <f t="shared" si="23"/>
        <v>0</v>
      </c>
      <c r="AX34" s="35" t="str">
        <f t="shared" si="24"/>
        <v>0</v>
      </c>
      <c r="AY34" s="35">
        <f t="shared" si="25"/>
        <v>0</v>
      </c>
      <c r="AZ34" s="35" t="str">
        <f t="shared" si="26"/>
        <v>0</v>
      </c>
      <c r="BA34" s="35" t="str">
        <f t="shared" si="27"/>
        <v>0</v>
      </c>
      <c r="BB34" s="35">
        <f t="shared" si="28"/>
        <v>0</v>
      </c>
      <c r="BC34" s="35" t="str">
        <f t="shared" si="29"/>
        <v>0</v>
      </c>
      <c r="BD34" s="35" t="str">
        <f t="shared" si="30"/>
        <v>0</v>
      </c>
      <c r="BE34" s="35">
        <f t="shared" si="31"/>
        <v>0</v>
      </c>
      <c r="BF34" s="35" t="str">
        <f t="shared" si="32"/>
        <v>0</v>
      </c>
      <c r="BG34" s="35" t="str">
        <f t="shared" si="33"/>
        <v>0</v>
      </c>
      <c r="BH34" s="35">
        <f t="shared" si="34"/>
        <v>0</v>
      </c>
      <c r="BI34" s="35" t="str">
        <f t="shared" si="35"/>
        <v>0</v>
      </c>
      <c r="BJ34" s="35" t="str">
        <f t="shared" si="36"/>
        <v>0</v>
      </c>
      <c r="BK34" s="35">
        <f t="shared" si="37"/>
        <v>0</v>
      </c>
      <c r="BL34" s="35" t="str">
        <f t="shared" si="38"/>
        <v>0</v>
      </c>
      <c r="BM34" s="35" t="str">
        <f t="shared" si="39"/>
        <v>0</v>
      </c>
      <c r="BN34" s="35">
        <f t="shared" si="40"/>
        <v>0</v>
      </c>
      <c r="BO34" s="43" t="str">
        <f t="shared" si="41"/>
        <v xml:space="preserve">RIZKI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34" s="12"/>
      <c r="BQ34" s="15" t="str">
        <f t="shared" si="42"/>
        <v>mengemukakan kembali dengan kalimat sendiri, membuat model matematika dan memilih strategi yang efektif dalam memecahkan masalah nyata sehari-hari yang berkaitan dengan KPK dan FPB, satuan kuantitas, desimal dan persen, serta memeriksa kebenarannya</v>
      </c>
      <c r="BR34" s="16" t="str">
        <f t="shared" si="43"/>
        <v xml:space="preserve"> </v>
      </c>
      <c r="BS34" s="16" t="str">
        <f t="shared" si="44"/>
        <v xml:space="preserve"> </v>
      </c>
      <c r="BT34" s="16" t="str">
        <f t="shared" si="45"/>
        <v xml:space="preserve"> </v>
      </c>
      <c r="BU34" s="16" t="str">
        <f t="shared" si="46"/>
        <v xml:space="preserve"> </v>
      </c>
      <c r="BV34" s="16" t="str">
        <f t="shared" si="47"/>
        <v xml:space="preserve"> </v>
      </c>
      <c r="BW34" s="16" t="str">
        <f t="shared" si="48"/>
        <v xml:space="preserve"> </v>
      </c>
      <c r="BX34" s="16" t="str">
        <f t="shared" si="49"/>
        <v xml:space="preserve"> </v>
      </c>
      <c r="BY34" s="16" t="str">
        <f t="shared" si="50"/>
        <v xml:space="preserve"> </v>
      </c>
      <c r="BZ34" s="16" t="str">
        <f t="shared" si="51"/>
        <v xml:space="preserve"> </v>
      </c>
      <c r="CA34" s="16" t="str">
        <f t="shared" si="52"/>
        <v xml:space="preserve"> </v>
      </c>
      <c r="CB34" s="16" t="str">
        <f t="shared" si="53"/>
        <v xml:space="preserve"> </v>
      </c>
      <c r="CC34" s="13" t="str">
        <f t="shared" si="54"/>
        <v xml:space="preserve"> </v>
      </c>
      <c r="CD34" s="13" t="str">
        <f t="shared" si="55"/>
        <v>menyatakan pecahan ke bentuk desimal dan persen</v>
      </c>
      <c r="CE34" s="13" t="str">
        <f t="shared" si="56"/>
        <v xml:space="preserve"> </v>
      </c>
      <c r="CF34" s="13" t="str">
        <f t="shared" si="57"/>
        <v xml:space="preserve"> </v>
      </c>
      <c r="CG34" s="13" t="str">
        <f t="shared" si="58"/>
        <v xml:space="preserve"> </v>
      </c>
      <c r="CH34" s="13" t="str">
        <f t="shared" si="59"/>
        <v xml:space="preserve"> </v>
      </c>
      <c r="CI34" s="13" t="str">
        <f t="shared" si="60"/>
        <v xml:space="preserve"> </v>
      </c>
      <c r="CJ34" s="13" t="str">
        <f t="shared" si="61"/>
        <v xml:space="preserve"> </v>
      </c>
      <c r="CK34" s="13" t="str">
        <f t="shared" si="62"/>
        <v xml:space="preserve"> </v>
      </c>
      <c r="CL34" s="13" t="str">
        <f t="shared" si="63"/>
        <v xml:space="preserve"> </v>
      </c>
      <c r="CM34" s="13" t="str">
        <f t="shared" si="64"/>
        <v xml:space="preserve"> </v>
      </c>
      <c r="CN34" s="13" t="str">
        <f t="shared" si="65"/>
        <v xml:space="preserve"> </v>
      </c>
      <c r="CO34" s="14"/>
    </row>
    <row r="35" spans="1:93" ht="90">
      <c r="A35" s="38">
        <v>31</v>
      </c>
      <c r="B35" s="39" t="str">
        <f>SISWA!B36</f>
        <v>1718250040335</v>
      </c>
      <c r="C35" s="40" t="str">
        <f>SISWA!E36</f>
        <v>SATRIA</v>
      </c>
      <c r="D35" s="6">
        <v>99</v>
      </c>
      <c r="E35" s="7">
        <v>56</v>
      </c>
      <c r="F35" s="7">
        <v>90</v>
      </c>
      <c r="G35" s="7">
        <v>78</v>
      </c>
      <c r="H35" s="7">
        <v>65</v>
      </c>
      <c r="I35" s="6">
        <v>67</v>
      </c>
      <c r="J35" s="6">
        <v>90</v>
      </c>
      <c r="K35" s="6">
        <v>89</v>
      </c>
      <c r="L35" s="6">
        <v>87</v>
      </c>
      <c r="M35" s="7">
        <v>76</v>
      </c>
      <c r="N35" s="7">
        <v>87</v>
      </c>
      <c r="O35" s="6">
        <v>79</v>
      </c>
      <c r="P35" s="8">
        <f t="shared" si="2"/>
        <v>80.25</v>
      </c>
      <c r="Q35" s="9" t="str">
        <f t="shared" si="3"/>
        <v>B</v>
      </c>
      <c r="R35" s="29">
        <f t="shared" si="4"/>
        <v>3.96</v>
      </c>
      <c r="S35" s="29">
        <f t="shared" si="4"/>
        <v>2.2400000000000002</v>
      </c>
      <c r="T35" s="29">
        <f t="shared" si="4"/>
        <v>3.6</v>
      </c>
      <c r="U35" s="29">
        <f t="shared" si="4"/>
        <v>3.12</v>
      </c>
      <c r="V35" s="29">
        <f t="shared" si="4"/>
        <v>2.6</v>
      </c>
      <c r="W35" s="29">
        <f t="shared" si="4"/>
        <v>2.68</v>
      </c>
      <c r="X35" s="29">
        <f t="shared" si="4"/>
        <v>3.6</v>
      </c>
      <c r="Y35" s="29">
        <f t="shared" si="4"/>
        <v>3.56</v>
      </c>
      <c r="Z35" s="29">
        <f t="shared" si="4"/>
        <v>3.48</v>
      </c>
      <c r="AA35" s="29">
        <f t="shared" si="4"/>
        <v>3.04</v>
      </c>
      <c r="AB35" s="29">
        <f t="shared" si="4"/>
        <v>3.48</v>
      </c>
      <c r="AC35" s="29">
        <f t="shared" si="4"/>
        <v>3.16</v>
      </c>
      <c r="AD35" s="10"/>
      <c r="AE35" s="11" t="str">
        <f t="shared" si="5"/>
        <v>4</v>
      </c>
      <c r="AF35" s="11" t="str">
        <f t="shared" si="6"/>
        <v>0</v>
      </c>
      <c r="AG35" s="35">
        <f t="shared" si="7"/>
        <v>4</v>
      </c>
      <c r="AH35" s="35" t="str">
        <f t="shared" si="8"/>
        <v>0</v>
      </c>
      <c r="AI35" s="35" t="str">
        <f t="shared" si="9"/>
        <v>1</v>
      </c>
      <c r="AJ35" s="35">
        <f t="shared" si="10"/>
        <v>1</v>
      </c>
      <c r="AK35" s="35" t="str">
        <f t="shared" si="11"/>
        <v>0</v>
      </c>
      <c r="AL35" s="35" t="str">
        <f t="shared" si="12"/>
        <v>0</v>
      </c>
      <c r="AM35" s="35">
        <f t="shared" si="13"/>
        <v>0</v>
      </c>
      <c r="AN35" s="35" t="str">
        <f t="shared" si="14"/>
        <v>0</v>
      </c>
      <c r="AO35" s="35" t="str">
        <f t="shared" si="15"/>
        <v>0</v>
      </c>
      <c r="AP35" s="35">
        <f t="shared" si="16"/>
        <v>0</v>
      </c>
      <c r="AQ35" s="35" t="str">
        <f t="shared" si="17"/>
        <v>0</v>
      </c>
      <c r="AR35" s="35" t="str">
        <f t="shared" si="18"/>
        <v>0</v>
      </c>
      <c r="AS35" s="35">
        <f t="shared" si="19"/>
        <v>0</v>
      </c>
      <c r="AT35" s="35" t="str">
        <f t="shared" si="20"/>
        <v>0</v>
      </c>
      <c r="AU35" s="35" t="str">
        <f t="shared" si="21"/>
        <v>0</v>
      </c>
      <c r="AV35" s="35">
        <f t="shared" si="22"/>
        <v>0</v>
      </c>
      <c r="AW35" s="35" t="str">
        <f t="shared" si="23"/>
        <v>0</v>
      </c>
      <c r="AX35" s="35" t="str">
        <f t="shared" si="24"/>
        <v>0</v>
      </c>
      <c r="AY35" s="35">
        <f t="shared" si="25"/>
        <v>0</v>
      </c>
      <c r="AZ35" s="35" t="str">
        <f t="shared" si="26"/>
        <v>0</v>
      </c>
      <c r="BA35" s="35" t="str">
        <f t="shared" si="27"/>
        <v>0</v>
      </c>
      <c r="BB35" s="35">
        <f t="shared" si="28"/>
        <v>0</v>
      </c>
      <c r="BC35" s="35" t="str">
        <f t="shared" si="29"/>
        <v>0</v>
      </c>
      <c r="BD35" s="35" t="str">
        <f t="shared" si="30"/>
        <v>0</v>
      </c>
      <c r="BE35" s="35">
        <f t="shared" si="31"/>
        <v>0</v>
      </c>
      <c r="BF35" s="35" t="str">
        <f t="shared" si="32"/>
        <v>0</v>
      </c>
      <c r="BG35" s="35" t="str">
        <f t="shared" si="33"/>
        <v>0</v>
      </c>
      <c r="BH35" s="35">
        <f t="shared" si="34"/>
        <v>0</v>
      </c>
      <c r="BI35" s="35" t="str">
        <f t="shared" si="35"/>
        <v>0</v>
      </c>
      <c r="BJ35" s="35" t="str">
        <f t="shared" si="36"/>
        <v>0</v>
      </c>
      <c r="BK35" s="35">
        <f t="shared" si="37"/>
        <v>0</v>
      </c>
      <c r="BL35" s="35" t="str">
        <f t="shared" si="38"/>
        <v>0</v>
      </c>
      <c r="BM35" s="35" t="str">
        <f t="shared" si="39"/>
        <v>0</v>
      </c>
      <c r="BN35" s="35">
        <f t="shared" si="40"/>
        <v>0</v>
      </c>
      <c r="BO35" s="43" t="str">
        <f t="shared" si="41"/>
        <v xml:space="preserve">SATRIA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35" s="12"/>
      <c r="BQ35" s="15" t="str">
        <f t="shared" si="42"/>
        <v>mengemukakan kembali dengan kalimat sendiri, membuat model matematika dan memilih strategi yang efektif dalam memecahkan masalah nyata sehari-hari yang berkaitan dengan KPK dan FPB, satuan kuantitas, desimal dan persen, serta memeriksa kebenarannya</v>
      </c>
      <c r="BR35" s="16" t="str">
        <f t="shared" si="43"/>
        <v xml:space="preserve"> </v>
      </c>
      <c r="BS35" s="16" t="str">
        <f t="shared" si="44"/>
        <v xml:space="preserve"> </v>
      </c>
      <c r="BT35" s="16" t="str">
        <f t="shared" si="45"/>
        <v xml:space="preserve"> </v>
      </c>
      <c r="BU35" s="16" t="str">
        <f t="shared" si="46"/>
        <v xml:space="preserve"> </v>
      </c>
      <c r="BV35" s="16" t="str">
        <f t="shared" si="47"/>
        <v xml:space="preserve"> </v>
      </c>
      <c r="BW35" s="16" t="str">
        <f t="shared" si="48"/>
        <v xml:space="preserve"> </v>
      </c>
      <c r="BX35" s="16" t="str">
        <f t="shared" si="49"/>
        <v xml:space="preserve"> </v>
      </c>
      <c r="BY35" s="16" t="str">
        <f t="shared" si="50"/>
        <v xml:space="preserve"> </v>
      </c>
      <c r="BZ35" s="16" t="str">
        <f t="shared" si="51"/>
        <v xml:space="preserve"> </v>
      </c>
      <c r="CA35" s="16" t="str">
        <f t="shared" si="52"/>
        <v xml:space="preserve"> </v>
      </c>
      <c r="CB35" s="16" t="str">
        <f t="shared" si="53"/>
        <v xml:space="preserve"> </v>
      </c>
      <c r="CC35" s="13" t="str">
        <f t="shared" si="54"/>
        <v xml:space="preserve"> </v>
      </c>
      <c r="CD35" s="13" t="str">
        <f t="shared" si="55"/>
        <v>menyatakan pecahan ke bentuk desimal dan persen</v>
      </c>
      <c r="CE35" s="13" t="str">
        <f t="shared" si="56"/>
        <v xml:space="preserve"> </v>
      </c>
      <c r="CF35" s="13" t="str">
        <f t="shared" si="57"/>
        <v xml:space="preserve"> </v>
      </c>
      <c r="CG35" s="13" t="str">
        <f t="shared" si="58"/>
        <v xml:space="preserve"> </v>
      </c>
      <c r="CH35" s="13" t="str">
        <f t="shared" si="59"/>
        <v xml:space="preserve"> </v>
      </c>
      <c r="CI35" s="13" t="str">
        <f t="shared" si="60"/>
        <v xml:space="preserve"> </v>
      </c>
      <c r="CJ35" s="13" t="str">
        <f t="shared" si="61"/>
        <v xml:space="preserve"> </v>
      </c>
      <c r="CK35" s="13" t="str">
        <f t="shared" si="62"/>
        <v xml:space="preserve"> </v>
      </c>
      <c r="CL35" s="13" t="str">
        <f t="shared" si="63"/>
        <v xml:space="preserve"> </v>
      </c>
      <c r="CM35" s="13" t="str">
        <f t="shared" si="64"/>
        <v xml:space="preserve"> </v>
      </c>
      <c r="CN35" s="13" t="str">
        <f t="shared" si="65"/>
        <v xml:space="preserve"> </v>
      </c>
      <c r="CO35" s="14"/>
    </row>
    <row r="36" spans="1:93" ht="90">
      <c r="A36" s="38">
        <v>32</v>
      </c>
      <c r="B36" s="39" t="str">
        <f>SISWA!B37</f>
        <v>1718250040336</v>
      </c>
      <c r="C36" s="40" t="str">
        <f>SISWA!E37</f>
        <v>NADIA</v>
      </c>
      <c r="D36" s="6">
        <v>99</v>
      </c>
      <c r="E36" s="7">
        <v>56</v>
      </c>
      <c r="F36" s="7">
        <v>90</v>
      </c>
      <c r="G36" s="7">
        <v>78</v>
      </c>
      <c r="H36" s="7">
        <v>65</v>
      </c>
      <c r="I36" s="6">
        <v>67</v>
      </c>
      <c r="J36" s="6">
        <v>90</v>
      </c>
      <c r="K36" s="6">
        <v>89</v>
      </c>
      <c r="L36" s="6">
        <v>87</v>
      </c>
      <c r="M36" s="7">
        <v>76</v>
      </c>
      <c r="N36" s="7">
        <v>87</v>
      </c>
      <c r="O36" s="6">
        <v>79</v>
      </c>
      <c r="P36" s="8">
        <f t="shared" si="2"/>
        <v>80.25</v>
      </c>
      <c r="Q36" s="9" t="str">
        <f t="shared" si="3"/>
        <v>B</v>
      </c>
      <c r="R36" s="29">
        <f t="shared" si="4"/>
        <v>3.96</v>
      </c>
      <c r="S36" s="29">
        <f t="shared" si="4"/>
        <v>2.2400000000000002</v>
      </c>
      <c r="T36" s="29">
        <f t="shared" si="4"/>
        <v>3.6</v>
      </c>
      <c r="U36" s="29">
        <f t="shared" si="4"/>
        <v>3.12</v>
      </c>
      <c r="V36" s="29">
        <f t="shared" si="4"/>
        <v>2.6</v>
      </c>
      <c r="W36" s="29">
        <f t="shared" si="4"/>
        <v>2.68</v>
      </c>
      <c r="X36" s="29">
        <f t="shared" si="4"/>
        <v>3.6</v>
      </c>
      <c r="Y36" s="29">
        <f t="shared" si="4"/>
        <v>3.56</v>
      </c>
      <c r="Z36" s="29">
        <f t="shared" si="4"/>
        <v>3.48</v>
      </c>
      <c r="AA36" s="29">
        <f t="shared" si="4"/>
        <v>3.04</v>
      </c>
      <c r="AB36" s="29">
        <f t="shared" si="4"/>
        <v>3.48</v>
      </c>
      <c r="AC36" s="29">
        <f t="shared" si="4"/>
        <v>3.16</v>
      </c>
      <c r="AD36" s="10"/>
      <c r="AE36" s="11" t="str">
        <f t="shared" si="5"/>
        <v>4</v>
      </c>
      <c r="AF36" s="11" t="str">
        <f t="shared" si="6"/>
        <v>0</v>
      </c>
      <c r="AG36" s="35">
        <f t="shared" si="7"/>
        <v>4</v>
      </c>
      <c r="AH36" s="35" t="str">
        <f t="shared" si="8"/>
        <v>0</v>
      </c>
      <c r="AI36" s="35" t="str">
        <f t="shared" si="9"/>
        <v>1</v>
      </c>
      <c r="AJ36" s="35">
        <f t="shared" si="10"/>
        <v>1</v>
      </c>
      <c r="AK36" s="35" t="str">
        <f t="shared" si="11"/>
        <v>0</v>
      </c>
      <c r="AL36" s="35" t="str">
        <f t="shared" si="12"/>
        <v>0</v>
      </c>
      <c r="AM36" s="35">
        <f t="shared" si="13"/>
        <v>0</v>
      </c>
      <c r="AN36" s="35" t="str">
        <f t="shared" si="14"/>
        <v>0</v>
      </c>
      <c r="AO36" s="35" t="str">
        <f t="shared" si="15"/>
        <v>0</v>
      </c>
      <c r="AP36" s="35">
        <f t="shared" si="16"/>
        <v>0</v>
      </c>
      <c r="AQ36" s="35" t="str">
        <f t="shared" si="17"/>
        <v>0</v>
      </c>
      <c r="AR36" s="35" t="str">
        <f t="shared" si="18"/>
        <v>0</v>
      </c>
      <c r="AS36" s="35">
        <f t="shared" si="19"/>
        <v>0</v>
      </c>
      <c r="AT36" s="35" t="str">
        <f t="shared" si="20"/>
        <v>0</v>
      </c>
      <c r="AU36" s="35" t="str">
        <f t="shared" si="21"/>
        <v>0</v>
      </c>
      <c r="AV36" s="35">
        <f t="shared" si="22"/>
        <v>0</v>
      </c>
      <c r="AW36" s="35" t="str">
        <f t="shared" si="23"/>
        <v>0</v>
      </c>
      <c r="AX36" s="35" t="str">
        <f t="shared" si="24"/>
        <v>0</v>
      </c>
      <c r="AY36" s="35">
        <f t="shared" si="25"/>
        <v>0</v>
      </c>
      <c r="AZ36" s="35" t="str">
        <f t="shared" si="26"/>
        <v>0</v>
      </c>
      <c r="BA36" s="35" t="str">
        <f t="shared" si="27"/>
        <v>0</v>
      </c>
      <c r="BB36" s="35">
        <f t="shared" si="28"/>
        <v>0</v>
      </c>
      <c r="BC36" s="35" t="str">
        <f t="shared" si="29"/>
        <v>0</v>
      </c>
      <c r="BD36" s="35" t="str">
        <f t="shared" si="30"/>
        <v>0</v>
      </c>
      <c r="BE36" s="35">
        <f t="shared" si="31"/>
        <v>0</v>
      </c>
      <c r="BF36" s="35" t="str">
        <f t="shared" si="32"/>
        <v>0</v>
      </c>
      <c r="BG36" s="35" t="str">
        <f t="shared" si="33"/>
        <v>0</v>
      </c>
      <c r="BH36" s="35">
        <f t="shared" si="34"/>
        <v>0</v>
      </c>
      <c r="BI36" s="35" t="str">
        <f t="shared" si="35"/>
        <v>0</v>
      </c>
      <c r="BJ36" s="35" t="str">
        <f t="shared" si="36"/>
        <v>0</v>
      </c>
      <c r="BK36" s="35">
        <f t="shared" si="37"/>
        <v>0</v>
      </c>
      <c r="BL36" s="35" t="str">
        <f t="shared" si="38"/>
        <v>0</v>
      </c>
      <c r="BM36" s="35" t="str">
        <f t="shared" si="39"/>
        <v>0</v>
      </c>
      <c r="BN36" s="35">
        <f t="shared" si="40"/>
        <v>0</v>
      </c>
      <c r="BO36" s="43" t="str">
        <f t="shared" si="41"/>
        <v xml:space="preserve">NADIA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36" s="12"/>
      <c r="BQ36" s="15" t="str">
        <f t="shared" si="42"/>
        <v>mengemukakan kembali dengan kalimat sendiri, membuat model matematika dan memilih strategi yang efektif dalam memecahkan masalah nyata sehari-hari yang berkaitan dengan KPK dan FPB, satuan kuantitas, desimal dan persen, serta memeriksa kebenarannya</v>
      </c>
      <c r="BR36" s="16" t="str">
        <f t="shared" si="43"/>
        <v xml:space="preserve"> </v>
      </c>
      <c r="BS36" s="16" t="str">
        <f t="shared" si="44"/>
        <v xml:space="preserve"> </v>
      </c>
      <c r="BT36" s="16" t="str">
        <f t="shared" si="45"/>
        <v xml:space="preserve"> </v>
      </c>
      <c r="BU36" s="16" t="str">
        <f t="shared" si="46"/>
        <v xml:space="preserve"> </v>
      </c>
      <c r="BV36" s="16" t="str">
        <f t="shared" si="47"/>
        <v xml:space="preserve"> </v>
      </c>
      <c r="BW36" s="16" t="str">
        <f t="shared" si="48"/>
        <v xml:space="preserve"> </v>
      </c>
      <c r="BX36" s="16" t="str">
        <f t="shared" si="49"/>
        <v xml:space="preserve"> </v>
      </c>
      <c r="BY36" s="16" t="str">
        <f t="shared" si="50"/>
        <v xml:space="preserve"> </v>
      </c>
      <c r="BZ36" s="16" t="str">
        <f t="shared" si="51"/>
        <v xml:space="preserve"> </v>
      </c>
      <c r="CA36" s="16" t="str">
        <f t="shared" si="52"/>
        <v xml:space="preserve"> </v>
      </c>
      <c r="CB36" s="16" t="str">
        <f t="shared" si="53"/>
        <v xml:space="preserve"> </v>
      </c>
      <c r="CC36" s="13" t="str">
        <f t="shared" si="54"/>
        <v xml:space="preserve"> </v>
      </c>
      <c r="CD36" s="13" t="str">
        <f t="shared" si="55"/>
        <v>menyatakan pecahan ke bentuk desimal dan persen</v>
      </c>
      <c r="CE36" s="13" t="str">
        <f t="shared" si="56"/>
        <v xml:space="preserve"> </v>
      </c>
      <c r="CF36" s="13" t="str">
        <f t="shared" si="57"/>
        <v xml:space="preserve"> </v>
      </c>
      <c r="CG36" s="13" t="str">
        <f t="shared" si="58"/>
        <v xml:space="preserve"> </v>
      </c>
      <c r="CH36" s="13" t="str">
        <f t="shared" si="59"/>
        <v xml:space="preserve"> </v>
      </c>
      <c r="CI36" s="13" t="str">
        <f t="shared" si="60"/>
        <v xml:space="preserve"> </v>
      </c>
      <c r="CJ36" s="13" t="str">
        <f t="shared" si="61"/>
        <v xml:space="preserve"> </v>
      </c>
      <c r="CK36" s="13" t="str">
        <f t="shared" si="62"/>
        <v xml:space="preserve"> </v>
      </c>
      <c r="CL36" s="13" t="str">
        <f t="shared" si="63"/>
        <v xml:space="preserve"> </v>
      </c>
      <c r="CM36" s="13" t="str">
        <f t="shared" si="64"/>
        <v xml:space="preserve"> </v>
      </c>
      <c r="CN36" s="13" t="str">
        <f t="shared" si="65"/>
        <v xml:space="preserve"> </v>
      </c>
      <c r="CO36" s="14"/>
    </row>
    <row r="37" spans="1:93" ht="90">
      <c r="A37" s="38">
        <v>33</v>
      </c>
      <c r="B37" s="39" t="str">
        <f>SISWA!B38</f>
        <v>1718250040337</v>
      </c>
      <c r="C37" s="40" t="str">
        <f>SISWA!E38</f>
        <v>NAFILA</v>
      </c>
      <c r="D37" s="6">
        <v>99</v>
      </c>
      <c r="E37" s="7">
        <v>56</v>
      </c>
      <c r="F37" s="7">
        <v>90</v>
      </c>
      <c r="G37" s="7">
        <v>78</v>
      </c>
      <c r="H37" s="7">
        <v>65</v>
      </c>
      <c r="I37" s="6">
        <v>67</v>
      </c>
      <c r="J37" s="6">
        <v>90</v>
      </c>
      <c r="K37" s="6">
        <v>89</v>
      </c>
      <c r="L37" s="6">
        <v>87</v>
      </c>
      <c r="M37" s="7">
        <v>76</v>
      </c>
      <c r="N37" s="7">
        <v>87</v>
      </c>
      <c r="O37" s="6">
        <v>79</v>
      </c>
      <c r="P37" s="8">
        <f t="shared" si="2"/>
        <v>80.25</v>
      </c>
      <c r="Q37" s="9" t="str">
        <f t="shared" si="3"/>
        <v>B</v>
      </c>
      <c r="R37" s="29">
        <f t="shared" si="4"/>
        <v>3.96</v>
      </c>
      <c r="S37" s="29">
        <f t="shared" si="4"/>
        <v>2.2400000000000002</v>
      </c>
      <c r="T37" s="29">
        <f t="shared" si="4"/>
        <v>3.6</v>
      </c>
      <c r="U37" s="29">
        <f t="shared" si="4"/>
        <v>3.12</v>
      </c>
      <c r="V37" s="29">
        <f t="shared" si="4"/>
        <v>2.6</v>
      </c>
      <c r="W37" s="29">
        <f t="shared" si="4"/>
        <v>2.68</v>
      </c>
      <c r="X37" s="29">
        <f t="shared" si="4"/>
        <v>3.6</v>
      </c>
      <c r="Y37" s="29">
        <f t="shared" si="4"/>
        <v>3.56</v>
      </c>
      <c r="Z37" s="29">
        <f t="shared" si="4"/>
        <v>3.48</v>
      </c>
      <c r="AA37" s="29">
        <f t="shared" si="4"/>
        <v>3.04</v>
      </c>
      <c r="AB37" s="29">
        <f t="shared" si="4"/>
        <v>3.48</v>
      </c>
      <c r="AC37" s="29">
        <f t="shared" si="4"/>
        <v>3.16</v>
      </c>
      <c r="AD37" s="10"/>
      <c r="AE37" s="11" t="str">
        <f t="shared" si="5"/>
        <v>4</v>
      </c>
      <c r="AF37" s="11" t="str">
        <f t="shared" si="6"/>
        <v>0</v>
      </c>
      <c r="AG37" s="35">
        <f t="shared" si="7"/>
        <v>4</v>
      </c>
      <c r="AH37" s="35" t="str">
        <f t="shared" si="8"/>
        <v>0</v>
      </c>
      <c r="AI37" s="35" t="str">
        <f t="shared" si="9"/>
        <v>1</v>
      </c>
      <c r="AJ37" s="35">
        <f t="shared" si="10"/>
        <v>1</v>
      </c>
      <c r="AK37" s="35" t="str">
        <f t="shared" si="11"/>
        <v>0</v>
      </c>
      <c r="AL37" s="35" t="str">
        <f t="shared" si="12"/>
        <v>0</v>
      </c>
      <c r="AM37" s="35">
        <f t="shared" si="13"/>
        <v>0</v>
      </c>
      <c r="AN37" s="35" t="str">
        <f t="shared" si="14"/>
        <v>0</v>
      </c>
      <c r="AO37" s="35" t="str">
        <f t="shared" si="15"/>
        <v>0</v>
      </c>
      <c r="AP37" s="35">
        <f t="shared" si="16"/>
        <v>0</v>
      </c>
      <c r="AQ37" s="35" t="str">
        <f t="shared" si="17"/>
        <v>0</v>
      </c>
      <c r="AR37" s="35" t="str">
        <f t="shared" si="18"/>
        <v>0</v>
      </c>
      <c r="AS37" s="35">
        <f t="shared" si="19"/>
        <v>0</v>
      </c>
      <c r="AT37" s="35" t="str">
        <f t="shared" si="20"/>
        <v>0</v>
      </c>
      <c r="AU37" s="35" t="str">
        <f t="shared" si="21"/>
        <v>0</v>
      </c>
      <c r="AV37" s="35">
        <f t="shared" si="22"/>
        <v>0</v>
      </c>
      <c r="AW37" s="35" t="str">
        <f t="shared" si="23"/>
        <v>0</v>
      </c>
      <c r="AX37" s="35" t="str">
        <f t="shared" si="24"/>
        <v>0</v>
      </c>
      <c r="AY37" s="35">
        <f t="shared" si="25"/>
        <v>0</v>
      </c>
      <c r="AZ37" s="35" t="str">
        <f t="shared" si="26"/>
        <v>0</v>
      </c>
      <c r="BA37" s="35" t="str">
        <f t="shared" si="27"/>
        <v>0</v>
      </c>
      <c r="BB37" s="35">
        <f t="shared" si="28"/>
        <v>0</v>
      </c>
      <c r="BC37" s="35" t="str">
        <f t="shared" si="29"/>
        <v>0</v>
      </c>
      <c r="BD37" s="35" t="str">
        <f t="shared" si="30"/>
        <v>0</v>
      </c>
      <c r="BE37" s="35">
        <f t="shared" si="31"/>
        <v>0</v>
      </c>
      <c r="BF37" s="35" t="str">
        <f t="shared" si="32"/>
        <v>0</v>
      </c>
      <c r="BG37" s="35" t="str">
        <f t="shared" si="33"/>
        <v>0</v>
      </c>
      <c r="BH37" s="35">
        <f t="shared" si="34"/>
        <v>0</v>
      </c>
      <c r="BI37" s="35" t="str">
        <f t="shared" si="35"/>
        <v>0</v>
      </c>
      <c r="BJ37" s="35" t="str">
        <f t="shared" si="36"/>
        <v>0</v>
      </c>
      <c r="BK37" s="35">
        <f t="shared" si="37"/>
        <v>0</v>
      </c>
      <c r="BL37" s="35" t="str">
        <f t="shared" si="38"/>
        <v>0</v>
      </c>
      <c r="BM37" s="35" t="str">
        <f t="shared" si="39"/>
        <v>0</v>
      </c>
      <c r="BN37" s="35">
        <f t="shared" si="40"/>
        <v>0</v>
      </c>
      <c r="BO37" s="43" t="str">
        <f t="shared" si="41"/>
        <v xml:space="preserve">NAFILA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37" s="12"/>
      <c r="BQ37" s="15" t="str">
        <f t="shared" si="42"/>
        <v>mengemukakan kembali dengan kalimat sendiri, membuat model matematika dan memilih strategi yang efektif dalam memecahkan masalah nyata sehari-hari yang berkaitan dengan KPK dan FPB, satuan kuantitas, desimal dan persen, serta memeriksa kebenarannya</v>
      </c>
      <c r="BR37" s="16" t="str">
        <f t="shared" si="43"/>
        <v xml:space="preserve"> </v>
      </c>
      <c r="BS37" s="16" t="str">
        <f t="shared" si="44"/>
        <v xml:space="preserve"> </v>
      </c>
      <c r="BT37" s="16" t="str">
        <f t="shared" si="45"/>
        <v xml:space="preserve"> </v>
      </c>
      <c r="BU37" s="16" t="str">
        <f t="shared" si="46"/>
        <v xml:space="preserve"> </v>
      </c>
      <c r="BV37" s="16" t="str">
        <f t="shared" si="47"/>
        <v xml:space="preserve"> </v>
      </c>
      <c r="BW37" s="16" t="str">
        <f t="shared" si="48"/>
        <v xml:space="preserve"> </v>
      </c>
      <c r="BX37" s="16" t="str">
        <f t="shared" si="49"/>
        <v xml:space="preserve"> </v>
      </c>
      <c r="BY37" s="16" t="str">
        <f t="shared" si="50"/>
        <v xml:space="preserve"> </v>
      </c>
      <c r="BZ37" s="16" t="str">
        <f t="shared" si="51"/>
        <v xml:space="preserve"> </v>
      </c>
      <c r="CA37" s="16" t="str">
        <f t="shared" si="52"/>
        <v xml:space="preserve"> </v>
      </c>
      <c r="CB37" s="16" t="str">
        <f t="shared" si="53"/>
        <v xml:space="preserve"> </v>
      </c>
      <c r="CC37" s="13" t="str">
        <f t="shared" si="54"/>
        <v xml:space="preserve"> </v>
      </c>
      <c r="CD37" s="13" t="str">
        <f t="shared" si="55"/>
        <v>menyatakan pecahan ke bentuk desimal dan persen</v>
      </c>
      <c r="CE37" s="13" t="str">
        <f t="shared" si="56"/>
        <v xml:space="preserve"> </v>
      </c>
      <c r="CF37" s="13" t="str">
        <f t="shared" si="57"/>
        <v xml:space="preserve"> </v>
      </c>
      <c r="CG37" s="13" t="str">
        <f t="shared" si="58"/>
        <v xml:space="preserve"> </v>
      </c>
      <c r="CH37" s="13" t="str">
        <f t="shared" si="59"/>
        <v xml:space="preserve"> </v>
      </c>
      <c r="CI37" s="13" t="str">
        <f t="shared" si="60"/>
        <v xml:space="preserve"> </v>
      </c>
      <c r="CJ37" s="13" t="str">
        <f t="shared" si="61"/>
        <v xml:space="preserve"> </v>
      </c>
      <c r="CK37" s="13" t="str">
        <f t="shared" si="62"/>
        <v xml:space="preserve"> </v>
      </c>
      <c r="CL37" s="13" t="str">
        <f t="shared" si="63"/>
        <v xml:space="preserve"> </v>
      </c>
      <c r="CM37" s="13" t="str">
        <f t="shared" si="64"/>
        <v xml:space="preserve"> </v>
      </c>
      <c r="CN37" s="13" t="str">
        <f t="shared" si="65"/>
        <v xml:space="preserve"> </v>
      </c>
      <c r="CO37" s="14"/>
    </row>
    <row r="38" spans="1:93" ht="90">
      <c r="A38" s="38">
        <v>34</v>
      </c>
      <c r="B38" s="39" t="str">
        <f>SISWA!B39</f>
        <v>1718250040338</v>
      </c>
      <c r="C38" s="40" t="str">
        <f>SISWA!E39</f>
        <v>NAZZALA</v>
      </c>
      <c r="D38" s="6">
        <v>99</v>
      </c>
      <c r="E38" s="7">
        <v>56</v>
      </c>
      <c r="F38" s="7">
        <v>90</v>
      </c>
      <c r="G38" s="7">
        <v>78</v>
      </c>
      <c r="H38" s="7">
        <v>65</v>
      </c>
      <c r="I38" s="6">
        <v>67</v>
      </c>
      <c r="J38" s="6">
        <v>90</v>
      </c>
      <c r="K38" s="6">
        <v>89</v>
      </c>
      <c r="L38" s="6">
        <v>87</v>
      </c>
      <c r="M38" s="7">
        <v>76</v>
      </c>
      <c r="N38" s="7">
        <v>87</v>
      </c>
      <c r="O38" s="6">
        <v>79</v>
      </c>
      <c r="P38" s="8">
        <f t="shared" si="2"/>
        <v>80.25</v>
      </c>
      <c r="Q38" s="9" t="str">
        <f t="shared" si="3"/>
        <v>B</v>
      </c>
      <c r="R38" s="29">
        <f t="shared" si="4"/>
        <v>3.96</v>
      </c>
      <c r="S38" s="29">
        <f t="shared" si="4"/>
        <v>2.2400000000000002</v>
      </c>
      <c r="T38" s="29">
        <f t="shared" si="4"/>
        <v>3.6</v>
      </c>
      <c r="U38" s="29">
        <f t="shared" si="4"/>
        <v>3.12</v>
      </c>
      <c r="V38" s="29">
        <f t="shared" si="4"/>
        <v>2.6</v>
      </c>
      <c r="W38" s="29">
        <f t="shared" si="4"/>
        <v>2.68</v>
      </c>
      <c r="X38" s="29">
        <f t="shared" si="4"/>
        <v>3.6</v>
      </c>
      <c r="Y38" s="29">
        <f t="shared" si="4"/>
        <v>3.56</v>
      </c>
      <c r="Z38" s="29">
        <f t="shared" si="4"/>
        <v>3.48</v>
      </c>
      <c r="AA38" s="29">
        <f t="shared" si="4"/>
        <v>3.04</v>
      </c>
      <c r="AB38" s="29">
        <f t="shared" si="4"/>
        <v>3.48</v>
      </c>
      <c r="AC38" s="29">
        <f t="shared" si="4"/>
        <v>3.16</v>
      </c>
      <c r="AD38" s="10"/>
      <c r="AE38" s="11" t="str">
        <f t="shared" si="5"/>
        <v>4</v>
      </c>
      <c r="AF38" s="11" t="str">
        <f t="shared" si="6"/>
        <v>0</v>
      </c>
      <c r="AG38" s="35">
        <f t="shared" si="7"/>
        <v>4</v>
      </c>
      <c r="AH38" s="35" t="str">
        <f t="shared" si="8"/>
        <v>0</v>
      </c>
      <c r="AI38" s="35" t="str">
        <f t="shared" si="9"/>
        <v>1</v>
      </c>
      <c r="AJ38" s="35">
        <f t="shared" si="10"/>
        <v>1</v>
      </c>
      <c r="AK38" s="35" t="str">
        <f t="shared" si="11"/>
        <v>0</v>
      </c>
      <c r="AL38" s="35" t="str">
        <f t="shared" si="12"/>
        <v>0</v>
      </c>
      <c r="AM38" s="35">
        <f t="shared" si="13"/>
        <v>0</v>
      </c>
      <c r="AN38" s="35" t="str">
        <f t="shared" si="14"/>
        <v>0</v>
      </c>
      <c r="AO38" s="35" t="str">
        <f t="shared" si="15"/>
        <v>0</v>
      </c>
      <c r="AP38" s="35">
        <f t="shared" si="16"/>
        <v>0</v>
      </c>
      <c r="AQ38" s="35" t="str">
        <f t="shared" si="17"/>
        <v>0</v>
      </c>
      <c r="AR38" s="35" t="str">
        <f t="shared" si="18"/>
        <v>0</v>
      </c>
      <c r="AS38" s="35">
        <f t="shared" si="19"/>
        <v>0</v>
      </c>
      <c r="AT38" s="35" t="str">
        <f t="shared" si="20"/>
        <v>0</v>
      </c>
      <c r="AU38" s="35" t="str">
        <f t="shared" si="21"/>
        <v>0</v>
      </c>
      <c r="AV38" s="35">
        <f t="shared" si="22"/>
        <v>0</v>
      </c>
      <c r="AW38" s="35" t="str">
        <f t="shared" si="23"/>
        <v>0</v>
      </c>
      <c r="AX38" s="35" t="str">
        <f t="shared" si="24"/>
        <v>0</v>
      </c>
      <c r="AY38" s="35">
        <f t="shared" si="25"/>
        <v>0</v>
      </c>
      <c r="AZ38" s="35" t="str">
        <f t="shared" si="26"/>
        <v>0</v>
      </c>
      <c r="BA38" s="35" t="str">
        <f t="shared" si="27"/>
        <v>0</v>
      </c>
      <c r="BB38" s="35">
        <f t="shared" si="28"/>
        <v>0</v>
      </c>
      <c r="BC38" s="35" t="str">
        <f t="shared" si="29"/>
        <v>0</v>
      </c>
      <c r="BD38" s="35" t="str">
        <f t="shared" si="30"/>
        <v>0</v>
      </c>
      <c r="BE38" s="35">
        <f t="shared" si="31"/>
        <v>0</v>
      </c>
      <c r="BF38" s="35" t="str">
        <f t="shared" si="32"/>
        <v>0</v>
      </c>
      <c r="BG38" s="35" t="str">
        <f t="shared" si="33"/>
        <v>0</v>
      </c>
      <c r="BH38" s="35">
        <f t="shared" si="34"/>
        <v>0</v>
      </c>
      <c r="BI38" s="35" t="str">
        <f t="shared" si="35"/>
        <v>0</v>
      </c>
      <c r="BJ38" s="35" t="str">
        <f t="shared" si="36"/>
        <v>0</v>
      </c>
      <c r="BK38" s="35">
        <f t="shared" si="37"/>
        <v>0</v>
      </c>
      <c r="BL38" s="35" t="str">
        <f t="shared" si="38"/>
        <v>0</v>
      </c>
      <c r="BM38" s="35" t="str">
        <f t="shared" si="39"/>
        <v>0</v>
      </c>
      <c r="BN38" s="35">
        <f t="shared" si="40"/>
        <v>0</v>
      </c>
      <c r="BO38" s="43" t="str">
        <f t="shared" si="41"/>
        <v xml:space="preserve">NAZZALA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38" s="12"/>
      <c r="BQ38" s="15" t="str">
        <f t="shared" si="42"/>
        <v>mengemukakan kembali dengan kalimat sendiri, membuat model matematika dan memilih strategi yang efektif dalam memecahkan masalah nyata sehari-hari yang berkaitan dengan KPK dan FPB, satuan kuantitas, desimal dan persen, serta memeriksa kebenarannya</v>
      </c>
      <c r="BR38" s="16" t="str">
        <f t="shared" si="43"/>
        <v xml:space="preserve"> </v>
      </c>
      <c r="BS38" s="16" t="str">
        <f t="shared" si="44"/>
        <v xml:space="preserve"> </v>
      </c>
      <c r="BT38" s="16" t="str">
        <f t="shared" si="45"/>
        <v xml:space="preserve"> </v>
      </c>
      <c r="BU38" s="16" t="str">
        <f t="shared" si="46"/>
        <v xml:space="preserve"> </v>
      </c>
      <c r="BV38" s="16" t="str">
        <f t="shared" si="47"/>
        <v xml:space="preserve"> </v>
      </c>
      <c r="BW38" s="16" t="str">
        <f t="shared" si="48"/>
        <v xml:space="preserve"> </v>
      </c>
      <c r="BX38" s="16" t="str">
        <f t="shared" si="49"/>
        <v xml:space="preserve"> </v>
      </c>
      <c r="BY38" s="16" t="str">
        <f t="shared" si="50"/>
        <v xml:space="preserve"> </v>
      </c>
      <c r="BZ38" s="16" t="str">
        <f t="shared" si="51"/>
        <v xml:space="preserve"> </v>
      </c>
      <c r="CA38" s="16" t="str">
        <f t="shared" si="52"/>
        <v xml:space="preserve"> </v>
      </c>
      <c r="CB38" s="16" t="str">
        <f t="shared" si="53"/>
        <v xml:space="preserve"> </v>
      </c>
      <c r="CC38" s="13" t="str">
        <f t="shared" si="54"/>
        <v xml:space="preserve"> </v>
      </c>
      <c r="CD38" s="13" t="str">
        <f t="shared" si="55"/>
        <v>menyatakan pecahan ke bentuk desimal dan persen</v>
      </c>
      <c r="CE38" s="13" t="str">
        <f t="shared" si="56"/>
        <v xml:space="preserve"> </v>
      </c>
      <c r="CF38" s="13" t="str">
        <f t="shared" si="57"/>
        <v xml:space="preserve"> </v>
      </c>
      <c r="CG38" s="13" t="str">
        <f t="shared" si="58"/>
        <v xml:space="preserve"> </v>
      </c>
      <c r="CH38" s="13" t="str">
        <f t="shared" si="59"/>
        <v xml:space="preserve"> </v>
      </c>
      <c r="CI38" s="13" t="str">
        <f t="shared" si="60"/>
        <v xml:space="preserve"> </v>
      </c>
      <c r="CJ38" s="13" t="str">
        <f t="shared" si="61"/>
        <v xml:space="preserve"> </v>
      </c>
      <c r="CK38" s="13" t="str">
        <f t="shared" si="62"/>
        <v xml:space="preserve"> </v>
      </c>
      <c r="CL38" s="13" t="str">
        <f t="shared" si="63"/>
        <v xml:space="preserve"> </v>
      </c>
      <c r="CM38" s="13" t="str">
        <f t="shared" si="64"/>
        <v xml:space="preserve"> </v>
      </c>
      <c r="CN38" s="13" t="str">
        <f t="shared" si="65"/>
        <v xml:space="preserve"> </v>
      </c>
      <c r="CO38" s="14"/>
    </row>
    <row r="39" spans="1:93" ht="90">
      <c r="A39" s="38">
        <v>35</v>
      </c>
      <c r="B39" s="39" t="str">
        <f>SISWA!B40</f>
        <v>1718250040339</v>
      </c>
      <c r="C39" s="40" t="str">
        <f>SISWA!E40</f>
        <v>RAFAREL</v>
      </c>
      <c r="D39" s="6">
        <v>99</v>
      </c>
      <c r="E39" s="7">
        <v>56</v>
      </c>
      <c r="F39" s="7">
        <v>90</v>
      </c>
      <c r="G39" s="7">
        <v>78</v>
      </c>
      <c r="H39" s="7">
        <v>65</v>
      </c>
      <c r="I39" s="6">
        <v>67</v>
      </c>
      <c r="J39" s="6">
        <v>90</v>
      </c>
      <c r="K39" s="6">
        <v>89</v>
      </c>
      <c r="L39" s="6">
        <v>87</v>
      </c>
      <c r="M39" s="7">
        <v>76</v>
      </c>
      <c r="N39" s="7">
        <v>87</v>
      </c>
      <c r="O39" s="6">
        <v>79</v>
      </c>
      <c r="P39" s="8">
        <f t="shared" si="2"/>
        <v>80.25</v>
      </c>
      <c r="Q39" s="9" t="str">
        <f t="shared" si="3"/>
        <v>B</v>
      </c>
      <c r="R39" s="29">
        <f t="shared" si="4"/>
        <v>3.96</v>
      </c>
      <c r="S39" s="29">
        <f t="shared" si="4"/>
        <v>2.2400000000000002</v>
      </c>
      <c r="T39" s="29">
        <f t="shared" si="4"/>
        <v>3.6</v>
      </c>
      <c r="U39" s="29">
        <f t="shared" si="4"/>
        <v>3.12</v>
      </c>
      <c r="V39" s="29">
        <f t="shared" si="4"/>
        <v>2.6</v>
      </c>
      <c r="W39" s="29">
        <f t="shared" si="4"/>
        <v>2.68</v>
      </c>
      <c r="X39" s="29">
        <f t="shared" si="4"/>
        <v>3.6</v>
      </c>
      <c r="Y39" s="29">
        <f t="shared" si="4"/>
        <v>3.56</v>
      </c>
      <c r="Z39" s="29">
        <f t="shared" si="4"/>
        <v>3.48</v>
      </c>
      <c r="AA39" s="29">
        <f t="shared" ref="AA39:AC54" si="66">M39/25</f>
        <v>3.04</v>
      </c>
      <c r="AB39" s="29">
        <f t="shared" si="66"/>
        <v>3.48</v>
      </c>
      <c r="AC39" s="29">
        <f t="shared" si="66"/>
        <v>3.16</v>
      </c>
      <c r="AD39" s="10"/>
      <c r="AE39" s="11" t="str">
        <f t="shared" si="5"/>
        <v>4</v>
      </c>
      <c r="AF39" s="11" t="str">
        <f t="shared" si="6"/>
        <v>0</v>
      </c>
      <c r="AG39" s="35">
        <f t="shared" si="7"/>
        <v>4</v>
      </c>
      <c r="AH39" s="35" t="str">
        <f t="shared" si="8"/>
        <v>0</v>
      </c>
      <c r="AI39" s="35" t="str">
        <f t="shared" si="9"/>
        <v>1</v>
      </c>
      <c r="AJ39" s="35">
        <f t="shared" si="10"/>
        <v>1</v>
      </c>
      <c r="AK39" s="35" t="str">
        <f t="shared" si="11"/>
        <v>0</v>
      </c>
      <c r="AL39" s="35" t="str">
        <f t="shared" si="12"/>
        <v>0</v>
      </c>
      <c r="AM39" s="35">
        <f t="shared" si="13"/>
        <v>0</v>
      </c>
      <c r="AN39" s="35" t="str">
        <f t="shared" si="14"/>
        <v>0</v>
      </c>
      <c r="AO39" s="35" t="str">
        <f t="shared" si="15"/>
        <v>0</v>
      </c>
      <c r="AP39" s="35">
        <f t="shared" si="16"/>
        <v>0</v>
      </c>
      <c r="AQ39" s="35" t="str">
        <f t="shared" si="17"/>
        <v>0</v>
      </c>
      <c r="AR39" s="35" t="str">
        <f t="shared" si="18"/>
        <v>0</v>
      </c>
      <c r="AS39" s="35">
        <f t="shared" si="19"/>
        <v>0</v>
      </c>
      <c r="AT39" s="35" t="str">
        <f t="shared" si="20"/>
        <v>0</v>
      </c>
      <c r="AU39" s="35" t="str">
        <f t="shared" si="21"/>
        <v>0</v>
      </c>
      <c r="AV39" s="35">
        <f t="shared" si="22"/>
        <v>0</v>
      </c>
      <c r="AW39" s="35" t="str">
        <f t="shared" si="23"/>
        <v>0</v>
      </c>
      <c r="AX39" s="35" t="str">
        <f t="shared" si="24"/>
        <v>0</v>
      </c>
      <c r="AY39" s="35">
        <f t="shared" si="25"/>
        <v>0</v>
      </c>
      <c r="AZ39" s="35" t="str">
        <f t="shared" si="26"/>
        <v>0</v>
      </c>
      <c r="BA39" s="35" t="str">
        <f t="shared" si="27"/>
        <v>0</v>
      </c>
      <c r="BB39" s="35">
        <f t="shared" si="28"/>
        <v>0</v>
      </c>
      <c r="BC39" s="35" t="str">
        <f t="shared" si="29"/>
        <v>0</v>
      </c>
      <c r="BD39" s="35" t="str">
        <f t="shared" si="30"/>
        <v>0</v>
      </c>
      <c r="BE39" s="35">
        <f t="shared" si="31"/>
        <v>0</v>
      </c>
      <c r="BF39" s="35" t="str">
        <f t="shared" si="32"/>
        <v>0</v>
      </c>
      <c r="BG39" s="35" t="str">
        <f t="shared" si="33"/>
        <v>0</v>
      </c>
      <c r="BH39" s="35">
        <f t="shared" si="34"/>
        <v>0</v>
      </c>
      <c r="BI39" s="35" t="str">
        <f t="shared" si="35"/>
        <v>0</v>
      </c>
      <c r="BJ39" s="35" t="str">
        <f t="shared" si="36"/>
        <v>0</v>
      </c>
      <c r="BK39" s="35">
        <f t="shared" si="37"/>
        <v>0</v>
      </c>
      <c r="BL39" s="35" t="str">
        <f t="shared" si="38"/>
        <v>0</v>
      </c>
      <c r="BM39" s="35" t="str">
        <f t="shared" si="39"/>
        <v>0</v>
      </c>
      <c r="BN39" s="35">
        <f t="shared" si="40"/>
        <v>0</v>
      </c>
      <c r="BO39" s="43" t="str">
        <f t="shared" si="41"/>
        <v xml:space="preserve">RAFAREL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39" s="12"/>
      <c r="BQ39" s="15" t="str">
        <f t="shared" si="42"/>
        <v>mengemukakan kembali dengan kalimat sendiri, membuat model matematika dan memilih strategi yang efektif dalam memecahkan masalah nyata sehari-hari yang berkaitan dengan KPK dan FPB, satuan kuantitas, desimal dan persen, serta memeriksa kebenarannya</v>
      </c>
      <c r="BR39" s="16" t="str">
        <f t="shared" si="43"/>
        <v xml:space="preserve"> </v>
      </c>
      <c r="BS39" s="16" t="str">
        <f t="shared" si="44"/>
        <v xml:space="preserve"> </v>
      </c>
      <c r="BT39" s="16" t="str">
        <f t="shared" si="45"/>
        <v xml:space="preserve"> </v>
      </c>
      <c r="BU39" s="16" t="str">
        <f t="shared" si="46"/>
        <v xml:space="preserve"> </v>
      </c>
      <c r="BV39" s="16" t="str">
        <f t="shared" si="47"/>
        <v xml:space="preserve"> </v>
      </c>
      <c r="BW39" s="16" t="str">
        <f t="shared" si="48"/>
        <v xml:space="preserve"> </v>
      </c>
      <c r="BX39" s="16" t="str">
        <f t="shared" si="49"/>
        <v xml:space="preserve"> </v>
      </c>
      <c r="BY39" s="16" t="str">
        <f t="shared" si="50"/>
        <v xml:space="preserve"> </v>
      </c>
      <c r="BZ39" s="16" t="str">
        <f t="shared" si="51"/>
        <v xml:space="preserve"> </v>
      </c>
      <c r="CA39" s="16" t="str">
        <f t="shared" si="52"/>
        <v xml:space="preserve"> </v>
      </c>
      <c r="CB39" s="16" t="str">
        <f t="shared" si="53"/>
        <v xml:space="preserve"> </v>
      </c>
      <c r="CC39" s="13" t="str">
        <f t="shared" si="54"/>
        <v xml:space="preserve"> </v>
      </c>
      <c r="CD39" s="13" t="str">
        <f t="shared" si="55"/>
        <v>menyatakan pecahan ke bentuk desimal dan persen</v>
      </c>
      <c r="CE39" s="13" t="str">
        <f t="shared" si="56"/>
        <v xml:space="preserve"> </v>
      </c>
      <c r="CF39" s="13" t="str">
        <f t="shared" si="57"/>
        <v xml:space="preserve"> </v>
      </c>
      <c r="CG39" s="13" t="str">
        <f t="shared" si="58"/>
        <v xml:space="preserve"> </v>
      </c>
      <c r="CH39" s="13" t="str">
        <f t="shared" si="59"/>
        <v xml:space="preserve"> </v>
      </c>
      <c r="CI39" s="13" t="str">
        <f t="shared" si="60"/>
        <v xml:space="preserve"> </v>
      </c>
      <c r="CJ39" s="13" t="str">
        <f t="shared" si="61"/>
        <v xml:space="preserve"> </v>
      </c>
      <c r="CK39" s="13" t="str">
        <f t="shared" si="62"/>
        <v xml:space="preserve"> </v>
      </c>
      <c r="CL39" s="13" t="str">
        <f t="shared" si="63"/>
        <v xml:space="preserve"> </v>
      </c>
      <c r="CM39" s="13" t="str">
        <f t="shared" si="64"/>
        <v xml:space="preserve"> </v>
      </c>
      <c r="CN39" s="13" t="str">
        <f t="shared" si="65"/>
        <v xml:space="preserve"> </v>
      </c>
      <c r="CO39" s="14"/>
    </row>
    <row r="40" spans="1:93" ht="90">
      <c r="A40" s="38">
        <v>36</v>
      </c>
      <c r="B40" s="39" t="str">
        <f>SISWA!B41</f>
        <v>1718250040340</v>
      </c>
      <c r="C40" s="40" t="str">
        <f>SISWA!E41</f>
        <v>RAKHA</v>
      </c>
      <c r="D40" s="6">
        <v>99</v>
      </c>
      <c r="E40" s="7">
        <v>56</v>
      </c>
      <c r="F40" s="7">
        <v>90</v>
      </c>
      <c r="G40" s="7">
        <v>78</v>
      </c>
      <c r="H40" s="7">
        <v>65</v>
      </c>
      <c r="I40" s="6">
        <v>67</v>
      </c>
      <c r="J40" s="6">
        <v>90</v>
      </c>
      <c r="K40" s="6">
        <v>89</v>
      </c>
      <c r="L40" s="6">
        <v>87</v>
      </c>
      <c r="M40" s="7">
        <v>76</v>
      </c>
      <c r="N40" s="7">
        <v>87</v>
      </c>
      <c r="O40" s="6">
        <v>79</v>
      </c>
      <c r="P40" s="8">
        <f t="shared" si="2"/>
        <v>80.25</v>
      </c>
      <c r="Q40" s="9" t="str">
        <f t="shared" si="3"/>
        <v>B</v>
      </c>
      <c r="R40" s="29">
        <f t="shared" ref="R40:Z54" si="67">D40/25</f>
        <v>3.96</v>
      </c>
      <c r="S40" s="29">
        <f t="shared" si="67"/>
        <v>2.2400000000000002</v>
      </c>
      <c r="T40" s="29">
        <f t="shared" si="67"/>
        <v>3.6</v>
      </c>
      <c r="U40" s="29">
        <f t="shared" si="67"/>
        <v>3.12</v>
      </c>
      <c r="V40" s="29">
        <f t="shared" si="67"/>
        <v>2.6</v>
      </c>
      <c r="W40" s="29">
        <f t="shared" si="67"/>
        <v>2.68</v>
      </c>
      <c r="X40" s="29">
        <f t="shared" si="67"/>
        <v>3.6</v>
      </c>
      <c r="Y40" s="29">
        <f t="shared" si="67"/>
        <v>3.56</v>
      </c>
      <c r="Z40" s="29">
        <f t="shared" si="67"/>
        <v>3.48</v>
      </c>
      <c r="AA40" s="29">
        <f t="shared" si="66"/>
        <v>3.04</v>
      </c>
      <c r="AB40" s="29">
        <f t="shared" si="66"/>
        <v>3.48</v>
      </c>
      <c r="AC40" s="29">
        <f t="shared" si="66"/>
        <v>3.16</v>
      </c>
      <c r="AD40" s="10"/>
      <c r="AE40" s="11" t="str">
        <f t="shared" si="5"/>
        <v>4</v>
      </c>
      <c r="AF40" s="11" t="str">
        <f t="shared" si="6"/>
        <v>0</v>
      </c>
      <c r="AG40" s="35">
        <f t="shared" si="7"/>
        <v>4</v>
      </c>
      <c r="AH40" s="35" t="str">
        <f t="shared" si="8"/>
        <v>0</v>
      </c>
      <c r="AI40" s="35" t="str">
        <f t="shared" si="9"/>
        <v>1</v>
      </c>
      <c r="AJ40" s="35">
        <f t="shared" si="10"/>
        <v>1</v>
      </c>
      <c r="AK40" s="35" t="str">
        <f t="shared" si="11"/>
        <v>0</v>
      </c>
      <c r="AL40" s="35" t="str">
        <f t="shared" si="12"/>
        <v>0</v>
      </c>
      <c r="AM40" s="35">
        <f t="shared" si="13"/>
        <v>0</v>
      </c>
      <c r="AN40" s="35" t="str">
        <f t="shared" si="14"/>
        <v>0</v>
      </c>
      <c r="AO40" s="35" t="str">
        <f t="shared" si="15"/>
        <v>0</v>
      </c>
      <c r="AP40" s="35">
        <f t="shared" si="16"/>
        <v>0</v>
      </c>
      <c r="AQ40" s="35" t="str">
        <f t="shared" si="17"/>
        <v>0</v>
      </c>
      <c r="AR40" s="35" t="str">
        <f t="shared" si="18"/>
        <v>0</v>
      </c>
      <c r="AS40" s="35">
        <f t="shared" si="19"/>
        <v>0</v>
      </c>
      <c r="AT40" s="35" t="str">
        <f t="shared" si="20"/>
        <v>0</v>
      </c>
      <c r="AU40" s="35" t="str">
        <f t="shared" si="21"/>
        <v>0</v>
      </c>
      <c r="AV40" s="35">
        <f t="shared" si="22"/>
        <v>0</v>
      </c>
      <c r="AW40" s="35" t="str">
        <f t="shared" si="23"/>
        <v>0</v>
      </c>
      <c r="AX40" s="35" t="str">
        <f t="shared" si="24"/>
        <v>0</v>
      </c>
      <c r="AY40" s="35">
        <f t="shared" si="25"/>
        <v>0</v>
      </c>
      <c r="AZ40" s="35" t="str">
        <f t="shared" si="26"/>
        <v>0</v>
      </c>
      <c r="BA40" s="35" t="str">
        <f t="shared" si="27"/>
        <v>0</v>
      </c>
      <c r="BB40" s="35">
        <f t="shared" si="28"/>
        <v>0</v>
      </c>
      <c r="BC40" s="35" t="str">
        <f t="shared" si="29"/>
        <v>0</v>
      </c>
      <c r="BD40" s="35" t="str">
        <f t="shared" si="30"/>
        <v>0</v>
      </c>
      <c r="BE40" s="35">
        <f t="shared" si="31"/>
        <v>0</v>
      </c>
      <c r="BF40" s="35" t="str">
        <f t="shared" si="32"/>
        <v>0</v>
      </c>
      <c r="BG40" s="35" t="str">
        <f t="shared" si="33"/>
        <v>0</v>
      </c>
      <c r="BH40" s="35">
        <f t="shared" si="34"/>
        <v>0</v>
      </c>
      <c r="BI40" s="35" t="str">
        <f t="shared" si="35"/>
        <v>0</v>
      </c>
      <c r="BJ40" s="35" t="str">
        <f t="shared" si="36"/>
        <v>0</v>
      </c>
      <c r="BK40" s="35">
        <f t="shared" si="37"/>
        <v>0</v>
      </c>
      <c r="BL40" s="35" t="str">
        <f t="shared" si="38"/>
        <v>0</v>
      </c>
      <c r="BM40" s="35" t="str">
        <f t="shared" si="39"/>
        <v>0</v>
      </c>
      <c r="BN40" s="35">
        <f t="shared" si="40"/>
        <v>0</v>
      </c>
      <c r="BO40" s="43" t="str">
        <f t="shared" si="41"/>
        <v xml:space="preserve">RAKHA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40" s="12"/>
      <c r="BQ40" s="15" t="str">
        <f t="shared" si="42"/>
        <v>mengemukakan kembali dengan kalimat sendiri, membuat model matematika dan memilih strategi yang efektif dalam memecahkan masalah nyata sehari-hari yang berkaitan dengan KPK dan FPB, satuan kuantitas, desimal dan persen, serta memeriksa kebenarannya</v>
      </c>
      <c r="BR40" s="16" t="str">
        <f t="shared" si="43"/>
        <v xml:space="preserve"> </v>
      </c>
      <c r="BS40" s="16" t="str">
        <f t="shared" si="44"/>
        <v xml:space="preserve"> </v>
      </c>
      <c r="BT40" s="16" t="str">
        <f t="shared" si="45"/>
        <v xml:space="preserve"> </v>
      </c>
      <c r="BU40" s="16" t="str">
        <f t="shared" si="46"/>
        <v xml:space="preserve"> </v>
      </c>
      <c r="BV40" s="16" t="str">
        <f t="shared" si="47"/>
        <v xml:space="preserve"> </v>
      </c>
      <c r="BW40" s="16" t="str">
        <f t="shared" si="48"/>
        <v xml:space="preserve"> </v>
      </c>
      <c r="BX40" s="16" t="str">
        <f t="shared" si="49"/>
        <v xml:space="preserve"> </v>
      </c>
      <c r="BY40" s="16" t="str">
        <f t="shared" si="50"/>
        <v xml:space="preserve"> </v>
      </c>
      <c r="BZ40" s="16" t="str">
        <f t="shared" si="51"/>
        <v xml:space="preserve"> </v>
      </c>
      <c r="CA40" s="16" t="str">
        <f t="shared" si="52"/>
        <v xml:space="preserve"> </v>
      </c>
      <c r="CB40" s="16" t="str">
        <f t="shared" si="53"/>
        <v xml:space="preserve"> </v>
      </c>
      <c r="CC40" s="13" t="str">
        <f t="shared" si="54"/>
        <v xml:space="preserve"> </v>
      </c>
      <c r="CD40" s="13" t="str">
        <f t="shared" si="55"/>
        <v>menyatakan pecahan ke bentuk desimal dan persen</v>
      </c>
      <c r="CE40" s="13" t="str">
        <f t="shared" si="56"/>
        <v xml:space="preserve"> </v>
      </c>
      <c r="CF40" s="13" t="str">
        <f t="shared" si="57"/>
        <v xml:space="preserve"> </v>
      </c>
      <c r="CG40" s="13" t="str">
        <f t="shared" si="58"/>
        <v xml:space="preserve"> </v>
      </c>
      <c r="CH40" s="13" t="str">
        <f t="shared" si="59"/>
        <v xml:space="preserve"> </v>
      </c>
      <c r="CI40" s="13" t="str">
        <f t="shared" si="60"/>
        <v xml:space="preserve"> </v>
      </c>
      <c r="CJ40" s="13" t="str">
        <f t="shared" si="61"/>
        <v xml:space="preserve"> </v>
      </c>
      <c r="CK40" s="13" t="str">
        <f t="shared" si="62"/>
        <v xml:space="preserve"> </v>
      </c>
      <c r="CL40" s="13" t="str">
        <f t="shared" si="63"/>
        <v xml:space="preserve"> </v>
      </c>
      <c r="CM40" s="13" t="str">
        <f t="shared" si="64"/>
        <v xml:space="preserve"> </v>
      </c>
      <c r="CN40" s="13" t="str">
        <f t="shared" si="65"/>
        <v xml:space="preserve"> </v>
      </c>
      <c r="CO40" s="14"/>
    </row>
    <row r="41" spans="1:93" ht="90">
      <c r="A41" s="38">
        <v>37</v>
      </c>
      <c r="B41" s="39" t="str">
        <f>SISWA!B42</f>
        <v>1718250040341</v>
      </c>
      <c r="C41" s="40" t="str">
        <f>SISWA!E42</f>
        <v>RYU</v>
      </c>
      <c r="D41" s="6">
        <v>99</v>
      </c>
      <c r="E41" s="7">
        <v>56</v>
      </c>
      <c r="F41" s="7">
        <v>90</v>
      </c>
      <c r="G41" s="7">
        <v>78</v>
      </c>
      <c r="H41" s="7">
        <v>65</v>
      </c>
      <c r="I41" s="6">
        <v>67</v>
      </c>
      <c r="J41" s="6">
        <v>90</v>
      </c>
      <c r="K41" s="6">
        <v>89</v>
      </c>
      <c r="L41" s="6">
        <v>87</v>
      </c>
      <c r="M41" s="7">
        <v>76</v>
      </c>
      <c r="N41" s="7">
        <v>87</v>
      </c>
      <c r="O41" s="6">
        <v>79</v>
      </c>
      <c r="P41" s="8">
        <f t="shared" si="2"/>
        <v>80.25</v>
      </c>
      <c r="Q41" s="9" t="str">
        <f t="shared" si="3"/>
        <v>B</v>
      </c>
      <c r="R41" s="29">
        <f t="shared" si="67"/>
        <v>3.96</v>
      </c>
      <c r="S41" s="29">
        <f t="shared" si="67"/>
        <v>2.2400000000000002</v>
      </c>
      <c r="T41" s="29">
        <f t="shared" si="67"/>
        <v>3.6</v>
      </c>
      <c r="U41" s="29">
        <f t="shared" si="67"/>
        <v>3.12</v>
      </c>
      <c r="V41" s="29">
        <f t="shared" si="67"/>
        <v>2.6</v>
      </c>
      <c r="W41" s="29">
        <f t="shared" si="67"/>
        <v>2.68</v>
      </c>
      <c r="X41" s="29">
        <f t="shared" si="67"/>
        <v>3.6</v>
      </c>
      <c r="Y41" s="29">
        <f t="shared" si="67"/>
        <v>3.56</v>
      </c>
      <c r="Z41" s="29">
        <f t="shared" si="67"/>
        <v>3.48</v>
      </c>
      <c r="AA41" s="29">
        <f t="shared" si="66"/>
        <v>3.04</v>
      </c>
      <c r="AB41" s="29">
        <f t="shared" si="66"/>
        <v>3.48</v>
      </c>
      <c r="AC41" s="29">
        <f t="shared" si="66"/>
        <v>3.16</v>
      </c>
      <c r="AD41" s="10"/>
      <c r="AE41" s="11" t="str">
        <f t="shared" si="5"/>
        <v>4</v>
      </c>
      <c r="AF41" s="11" t="str">
        <f t="shared" si="6"/>
        <v>0</v>
      </c>
      <c r="AG41" s="35">
        <f t="shared" si="7"/>
        <v>4</v>
      </c>
      <c r="AH41" s="35" t="str">
        <f t="shared" si="8"/>
        <v>0</v>
      </c>
      <c r="AI41" s="35" t="str">
        <f t="shared" si="9"/>
        <v>1</v>
      </c>
      <c r="AJ41" s="35">
        <f t="shared" si="10"/>
        <v>1</v>
      </c>
      <c r="AK41" s="35" t="str">
        <f t="shared" si="11"/>
        <v>0</v>
      </c>
      <c r="AL41" s="35" t="str">
        <f t="shared" si="12"/>
        <v>0</v>
      </c>
      <c r="AM41" s="35">
        <f t="shared" si="13"/>
        <v>0</v>
      </c>
      <c r="AN41" s="35" t="str">
        <f t="shared" si="14"/>
        <v>0</v>
      </c>
      <c r="AO41" s="35" t="str">
        <f t="shared" si="15"/>
        <v>0</v>
      </c>
      <c r="AP41" s="35">
        <f t="shared" si="16"/>
        <v>0</v>
      </c>
      <c r="AQ41" s="35" t="str">
        <f t="shared" si="17"/>
        <v>0</v>
      </c>
      <c r="AR41" s="35" t="str">
        <f t="shared" si="18"/>
        <v>0</v>
      </c>
      <c r="AS41" s="35">
        <f t="shared" si="19"/>
        <v>0</v>
      </c>
      <c r="AT41" s="35" t="str">
        <f t="shared" si="20"/>
        <v>0</v>
      </c>
      <c r="AU41" s="35" t="str">
        <f t="shared" si="21"/>
        <v>0</v>
      </c>
      <c r="AV41" s="35">
        <f t="shared" si="22"/>
        <v>0</v>
      </c>
      <c r="AW41" s="35" t="str">
        <f t="shared" si="23"/>
        <v>0</v>
      </c>
      <c r="AX41" s="35" t="str">
        <f t="shared" si="24"/>
        <v>0</v>
      </c>
      <c r="AY41" s="35">
        <f t="shared" si="25"/>
        <v>0</v>
      </c>
      <c r="AZ41" s="35" t="str">
        <f t="shared" si="26"/>
        <v>0</v>
      </c>
      <c r="BA41" s="35" t="str">
        <f t="shared" si="27"/>
        <v>0</v>
      </c>
      <c r="BB41" s="35">
        <f t="shared" si="28"/>
        <v>0</v>
      </c>
      <c r="BC41" s="35" t="str">
        <f t="shared" si="29"/>
        <v>0</v>
      </c>
      <c r="BD41" s="35" t="str">
        <f t="shared" si="30"/>
        <v>0</v>
      </c>
      <c r="BE41" s="35">
        <f t="shared" si="31"/>
        <v>0</v>
      </c>
      <c r="BF41" s="35" t="str">
        <f t="shared" si="32"/>
        <v>0</v>
      </c>
      <c r="BG41" s="35" t="str">
        <f t="shared" si="33"/>
        <v>0</v>
      </c>
      <c r="BH41" s="35">
        <f t="shared" si="34"/>
        <v>0</v>
      </c>
      <c r="BI41" s="35" t="str">
        <f t="shared" si="35"/>
        <v>0</v>
      </c>
      <c r="BJ41" s="35" t="str">
        <f t="shared" si="36"/>
        <v>0</v>
      </c>
      <c r="BK41" s="35">
        <f t="shared" si="37"/>
        <v>0</v>
      </c>
      <c r="BL41" s="35" t="str">
        <f t="shared" si="38"/>
        <v>0</v>
      </c>
      <c r="BM41" s="35" t="str">
        <f t="shared" si="39"/>
        <v>0</v>
      </c>
      <c r="BN41" s="35">
        <f t="shared" si="40"/>
        <v>0</v>
      </c>
      <c r="BO41" s="43" t="str">
        <f t="shared" si="41"/>
        <v xml:space="preserve">RYU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41" s="12"/>
      <c r="BQ41" s="15" t="str">
        <f t="shared" si="42"/>
        <v>mengemukakan kembali dengan kalimat sendiri, membuat model matematika dan memilih strategi yang efektif dalam memecahkan masalah nyata sehari-hari yang berkaitan dengan KPK dan FPB, satuan kuantitas, desimal dan persen, serta memeriksa kebenarannya</v>
      </c>
      <c r="BR41" s="16" t="str">
        <f t="shared" si="43"/>
        <v xml:space="preserve"> </v>
      </c>
      <c r="BS41" s="16" t="str">
        <f t="shared" si="44"/>
        <v xml:space="preserve"> </v>
      </c>
      <c r="BT41" s="16" t="str">
        <f t="shared" si="45"/>
        <v xml:space="preserve"> </v>
      </c>
      <c r="BU41" s="16" t="str">
        <f t="shared" si="46"/>
        <v xml:space="preserve"> </v>
      </c>
      <c r="BV41" s="16" t="str">
        <f t="shared" si="47"/>
        <v xml:space="preserve"> </v>
      </c>
      <c r="BW41" s="16" t="str">
        <f t="shared" si="48"/>
        <v xml:space="preserve"> </v>
      </c>
      <c r="BX41" s="16" t="str">
        <f t="shared" si="49"/>
        <v xml:space="preserve"> </v>
      </c>
      <c r="BY41" s="16" t="str">
        <f t="shared" si="50"/>
        <v xml:space="preserve"> </v>
      </c>
      <c r="BZ41" s="16" t="str">
        <f t="shared" si="51"/>
        <v xml:space="preserve"> </v>
      </c>
      <c r="CA41" s="16" t="str">
        <f t="shared" si="52"/>
        <v xml:space="preserve"> </v>
      </c>
      <c r="CB41" s="16" t="str">
        <f t="shared" si="53"/>
        <v xml:space="preserve"> </v>
      </c>
      <c r="CC41" s="13" t="str">
        <f t="shared" si="54"/>
        <v xml:space="preserve"> </v>
      </c>
      <c r="CD41" s="13" t="str">
        <f t="shared" si="55"/>
        <v>menyatakan pecahan ke bentuk desimal dan persen</v>
      </c>
      <c r="CE41" s="13" t="str">
        <f t="shared" si="56"/>
        <v xml:space="preserve"> </v>
      </c>
      <c r="CF41" s="13" t="str">
        <f t="shared" si="57"/>
        <v xml:space="preserve"> </v>
      </c>
      <c r="CG41" s="13" t="str">
        <f t="shared" si="58"/>
        <v xml:space="preserve"> </v>
      </c>
      <c r="CH41" s="13" t="str">
        <f t="shared" si="59"/>
        <v xml:space="preserve"> </v>
      </c>
      <c r="CI41" s="13" t="str">
        <f t="shared" si="60"/>
        <v xml:space="preserve"> </v>
      </c>
      <c r="CJ41" s="13" t="str">
        <f t="shared" si="61"/>
        <v xml:space="preserve"> </v>
      </c>
      <c r="CK41" s="13" t="str">
        <f t="shared" si="62"/>
        <v xml:space="preserve"> </v>
      </c>
      <c r="CL41" s="13" t="str">
        <f t="shared" si="63"/>
        <v xml:space="preserve"> </v>
      </c>
      <c r="CM41" s="13" t="str">
        <f t="shared" si="64"/>
        <v xml:space="preserve"> </v>
      </c>
      <c r="CN41" s="13" t="str">
        <f t="shared" si="65"/>
        <v xml:space="preserve"> </v>
      </c>
      <c r="CO41" s="14"/>
    </row>
    <row r="42" spans="1:93" ht="90">
      <c r="A42" s="38">
        <v>38</v>
      </c>
      <c r="B42" s="39" t="str">
        <f>SISWA!B43</f>
        <v>1718250040342</v>
      </c>
      <c r="C42" s="40" t="str">
        <f>SISWA!E43</f>
        <v>SAEPUL</v>
      </c>
      <c r="D42" s="6">
        <v>99</v>
      </c>
      <c r="E42" s="7">
        <v>56</v>
      </c>
      <c r="F42" s="7">
        <v>90</v>
      </c>
      <c r="G42" s="7">
        <v>78</v>
      </c>
      <c r="H42" s="7">
        <v>65</v>
      </c>
      <c r="I42" s="6">
        <v>67</v>
      </c>
      <c r="J42" s="6">
        <v>90</v>
      </c>
      <c r="K42" s="6">
        <v>89</v>
      </c>
      <c r="L42" s="6">
        <v>87</v>
      </c>
      <c r="M42" s="7">
        <v>76</v>
      </c>
      <c r="N42" s="7">
        <v>87</v>
      </c>
      <c r="O42" s="6">
        <v>79</v>
      </c>
      <c r="P42" s="8">
        <f t="shared" si="2"/>
        <v>80.25</v>
      </c>
      <c r="Q42" s="9" t="str">
        <f t="shared" si="3"/>
        <v>B</v>
      </c>
      <c r="R42" s="29">
        <f t="shared" si="67"/>
        <v>3.96</v>
      </c>
      <c r="S42" s="29">
        <f t="shared" si="67"/>
        <v>2.2400000000000002</v>
      </c>
      <c r="T42" s="29">
        <f t="shared" si="67"/>
        <v>3.6</v>
      </c>
      <c r="U42" s="29">
        <f t="shared" si="67"/>
        <v>3.12</v>
      </c>
      <c r="V42" s="29">
        <f t="shared" si="67"/>
        <v>2.6</v>
      </c>
      <c r="W42" s="29">
        <f t="shared" si="67"/>
        <v>2.68</v>
      </c>
      <c r="X42" s="29">
        <f t="shared" si="67"/>
        <v>3.6</v>
      </c>
      <c r="Y42" s="29">
        <f t="shared" si="67"/>
        <v>3.56</v>
      </c>
      <c r="Z42" s="29">
        <f t="shared" si="67"/>
        <v>3.48</v>
      </c>
      <c r="AA42" s="29">
        <f t="shared" si="66"/>
        <v>3.04</v>
      </c>
      <c r="AB42" s="29">
        <f t="shared" si="66"/>
        <v>3.48</v>
      </c>
      <c r="AC42" s="29">
        <f t="shared" si="66"/>
        <v>3.16</v>
      </c>
      <c r="AD42" s="10"/>
      <c r="AE42" s="11" t="str">
        <f t="shared" si="5"/>
        <v>4</v>
      </c>
      <c r="AF42" s="11" t="str">
        <f t="shared" si="6"/>
        <v>0</v>
      </c>
      <c r="AG42" s="35">
        <f t="shared" si="7"/>
        <v>4</v>
      </c>
      <c r="AH42" s="35" t="str">
        <f t="shared" si="8"/>
        <v>0</v>
      </c>
      <c r="AI42" s="35" t="str">
        <f t="shared" si="9"/>
        <v>1</v>
      </c>
      <c r="AJ42" s="35">
        <f t="shared" si="10"/>
        <v>1</v>
      </c>
      <c r="AK42" s="35" t="str">
        <f t="shared" si="11"/>
        <v>0</v>
      </c>
      <c r="AL42" s="35" t="str">
        <f t="shared" si="12"/>
        <v>0</v>
      </c>
      <c r="AM42" s="35">
        <f t="shared" si="13"/>
        <v>0</v>
      </c>
      <c r="AN42" s="35" t="str">
        <f t="shared" si="14"/>
        <v>0</v>
      </c>
      <c r="AO42" s="35" t="str">
        <f t="shared" si="15"/>
        <v>0</v>
      </c>
      <c r="AP42" s="35">
        <f t="shared" si="16"/>
        <v>0</v>
      </c>
      <c r="AQ42" s="35" t="str">
        <f t="shared" si="17"/>
        <v>0</v>
      </c>
      <c r="AR42" s="35" t="str">
        <f t="shared" si="18"/>
        <v>0</v>
      </c>
      <c r="AS42" s="35">
        <f t="shared" si="19"/>
        <v>0</v>
      </c>
      <c r="AT42" s="35" t="str">
        <f t="shared" si="20"/>
        <v>0</v>
      </c>
      <c r="AU42" s="35" t="str">
        <f t="shared" si="21"/>
        <v>0</v>
      </c>
      <c r="AV42" s="35">
        <f t="shared" si="22"/>
        <v>0</v>
      </c>
      <c r="AW42" s="35" t="str">
        <f t="shared" si="23"/>
        <v>0</v>
      </c>
      <c r="AX42" s="35" t="str">
        <f t="shared" si="24"/>
        <v>0</v>
      </c>
      <c r="AY42" s="35">
        <f t="shared" si="25"/>
        <v>0</v>
      </c>
      <c r="AZ42" s="35" t="str">
        <f t="shared" si="26"/>
        <v>0</v>
      </c>
      <c r="BA42" s="35" t="str">
        <f t="shared" si="27"/>
        <v>0</v>
      </c>
      <c r="BB42" s="35">
        <f t="shared" si="28"/>
        <v>0</v>
      </c>
      <c r="BC42" s="35" t="str">
        <f t="shared" si="29"/>
        <v>0</v>
      </c>
      <c r="BD42" s="35" t="str">
        <f t="shared" si="30"/>
        <v>0</v>
      </c>
      <c r="BE42" s="35">
        <f t="shared" si="31"/>
        <v>0</v>
      </c>
      <c r="BF42" s="35" t="str">
        <f t="shared" si="32"/>
        <v>0</v>
      </c>
      <c r="BG42" s="35" t="str">
        <f t="shared" si="33"/>
        <v>0</v>
      </c>
      <c r="BH42" s="35">
        <f t="shared" si="34"/>
        <v>0</v>
      </c>
      <c r="BI42" s="35" t="str">
        <f t="shared" si="35"/>
        <v>0</v>
      </c>
      <c r="BJ42" s="35" t="str">
        <f t="shared" si="36"/>
        <v>0</v>
      </c>
      <c r="BK42" s="35">
        <f t="shared" si="37"/>
        <v>0</v>
      </c>
      <c r="BL42" s="35" t="str">
        <f t="shared" si="38"/>
        <v>0</v>
      </c>
      <c r="BM42" s="35" t="str">
        <f t="shared" si="39"/>
        <v>0</v>
      </c>
      <c r="BN42" s="35">
        <f t="shared" si="40"/>
        <v>0</v>
      </c>
      <c r="BO42" s="43" t="str">
        <f t="shared" si="41"/>
        <v xml:space="preserve">SAEPUL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42" s="12"/>
      <c r="BQ42" s="15" t="str">
        <f t="shared" si="42"/>
        <v>mengemukakan kembali dengan kalimat sendiri, membuat model matematika dan memilih strategi yang efektif dalam memecahkan masalah nyata sehari-hari yang berkaitan dengan KPK dan FPB, satuan kuantitas, desimal dan persen, serta memeriksa kebenarannya</v>
      </c>
      <c r="BR42" s="16" t="str">
        <f t="shared" si="43"/>
        <v xml:space="preserve"> </v>
      </c>
      <c r="BS42" s="16" t="str">
        <f t="shared" si="44"/>
        <v xml:space="preserve"> </v>
      </c>
      <c r="BT42" s="16" t="str">
        <f t="shared" si="45"/>
        <v xml:space="preserve"> </v>
      </c>
      <c r="BU42" s="16" t="str">
        <f t="shared" si="46"/>
        <v xml:space="preserve"> </v>
      </c>
      <c r="BV42" s="16" t="str">
        <f t="shared" si="47"/>
        <v xml:space="preserve"> </v>
      </c>
      <c r="BW42" s="16" t="str">
        <f t="shared" si="48"/>
        <v xml:space="preserve"> </v>
      </c>
      <c r="BX42" s="16" t="str">
        <f t="shared" si="49"/>
        <v xml:space="preserve"> </v>
      </c>
      <c r="BY42" s="16" t="str">
        <f t="shared" si="50"/>
        <v xml:space="preserve"> </v>
      </c>
      <c r="BZ42" s="16" t="str">
        <f t="shared" si="51"/>
        <v xml:space="preserve"> </v>
      </c>
      <c r="CA42" s="16" t="str">
        <f t="shared" si="52"/>
        <v xml:space="preserve"> </v>
      </c>
      <c r="CB42" s="16" t="str">
        <f t="shared" si="53"/>
        <v xml:space="preserve"> </v>
      </c>
      <c r="CC42" s="13" t="str">
        <f t="shared" si="54"/>
        <v xml:space="preserve"> </v>
      </c>
      <c r="CD42" s="13" t="str">
        <f t="shared" si="55"/>
        <v>menyatakan pecahan ke bentuk desimal dan persen</v>
      </c>
      <c r="CE42" s="13" t="str">
        <f t="shared" si="56"/>
        <v xml:space="preserve"> </v>
      </c>
      <c r="CF42" s="13" t="str">
        <f t="shared" si="57"/>
        <v xml:space="preserve"> </v>
      </c>
      <c r="CG42" s="13" t="str">
        <f t="shared" si="58"/>
        <v xml:space="preserve"> </v>
      </c>
      <c r="CH42" s="13" t="str">
        <f t="shared" si="59"/>
        <v xml:space="preserve"> </v>
      </c>
      <c r="CI42" s="13" t="str">
        <f t="shared" si="60"/>
        <v xml:space="preserve"> </v>
      </c>
      <c r="CJ42" s="13" t="str">
        <f t="shared" si="61"/>
        <v xml:space="preserve"> </v>
      </c>
      <c r="CK42" s="13" t="str">
        <f t="shared" si="62"/>
        <v xml:space="preserve"> </v>
      </c>
      <c r="CL42" s="13" t="str">
        <f t="shared" si="63"/>
        <v xml:space="preserve"> </v>
      </c>
      <c r="CM42" s="13" t="str">
        <f t="shared" si="64"/>
        <v xml:space="preserve"> </v>
      </c>
      <c r="CN42" s="13" t="str">
        <f t="shared" si="65"/>
        <v xml:space="preserve"> </v>
      </c>
      <c r="CO42" s="14"/>
    </row>
    <row r="43" spans="1:93" ht="90">
      <c r="A43" s="38">
        <v>39</v>
      </c>
      <c r="B43" s="39" t="str">
        <f>SISWA!B44</f>
        <v>1718250040343</v>
      </c>
      <c r="C43" s="40" t="str">
        <f>SISWA!E44</f>
        <v>SALMA</v>
      </c>
      <c r="D43" s="6">
        <v>99</v>
      </c>
      <c r="E43" s="7">
        <v>56</v>
      </c>
      <c r="F43" s="7">
        <v>90</v>
      </c>
      <c r="G43" s="7">
        <v>78</v>
      </c>
      <c r="H43" s="7">
        <v>65</v>
      </c>
      <c r="I43" s="6">
        <v>67</v>
      </c>
      <c r="J43" s="6">
        <v>90</v>
      </c>
      <c r="K43" s="6">
        <v>89</v>
      </c>
      <c r="L43" s="6">
        <v>87</v>
      </c>
      <c r="M43" s="7">
        <v>76</v>
      </c>
      <c r="N43" s="7">
        <v>87</v>
      </c>
      <c r="O43" s="6">
        <v>79</v>
      </c>
      <c r="P43" s="8">
        <f t="shared" si="2"/>
        <v>80.25</v>
      </c>
      <c r="Q43" s="9" t="str">
        <f t="shared" si="3"/>
        <v>B</v>
      </c>
      <c r="R43" s="29">
        <f t="shared" si="67"/>
        <v>3.96</v>
      </c>
      <c r="S43" s="29">
        <f t="shared" si="67"/>
        <v>2.2400000000000002</v>
      </c>
      <c r="T43" s="29">
        <f t="shared" si="67"/>
        <v>3.6</v>
      </c>
      <c r="U43" s="29">
        <f t="shared" si="67"/>
        <v>3.12</v>
      </c>
      <c r="V43" s="29">
        <f t="shared" si="67"/>
        <v>2.6</v>
      </c>
      <c r="W43" s="29">
        <f t="shared" si="67"/>
        <v>2.68</v>
      </c>
      <c r="X43" s="29">
        <f t="shared" si="67"/>
        <v>3.6</v>
      </c>
      <c r="Y43" s="29">
        <f t="shared" si="67"/>
        <v>3.56</v>
      </c>
      <c r="Z43" s="29">
        <f t="shared" si="67"/>
        <v>3.48</v>
      </c>
      <c r="AA43" s="29">
        <f t="shared" si="66"/>
        <v>3.04</v>
      </c>
      <c r="AB43" s="29">
        <f t="shared" si="66"/>
        <v>3.48</v>
      </c>
      <c r="AC43" s="29">
        <f t="shared" si="66"/>
        <v>3.16</v>
      </c>
      <c r="AD43" s="10"/>
      <c r="AE43" s="11" t="str">
        <f t="shared" si="5"/>
        <v>4</v>
      </c>
      <c r="AF43" s="11" t="str">
        <f t="shared" si="6"/>
        <v>0</v>
      </c>
      <c r="AG43" s="35">
        <f t="shared" si="7"/>
        <v>4</v>
      </c>
      <c r="AH43" s="35" t="str">
        <f t="shared" si="8"/>
        <v>0</v>
      </c>
      <c r="AI43" s="35" t="str">
        <f t="shared" si="9"/>
        <v>1</v>
      </c>
      <c r="AJ43" s="35">
        <f t="shared" si="10"/>
        <v>1</v>
      </c>
      <c r="AK43" s="35" t="str">
        <f t="shared" si="11"/>
        <v>0</v>
      </c>
      <c r="AL43" s="35" t="str">
        <f t="shared" si="12"/>
        <v>0</v>
      </c>
      <c r="AM43" s="35">
        <f t="shared" si="13"/>
        <v>0</v>
      </c>
      <c r="AN43" s="35" t="str">
        <f t="shared" si="14"/>
        <v>0</v>
      </c>
      <c r="AO43" s="35" t="str">
        <f t="shared" si="15"/>
        <v>0</v>
      </c>
      <c r="AP43" s="35">
        <f t="shared" si="16"/>
        <v>0</v>
      </c>
      <c r="AQ43" s="35" t="str">
        <f t="shared" si="17"/>
        <v>0</v>
      </c>
      <c r="AR43" s="35" t="str">
        <f t="shared" si="18"/>
        <v>0</v>
      </c>
      <c r="AS43" s="35">
        <f t="shared" si="19"/>
        <v>0</v>
      </c>
      <c r="AT43" s="35" t="str">
        <f t="shared" si="20"/>
        <v>0</v>
      </c>
      <c r="AU43" s="35" t="str">
        <f t="shared" si="21"/>
        <v>0</v>
      </c>
      <c r="AV43" s="35">
        <f t="shared" si="22"/>
        <v>0</v>
      </c>
      <c r="AW43" s="35" t="str">
        <f t="shared" si="23"/>
        <v>0</v>
      </c>
      <c r="AX43" s="35" t="str">
        <f t="shared" si="24"/>
        <v>0</v>
      </c>
      <c r="AY43" s="35">
        <f t="shared" si="25"/>
        <v>0</v>
      </c>
      <c r="AZ43" s="35" t="str">
        <f t="shared" si="26"/>
        <v>0</v>
      </c>
      <c r="BA43" s="35" t="str">
        <f t="shared" si="27"/>
        <v>0</v>
      </c>
      <c r="BB43" s="35">
        <f t="shared" si="28"/>
        <v>0</v>
      </c>
      <c r="BC43" s="35" t="str">
        <f t="shared" si="29"/>
        <v>0</v>
      </c>
      <c r="BD43" s="35" t="str">
        <f t="shared" si="30"/>
        <v>0</v>
      </c>
      <c r="BE43" s="35">
        <f t="shared" si="31"/>
        <v>0</v>
      </c>
      <c r="BF43" s="35" t="str">
        <f t="shared" si="32"/>
        <v>0</v>
      </c>
      <c r="BG43" s="35" t="str">
        <f t="shared" si="33"/>
        <v>0</v>
      </c>
      <c r="BH43" s="35">
        <f t="shared" si="34"/>
        <v>0</v>
      </c>
      <c r="BI43" s="35" t="str">
        <f t="shared" si="35"/>
        <v>0</v>
      </c>
      <c r="BJ43" s="35" t="str">
        <f t="shared" si="36"/>
        <v>0</v>
      </c>
      <c r="BK43" s="35">
        <f t="shared" si="37"/>
        <v>0</v>
      </c>
      <c r="BL43" s="35" t="str">
        <f t="shared" si="38"/>
        <v>0</v>
      </c>
      <c r="BM43" s="35" t="str">
        <f t="shared" si="39"/>
        <v>0</v>
      </c>
      <c r="BN43" s="35">
        <f t="shared" si="40"/>
        <v>0</v>
      </c>
      <c r="BO43" s="43" t="str">
        <f t="shared" si="41"/>
        <v xml:space="preserve">SALMA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43" s="12"/>
      <c r="BQ43" s="15" t="str">
        <f t="shared" si="42"/>
        <v>mengemukakan kembali dengan kalimat sendiri, membuat model matematika dan memilih strategi yang efektif dalam memecahkan masalah nyata sehari-hari yang berkaitan dengan KPK dan FPB, satuan kuantitas, desimal dan persen, serta memeriksa kebenarannya</v>
      </c>
      <c r="BR43" s="16" t="str">
        <f t="shared" si="43"/>
        <v xml:space="preserve"> </v>
      </c>
      <c r="BS43" s="16" t="str">
        <f t="shared" si="44"/>
        <v xml:space="preserve"> </v>
      </c>
      <c r="BT43" s="16" t="str">
        <f t="shared" si="45"/>
        <v xml:space="preserve"> </v>
      </c>
      <c r="BU43" s="16" t="str">
        <f t="shared" si="46"/>
        <v xml:space="preserve"> </v>
      </c>
      <c r="BV43" s="16" t="str">
        <f t="shared" si="47"/>
        <v xml:space="preserve"> </v>
      </c>
      <c r="BW43" s="16" t="str">
        <f t="shared" si="48"/>
        <v xml:space="preserve"> </v>
      </c>
      <c r="BX43" s="16" t="str">
        <f t="shared" si="49"/>
        <v xml:space="preserve"> </v>
      </c>
      <c r="BY43" s="16" t="str">
        <f t="shared" si="50"/>
        <v xml:space="preserve"> </v>
      </c>
      <c r="BZ43" s="16" t="str">
        <f t="shared" si="51"/>
        <v xml:space="preserve"> </v>
      </c>
      <c r="CA43" s="16" t="str">
        <f t="shared" si="52"/>
        <v xml:space="preserve"> </v>
      </c>
      <c r="CB43" s="16" t="str">
        <f t="shared" si="53"/>
        <v xml:space="preserve"> </v>
      </c>
      <c r="CC43" s="13" t="str">
        <f t="shared" si="54"/>
        <v xml:space="preserve"> </v>
      </c>
      <c r="CD43" s="13" t="str">
        <f t="shared" si="55"/>
        <v>menyatakan pecahan ke bentuk desimal dan persen</v>
      </c>
      <c r="CE43" s="13" t="str">
        <f t="shared" si="56"/>
        <v xml:space="preserve"> </v>
      </c>
      <c r="CF43" s="13" t="str">
        <f t="shared" si="57"/>
        <v xml:space="preserve"> </v>
      </c>
      <c r="CG43" s="13" t="str">
        <f t="shared" si="58"/>
        <v xml:space="preserve"> </v>
      </c>
      <c r="CH43" s="13" t="str">
        <f t="shared" si="59"/>
        <v xml:space="preserve"> </v>
      </c>
      <c r="CI43" s="13" t="str">
        <f t="shared" si="60"/>
        <v xml:space="preserve"> </v>
      </c>
      <c r="CJ43" s="13" t="str">
        <f t="shared" si="61"/>
        <v xml:space="preserve"> </v>
      </c>
      <c r="CK43" s="13" t="str">
        <f t="shared" si="62"/>
        <v xml:space="preserve"> </v>
      </c>
      <c r="CL43" s="13" t="str">
        <f t="shared" si="63"/>
        <v xml:space="preserve"> </v>
      </c>
      <c r="CM43" s="13" t="str">
        <f t="shared" si="64"/>
        <v xml:space="preserve"> </v>
      </c>
      <c r="CN43" s="13" t="str">
        <f t="shared" si="65"/>
        <v xml:space="preserve"> </v>
      </c>
      <c r="CO43" s="14"/>
    </row>
    <row r="44" spans="1:93" ht="90">
      <c r="A44" s="38">
        <v>40</v>
      </c>
      <c r="B44" s="39" t="str">
        <f>SISWA!B45</f>
        <v>1718250040344</v>
      </c>
      <c r="C44" s="40" t="str">
        <f>SISWA!E45</f>
        <v>SYAKILA</v>
      </c>
      <c r="D44" s="6">
        <v>99</v>
      </c>
      <c r="E44" s="7">
        <v>56</v>
      </c>
      <c r="F44" s="7">
        <v>90</v>
      </c>
      <c r="G44" s="7">
        <v>78</v>
      </c>
      <c r="H44" s="7">
        <v>65</v>
      </c>
      <c r="I44" s="6">
        <v>67</v>
      </c>
      <c r="J44" s="6">
        <v>90</v>
      </c>
      <c r="K44" s="6">
        <v>89</v>
      </c>
      <c r="L44" s="6">
        <v>87</v>
      </c>
      <c r="M44" s="7">
        <v>76</v>
      </c>
      <c r="N44" s="7">
        <v>87</v>
      </c>
      <c r="O44" s="6">
        <v>79</v>
      </c>
      <c r="P44" s="8">
        <f t="shared" si="2"/>
        <v>80.25</v>
      </c>
      <c r="Q44" s="9" t="str">
        <f t="shared" si="3"/>
        <v>B</v>
      </c>
      <c r="R44" s="29">
        <f t="shared" si="67"/>
        <v>3.96</v>
      </c>
      <c r="S44" s="29">
        <f t="shared" si="67"/>
        <v>2.2400000000000002</v>
      </c>
      <c r="T44" s="29">
        <f t="shared" si="67"/>
        <v>3.6</v>
      </c>
      <c r="U44" s="29">
        <f t="shared" si="67"/>
        <v>3.12</v>
      </c>
      <c r="V44" s="29">
        <f t="shared" si="67"/>
        <v>2.6</v>
      </c>
      <c r="W44" s="29">
        <f t="shared" si="67"/>
        <v>2.68</v>
      </c>
      <c r="X44" s="29">
        <f t="shared" si="67"/>
        <v>3.6</v>
      </c>
      <c r="Y44" s="29">
        <f t="shared" si="67"/>
        <v>3.56</v>
      </c>
      <c r="Z44" s="29">
        <f t="shared" si="67"/>
        <v>3.48</v>
      </c>
      <c r="AA44" s="29">
        <f t="shared" si="66"/>
        <v>3.04</v>
      </c>
      <c r="AB44" s="29">
        <f t="shared" si="66"/>
        <v>3.48</v>
      </c>
      <c r="AC44" s="29">
        <f t="shared" si="66"/>
        <v>3.16</v>
      </c>
      <c r="AD44" s="10"/>
      <c r="AE44" s="11" t="str">
        <f t="shared" si="5"/>
        <v>4</v>
      </c>
      <c r="AF44" s="11" t="str">
        <f t="shared" si="6"/>
        <v>0</v>
      </c>
      <c r="AG44" s="35">
        <f t="shared" si="7"/>
        <v>4</v>
      </c>
      <c r="AH44" s="35" t="str">
        <f t="shared" si="8"/>
        <v>0</v>
      </c>
      <c r="AI44" s="35" t="str">
        <f t="shared" si="9"/>
        <v>1</v>
      </c>
      <c r="AJ44" s="35">
        <f t="shared" si="10"/>
        <v>1</v>
      </c>
      <c r="AK44" s="35" t="str">
        <f t="shared" si="11"/>
        <v>0</v>
      </c>
      <c r="AL44" s="35" t="str">
        <f t="shared" si="12"/>
        <v>0</v>
      </c>
      <c r="AM44" s="35">
        <f t="shared" si="13"/>
        <v>0</v>
      </c>
      <c r="AN44" s="35" t="str">
        <f t="shared" si="14"/>
        <v>0</v>
      </c>
      <c r="AO44" s="35" t="str">
        <f t="shared" si="15"/>
        <v>0</v>
      </c>
      <c r="AP44" s="35">
        <f t="shared" si="16"/>
        <v>0</v>
      </c>
      <c r="AQ44" s="35" t="str">
        <f t="shared" si="17"/>
        <v>0</v>
      </c>
      <c r="AR44" s="35" t="str">
        <f t="shared" si="18"/>
        <v>0</v>
      </c>
      <c r="AS44" s="35">
        <f t="shared" si="19"/>
        <v>0</v>
      </c>
      <c r="AT44" s="35" t="str">
        <f t="shared" si="20"/>
        <v>0</v>
      </c>
      <c r="AU44" s="35" t="str">
        <f t="shared" si="21"/>
        <v>0</v>
      </c>
      <c r="AV44" s="35">
        <f t="shared" si="22"/>
        <v>0</v>
      </c>
      <c r="AW44" s="35" t="str">
        <f t="shared" si="23"/>
        <v>0</v>
      </c>
      <c r="AX44" s="35" t="str">
        <f t="shared" si="24"/>
        <v>0</v>
      </c>
      <c r="AY44" s="35">
        <f t="shared" si="25"/>
        <v>0</v>
      </c>
      <c r="AZ44" s="35" t="str">
        <f t="shared" si="26"/>
        <v>0</v>
      </c>
      <c r="BA44" s="35" t="str">
        <f t="shared" si="27"/>
        <v>0</v>
      </c>
      <c r="BB44" s="35">
        <f t="shared" si="28"/>
        <v>0</v>
      </c>
      <c r="BC44" s="35" t="str">
        <f t="shared" si="29"/>
        <v>0</v>
      </c>
      <c r="BD44" s="35" t="str">
        <f t="shared" si="30"/>
        <v>0</v>
      </c>
      <c r="BE44" s="35">
        <f t="shared" si="31"/>
        <v>0</v>
      </c>
      <c r="BF44" s="35" t="str">
        <f t="shared" si="32"/>
        <v>0</v>
      </c>
      <c r="BG44" s="35" t="str">
        <f t="shared" si="33"/>
        <v>0</v>
      </c>
      <c r="BH44" s="35">
        <f t="shared" si="34"/>
        <v>0</v>
      </c>
      <c r="BI44" s="35" t="str">
        <f t="shared" si="35"/>
        <v>0</v>
      </c>
      <c r="BJ44" s="35" t="str">
        <f t="shared" si="36"/>
        <v>0</v>
      </c>
      <c r="BK44" s="35">
        <f t="shared" si="37"/>
        <v>0</v>
      </c>
      <c r="BL44" s="35" t="str">
        <f t="shared" si="38"/>
        <v>0</v>
      </c>
      <c r="BM44" s="35" t="str">
        <f t="shared" si="39"/>
        <v>0</v>
      </c>
      <c r="BN44" s="35">
        <f t="shared" si="40"/>
        <v>0</v>
      </c>
      <c r="BO44" s="43" t="str">
        <f t="shared" si="41"/>
        <v xml:space="preserve">SYAKILA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44" s="12"/>
      <c r="BQ44" s="15" t="str">
        <f t="shared" si="42"/>
        <v>mengemukakan kembali dengan kalimat sendiri, membuat model matematika dan memilih strategi yang efektif dalam memecahkan masalah nyata sehari-hari yang berkaitan dengan KPK dan FPB, satuan kuantitas, desimal dan persen, serta memeriksa kebenarannya</v>
      </c>
      <c r="BR44" s="16" t="str">
        <f t="shared" si="43"/>
        <v xml:space="preserve"> </v>
      </c>
      <c r="BS44" s="16" t="str">
        <f t="shared" si="44"/>
        <v xml:space="preserve"> </v>
      </c>
      <c r="BT44" s="16" t="str">
        <f t="shared" si="45"/>
        <v xml:space="preserve"> </v>
      </c>
      <c r="BU44" s="16" t="str">
        <f t="shared" si="46"/>
        <v xml:space="preserve"> </v>
      </c>
      <c r="BV44" s="16" t="str">
        <f t="shared" si="47"/>
        <v xml:space="preserve"> </v>
      </c>
      <c r="BW44" s="16" t="str">
        <f t="shared" si="48"/>
        <v xml:space="preserve"> </v>
      </c>
      <c r="BX44" s="16" t="str">
        <f t="shared" si="49"/>
        <v xml:space="preserve"> </v>
      </c>
      <c r="BY44" s="16" t="str">
        <f t="shared" si="50"/>
        <v xml:space="preserve"> </v>
      </c>
      <c r="BZ44" s="16" t="str">
        <f t="shared" si="51"/>
        <v xml:space="preserve"> </v>
      </c>
      <c r="CA44" s="16" t="str">
        <f t="shared" si="52"/>
        <v xml:space="preserve"> </v>
      </c>
      <c r="CB44" s="16" t="str">
        <f t="shared" si="53"/>
        <v xml:space="preserve"> </v>
      </c>
      <c r="CC44" s="13" t="str">
        <f t="shared" si="54"/>
        <v xml:space="preserve"> </v>
      </c>
      <c r="CD44" s="13" t="str">
        <f t="shared" si="55"/>
        <v>menyatakan pecahan ke bentuk desimal dan persen</v>
      </c>
      <c r="CE44" s="13" t="str">
        <f t="shared" si="56"/>
        <v xml:space="preserve"> </v>
      </c>
      <c r="CF44" s="13" t="str">
        <f t="shared" si="57"/>
        <v xml:space="preserve"> </v>
      </c>
      <c r="CG44" s="13" t="str">
        <f t="shared" si="58"/>
        <v xml:space="preserve"> </v>
      </c>
      <c r="CH44" s="13" t="str">
        <f t="shared" si="59"/>
        <v xml:space="preserve"> </v>
      </c>
      <c r="CI44" s="13" t="str">
        <f t="shared" si="60"/>
        <v xml:space="preserve"> </v>
      </c>
      <c r="CJ44" s="13" t="str">
        <f t="shared" si="61"/>
        <v xml:space="preserve"> </v>
      </c>
      <c r="CK44" s="13" t="str">
        <f t="shared" si="62"/>
        <v xml:space="preserve"> </v>
      </c>
      <c r="CL44" s="13" t="str">
        <f t="shared" si="63"/>
        <v xml:space="preserve"> </v>
      </c>
      <c r="CM44" s="13" t="str">
        <f t="shared" si="64"/>
        <v xml:space="preserve"> </v>
      </c>
      <c r="CN44" s="13" t="str">
        <f t="shared" si="65"/>
        <v xml:space="preserve"> </v>
      </c>
      <c r="CO44" s="14"/>
    </row>
    <row r="45" spans="1:93" ht="90">
      <c r="A45" s="38">
        <v>41</v>
      </c>
      <c r="B45" s="39" t="str">
        <f>SISWA!B46</f>
        <v>1718250040345</v>
      </c>
      <c r="C45" s="40" t="str">
        <f>SISWA!E46</f>
        <v>SYIFA</v>
      </c>
      <c r="D45" s="6">
        <v>99</v>
      </c>
      <c r="E45" s="7">
        <v>56</v>
      </c>
      <c r="F45" s="7">
        <v>90</v>
      </c>
      <c r="G45" s="7">
        <v>78</v>
      </c>
      <c r="H45" s="7">
        <v>65</v>
      </c>
      <c r="I45" s="6">
        <v>67</v>
      </c>
      <c r="J45" s="6">
        <v>90</v>
      </c>
      <c r="K45" s="6">
        <v>89</v>
      </c>
      <c r="L45" s="6">
        <v>87</v>
      </c>
      <c r="M45" s="7">
        <v>76</v>
      </c>
      <c r="N45" s="7">
        <v>87</v>
      </c>
      <c r="O45" s="6">
        <v>79</v>
      </c>
      <c r="P45" s="8">
        <f t="shared" si="2"/>
        <v>80.25</v>
      </c>
      <c r="Q45" s="9" t="str">
        <f t="shared" si="3"/>
        <v>B</v>
      </c>
      <c r="R45" s="29">
        <f t="shared" si="67"/>
        <v>3.96</v>
      </c>
      <c r="S45" s="29">
        <f t="shared" si="67"/>
        <v>2.2400000000000002</v>
      </c>
      <c r="T45" s="29">
        <f t="shared" si="67"/>
        <v>3.6</v>
      </c>
      <c r="U45" s="29">
        <f t="shared" si="67"/>
        <v>3.12</v>
      </c>
      <c r="V45" s="29">
        <f t="shared" si="67"/>
        <v>2.6</v>
      </c>
      <c r="W45" s="29">
        <f t="shared" si="67"/>
        <v>2.68</v>
      </c>
      <c r="X45" s="29">
        <f t="shared" si="67"/>
        <v>3.6</v>
      </c>
      <c r="Y45" s="29">
        <f t="shared" si="67"/>
        <v>3.56</v>
      </c>
      <c r="Z45" s="29">
        <f t="shared" si="67"/>
        <v>3.48</v>
      </c>
      <c r="AA45" s="29">
        <f t="shared" si="66"/>
        <v>3.04</v>
      </c>
      <c r="AB45" s="29">
        <f t="shared" si="66"/>
        <v>3.48</v>
      </c>
      <c r="AC45" s="29">
        <f t="shared" si="66"/>
        <v>3.16</v>
      </c>
      <c r="AD45" s="10"/>
      <c r="AE45" s="11" t="str">
        <f t="shared" si="5"/>
        <v>4</v>
      </c>
      <c r="AF45" s="11" t="str">
        <f t="shared" si="6"/>
        <v>0</v>
      </c>
      <c r="AG45" s="35">
        <f t="shared" si="7"/>
        <v>4</v>
      </c>
      <c r="AH45" s="35" t="str">
        <f t="shared" si="8"/>
        <v>0</v>
      </c>
      <c r="AI45" s="35" t="str">
        <f t="shared" si="9"/>
        <v>1</v>
      </c>
      <c r="AJ45" s="35">
        <f t="shared" si="10"/>
        <v>1</v>
      </c>
      <c r="AK45" s="35" t="str">
        <f t="shared" si="11"/>
        <v>0</v>
      </c>
      <c r="AL45" s="35" t="str">
        <f t="shared" si="12"/>
        <v>0</v>
      </c>
      <c r="AM45" s="35">
        <f t="shared" si="13"/>
        <v>0</v>
      </c>
      <c r="AN45" s="35" t="str">
        <f t="shared" si="14"/>
        <v>0</v>
      </c>
      <c r="AO45" s="35" t="str">
        <f t="shared" si="15"/>
        <v>0</v>
      </c>
      <c r="AP45" s="35">
        <f t="shared" si="16"/>
        <v>0</v>
      </c>
      <c r="AQ45" s="35" t="str">
        <f t="shared" si="17"/>
        <v>0</v>
      </c>
      <c r="AR45" s="35" t="str">
        <f t="shared" si="18"/>
        <v>0</v>
      </c>
      <c r="AS45" s="35">
        <f t="shared" si="19"/>
        <v>0</v>
      </c>
      <c r="AT45" s="35" t="str">
        <f t="shared" si="20"/>
        <v>0</v>
      </c>
      <c r="AU45" s="35" t="str">
        <f t="shared" si="21"/>
        <v>0</v>
      </c>
      <c r="AV45" s="35">
        <f t="shared" si="22"/>
        <v>0</v>
      </c>
      <c r="AW45" s="35" t="str">
        <f t="shared" si="23"/>
        <v>0</v>
      </c>
      <c r="AX45" s="35" t="str">
        <f t="shared" si="24"/>
        <v>0</v>
      </c>
      <c r="AY45" s="35">
        <f t="shared" si="25"/>
        <v>0</v>
      </c>
      <c r="AZ45" s="35" t="str">
        <f t="shared" si="26"/>
        <v>0</v>
      </c>
      <c r="BA45" s="35" t="str">
        <f t="shared" si="27"/>
        <v>0</v>
      </c>
      <c r="BB45" s="35">
        <f t="shared" si="28"/>
        <v>0</v>
      </c>
      <c r="BC45" s="35" t="str">
        <f t="shared" si="29"/>
        <v>0</v>
      </c>
      <c r="BD45" s="35" t="str">
        <f t="shared" si="30"/>
        <v>0</v>
      </c>
      <c r="BE45" s="35">
        <f t="shared" si="31"/>
        <v>0</v>
      </c>
      <c r="BF45" s="35" t="str">
        <f t="shared" si="32"/>
        <v>0</v>
      </c>
      <c r="BG45" s="35" t="str">
        <f t="shared" si="33"/>
        <v>0</v>
      </c>
      <c r="BH45" s="35">
        <f t="shared" si="34"/>
        <v>0</v>
      </c>
      <c r="BI45" s="35" t="str">
        <f t="shared" si="35"/>
        <v>0</v>
      </c>
      <c r="BJ45" s="35" t="str">
        <f t="shared" si="36"/>
        <v>0</v>
      </c>
      <c r="BK45" s="35">
        <f t="shared" si="37"/>
        <v>0</v>
      </c>
      <c r="BL45" s="35" t="str">
        <f t="shared" si="38"/>
        <v>0</v>
      </c>
      <c r="BM45" s="35" t="str">
        <f t="shared" si="39"/>
        <v>0</v>
      </c>
      <c r="BN45" s="35">
        <f t="shared" si="40"/>
        <v>0</v>
      </c>
      <c r="BO45" s="43" t="str">
        <f t="shared" si="41"/>
        <v xml:space="preserve">SYIFA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45" s="12"/>
      <c r="BQ45" s="15" t="str">
        <f t="shared" si="42"/>
        <v>mengemukakan kembali dengan kalimat sendiri, membuat model matematika dan memilih strategi yang efektif dalam memecahkan masalah nyata sehari-hari yang berkaitan dengan KPK dan FPB, satuan kuantitas, desimal dan persen, serta memeriksa kebenarannya</v>
      </c>
      <c r="BR45" s="16" t="str">
        <f t="shared" si="43"/>
        <v xml:space="preserve"> </v>
      </c>
      <c r="BS45" s="16" t="str">
        <f t="shared" si="44"/>
        <v xml:space="preserve"> </v>
      </c>
      <c r="BT45" s="16" t="str">
        <f t="shared" si="45"/>
        <v xml:space="preserve"> </v>
      </c>
      <c r="BU45" s="16" t="str">
        <f t="shared" si="46"/>
        <v xml:space="preserve"> </v>
      </c>
      <c r="BV45" s="16" t="str">
        <f t="shared" si="47"/>
        <v xml:space="preserve"> </v>
      </c>
      <c r="BW45" s="16" t="str">
        <f t="shared" si="48"/>
        <v xml:space="preserve"> </v>
      </c>
      <c r="BX45" s="16" t="str">
        <f t="shared" si="49"/>
        <v xml:space="preserve"> </v>
      </c>
      <c r="BY45" s="16" t="str">
        <f t="shared" si="50"/>
        <v xml:space="preserve"> </v>
      </c>
      <c r="BZ45" s="16" t="str">
        <f t="shared" si="51"/>
        <v xml:space="preserve"> </v>
      </c>
      <c r="CA45" s="16" t="str">
        <f t="shared" si="52"/>
        <v xml:space="preserve"> </v>
      </c>
      <c r="CB45" s="16" t="str">
        <f t="shared" si="53"/>
        <v xml:space="preserve"> </v>
      </c>
      <c r="CC45" s="13" t="str">
        <f t="shared" si="54"/>
        <v xml:space="preserve"> </v>
      </c>
      <c r="CD45" s="13" t="str">
        <f t="shared" si="55"/>
        <v>menyatakan pecahan ke bentuk desimal dan persen</v>
      </c>
      <c r="CE45" s="13" t="str">
        <f t="shared" si="56"/>
        <v xml:space="preserve"> </v>
      </c>
      <c r="CF45" s="13" t="str">
        <f t="shared" si="57"/>
        <v xml:space="preserve"> </v>
      </c>
      <c r="CG45" s="13" t="str">
        <f t="shared" si="58"/>
        <v xml:space="preserve"> </v>
      </c>
      <c r="CH45" s="13" t="str">
        <f t="shared" si="59"/>
        <v xml:space="preserve"> </v>
      </c>
      <c r="CI45" s="13" t="str">
        <f t="shared" si="60"/>
        <v xml:space="preserve"> </v>
      </c>
      <c r="CJ45" s="13" t="str">
        <f t="shared" si="61"/>
        <v xml:space="preserve"> </v>
      </c>
      <c r="CK45" s="13" t="str">
        <f t="shared" si="62"/>
        <v xml:space="preserve"> </v>
      </c>
      <c r="CL45" s="13" t="str">
        <f t="shared" si="63"/>
        <v xml:space="preserve"> </v>
      </c>
      <c r="CM45" s="13" t="str">
        <f t="shared" si="64"/>
        <v xml:space="preserve"> </v>
      </c>
      <c r="CN45" s="13" t="str">
        <f t="shared" si="65"/>
        <v xml:space="preserve"> </v>
      </c>
      <c r="CO45" s="14"/>
    </row>
    <row r="46" spans="1:93" ht="90">
      <c r="A46" s="38">
        <v>42</v>
      </c>
      <c r="B46" s="39" t="str">
        <f>SISWA!B47</f>
        <v>1718250040346</v>
      </c>
      <c r="C46" s="40" t="str">
        <f>SISWA!E47</f>
        <v>WAFDAN</v>
      </c>
      <c r="D46" s="6">
        <v>99</v>
      </c>
      <c r="E46" s="7">
        <v>56</v>
      </c>
      <c r="F46" s="7">
        <v>90</v>
      </c>
      <c r="G46" s="7">
        <v>78</v>
      </c>
      <c r="H46" s="7">
        <v>65</v>
      </c>
      <c r="I46" s="6">
        <v>67</v>
      </c>
      <c r="J46" s="6">
        <v>90</v>
      </c>
      <c r="K46" s="6">
        <v>89</v>
      </c>
      <c r="L46" s="6">
        <v>87</v>
      </c>
      <c r="M46" s="7">
        <v>76</v>
      </c>
      <c r="N46" s="7">
        <v>87</v>
      </c>
      <c r="O46" s="6">
        <v>79</v>
      </c>
      <c r="P46" s="8">
        <f t="shared" si="2"/>
        <v>80.25</v>
      </c>
      <c r="Q46" s="9" t="str">
        <f t="shared" si="3"/>
        <v>B</v>
      </c>
      <c r="R46" s="29">
        <f t="shared" si="67"/>
        <v>3.96</v>
      </c>
      <c r="S46" s="29">
        <f t="shared" si="67"/>
        <v>2.2400000000000002</v>
      </c>
      <c r="T46" s="29">
        <f t="shared" si="67"/>
        <v>3.6</v>
      </c>
      <c r="U46" s="29">
        <f t="shared" si="67"/>
        <v>3.12</v>
      </c>
      <c r="V46" s="29">
        <f t="shared" si="67"/>
        <v>2.6</v>
      </c>
      <c r="W46" s="29">
        <f t="shared" si="67"/>
        <v>2.68</v>
      </c>
      <c r="X46" s="29">
        <f t="shared" si="67"/>
        <v>3.6</v>
      </c>
      <c r="Y46" s="29">
        <f t="shared" si="67"/>
        <v>3.56</v>
      </c>
      <c r="Z46" s="29">
        <f t="shared" si="67"/>
        <v>3.48</v>
      </c>
      <c r="AA46" s="29">
        <f t="shared" si="66"/>
        <v>3.04</v>
      </c>
      <c r="AB46" s="29">
        <f t="shared" si="66"/>
        <v>3.48</v>
      </c>
      <c r="AC46" s="29">
        <f t="shared" si="66"/>
        <v>3.16</v>
      </c>
      <c r="AD46" s="10"/>
      <c r="AE46" s="11" t="str">
        <f t="shared" si="5"/>
        <v>4</v>
      </c>
      <c r="AF46" s="11" t="str">
        <f t="shared" si="6"/>
        <v>0</v>
      </c>
      <c r="AG46" s="35">
        <f t="shared" si="7"/>
        <v>4</v>
      </c>
      <c r="AH46" s="35" t="str">
        <f t="shared" si="8"/>
        <v>0</v>
      </c>
      <c r="AI46" s="35" t="str">
        <f t="shared" si="9"/>
        <v>1</v>
      </c>
      <c r="AJ46" s="35">
        <f t="shared" si="10"/>
        <v>1</v>
      </c>
      <c r="AK46" s="35" t="str">
        <f t="shared" si="11"/>
        <v>0</v>
      </c>
      <c r="AL46" s="35" t="str">
        <f t="shared" si="12"/>
        <v>0</v>
      </c>
      <c r="AM46" s="35">
        <f t="shared" si="13"/>
        <v>0</v>
      </c>
      <c r="AN46" s="35" t="str">
        <f t="shared" si="14"/>
        <v>0</v>
      </c>
      <c r="AO46" s="35" t="str">
        <f t="shared" si="15"/>
        <v>0</v>
      </c>
      <c r="AP46" s="35">
        <f t="shared" si="16"/>
        <v>0</v>
      </c>
      <c r="AQ46" s="35" t="str">
        <f t="shared" si="17"/>
        <v>0</v>
      </c>
      <c r="AR46" s="35" t="str">
        <f t="shared" si="18"/>
        <v>0</v>
      </c>
      <c r="AS46" s="35">
        <f t="shared" si="19"/>
        <v>0</v>
      </c>
      <c r="AT46" s="35" t="str">
        <f t="shared" si="20"/>
        <v>0</v>
      </c>
      <c r="AU46" s="35" t="str">
        <f t="shared" si="21"/>
        <v>0</v>
      </c>
      <c r="AV46" s="35">
        <f t="shared" si="22"/>
        <v>0</v>
      </c>
      <c r="AW46" s="35" t="str">
        <f t="shared" si="23"/>
        <v>0</v>
      </c>
      <c r="AX46" s="35" t="str">
        <f t="shared" si="24"/>
        <v>0</v>
      </c>
      <c r="AY46" s="35">
        <f t="shared" si="25"/>
        <v>0</v>
      </c>
      <c r="AZ46" s="35" t="str">
        <f t="shared" si="26"/>
        <v>0</v>
      </c>
      <c r="BA46" s="35" t="str">
        <f t="shared" si="27"/>
        <v>0</v>
      </c>
      <c r="BB46" s="35">
        <f t="shared" si="28"/>
        <v>0</v>
      </c>
      <c r="BC46" s="35" t="str">
        <f t="shared" si="29"/>
        <v>0</v>
      </c>
      <c r="BD46" s="35" t="str">
        <f t="shared" si="30"/>
        <v>0</v>
      </c>
      <c r="BE46" s="35">
        <f t="shared" si="31"/>
        <v>0</v>
      </c>
      <c r="BF46" s="35" t="str">
        <f t="shared" si="32"/>
        <v>0</v>
      </c>
      <c r="BG46" s="35" t="str">
        <f t="shared" si="33"/>
        <v>0</v>
      </c>
      <c r="BH46" s="35">
        <f t="shared" si="34"/>
        <v>0</v>
      </c>
      <c r="BI46" s="35" t="str">
        <f t="shared" si="35"/>
        <v>0</v>
      </c>
      <c r="BJ46" s="35" t="str">
        <f t="shared" si="36"/>
        <v>0</v>
      </c>
      <c r="BK46" s="35">
        <f t="shared" si="37"/>
        <v>0</v>
      </c>
      <c r="BL46" s="35" t="str">
        <f t="shared" si="38"/>
        <v>0</v>
      </c>
      <c r="BM46" s="35" t="str">
        <f t="shared" si="39"/>
        <v>0</v>
      </c>
      <c r="BN46" s="35">
        <f t="shared" si="40"/>
        <v>0</v>
      </c>
      <c r="BO46" s="43" t="str">
        <f t="shared" si="41"/>
        <v xml:space="preserve">WAFDAN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46" s="12"/>
      <c r="BQ46" s="15" t="str">
        <f t="shared" si="42"/>
        <v>mengemukakan kembali dengan kalimat sendiri, membuat model matematika dan memilih strategi yang efektif dalam memecahkan masalah nyata sehari-hari yang berkaitan dengan KPK dan FPB, satuan kuantitas, desimal dan persen, serta memeriksa kebenarannya</v>
      </c>
      <c r="BR46" s="16" t="str">
        <f t="shared" si="43"/>
        <v xml:space="preserve"> </v>
      </c>
      <c r="BS46" s="16" t="str">
        <f t="shared" si="44"/>
        <v xml:space="preserve"> </v>
      </c>
      <c r="BT46" s="16" t="str">
        <f t="shared" si="45"/>
        <v xml:space="preserve"> </v>
      </c>
      <c r="BU46" s="16" t="str">
        <f t="shared" si="46"/>
        <v xml:space="preserve"> </v>
      </c>
      <c r="BV46" s="16" t="str">
        <f t="shared" si="47"/>
        <v xml:space="preserve"> </v>
      </c>
      <c r="BW46" s="16" t="str">
        <f t="shared" si="48"/>
        <v xml:space="preserve"> </v>
      </c>
      <c r="BX46" s="16" t="str">
        <f t="shared" si="49"/>
        <v xml:space="preserve"> </v>
      </c>
      <c r="BY46" s="16" t="str">
        <f t="shared" si="50"/>
        <v xml:space="preserve"> </v>
      </c>
      <c r="BZ46" s="16" t="str">
        <f t="shared" si="51"/>
        <v xml:space="preserve"> </v>
      </c>
      <c r="CA46" s="16" t="str">
        <f t="shared" si="52"/>
        <v xml:space="preserve"> </v>
      </c>
      <c r="CB46" s="16" t="str">
        <f t="shared" si="53"/>
        <v xml:space="preserve"> </v>
      </c>
      <c r="CC46" s="13" t="str">
        <f t="shared" si="54"/>
        <v xml:space="preserve"> </v>
      </c>
      <c r="CD46" s="13" t="str">
        <f t="shared" si="55"/>
        <v>menyatakan pecahan ke bentuk desimal dan persen</v>
      </c>
      <c r="CE46" s="13" t="str">
        <f t="shared" si="56"/>
        <v xml:space="preserve"> </v>
      </c>
      <c r="CF46" s="13" t="str">
        <f t="shared" si="57"/>
        <v xml:space="preserve"> </v>
      </c>
      <c r="CG46" s="13" t="str">
        <f t="shared" si="58"/>
        <v xml:space="preserve"> </v>
      </c>
      <c r="CH46" s="13" t="str">
        <f t="shared" si="59"/>
        <v xml:space="preserve"> </v>
      </c>
      <c r="CI46" s="13" t="str">
        <f t="shared" si="60"/>
        <v xml:space="preserve"> </v>
      </c>
      <c r="CJ46" s="13" t="str">
        <f t="shared" si="61"/>
        <v xml:space="preserve"> </v>
      </c>
      <c r="CK46" s="13" t="str">
        <f t="shared" si="62"/>
        <v xml:space="preserve"> </v>
      </c>
      <c r="CL46" s="13" t="str">
        <f t="shared" si="63"/>
        <v xml:space="preserve"> </v>
      </c>
      <c r="CM46" s="13" t="str">
        <f t="shared" si="64"/>
        <v xml:space="preserve"> </v>
      </c>
      <c r="CN46" s="13" t="str">
        <f t="shared" si="65"/>
        <v xml:space="preserve"> </v>
      </c>
      <c r="CO46" s="14"/>
    </row>
    <row r="47" spans="1:93" ht="90">
      <c r="A47" s="38">
        <v>43</v>
      </c>
      <c r="B47" s="39" t="str">
        <f>SISWA!B48</f>
        <v>1718250040347</v>
      </c>
      <c r="C47" s="40" t="str">
        <f>SISWA!E48</f>
        <v>ZEVA</v>
      </c>
      <c r="D47" s="6">
        <v>99</v>
      </c>
      <c r="E47" s="7">
        <v>56</v>
      </c>
      <c r="F47" s="7">
        <v>90</v>
      </c>
      <c r="G47" s="7">
        <v>78</v>
      </c>
      <c r="H47" s="7">
        <v>65</v>
      </c>
      <c r="I47" s="6">
        <v>67</v>
      </c>
      <c r="J47" s="6">
        <v>90</v>
      </c>
      <c r="K47" s="6">
        <v>89</v>
      </c>
      <c r="L47" s="6">
        <v>87</v>
      </c>
      <c r="M47" s="7">
        <v>76</v>
      </c>
      <c r="N47" s="7">
        <v>87</v>
      </c>
      <c r="O47" s="6">
        <v>79</v>
      </c>
      <c r="P47" s="8">
        <f t="shared" si="2"/>
        <v>80.25</v>
      </c>
      <c r="Q47" s="9" t="str">
        <f t="shared" si="3"/>
        <v>B</v>
      </c>
      <c r="R47" s="29">
        <f t="shared" si="67"/>
        <v>3.96</v>
      </c>
      <c r="S47" s="29">
        <f t="shared" si="67"/>
        <v>2.2400000000000002</v>
      </c>
      <c r="T47" s="29">
        <f t="shared" si="67"/>
        <v>3.6</v>
      </c>
      <c r="U47" s="29">
        <f t="shared" si="67"/>
        <v>3.12</v>
      </c>
      <c r="V47" s="29">
        <f t="shared" si="67"/>
        <v>2.6</v>
      </c>
      <c r="W47" s="29">
        <f t="shared" si="67"/>
        <v>2.68</v>
      </c>
      <c r="X47" s="29">
        <f t="shared" si="67"/>
        <v>3.6</v>
      </c>
      <c r="Y47" s="29">
        <f t="shared" si="67"/>
        <v>3.56</v>
      </c>
      <c r="Z47" s="29">
        <f t="shared" si="67"/>
        <v>3.48</v>
      </c>
      <c r="AA47" s="29">
        <f t="shared" si="66"/>
        <v>3.04</v>
      </c>
      <c r="AB47" s="29">
        <f t="shared" si="66"/>
        <v>3.48</v>
      </c>
      <c r="AC47" s="29">
        <f t="shared" si="66"/>
        <v>3.16</v>
      </c>
      <c r="AD47" s="10"/>
      <c r="AE47" s="11" t="str">
        <f t="shared" si="5"/>
        <v>4</v>
      </c>
      <c r="AF47" s="11" t="str">
        <f t="shared" si="6"/>
        <v>0</v>
      </c>
      <c r="AG47" s="35">
        <f t="shared" si="7"/>
        <v>4</v>
      </c>
      <c r="AH47" s="35" t="str">
        <f t="shared" si="8"/>
        <v>0</v>
      </c>
      <c r="AI47" s="35" t="str">
        <f t="shared" si="9"/>
        <v>1</v>
      </c>
      <c r="AJ47" s="35">
        <f t="shared" si="10"/>
        <v>1</v>
      </c>
      <c r="AK47" s="35" t="str">
        <f t="shared" si="11"/>
        <v>0</v>
      </c>
      <c r="AL47" s="35" t="str">
        <f t="shared" si="12"/>
        <v>0</v>
      </c>
      <c r="AM47" s="35">
        <f t="shared" si="13"/>
        <v>0</v>
      </c>
      <c r="AN47" s="35" t="str">
        <f t="shared" si="14"/>
        <v>0</v>
      </c>
      <c r="AO47" s="35" t="str">
        <f t="shared" si="15"/>
        <v>0</v>
      </c>
      <c r="AP47" s="35">
        <f t="shared" si="16"/>
        <v>0</v>
      </c>
      <c r="AQ47" s="35" t="str">
        <f t="shared" si="17"/>
        <v>0</v>
      </c>
      <c r="AR47" s="35" t="str">
        <f t="shared" si="18"/>
        <v>0</v>
      </c>
      <c r="AS47" s="35">
        <f t="shared" si="19"/>
        <v>0</v>
      </c>
      <c r="AT47" s="35" t="str">
        <f t="shared" si="20"/>
        <v>0</v>
      </c>
      <c r="AU47" s="35" t="str">
        <f t="shared" si="21"/>
        <v>0</v>
      </c>
      <c r="AV47" s="35">
        <f t="shared" si="22"/>
        <v>0</v>
      </c>
      <c r="AW47" s="35" t="str">
        <f t="shared" si="23"/>
        <v>0</v>
      </c>
      <c r="AX47" s="35" t="str">
        <f t="shared" si="24"/>
        <v>0</v>
      </c>
      <c r="AY47" s="35">
        <f t="shared" si="25"/>
        <v>0</v>
      </c>
      <c r="AZ47" s="35" t="str">
        <f t="shared" si="26"/>
        <v>0</v>
      </c>
      <c r="BA47" s="35" t="str">
        <f t="shared" si="27"/>
        <v>0</v>
      </c>
      <c r="BB47" s="35">
        <f t="shared" si="28"/>
        <v>0</v>
      </c>
      <c r="BC47" s="35" t="str">
        <f t="shared" si="29"/>
        <v>0</v>
      </c>
      <c r="BD47" s="35" t="str">
        <f t="shared" si="30"/>
        <v>0</v>
      </c>
      <c r="BE47" s="35">
        <f t="shared" si="31"/>
        <v>0</v>
      </c>
      <c r="BF47" s="35" t="str">
        <f t="shared" si="32"/>
        <v>0</v>
      </c>
      <c r="BG47" s="35" t="str">
        <f t="shared" si="33"/>
        <v>0</v>
      </c>
      <c r="BH47" s="35">
        <f t="shared" si="34"/>
        <v>0</v>
      </c>
      <c r="BI47" s="35" t="str">
        <f t="shared" si="35"/>
        <v>0</v>
      </c>
      <c r="BJ47" s="35" t="str">
        <f t="shared" si="36"/>
        <v>0</v>
      </c>
      <c r="BK47" s="35">
        <f t="shared" si="37"/>
        <v>0</v>
      </c>
      <c r="BL47" s="35" t="str">
        <f t="shared" si="38"/>
        <v>0</v>
      </c>
      <c r="BM47" s="35" t="str">
        <f t="shared" si="39"/>
        <v>0</v>
      </c>
      <c r="BN47" s="35">
        <f t="shared" si="40"/>
        <v>0</v>
      </c>
      <c r="BO47" s="43" t="str">
        <f t="shared" si="41"/>
        <v xml:space="preserve">ZEVA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47" s="12"/>
      <c r="BQ47" s="15" t="str">
        <f t="shared" si="42"/>
        <v>mengemukakan kembali dengan kalimat sendiri, membuat model matematika dan memilih strategi yang efektif dalam memecahkan masalah nyata sehari-hari yang berkaitan dengan KPK dan FPB, satuan kuantitas, desimal dan persen, serta memeriksa kebenarannya</v>
      </c>
      <c r="BR47" s="16" t="str">
        <f t="shared" si="43"/>
        <v xml:space="preserve"> </v>
      </c>
      <c r="BS47" s="16" t="str">
        <f t="shared" si="44"/>
        <v xml:space="preserve"> </v>
      </c>
      <c r="BT47" s="16" t="str">
        <f t="shared" si="45"/>
        <v xml:space="preserve"> </v>
      </c>
      <c r="BU47" s="16" t="str">
        <f t="shared" si="46"/>
        <v xml:space="preserve"> </v>
      </c>
      <c r="BV47" s="16" t="str">
        <f t="shared" si="47"/>
        <v xml:space="preserve"> </v>
      </c>
      <c r="BW47" s="16" t="str">
        <f t="shared" si="48"/>
        <v xml:space="preserve"> </v>
      </c>
      <c r="BX47" s="16" t="str">
        <f t="shared" si="49"/>
        <v xml:space="preserve"> </v>
      </c>
      <c r="BY47" s="16" t="str">
        <f t="shared" si="50"/>
        <v xml:space="preserve"> </v>
      </c>
      <c r="BZ47" s="16" t="str">
        <f t="shared" si="51"/>
        <v xml:space="preserve"> </v>
      </c>
      <c r="CA47" s="16" t="str">
        <f t="shared" si="52"/>
        <v xml:space="preserve"> </v>
      </c>
      <c r="CB47" s="16" t="str">
        <f t="shared" si="53"/>
        <v xml:space="preserve"> </v>
      </c>
      <c r="CC47" s="13" t="str">
        <f t="shared" si="54"/>
        <v xml:space="preserve"> </v>
      </c>
      <c r="CD47" s="13" t="str">
        <f t="shared" si="55"/>
        <v>menyatakan pecahan ke bentuk desimal dan persen</v>
      </c>
      <c r="CE47" s="13" t="str">
        <f t="shared" si="56"/>
        <v xml:space="preserve"> </v>
      </c>
      <c r="CF47" s="13" t="str">
        <f t="shared" si="57"/>
        <v xml:space="preserve"> </v>
      </c>
      <c r="CG47" s="13" t="str">
        <f t="shared" si="58"/>
        <v xml:space="preserve"> </v>
      </c>
      <c r="CH47" s="13" t="str">
        <f t="shared" si="59"/>
        <v xml:space="preserve"> </v>
      </c>
      <c r="CI47" s="13" t="str">
        <f t="shared" si="60"/>
        <v xml:space="preserve"> </v>
      </c>
      <c r="CJ47" s="13" t="str">
        <f t="shared" si="61"/>
        <v xml:space="preserve"> </v>
      </c>
      <c r="CK47" s="13" t="str">
        <f t="shared" si="62"/>
        <v xml:space="preserve"> </v>
      </c>
      <c r="CL47" s="13" t="str">
        <f t="shared" si="63"/>
        <v xml:space="preserve"> </v>
      </c>
      <c r="CM47" s="13" t="str">
        <f t="shared" si="64"/>
        <v xml:space="preserve"> </v>
      </c>
      <c r="CN47" s="13" t="str">
        <f t="shared" si="65"/>
        <v xml:space="preserve"> </v>
      </c>
      <c r="CO47" s="14"/>
    </row>
    <row r="48" spans="1:93" ht="90">
      <c r="A48" s="38">
        <v>44</v>
      </c>
      <c r="B48" s="39">
        <f>SISWA!B49</f>
        <v>0</v>
      </c>
      <c r="C48" s="40">
        <f>SISWA!E49</f>
        <v>0</v>
      </c>
      <c r="D48" s="6">
        <v>99</v>
      </c>
      <c r="E48" s="7">
        <v>56</v>
      </c>
      <c r="F48" s="7">
        <v>90</v>
      </c>
      <c r="G48" s="7">
        <v>78</v>
      </c>
      <c r="H48" s="7">
        <v>65</v>
      </c>
      <c r="I48" s="6">
        <v>67</v>
      </c>
      <c r="J48" s="6">
        <v>90</v>
      </c>
      <c r="K48" s="6">
        <v>89</v>
      </c>
      <c r="L48" s="6">
        <v>87</v>
      </c>
      <c r="M48" s="7">
        <v>76</v>
      </c>
      <c r="N48" s="7">
        <v>87</v>
      </c>
      <c r="O48" s="6">
        <v>79</v>
      </c>
      <c r="P48" s="8">
        <f t="shared" si="2"/>
        <v>80.25</v>
      </c>
      <c r="Q48" s="9" t="str">
        <f t="shared" si="3"/>
        <v>B</v>
      </c>
      <c r="R48" s="29">
        <f t="shared" si="67"/>
        <v>3.96</v>
      </c>
      <c r="S48" s="29">
        <f t="shared" si="67"/>
        <v>2.2400000000000002</v>
      </c>
      <c r="T48" s="29">
        <f t="shared" si="67"/>
        <v>3.6</v>
      </c>
      <c r="U48" s="29">
        <f t="shared" si="67"/>
        <v>3.12</v>
      </c>
      <c r="V48" s="29">
        <f t="shared" si="67"/>
        <v>2.6</v>
      </c>
      <c r="W48" s="29">
        <f t="shared" si="67"/>
        <v>2.68</v>
      </c>
      <c r="X48" s="29">
        <f t="shared" si="67"/>
        <v>3.6</v>
      </c>
      <c r="Y48" s="29">
        <f t="shared" si="67"/>
        <v>3.56</v>
      </c>
      <c r="Z48" s="29">
        <f t="shared" si="67"/>
        <v>3.48</v>
      </c>
      <c r="AA48" s="29">
        <f t="shared" si="66"/>
        <v>3.04</v>
      </c>
      <c r="AB48" s="29">
        <f t="shared" si="66"/>
        <v>3.48</v>
      </c>
      <c r="AC48" s="29">
        <f t="shared" si="66"/>
        <v>3.16</v>
      </c>
      <c r="AD48" s="10"/>
      <c r="AE48" s="11" t="str">
        <f t="shared" si="5"/>
        <v>4</v>
      </c>
      <c r="AF48" s="11" t="str">
        <f t="shared" si="6"/>
        <v>0</v>
      </c>
      <c r="AG48" s="35">
        <f t="shared" si="7"/>
        <v>4</v>
      </c>
      <c r="AH48" s="35" t="str">
        <f t="shared" si="8"/>
        <v>0</v>
      </c>
      <c r="AI48" s="35" t="str">
        <f t="shared" si="9"/>
        <v>1</v>
      </c>
      <c r="AJ48" s="35">
        <f t="shared" si="10"/>
        <v>1</v>
      </c>
      <c r="AK48" s="35" t="str">
        <f t="shared" si="11"/>
        <v>0</v>
      </c>
      <c r="AL48" s="35" t="str">
        <f t="shared" si="12"/>
        <v>0</v>
      </c>
      <c r="AM48" s="35">
        <f t="shared" si="13"/>
        <v>0</v>
      </c>
      <c r="AN48" s="35" t="str">
        <f t="shared" si="14"/>
        <v>0</v>
      </c>
      <c r="AO48" s="35" t="str">
        <f t="shared" si="15"/>
        <v>0</v>
      </c>
      <c r="AP48" s="35">
        <f t="shared" si="16"/>
        <v>0</v>
      </c>
      <c r="AQ48" s="35" t="str">
        <f t="shared" si="17"/>
        <v>0</v>
      </c>
      <c r="AR48" s="35" t="str">
        <f t="shared" si="18"/>
        <v>0</v>
      </c>
      <c r="AS48" s="35">
        <f t="shared" si="19"/>
        <v>0</v>
      </c>
      <c r="AT48" s="35" t="str">
        <f t="shared" si="20"/>
        <v>0</v>
      </c>
      <c r="AU48" s="35" t="str">
        <f t="shared" si="21"/>
        <v>0</v>
      </c>
      <c r="AV48" s="35">
        <f t="shared" si="22"/>
        <v>0</v>
      </c>
      <c r="AW48" s="35" t="str">
        <f t="shared" si="23"/>
        <v>0</v>
      </c>
      <c r="AX48" s="35" t="str">
        <f t="shared" si="24"/>
        <v>0</v>
      </c>
      <c r="AY48" s="35">
        <f t="shared" si="25"/>
        <v>0</v>
      </c>
      <c r="AZ48" s="35" t="str">
        <f t="shared" si="26"/>
        <v>0</v>
      </c>
      <c r="BA48" s="35" t="str">
        <f t="shared" si="27"/>
        <v>0</v>
      </c>
      <c r="BB48" s="35">
        <f t="shared" si="28"/>
        <v>0</v>
      </c>
      <c r="BC48" s="35" t="str">
        <f t="shared" si="29"/>
        <v>0</v>
      </c>
      <c r="BD48" s="35" t="str">
        <f t="shared" si="30"/>
        <v>0</v>
      </c>
      <c r="BE48" s="35">
        <f t="shared" si="31"/>
        <v>0</v>
      </c>
      <c r="BF48" s="35" t="str">
        <f t="shared" si="32"/>
        <v>0</v>
      </c>
      <c r="BG48" s="35" t="str">
        <f t="shared" si="33"/>
        <v>0</v>
      </c>
      <c r="BH48" s="35">
        <f t="shared" si="34"/>
        <v>0</v>
      </c>
      <c r="BI48" s="35" t="str">
        <f t="shared" si="35"/>
        <v>0</v>
      </c>
      <c r="BJ48" s="35" t="str">
        <f t="shared" si="36"/>
        <v>0</v>
      </c>
      <c r="BK48" s="35">
        <f t="shared" si="37"/>
        <v>0</v>
      </c>
      <c r="BL48" s="35" t="str">
        <f t="shared" si="38"/>
        <v>0</v>
      </c>
      <c r="BM48" s="35" t="str">
        <f t="shared" si="39"/>
        <v>0</v>
      </c>
      <c r="BN48" s="35">
        <f t="shared" si="40"/>
        <v>0</v>
      </c>
      <c r="BO48" s="43" t="str">
        <f t="shared" si="41"/>
        <v xml:space="preserve">0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48" s="12"/>
      <c r="BQ48" s="15" t="str">
        <f t="shared" si="42"/>
        <v>mengemukakan kembali dengan kalimat sendiri, membuat model matematika dan memilih strategi yang efektif dalam memecahkan masalah nyata sehari-hari yang berkaitan dengan KPK dan FPB, satuan kuantitas, desimal dan persen, serta memeriksa kebenarannya</v>
      </c>
      <c r="BR48" s="16" t="str">
        <f t="shared" si="43"/>
        <v xml:space="preserve"> </v>
      </c>
      <c r="BS48" s="16" t="str">
        <f t="shared" si="44"/>
        <v xml:space="preserve"> </v>
      </c>
      <c r="BT48" s="16" t="str">
        <f t="shared" si="45"/>
        <v xml:space="preserve"> </v>
      </c>
      <c r="BU48" s="16" t="str">
        <f t="shared" si="46"/>
        <v xml:space="preserve"> </v>
      </c>
      <c r="BV48" s="16" t="str">
        <f t="shared" si="47"/>
        <v xml:space="preserve"> </v>
      </c>
      <c r="BW48" s="16" t="str">
        <f t="shared" si="48"/>
        <v xml:space="preserve"> </v>
      </c>
      <c r="BX48" s="16" t="str">
        <f t="shared" si="49"/>
        <v xml:space="preserve"> </v>
      </c>
      <c r="BY48" s="16" t="str">
        <f t="shared" si="50"/>
        <v xml:space="preserve"> </v>
      </c>
      <c r="BZ48" s="16" t="str">
        <f t="shared" si="51"/>
        <v xml:space="preserve"> </v>
      </c>
      <c r="CA48" s="16" t="str">
        <f t="shared" si="52"/>
        <v xml:space="preserve"> </v>
      </c>
      <c r="CB48" s="16" t="str">
        <f t="shared" si="53"/>
        <v xml:space="preserve"> </v>
      </c>
      <c r="CC48" s="13" t="str">
        <f t="shared" si="54"/>
        <v xml:space="preserve"> </v>
      </c>
      <c r="CD48" s="13" t="str">
        <f t="shared" si="55"/>
        <v>menyatakan pecahan ke bentuk desimal dan persen</v>
      </c>
      <c r="CE48" s="13" t="str">
        <f t="shared" si="56"/>
        <v xml:space="preserve"> </v>
      </c>
      <c r="CF48" s="13" t="str">
        <f t="shared" si="57"/>
        <v xml:space="preserve"> </v>
      </c>
      <c r="CG48" s="13" t="str">
        <f t="shared" si="58"/>
        <v xml:space="preserve"> </v>
      </c>
      <c r="CH48" s="13" t="str">
        <f t="shared" si="59"/>
        <v xml:space="preserve"> </v>
      </c>
      <c r="CI48" s="13" t="str">
        <f t="shared" si="60"/>
        <v xml:space="preserve"> </v>
      </c>
      <c r="CJ48" s="13" t="str">
        <f t="shared" si="61"/>
        <v xml:space="preserve"> </v>
      </c>
      <c r="CK48" s="13" t="str">
        <f t="shared" si="62"/>
        <v xml:space="preserve"> </v>
      </c>
      <c r="CL48" s="13" t="str">
        <f t="shared" si="63"/>
        <v xml:space="preserve"> </v>
      </c>
      <c r="CM48" s="13" t="str">
        <f t="shared" si="64"/>
        <v xml:space="preserve"> </v>
      </c>
      <c r="CN48" s="13" t="str">
        <f t="shared" si="65"/>
        <v xml:space="preserve"> </v>
      </c>
      <c r="CO48" s="14"/>
    </row>
    <row r="49" spans="1:93" ht="90">
      <c r="A49" s="38">
        <v>45</v>
      </c>
      <c r="B49" s="39">
        <f>SISWA!B50</f>
        <v>0</v>
      </c>
      <c r="C49" s="40">
        <f>SISWA!E50</f>
        <v>0</v>
      </c>
      <c r="D49" s="6">
        <v>99</v>
      </c>
      <c r="E49" s="7">
        <v>56</v>
      </c>
      <c r="F49" s="7">
        <v>90</v>
      </c>
      <c r="G49" s="7">
        <v>78</v>
      </c>
      <c r="H49" s="7">
        <v>65</v>
      </c>
      <c r="I49" s="6">
        <v>67</v>
      </c>
      <c r="J49" s="6">
        <v>90</v>
      </c>
      <c r="K49" s="6">
        <v>89</v>
      </c>
      <c r="L49" s="6">
        <v>87</v>
      </c>
      <c r="M49" s="7">
        <v>76</v>
      </c>
      <c r="N49" s="7">
        <v>87</v>
      </c>
      <c r="O49" s="6">
        <v>79</v>
      </c>
      <c r="P49" s="8">
        <f t="shared" si="2"/>
        <v>80.25</v>
      </c>
      <c r="Q49" s="9" t="str">
        <f t="shared" si="3"/>
        <v>B</v>
      </c>
      <c r="R49" s="29">
        <f t="shared" si="67"/>
        <v>3.96</v>
      </c>
      <c r="S49" s="29">
        <f t="shared" si="67"/>
        <v>2.2400000000000002</v>
      </c>
      <c r="T49" s="29">
        <f t="shared" si="67"/>
        <v>3.6</v>
      </c>
      <c r="U49" s="29">
        <f t="shared" si="67"/>
        <v>3.12</v>
      </c>
      <c r="V49" s="29">
        <f t="shared" si="67"/>
        <v>2.6</v>
      </c>
      <c r="W49" s="29">
        <f t="shared" si="67"/>
        <v>2.68</v>
      </c>
      <c r="X49" s="29">
        <f t="shared" si="67"/>
        <v>3.6</v>
      </c>
      <c r="Y49" s="29">
        <f t="shared" si="67"/>
        <v>3.56</v>
      </c>
      <c r="Z49" s="29">
        <f t="shared" si="67"/>
        <v>3.48</v>
      </c>
      <c r="AA49" s="29">
        <f t="shared" si="66"/>
        <v>3.04</v>
      </c>
      <c r="AB49" s="29">
        <f t="shared" si="66"/>
        <v>3.48</v>
      </c>
      <c r="AC49" s="29">
        <f t="shared" si="66"/>
        <v>3.16</v>
      </c>
      <c r="AD49" s="10"/>
      <c r="AE49" s="11" t="str">
        <f t="shared" si="5"/>
        <v>4</v>
      </c>
      <c r="AF49" s="11" t="str">
        <f t="shared" si="6"/>
        <v>0</v>
      </c>
      <c r="AG49" s="35">
        <f t="shared" si="7"/>
        <v>4</v>
      </c>
      <c r="AH49" s="35" t="str">
        <f t="shared" si="8"/>
        <v>0</v>
      </c>
      <c r="AI49" s="35" t="str">
        <f t="shared" si="9"/>
        <v>1</v>
      </c>
      <c r="AJ49" s="35">
        <f t="shared" si="10"/>
        <v>1</v>
      </c>
      <c r="AK49" s="35" t="str">
        <f t="shared" si="11"/>
        <v>0</v>
      </c>
      <c r="AL49" s="35" t="str">
        <f t="shared" si="12"/>
        <v>0</v>
      </c>
      <c r="AM49" s="35">
        <f t="shared" si="13"/>
        <v>0</v>
      </c>
      <c r="AN49" s="35" t="str">
        <f t="shared" si="14"/>
        <v>0</v>
      </c>
      <c r="AO49" s="35" t="str">
        <f t="shared" si="15"/>
        <v>0</v>
      </c>
      <c r="AP49" s="35">
        <f t="shared" si="16"/>
        <v>0</v>
      </c>
      <c r="AQ49" s="35" t="str">
        <f t="shared" si="17"/>
        <v>0</v>
      </c>
      <c r="AR49" s="35" t="str">
        <f t="shared" si="18"/>
        <v>0</v>
      </c>
      <c r="AS49" s="35">
        <f t="shared" si="19"/>
        <v>0</v>
      </c>
      <c r="AT49" s="35" t="str">
        <f t="shared" si="20"/>
        <v>0</v>
      </c>
      <c r="AU49" s="35" t="str">
        <f t="shared" si="21"/>
        <v>0</v>
      </c>
      <c r="AV49" s="35">
        <f t="shared" si="22"/>
        <v>0</v>
      </c>
      <c r="AW49" s="35" t="str">
        <f t="shared" si="23"/>
        <v>0</v>
      </c>
      <c r="AX49" s="35" t="str">
        <f t="shared" si="24"/>
        <v>0</v>
      </c>
      <c r="AY49" s="35">
        <f t="shared" si="25"/>
        <v>0</v>
      </c>
      <c r="AZ49" s="35" t="str">
        <f t="shared" si="26"/>
        <v>0</v>
      </c>
      <c r="BA49" s="35" t="str">
        <f t="shared" si="27"/>
        <v>0</v>
      </c>
      <c r="BB49" s="35">
        <f t="shared" si="28"/>
        <v>0</v>
      </c>
      <c r="BC49" s="35" t="str">
        <f t="shared" si="29"/>
        <v>0</v>
      </c>
      <c r="BD49" s="35" t="str">
        <f t="shared" si="30"/>
        <v>0</v>
      </c>
      <c r="BE49" s="35">
        <f t="shared" si="31"/>
        <v>0</v>
      </c>
      <c r="BF49" s="35" t="str">
        <f t="shared" si="32"/>
        <v>0</v>
      </c>
      <c r="BG49" s="35" t="str">
        <f t="shared" si="33"/>
        <v>0</v>
      </c>
      <c r="BH49" s="35">
        <f t="shared" si="34"/>
        <v>0</v>
      </c>
      <c r="BI49" s="35" t="str">
        <f t="shared" si="35"/>
        <v>0</v>
      </c>
      <c r="BJ49" s="35" t="str">
        <f t="shared" si="36"/>
        <v>0</v>
      </c>
      <c r="BK49" s="35">
        <f t="shared" si="37"/>
        <v>0</v>
      </c>
      <c r="BL49" s="35" t="str">
        <f t="shared" si="38"/>
        <v>0</v>
      </c>
      <c r="BM49" s="35" t="str">
        <f t="shared" si="39"/>
        <v>0</v>
      </c>
      <c r="BN49" s="35">
        <f t="shared" si="40"/>
        <v>0</v>
      </c>
      <c r="BO49" s="43" t="str">
        <f t="shared" si="41"/>
        <v xml:space="preserve">0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49" s="12"/>
      <c r="BQ49" s="15" t="str">
        <f t="shared" si="42"/>
        <v>mengemukakan kembali dengan kalimat sendiri, membuat model matematika dan memilih strategi yang efektif dalam memecahkan masalah nyata sehari-hari yang berkaitan dengan KPK dan FPB, satuan kuantitas, desimal dan persen, serta memeriksa kebenarannya</v>
      </c>
      <c r="BR49" s="16" t="str">
        <f t="shared" si="43"/>
        <v xml:space="preserve"> </v>
      </c>
      <c r="BS49" s="16" t="str">
        <f t="shared" si="44"/>
        <v xml:space="preserve"> </v>
      </c>
      <c r="BT49" s="16" t="str">
        <f t="shared" si="45"/>
        <v xml:space="preserve"> </v>
      </c>
      <c r="BU49" s="16" t="str">
        <f t="shared" si="46"/>
        <v xml:space="preserve"> </v>
      </c>
      <c r="BV49" s="16" t="str">
        <f t="shared" si="47"/>
        <v xml:space="preserve"> </v>
      </c>
      <c r="BW49" s="16" t="str">
        <f t="shared" si="48"/>
        <v xml:space="preserve"> </v>
      </c>
      <c r="BX49" s="16" t="str">
        <f t="shared" si="49"/>
        <v xml:space="preserve"> </v>
      </c>
      <c r="BY49" s="16" t="str">
        <f t="shared" si="50"/>
        <v xml:space="preserve"> </v>
      </c>
      <c r="BZ49" s="16" t="str">
        <f t="shared" si="51"/>
        <v xml:space="preserve"> </v>
      </c>
      <c r="CA49" s="16" t="str">
        <f t="shared" si="52"/>
        <v xml:space="preserve"> </v>
      </c>
      <c r="CB49" s="16" t="str">
        <f t="shared" si="53"/>
        <v xml:space="preserve"> </v>
      </c>
      <c r="CC49" s="13" t="str">
        <f t="shared" si="54"/>
        <v xml:space="preserve"> </v>
      </c>
      <c r="CD49" s="13" t="str">
        <f t="shared" si="55"/>
        <v>menyatakan pecahan ke bentuk desimal dan persen</v>
      </c>
      <c r="CE49" s="13" t="str">
        <f t="shared" si="56"/>
        <v xml:space="preserve"> </v>
      </c>
      <c r="CF49" s="13" t="str">
        <f t="shared" si="57"/>
        <v xml:space="preserve"> </v>
      </c>
      <c r="CG49" s="13" t="str">
        <f t="shared" si="58"/>
        <v xml:space="preserve"> </v>
      </c>
      <c r="CH49" s="13" t="str">
        <f t="shared" si="59"/>
        <v xml:space="preserve"> </v>
      </c>
      <c r="CI49" s="13" t="str">
        <f t="shared" si="60"/>
        <v xml:space="preserve"> </v>
      </c>
      <c r="CJ49" s="13" t="str">
        <f t="shared" si="61"/>
        <v xml:space="preserve"> </v>
      </c>
      <c r="CK49" s="13" t="str">
        <f t="shared" si="62"/>
        <v xml:space="preserve"> </v>
      </c>
      <c r="CL49" s="13" t="str">
        <f t="shared" si="63"/>
        <v xml:space="preserve"> </v>
      </c>
      <c r="CM49" s="13" t="str">
        <f t="shared" si="64"/>
        <v xml:space="preserve"> </v>
      </c>
      <c r="CN49" s="13" t="str">
        <f t="shared" si="65"/>
        <v xml:space="preserve"> </v>
      </c>
      <c r="CO49" s="14"/>
    </row>
    <row r="50" spans="1:93" ht="90">
      <c r="A50" s="38">
        <v>46</v>
      </c>
      <c r="B50" s="39">
        <f>SISWA!B51</f>
        <v>0</v>
      </c>
      <c r="C50" s="40">
        <f>SISWA!E51</f>
        <v>0</v>
      </c>
      <c r="D50" s="6">
        <v>99</v>
      </c>
      <c r="E50" s="7">
        <v>56</v>
      </c>
      <c r="F50" s="7">
        <v>90</v>
      </c>
      <c r="G50" s="7">
        <v>78</v>
      </c>
      <c r="H50" s="7">
        <v>65</v>
      </c>
      <c r="I50" s="6">
        <v>67</v>
      </c>
      <c r="J50" s="6">
        <v>90</v>
      </c>
      <c r="K50" s="6">
        <v>89</v>
      </c>
      <c r="L50" s="6">
        <v>87</v>
      </c>
      <c r="M50" s="7">
        <v>76</v>
      </c>
      <c r="N50" s="7">
        <v>87</v>
      </c>
      <c r="O50" s="6">
        <v>79</v>
      </c>
      <c r="P50" s="8">
        <f t="shared" si="2"/>
        <v>80.25</v>
      </c>
      <c r="Q50" s="9" t="str">
        <f t="shared" si="3"/>
        <v>B</v>
      </c>
      <c r="R50" s="29">
        <f t="shared" si="67"/>
        <v>3.96</v>
      </c>
      <c r="S50" s="29">
        <f t="shared" si="67"/>
        <v>2.2400000000000002</v>
      </c>
      <c r="T50" s="29">
        <f t="shared" si="67"/>
        <v>3.6</v>
      </c>
      <c r="U50" s="29">
        <f t="shared" si="67"/>
        <v>3.12</v>
      </c>
      <c r="V50" s="29">
        <f t="shared" si="67"/>
        <v>2.6</v>
      </c>
      <c r="W50" s="29">
        <f t="shared" si="67"/>
        <v>2.68</v>
      </c>
      <c r="X50" s="29">
        <f t="shared" si="67"/>
        <v>3.6</v>
      </c>
      <c r="Y50" s="29">
        <f t="shared" si="67"/>
        <v>3.56</v>
      </c>
      <c r="Z50" s="29">
        <f t="shared" si="67"/>
        <v>3.48</v>
      </c>
      <c r="AA50" s="29">
        <f t="shared" si="66"/>
        <v>3.04</v>
      </c>
      <c r="AB50" s="29">
        <f t="shared" si="66"/>
        <v>3.48</v>
      </c>
      <c r="AC50" s="29">
        <f t="shared" si="66"/>
        <v>3.16</v>
      </c>
      <c r="AD50" s="10"/>
      <c r="AE50" s="11" t="str">
        <f t="shared" si="5"/>
        <v>4</v>
      </c>
      <c r="AF50" s="11" t="str">
        <f t="shared" si="6"/>
        <v>0</v>
      </c>
      <c r="AG50" s="35">
        <f t="shared" si="7"/>
        <v>4</v>
      </c>
      <c r="AH50" s="35" t="str">
        <f t="shared" si="8"/>
        <v>0</v>
      </c>
      <c r="AI50" s="35" t="str">
        <f t="shared" si="9"/>
        <v>1</v>
      </c>
      <c r="AJ50" s="35">
        <f t="shared" si="10"/>
        <v>1</v>
      </c>
      <c r="AK50" s="35" t="str">
        <f t="shared" si="11"/>
        <v>0</v>
      </c>
      <c r="AL50" s="35" t="str">
        <f t="shared" si="12"/>
        <v>0</v>
      </c>
      <c r="AM50" s="35">
        <f t="shared" si="13"/>
        <v>0</v>
      </c>
      <c r="AN50" s="35" t="str">
        <f t="shared" si="14"/>
        <v>0</v>
      </c>
      <c r="AO50" s="35" t="str">
        <f t="shared" si="15"/>
        <v>0</v>
      </c>
      <c r="AP50" s="35">
        <f t="shared" si="16"/>
        <v>0</v>
      </c>
      <c r="AQ50" s="35" t="str">
        <f t="shared" si="17"/>
        <v>0</v>
      </c>
      <c r="AR50" s="35" t="str">
        <f t="shared" si="18"/>
        <v>0</v>
      </c>
      <c r="AS50" s="35">
        <f t="shared" si="19"/>
        <v>0</v>
      </c>
      <c r="AT50" s="35" t="str">
        <f t="shared" si="20"/>
        <v>0</v>
      </c>
      <c r="AU50" s="35" t="str">
        <f t="shared" si="21"/>
        <v>0</v>
      </c>
      <c r="AV50" s="35">
        <f t="shared" si="22"/>
        <v>0</v>
      </c>
      <c r="AW50" s="35" t="str">
        <f t="shared" si="23"/>
        <v>0</v>
      </c>
      <c r="AX50" s="35" t="str">
        <f t="shared" si="24"/>
        <v>0</v>
      </c>
      <c r="AY50" s="35">
        <f t="shared" si="25"/>
        <v>0</v>
      </c>
      <c r="AZ50" s="35" t="str">
        <f t="shared" si="26"/>
        <v>0</v>
      </c>
      <c r="BA50" s="35" t="str">
        <f t="shared" si="27"/>
        <v>0</v>
      </c>
      <c r="BB50" s="35">
        <f t="shared" si="28"/>
        <v>0</v>
      </c>
      <c r="BC50" s="35" t="str">
        <f t="shared" si="29"/>
        <v>0</v>
      </c>
      <c r="BD50" s="35" t="str">
        <f t="shared" si="30"/>
        <v>0</v>
      </c>
      <c r="BE50" s="35">
        <f t="shared" si="31"/>
        <v>0</v>
      </c>
      <c r="BF50" s="35" t="str">
        <f t="shared" si="32"/>
        <v>0</v>
      </c>
      <c r="BG50" s="35" t="str">
        <f t="shared" si="33"/>
        <v>0</v>
      </c>
      <c r="BH50" s="35">
        <f t="shared" si="34"/>
        <v>0</v>
      </c>
      <c r="BI50" s="35" t="str">
        <f t="shared" si="35"/>
        <v>0</v>
      </c>
      <c r="BJ50" s="35" t="str">
        <f t="shared" si="36"/>
        <v>0</v>
      </c>
      <c r="BK50" s="35">
        <f t="shared" si="37"/>
        <v>0</v>
      </c>
      <c r="BL50" s="35" t="str">
        <f t="shared" si="38"/>
        <v>0</v>
      </c>
      <c r="BM50" s="35" t="str">
        <f t="shared" si="39"/>
        <v>0</v>
      </c>
      <c r="BN50" s="35">
        <f t="shared" si="40"/>
        <v>0</v>
      </c>
      <c r="BO50" s="43" t="str">
        <f t="shared" si="41"/>
        <v xml:space="preserve">0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50" s="12"/>
      <c r="BQ50" s="15" t="str">
        <f t="shared" si="42"/>
        <v>mengemukakan kembali dengan kalimat sendiri, membuat model matematika dan memilih strategi yang efektif dalam memecahkan masalah nyata sehari-hari yang berkaitan dengan KPK dan FPB, satuan kuantitas, desimal dan persen, serta memeriksa kebenarannya</v>
      </c>
      <c r="BR50" s="16" t="str">
        <f t="shared" si="43"/>
        <v xml:space="preserve"> </v>
      </c>
      <c r="BS50" s="16" t="str">
        <f t="shared" si="44"/>
        <v xml:space="preserve"> </v>
      </c>
      <c r="BT50" s="16" t="str">
        <f t="shared" si="45"/>
        <v xml:space="preserve"> </v>
      </c>
      <c r="BU50" s="16" t="str">
        <f t="shared" si="46"/>
        <v xml:space="preserve"> </v>
      </c>
      <c r="BV50" s="16" t="str">
        <f t="shared" si="47"/>
        <v xml:space="preserve"> </v>
      </c>
      <c r="BW50" s="16" t="str">
        <f t="shared" si="48"/>
        <v xml:space="preserve"> </v>
      </c>
      <c r="BX50" s="16" t="str">
        <f t="shared" si="49"/>
        <v xml:space="preserve"> </v>
      </c>
      <c r="BY50" s="16" t="str">
        <f t="shared" si="50"/>
        <v xml:space="preserve"> </v>
      </c>
      <c r="BZ50" s="16" t="str">
        <f t="shared" si="51"/>
        <v xml:space="preserve"> </v>
      </c>
      <c r="CA50" s="16" t="str">
        <f t="shared" si="52"/>
        <v xml:space="preserve"> </v>
      </c>
      <c r="CB50" s="16" t="str">
        <f t="shared" si="53"/>
        <v xml:space="preserve"> </v>
      </c>
      <c r="CC50" s="13" t="str">
        <f t="shared" si="54"/>
        <v xml:space="preserve"> </v>
      </c>
      <c r="CD50" s="13" t="str">
        <f t="shared" si="55"/>
        <v>menyatakan pecahan ke bentuk desimal dan persen</v>
      </c>
      <c r="CE50" s="13" t="str">
        <f t="shared" si="56"/>
        <v xml:space="preserve"> </v>
      </c>
      <c r="CF50" s="13" t="str">
        <f t="shared" si="57"/>
        <v xml:space="preserve"> </v>
      </c>
      <c r="CG50" s="13" t="str">
        <f t="shared" si="58"/>
        <v xml:space="preserve"> </v>
      </c>
      <c r="CH50" s="13" t="str">
        <f t="shared" si="59"/>
        <v xml:space="preserve"> </v>
      </c>
      <c r="CI50" s="13" t="str">
        <f t="shared" si="60"/>
        <v xml:space="preserve"> </v>
      </c>
      <c r="CJ50" s="13" t="str">
        <f t="shared" si="61"/>
        <v xml:space="preserve"> </v>
      </c>
      <c r="CK50" s="13" t="str">
        <f t="shared" si="62"/>
        <v xml:space="preserve"> </v>
      </c>
      <c r="CL50" s="13" t="str">
        <f t="shared" si="63"/>
        <v xml:space="preserve"> </v>
      </c>
      <c r="CM50" s="13" t="str">
        <f t="shared" si="64"/>
        <v xml:space="preserve"> </v>
      </c>
      <c r="CN50" s="13" t="str">
        <f t="shared" si="65"/>
        <v xml:space="preserve"> </v>
      </c>
      <c r="CO50" s="14"/>
    </row>
    <row r="51" spans="1:93" ht="90">
      <c r="A51" s="38">
        <v>47</v>
      </c>
      <c r="B51" s="39">
        <f>SISWA!B52</f>
        <v>0</v>
      </c>
      <c r="C51" s="40">
        <f>SISWA!E52</f>
        <v>0</v>
      </c>
      <c r="D51" s="6">
        <v>99</v>
      </c>
      <c r="E51" s="7">
        <v>56</v>
      </c>
      <c r="F51" s="7">
        <v>90</v>
      </c>
      <c r="G51" s="7">
        <v>78</v>
      </c>
      <c r="H51" s="7">
        <v>65</v>
      </c>
      <c r="I51" s="6">
        <v>67</v>
      </c>
      <c r="J51" s="6">
        <v>90</v>
      </c>
      <c r="K51" s="6">
        <v>89</v>
      </c>
      <c r="L51" s="6">
        <v>87</v>
      </c>
      <c r="M51" s="7">
        <v>76</v>
      </c>
      <c r="N51" s="7">
        <v>87</v>
      </c>
      <c r="O51" s="6">
        <v>79</v>
      </c>
      <c r="P51" s="8">
        <f t="shared" si="2"/>
        <v>80.25</v>
      </c>
      <c r="Q51" s="9" t="str">
        <f t="shared" si="3"/>
        <v>B</v>
      </c>
      <c r="R51" s="29">
        <f t="shared" si="67"/>
        <v>3.96</v>
      </c>
      <c r="S51" s="29">
        <f t="shared" si="67"/>
        <v>2.2400000000000002</v>
      </c>
      <c r="T51" s="29">
        <f t="shared" si="67"/>
        <v>3.6</v>
      </c>
      <c r="U51" s="29">
        <f t="shared" si="67"/>
        <v>3.12</v>
      </c>
      <c r="V51" s="29">
        <f t="shared" si="67"/>
        <v>2.6</v>
      </c>
      <c r="W51" s="29">
        <f t="shared" si="67"/>
        <v>2.68</v>
      </c>
      <c r="X51" s="29">
        <f t="shared" si="67"/>
        <v>3.6</v>
      </c>
      <c r="Y51" s="29">
        <f t="shared" si="67"/>
        <v>3.56</v>
      </c>
      <c r="Z51" s="29">
        <f t="shared" si="67"/>
        <v>3.48</v>
      </c>
      <c r="AA51" s="29">
        <f t="shared" si="66"/>
        <v>3.04</v>
      </c>
      <c r="AB51" s="29">
        <f t="shared" si="66"/>
        <v>3.48</v>
      </c>
      <c r="AC51" s="29">
        <f t="shared" si="66"/>
        <v>3.16</v>
      </c>
      <c r="AD51" s="10"/>
      <c r="AE51" s="11" t="str">
        <f t="shared" si="5"/>
        <v>4</v>
      </c>
      <c r="AF51" s="11" t="str">
        <f t="shared" si="6"/>
        <v>0</v>
      </c>
      <c r="AG51" s="35">
        <f t="shared" si="7"/>
        <v>4</v>
      </c>
      <c r="AH51" s="35" t="str">
        <f t="shared" si="8"/>
        <v>0</v>
      </c>
      <c r="AI51" s="35" t="str">
        <f t="shared" si="9"/>
        <v>1</v>
      </c>
      <c r="AJ51" s="35">
        <f t="shared" si="10"/>
        <v>1</v>
      </c>
      <c r="AK51" s="35" t="str">
        <f t="shared" si="11"/>
        <v>0</v>
      </c>
      <c r="AL51" s="35" t="str">
        <f t="shared" si="12"/>
        <v>0</v>
      </c>
      <c r="AM51" s="35">
        <f t="shared" si="13"/>
        <v>0</v>
      </c>
      <c r="AN51" s="35" t="str">
        <f t="shared" si="14"/>
        <v>0</v>
      </c>
      <c r="AO51" s="35" t="str">
        <f t="shared" si="15"/>
        <v>0</v>
      </c>
      <c r="AP51" s="35">
        <f t="shared" si="16"/>
        <v>0</v>
      </c>
      <c r="AQ51" s="35" t="str">
        <f t="shared" si="17"/>
        <v>0</v>
      </c>
      <c r="AR51" s="35" t="str">
        <f t="shared" si="18"/>
        <v>0</v>
      </c>
      <c r="AS51" s="35">
        <f t="shared" si="19"/>
        <v>0</v>
      </c>
      <c r="AT51" s="35" t="str">
        <f t="shared" si="20"/>
        <v>0</v>
      </c>
      <c r="AU51" s="35" t="str">
        <f t="shared" si="21"/>
        <v>0</v>
      </c>
      <c r="AV51" s="35">
        <f t="shared" si="22"/>
        <v>0</v>
      </c>
      <c r="AW51" s="35" t="str">
        <f t="shared" si="23"/>
        <v>0</v>
      </c>
      <c r="AX51" s="35" t="str">
        <f t="shared" si="24"/>
        <v>0</v>
      </c>
      <c r="AY51" s="35">
        <f t="shared" si="25"/>
        <v>0</v>
      </c>
      <c r="AZ51" s="35" t="str">
        <f t="shared" si="26"/>
        <v>0</v>
      </c>
      <c r="BA51" s="35" t="str">
        <f t="shared" si="27"/>
        <v>0</v>
      </c>
      <c r="BB51" s="35">
        <f t="shared" si="28"/>
        <v>0</v>
      </c>
      <c r="BC51" s="35" t="str">
        <f t="shared" si="29"/>
        <v>0</v>
      </c>
      <c r="BD51" s="35" t="str">
        <f t="shared" si="30"/>
        <v>0</v>
      </c>
      <c r="BE51" s="35">
        <f t="shared" si="31"/>
        <v>0</v>
      </c>
      <c r="BF51" s="35" t="str">
        <f t="shared" si="32"/>
        <v>0</v>
      </c>
      <c r="BG51" s="35" t="str">
        <f t="shared" si="33"/>
        <v>0</v>
      </c>
      <c r="BH51" s="35">
        <f t="shared" si="34"/>
        <v>0</v>
      </c>
      <c r="BI51" s="35" t="str">
        <f t="shared" si="35"/>
        <v>0</v>
      </c>
      <c r="BJ51" s="35" t="str">
        <f t="shared" si="36"/>
        <v>0</v>
      </c>
      <c r="BK51" s="35">
        <f t="shared" si="37"/>
        <v>0</v>
      </c>
      <c r="BL51" s="35" t="str">
        <f t="shared" si="38"/>
        <v>0</v>
      </c>
      <c r="BM51" s="35" t="str">
        <f t="shared" si="39"/>
        <v>0</v>
      </c>
      <c r="BN51" s="35">
        <f t="shared" si="40"/>
        <v>0</v>
      </c>
      <c r="BO51" s="43" t="str">
        <f t="shared" si="41"/>
        <v xml:space="preserve">0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51" s="12"/>
      <c r="BQ51" s="15" t="str">
        <f t="shared" si="42"/>
        <v>mengemukakan kembali dengan kalimat sendiri, membuat model matematika dan memilih strategi yang efektif dalam memecahkan masalah nyata sehari-hari yang berkaitan dengan KPK dan FPB, satuan kuantitas, desimal dan persen, serta memeriksa kebenarannya</v>
      </c>
      <c r="BR51" s="16" t="str">
        <f t="shared" si="43"/>
        <v xml:space="preserve"> </v>
      </c>
      <c r="BS51" s="16" t="str">
        <f t="shared" si="44"/>
        <v xml:space="preserve"> </v>
      </c>
      <c r="BT51" s="16" t="str">
        <f t="shared" si="45"/>
        <v xml:space="preserve"> </v>
      </c>
      <c r="BU51" s="16" t="str">
        <f t="shared" si="46"/>
        <v xml:space="preserve"> </v>
      </c>
      <c r="BV51" s="16" t="str">
        <f t="shared" si="47"/>
        <v xml:space="preserve"> </v>
      </c>
      <c r="BW51" s="16" t="str">
        <f t="shared" si="48"/>
        <v xml:space="preserve"> </v>
      </c>
      <c r="BX51" s="16" t="str">
        <f t="shared" si="49"/>
        <v xml:space="preserve"> </v>
      </c>
      <c r="BY51" s="16" t="str">
        <f t="shared" si="50"/>
        <v xml:space="preserve"> </v>
      </c>
      <c r="BZ51" s="16" t="str">
        <f t="shared" si="51"/>
        <v xml:space="preserve"> </v>
      </c>
      <c r="CA51" s="16" t="str">
        <f t="shared" si="52"/>
        <v xml:space="preserve"> </v>
      </c>
      <c r="CB51" s="16" t="str">
        <f t="shared" si="53"/>
        <v xml:space="preserve"> </v>
      </c>
      <c r="CC51" s="13" t="str">
        <f t="shared" si="54"/>
        <v xml:space="preserve"> </v>
      </c>
      <c r="CD51" s="13" t="str">
        <f t="shared" si="55"/>
        <v>menyatakan pecahan ke bentuk desimal dan persen</v>
      </c>
      <c r="CE51" s="13" t="str">
        <f t="shared" si="56"/>
        <v xml:space="preserve"> </v>
      </c>
      <c r="CF51" s="13" t="str">
        <f t="shared" si="57"/>
        <v xml:space="preserve"> </v>
      </c>
      <c r="CG51" s="13" t="str">
        <f t="shared" si="58"/>
        <v xml:space="preserve"> </v>
      </c>
      <c r="CH51" s="13" t="str">
        <f t="shared" si="59"/>
        <v xml:space="preserve"> </v>
      </c>
      <c r="CI51" s="13" t="str">
        <f t="shared" si="60"/>
        <v xml:space="preserve"> </v>
      </c>
      <c r="CJ51" s="13" t="str">
        <f t="shared" si="61"/>
        <v xml:space="preserve"> </v>
      </c>
      <c r="CK51" s="13" t="str">
        <f t="shared" si="62"/>
        <v xml:space="preserve"> </v>
      </c>
      <c r="CL51" s="13" t="str">
        <f t="shared" si="63"/>
        <v xml:space="preserve"> </v>
      </c>
      <c r="CM51" s="13" t="str">
        <f t="shared" si="64"/>
        <v xml:space="preserve"> </v>
      </c>
      <c r="CN51" s="13" t="str">
        <f t="shared" si="65"/>
        <v xml:space="preserve"> </v>
      </c>
      <c r="CO51" s="14"/>
    </row>
    <row r="52" spans="1:93" ht="90">
      <c r="A52" s="38">
        <v>48</v>
      </c>
      <c r="B52" s="39">
        <f>SISWA!B53</f>
        <v>0</v>
      </c>
      <c r="C52" s="40">
        <f>SISWA!E53</f>
        <v>0</v>
      </c>
      <c r="D52" s="6">
        <v>99</v>
      </c>
      <c r="E52" s="7">
        <v>56</v>
      </c>
      <c r="F52" s="7">
        <v>90</v>
      </c>
      <c r="G52" s="7">
        <v>78</v>
      </c>
      <c r="H52" s="7">
        <v>65</v>
      </c>
      <c r="I52" s="6">
        <v>67</v>
      </c>
      <c r="J52" s="6">
        <v>90</v>
      </c>
      <c r="K52" s="6">
        <v>89</v>
      </c>
      <c r="L52" s="6">
        <v>87</v>
      </c>
      <c r="M52" s="7">
        <v>76</v>
      </c>
      <c r="N52" s="7">
        <v>87</v>
      </c>
      <c r="O52" s="6">
        <v>79</v>
      </c>
      <c r="P52" s="8">
        <f t="shared" si="2"/>
        <v>80.25</v>
      </c>
      <c r="Q52" s="9" t="str">
        <f t="shared" si="3"/>
        <v>B</v>
      </c>
      <c r="R52" s="29">
        <f t="shared" si="67"/>
        <v>3.96</v>
      </c>
      <c r="S52" s="29">
        <f t="shared" si="67"/>
        <v>2.2400000000000002</v>
      </c>
      <c r="T52" s="29">
        <f t="shared" si="67"/>
        <v>3.6</v>
      </c>
      <c r="U52" s="29">
        <f t="shared" si="67"/>
        <v>3.12</v>
      </c>
      <c r="V52" s="29">
        <f t="shared" si="67"/>
        <v>2.6</v>
      </c>
      <c r="W52" s="29">
        <f t="shared" si="67"/>
        <v>2.68</v>
      </c>
      <c r="X52" s="29">
        <f t="shared" si="67"/>
        <v>3.6</v>
      </c>
      <c r="Y52" s="29">
        <f t="shared" si="67"/>
        <v>3.56</v>
      </c>
      <c r="Z52" s="29">
        <f t="shared" si="67"/>
        <v>3.48</v>
      </c>
      <c r="AA52" s="29">
        <f t="shared" si="66"/>
        <v>3.04</v>
      </c>
      <c r="AB52" s="29">
        <f t="shared" si="66"/>
        <v>3.48</v>
      </c>
      <c r="AC52" s="29">
        <f t="shared" si="66"/>
        <v>3.16</v>
      </c>
      <c r="AD52" s="10"/>
      <c r="AE52" s="11" t="str">
        <f t="shared" si="5"/>
        <v>4</v>
      </c>
      <c r="AF52" s="11" t="str">
        <f t="shared" si="6"/>
        <v>0</v>
      </c>
      <c r="AG52" s="35">
        <f t="shared" si="7"/>
        <v>4</v>
      </c>
      <c r="AH52" s="35" t="str">
        <f t="shared" si="8"/>
        <v>0</v>
      </c>
      <c r="AI52" s="35" t="str">
        <f t="shared" si="9"/>
        <v>1</v>
      </c>
      <c r="AJ52" s="35">
        <f t="shared" si="10"/>
        <v>1</v>
      </c>
      <c r="AK52" s="35" t="str">
        <f t="shared" si="11"/>
        <v>0</v>
      </c>
      <c r="AL52" s="35" t="str">
        <f t="shared" si="12"/>
        <v>0</v>
      </c>
      <c r="AM52" s="35">
        <f t="shared" si="13"/>
        <v>0</v>
      </c>
      <c r="AN52" s="35" t="str">
        <f t="shared" si="14"/>
        <v>0</v>
      </c>
      <c r="AO52" s="35" t="str">
        <f t="shared" si="15"/>
        <v>0</v>
      </c>
      <c r="AP52" s="35">
        <f t="shared" si="16"/>
        <v>0</v>
      </c>
      <c r="AQ52" s="35" t="str">
        <f t="shared" si="17"/>
        <v>0</v>
      </c>
      <c r="AR52" s="35" t="str">
        <f t="shared" si="18"/>
        <v>0</v>
      </c>
      <c r="AS52" s="35">
        <f t="shared" si="19"/>
        <v>0</v>
      </c>
      <c r="AT52" s="35" t="str">
        <f t="shared" si="20"/>
        <v>0</v>
      </c>
      <c r="AU52" s="35" t="str">
        <f t="shared" si="21"/>
        <v>0</v>
      </c>
      <c r="AV52" s="35">
        <f t="shared" si="22"/>
        <v>0</v>
      </c>
      <c r="AW52" s="35" t="str">
        <f t="shared" si="23"/>
        <v>0</v>
      </c>
      <c r="AX52" s="35" t="str">
        <f t="shared" si="24"/>
        <v>0</v>
      </c>
      <c r="AY52" s="35">
        <f t="shared" si="25"/>
        <v>0</v>
      </c>
      <c r="AZ52" s="35" t="str">
        <f t="shared" si="26"/>
        <v>0</v>
      </c>
      <c r="BA52" s="35" t="str">
        <f t="shared" si="27"/>
        <v>0</v>
      </c>
      <c r="BB52" s="35">
        <f t="shared" si="28"/>
        <v>0</v>
      </c>
      <c r="BC52" s="35" t="str">
        <f t="shared" si="29"/>
        <v>0</v>
      </c>
      <c r="BD52" s="35" t="str">
        <f t="shared" si="30"/>
        <v>0</v>
      </c>
      <c r="BE52" s="35">
        <f t="shared" si="31"/>
        <v>0</v>
      </c>
      <c r="BF52" s="35" t="str">
        <f t="shared" si="32"/>
        <v>0</v>
      </c>
      <c r="BG52" s="35" t="str">
        <f t="shared" si="33"/>
        <v>0</v>
      </c>
      <c r="BH52" s="35">
        <f t="shared" si="34"/>
        <v>0</v>
      </c>
      <c r="BI52" s="35" t="str">
        <f t="shared" si="35"/>
        <v>0</v>
      </c>
      <c r="BJ52" s="35" t="str">
        <f t="shared" si="36"/>
        <v>0</v>
      </c>
      <c r="BK52" s="35">
        <f t="shared" si="37"/>
        <v>0</v>
      </c>
      <c r="BL52" s="35" t="str">
        <f t="shared" si="38"/>
        <v>0</v>
      </c>
      <c r="BM52" s="35" t="str">
        <f t="shared" si="39"/>
        <v>0</v>
      </c>
      <c r="BN52" s="35">
        <f t="shared" si="40"/>
        <v>0</v>
      </c>
      <c r="BO52" s="43" t="str">
        <f t="shared" si="41"/>
        <v xml:space="preserve">0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52" s="12"/>
      <c r="BQ52" s="15" t="str">
        <f t="shared" si="42"/>
        <v>mengemukakan kembali dengan kalimat sendiri, membuat model matematika dan memilih strategi yang efektif dalam memecahkan masalah nyata sehari-hari yang berkaitan dengan KPK dan FPB, satuan kuantitas, desimal dan persen, serta memeriksa kebenarannya</v>
      </c>
      <c r="BR52" s="16" t="str">
        <f t="shared" si="43"/>
        <v xml:space="preserve"> </v>
      </c>
      <c r="BS52" s="16" t="str">
        <f t="shared" si="44"/>
        <v xml:space="preserve"> </v>
      </c>
      <c r="BT52" s="16" t="str">
        <f t="shared" si="45"/>
        <v xml:space="preserve"> </v>
      </c>
      <c r="BU52" s="16" t="str">
        <f t="shared" si="46"/>
        <v xml:space="preserve"> </v>
      </c>
      <c r="BV52" s="16" t="str">
        <f t="shared" si="47"/>
        <v xml:space="preserve"> </v>
      </c>
      <c r="BW52" s="16" t="str">
        <f t="shared" si="48"/>
        <v xml:space="preserve"> </v>
      </c>
      <c r="BX52" s="16" t="str">
        <f t="shared" si="49"/>
        <v xml:space="preserve"> </v>
      </c>
      <c r="BY52" s="16" t="str">
        <f t="shared" si="50"/>
        <v xml:space="preserve"> </v>
      </c>
      <c r="BZ52" s="16" t="str">
        <f t="shared" si="51"/>
        <v xml:space="preserve"> </v>
      </c>
      <c r="CA52" s="16" t="str">
        <f t="shared" si="52"/>
        <v xml:space="preserve"> </v>
      </c>
      <c r="CB52" s="16" t="str">
        <f t="shared" si="53"/>
        <v xml:space="preserve"> </v>
      </c>
      <c r="CC52" s="13" t="str">
        <f t="shared" si="54"/>
        <v xml:space="preserve"> </v>
      </c>
      <c r="CD52" s="13" t="str">
        <f t="shared" si="55"/>
        <v>menyatakan pecahan ke bentuk desimal dan persen</v>
      </c>
      <c r="CE52" s="13" t="str">
        <f t="shared" si="56"/>
        <v xml:space="preserve"> </v>
      </c>
      <c r="CF52" s="13" t="str">
        <f t="shared" si="57"/>
        <v xml:space="preserve"> </v>
      </c>
      <c r="CG52" s="13" t="str">
        <f t="shared" si="58"/>
        <v xml:space="preserve"> </v>
      </c>
      <c r="CH52" s="13" t="str">
        <f t="shared" si="59"/>
        <v xml:space="preserve"> </v>
      </c>
      <c r="CI52" s="13" t="str">
        <f t="shared" si="60"/>
        <v xml:space="preserve"> </v>
      </c>
      <c r="CJ52" s="13" t="str">
        <f t="shared" si="61"/>
        <v xml:space="preserve"> </v>
      </c>
      <c r="CK52" s="13" t="str">
        <f t="shared" si="62"/>
        <v xml:space="preserve"> </v>
      </c>
      <c r="CL52" s="13" t="str">
        <f t="shared" si="63"/>
        <v xml:space="preserve"> </v>
      </c>
      <c r="CM52" s="13" t="str">
        <f t="shared" si="64"/>
        <v xml:space="preserve"> </v>
      </c>
      <c r="CN52" s="13" t="str">
        <f t="shared" si="65"/>
        <v xml:space="preserve"> </v>
      </c>
      <c r="CO52" s="14"/>
    </row>
    <row r="53" spans="1:93" ht="90">
      <c r="A53" s="38">
        <v>49</v>
      </c>
      <c r="B53" s="39">
        <f>SISWA!B54</f>
        <v>0</v>
      </c>
      <c r="C53" s="40">
        <f>SISWA!E54</f>
        <v>0</v>
      </c>
      <c r="D53" s="6">
        <v>99</v>
      </c>
      <c r="E53" s="7">
        <v>56</v>
      </c>
      <c r="F53" s="7">
        <v>90</v>
      </c>
      <c r="G53" s="7">
        <v>78</v>
      </c>
      <c r="H53" s="7">
        <v>65</v>
      </c>
      <c r="I53" s="6">
        <v>67</v>
      </c>
      <c r="J53" s="6">
        <v>90</v>
      </c>
      <c r="K53" s="6">
        <v>89</v>
      </c>
      <c r="L53" s="6">
        <v>87</v>
      </c>
      <c r="M53" s="7">
        <v>76</v>
      </c>
      <c r="N53" s="7">
        <v>87</v>
      </c>
      <c r="O53" s="6">
        <v>79</v>
      </c>
      <c r="P53" s="8">
        <f t="shared" si="2"/>
        <v>80.25</v>
      </c>
      <c r="Q53" s="9" t="str">
        <f t="shared" si="3"/>
        <v>B</v>
      </c>
      <c r="R53" s="29">
        <f t="shared" si="67"/>
        <v>3.96</v>
      </c>
      <c r="S53" s="29">
        <f t="shared" si="67"/>
        <v>2.2400000000000002</v>
      </c>
      <c r="T53" s="29">
        <f t="shared" si="67"/>
        <v>3.6</v>
      </c>
      <c r="U53" s="29">
        <f t="shared" si="67"/>
        <v>3.12</v>
      </c>
      <c r="V53" s="29">
        <f t="shared" si="67"/>
        <v>2.6</v>
      </c>
      <c r="W53" s="29">
        <f t="shared" si="67"/>
        <v>2.68</v>
      </c>
      <c r="X53" s="29">
        <f t="shared" si="67"/>
        <v>3.6</v>
      </c>
      <c r="Y53" s="29">
        <f t="shared" si="67"/>
        <v>3.56</v>
      </c>
      <c r="Z53" s="29">
        <f t="shared" si="67"/>
        <v>3.48</v>
      </c>
      <c r="AA53" s="29">
        <f t="shared" si="66"/>
        <v>3.04</v>
      </c>
      <c r="AB53" s="29">
        <f t="shared" si="66"/>
        <v>3.48</v>
      </c>
      <c r="AC53" s="29">
        <f t="shared" si="66"/>
        <v>3.16</v>
      </c>
      <c r="AD53" s="10"/>
      <c r="AE53" s="11" t="str">
        <f t="shared" si="5"/>
        <v>4</v>
      </c>
      <c r="AF53" s="11" t="str">
        <f t="shared" si="6"/>
        <v>0</v>
      </c>
      <c r="AG53" s="35">
        <f t="shared" si="7"/>
        <v>4</v>
      </c>
      <c r="AH53" s="35" t="str">
        <f t="shared" si="8"/>
        <v>0</v>
      </c>
      <c r="AI53" s="35" t="str">
        <f t="shared" si="9"/>
        <v>1</v>
      </c>
      <c r="AJ53" s="35">
        <f t="shared" si="10"/>
        <v>1</v>
      </c>
      <c r="AK53" s="35" t="str">
        <f t="shared" si="11"/>
        <v>0</v>
      </c>
      <c r="AL53" s="35" t="str">
        <f t="shared" si="12"/>
        <v>0</v>
      </c>
      <c r="AM53" s="35">
        <f t="shared" si="13"/>
        <v>0</v>
      </c>
      <c r="AN53" s="35" t="str">
        <f t="shared" si="14"/>
        <v>0</v>
      </c>
      <c r="AO53" s="35" t="str">
        <f t="shared" si="15"/>
        <v>0</v>
      </c>
      <c r="AP53" s="35">
        <f t="shared" si="16"/>
        <v>0</v>
      </c>
      <c r="AQ53" s="35" t="str">
        <f t="shared" si="17"/>
        <v>0</v>
      </c>
      <c r="AR53" s="35" t="str">
        <f t="shared" si="18"/>
        <v>0</v>
      </c>
      <c r="AS53" s="35">
        <f t="shared" si="19"/>
        <v>0</v>
      </c>
      <c r="AT53" s="35" t="str">
        <f t="shared" si="20"/>
        <v>0</v>
      </c>
      <c r="AU53" s="35" t="str">
        <f t="shared" si="21"/>
        <v>0</v>
      </c>
      <c r="AV53" s="35">
        <f t="shared" si="22"/>
        <v>0</v>
      </c>
      <c r="AW53" s="35" t="str">
        <f t="shared" si="23"/>
        <v>0</v>
      </c>
      <c r="AX53" s="35" t="str">
        <f t="shared" si="24"/>
        <v>0</v>
      </c>
      <c r="AY53" s="35">
        <f t="shared" si="25"/>
        <v>0</v>
      </c>
      <c r="AZ53" s="35" t="str">
        <f t="shared" si="26"/>
        <v>0</v>
      </c>
      <c r="BA53" s="35" t="str">
        <f t="shared" si="27"/>
        <v>0</v>
      </c>
      <c r="BB53" s="35">
        <f t="shared" si="28"/>
        <v>0</v>
      </c>
      <c r="BC53" s="35" t="str">
        <f t="shared" si="29"/>
        <v>0</v>
      </c>
      <c r="BD53" s="35" t="str">
        <f t="shared" si="30"/>
        <v>0</v>
      </c>
      <c r="BE53" s="35">
        <f t="shared" si="31"/>
        <v>0</v>
      </c>
      <c r="BF53" s="35" t="str">
        <f t="shared" si="32"/>
        <v>0</v>
      </c>
      <c r="BG53" s="35" t="str">
        <f t="shared" si="33"/>
        <v>0</v>
      </c>
      <c r="BH53" s="35">
        <f t="shared" si="34"/>
        <v>0</v>
      </c>
      <c r="BI53" s="35" t="str">
        <f t="shared" si="35"/>
        <v>0</v>
      </c>
      <c r="BJ53" s="35" t="str">
        <f t="shared" si="36"/>
        <v>0</v>
      </c>
      <c r="BK53" s="35">
        <f t="shared" si="37"/>
        <v>0</v>
      </c>
      <c r="BL53" s="35" t="str">
        <f t="shared" si="38"/>
        <v>0</v>
      </c>
      <c r="BM53" s="35" t="str">
        <f t="shared" si="39"/>
        <v>0</v>
      </c>
      <c r="BN53" s="35">
        <f t="shared" si="40"/>
        <v>0</v>
      </c>
      <c r="BO53" s="43" t="str">
        <f t="shared" si="41"/>
        <v xml:space="preserve">0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53" s="12"/>
      <c r="BQ53" s="15" t="str">
        <f t="shared" si="42"/>
        <v>mengemukakan kembali dengan kalimat sendiri, membuat model matematika dan memilih strategi yang efektif dalam memecahkan masalah nyata sehari-hari yang berkaitan dengan KPK dan FPB, satuan kuantitas, desimal dan persen, serta memeriksa kebenarannya</v>
      </c>
      <c r="BR53" s="16" t="str">
        <f t="shared" si="43"/>
        <v xml:space="preserve"> </v>
      </c>
      <c r="BS53" s="16" t="str">
        <f t="shared" si="44"/>
        <v xml:space="preserve"> </v>
      </c>
      <c r="BT53" s="16" t="str">
        <f t="shared" si="45"/>
        <v xml:space="preserve"> </v>
      </c>
      <c r="BU53" s="16" t="str">
        <f t="shared" si="46"/>
        <v xml:space="preserve"> </v>
      </c>
      <c r="BV53" s="16" t="str">
        <f t="shared" si="47"/>
        <v xml:space="preserve"> </v>
      </c>
      <c r="BW53" s="16" t="str">
        <f t="shared" si="48"/>
        <v xml:space="preserve"> </v>
      </c>
      <c r="BX53" s="16" t="str">
        <f t="shared" si="49"/>
        <v xml:space="preserve"> </v>
      </c>
      <c r="BY53" s="16" t="str">
        <f t="shared" si="50"/>
        <v xml:space="preserve"> </v>
      </c>
      <c r="BZ53" s="16" t="str">
        <f t="shared" si="51"/>
        <v xml:space="preserve"> </v>
      </c>
      <c r="CA53" s="16" t="str">
        <f t="shared" si="52"/>
        <v xml:space="preserve"> </v>
      </c>
      <c r="CB53" s="16" t="str">
        <f t="shared" si="53"/>
        <v xml:space="preserve"> </v>
      </c>
      <c r="CC53" s="13" t="str">
        <f t="shared" si="54"/>
        <v xml:space="preserve"> </v>
      </c>
      <c r="CD53" s="13" t="str">
        <f t="shared" si="55"/>
        <v>menyatakan pecahan ke bentuk desimal dan persen</v>
      </c>
      <c r="CE53" s="13" t="str">
        <f t="shared" si="56"/>
        <v xml:space="preserve"> </v>
      </c>
      <c r="CF53" s="13" t="str">
        <f t="shared" si="57"/>
        <v xml:space="preserve"> </v>
      </c>
      <c r="CG53" s="13" t="str">
        <f t="shared" si="58"/>
        <v xml:space="preserve"> </v>
      </c>
      <c r="CH53" s="13" t="str">
        <f t="shared" si="59"/>
        <v xml:space="preserve"> </v>
      </c>
      <c r="CI53" s="13" t="str">
        <f t="shared" si="60"/>
        <v xml:space="preserve"> </v>
      </c>
      <c r="CJ53" s="13" t="str">
        <f t="shared" si="61"/>
        <v xml:space="preserve"> </v>
      </c>
      <c r="CK53" s="13" t="str">
        <f t="shared" si="62"/>
        <v xml:space="preserve"> </v>
      </c>
      <c r="CL53" s="13" t="str">
        <f t="shared" si="63"/>
        <v xml:space="preserve"> </v>
      </c>
      <c r="CM53" s="13" t="str">
        <f t="shared" si="64"/>
        <v xml:space="preserve"> </v>
      </c>
      <c r="CN53" s="13" t="str">
        <f t="shared" si="65"/>
        <v xml:space="preserve"> </v>
      </c>
      <c r="CO53" s="14"/>
    </row>
    <row r="54" spans="1:93" ht="90">
      <c r="A54" s="38">
        <v>50</v>
      </c>
      <c r="B54" s="39">
        <f>SISWA!B55</f>
        <v>0</v>
      </c>
      <c r="C54" s="40">
        <f>SISWA!E55</f>
        <v>0</v>
      </c>
      <c r="D54" s="6">
        <v>99</v>
      </c>
      <c r="E54" s="7">
        <v>56</v>
      </c>
      <c r="F54" s="7">
        <v>90</v>
      </c>
      <c r="G54" s="7">
        <v>78</v>
      </c>
      <c r="H54" s="7">
        <v>65</v>
      </c>
      <c r="I54" s="6">
        <v>67</v>
      </c>
      <c r="J54" s="6">
        <v>90</v>
      </c>
      <c r="K54" s="6">
        <v>89</v>
      </c>
      <c r="L54" s="6">
        <v>87</v>
      </c>
      <c r="M54" s="7">
        <v>76</v>
      </c>
      <c r="N54" s="7">
        <v>87</v>
      </c>
      <c r="O54" s="6">
        <v>79</v>
      </c>
      <c r="P54" s="8">
        <f t="shared" si="2"/>
        <v>80.25</v>
      </c>
      <c r="Q54" s="9" t="str">
        <f t="shared" si="3"/>
        <v>B</v>
      </c>
      <c r="R54" s="29">
        <f t="shared" si="67"/>
        <v>3.96</v>
      </c>
      <c r="S54" s="29">
        <f t="shared" si="67"/>
        <v>2.2400000000000002</v>
      </c>
      <c r="T54" s="29">
        <f t="shared" si="67"/>
        <v>3.6</v>
      </c>
      <c r="U54" s="29">
        <f t="shared" si="67"/>
        <v>3.12</v>
      </c>
      <c r="V54" s="29">
        <f t="shared" si="67"/>
        <v>2.6</v>
      </c>
      <c r="W54" s="29">
        <f t="shared" si="67"/>
        <v>2.68</v>
      </c>
      <c r="X54" s="29">
        <f t="shared" si="67"/>
        <v>3.6</v>
      </c>
      <c r="Y54" s="29">
        <f t="shared" si="67"/>
        <v>3.56</v>
      </c>
      <c r="Z54" s="29">
        <f t="shared" si="67"/>
        <v>3.48</v>
      </c>
      <c r="AA54" s="29">
        <f t="shared" si="66"/>
        <v>3.04</v>
      </c>
      <c r="AB54" s="29">
        <f t="shared" si="66"/>
        <v>3.48</v>
      </c>
      <c r="AC54" s="29">
        <f t="shared" si="66"/>
        <v>3.16</v>
      </c>
      <c r="AD54" s="10"/>
      <c r="AE54" s="11" t="str">
        <f t="shared" si="5"/>
        <v>4</v>
      </c>
      <c r="AF54" s="11" t="str">
        <f t="shared" si="6"/>
        <v>0</v>
      </c>
      <c r="AG54" s="35">
        <f t="shared" si="7"/>
        <v>4</v>
      </c>
      <c r="AH54" s="35" t="str">
        <f t="shared" si="8"/>
        <v>0</v>
      </c>
      <c r="AI54" s="35" t="str">
        <f t="shared" si="9"/>
        <v>1</v>
      </c>
      <c r="AJ54" s="35">
        <f t="shared" si="10"/>
        <v>1</v>
      </c>
      <c r="AK54" s="35" t="str">
        <f t="shared" si="11"/>
        <v>0</v>
      </c>
      <c r="AL54" s="35" t="str">
        <f t="shared" si="12"/>
        <v>0</v>
      </c>
      <c r="AM54" s="35">
        <f t="shared" si="13"/>
        <v>0</v>
      </c>
      <c r="AN54" s="35" t="str">
        <f t="shared" si="14"/>
        <v>0</v>
      </c>
      <c r="AO54" s="35" t="str">
        <f t="shared" si="15"/>
        <v>0</v>
      </c>
      <c r="AP54" s="35">
        <f t="shared" si="16"/>
        <v>0</v>
      </c>
      <c r="AQ54" s="35" t="str">
        <f t="shared" si="17"/>
        <v>0</v>
      </c>
      <c r="AR54" s="35" t="str">
        <f t="shared" si="18"/>
        <v>0</v>
      </c>
      <c r="AS54" s="35">
        <f t="shared" si="19"/>
        <v>0</v>
      </c>
      <c r="AT54" s="35" t="str">
        <f t="shared" si="20"/>
        <v>0</v>
      </c>
      <c r="AU54" s="35" t="str">
        <f t="shared" si="21"/>
        <v>0</v>
      </c>
      <c r="AV54" s="35">
        <f t="shared" si="22"/>
        <v>0</v>
      </c>
      <c r="AW54" s="35" t="str">
        <f t="shared" si="23"/>
        <v>0</v>
      </c>
      <c r="AX54" s="35" t="str">
        <f t="shared" si="24"/>
        <v>0</v>
      </c>
      <c r="AY54" s="35">
        <f t="shared" si="25"/>
        <v>0</v>
      </c>
      <c r="AZ54" s="35" t="str">
        <f t="shared" si="26"/>
        <v>0</v>
      </c>
      <c r="BA54" s="35" t="str">
        <f t="shared" si="27"/>
        <v>0</v>
      </c>
      <c r="BB54" s="35">
        <f t="shared" si="28"/>
        <v>0</v>
      </c>
      <c r="BC54" s="35" t="str">
        <f t="shared" si="29"/>
        <v>0</v>
      </c>
      <c r="BD54" s="35" t="str">
        <f t="shared" si="30"/>
        <v>0</v>
      </c>
      <c r="BE54" s="35">
        <f t="shared" si="31"/>
        <v>0</v>
      </c>
      <c r="BF54" s="35" t="str">
        <f t="shared" si="32"/>
        <v>0</v>
      </c>
      <c r="BG54" s="35" t="str">
        <f t="shared" si="33"/>
        <v>0</v>
      </c>
      <c r="BH54" s="35">
        <f t="shared" si="34"/>
        <v>0</v>
      </c>
      <c r="BI54" s="35" t="str">
        <f t="shared" si="35"/>
        <v>0</v>
      </c>
      <c r="BJ54" s="35" t="str">
        <f t="shared" si="36"/>
        <v>0</v>
      </c>
      <c r="BK54" s="35">
        <f t="shared" si="37"/>
        <v>0</v>
      </c>
      <c r="BL54" s="35" t="str">
        <f t="shared" si="38"/>
        <v>0</v>
      </c>
      <c r="BM54" s="35" t="str">
        <f t="shared" si="39"/>
        <v>0</v>
      </c>
      <c r="BN54" s="35">
        <f t="shared" si="40"/>
        <v>0</v>
      </c>
      <c r="BO54" s="43" t="str">
        <f t="shared" si="41"/>
        <v xml:space="preserve">0 sangat baik dalam mengemukakan kembali dengan kalimat sendiri, membuat model matematika dan memilih strategi yang efektif dalam memecahkan masalah nyata sehari-hari yang berkaitan dengan KPK dan FPB, satuan kuantitas, desimal dan persen, serta memeriksa kebenarannya           cukup dalam menyatakan pecahan ke bentuk desimal dan persen          </v>
      </c>
      <c r="BP54" s="12"/>
      <c r="BQ54" s="15" t="str">
        <f t="shared" si="42"/>
        <v>mengemukakan kembali dengan kalimat sendiri, membuat model matematika dan memilih strategi yang efektif dalam memecahkan masalah nyata sehari-hari yang berkaitan dengan KPK dan FPB, satuan kuantitas, desimal dan persen, serta memeriksa kebenarannya</v>
      </c>
      <c r="BR54" s="16" t="str">
        <f t="shared" si="43"/>
        <v xml:space="preserve"> </v>
      </c>
      <c r="BS54" s="16" t="str">
        <f t="shared" si="44"/>
        <v xml:space="preserve"> </v>
      </c>
      <c r="BT54" s="16" t="str">
        <f t="shared" si="45"/>
        <v xml:space="preserve"> </v>
      </c>
      <c r="BU54" s="16" t="str">
        <f t="shared" si="46"/>
        <v xml:space="preserve"> </v>
      </c>
      <c r="BV54" s="16" t="str">
        <f t="shared" si="47"/>
        <v xml:space="preserve"> </v>
      </c>
      <c r="BW54" s="16" t="str">
        <f t="shared" si="48"/>
        <v xml:space="preserve"> </v>
      </c>
      <c r="BX54" s="16" t="str">
        <f t="shared" si="49"/>
        <v xml:space="preserve"> </v>
      </c>
      <c r="BY54" s="16" t="str">
        <f t="shared" si="50"/>
        <v xml:space="preserve"> </v>
      </c>
      <c r="BZ54" s="16" t="str">
        <f t="shared" si="51"/>
        <v xml:space="preserve"> </v>
      </c>
      <c r="CA54" s="16" t="str">
        <f t="shared" si="52"/>
        <v xml:space="preserve"> </v>
      </c>
      <c r="CB54" s="16" t="str">
        <f t="shared" si="53"/>
        <v xml:space="preserve"> </v>
      </c>
      <c r="CC54" s="13" t="str">
        <f t="shared" si="54"/>
        <v xml:space="preserve"> </v>
      </c>
      <c r="CD54" s="13" t="str">
        <f t="shared" si="55"/>
        <v>menyatakan pecahan ke bentuk desimal dan persen</v>
      </c>
      <c r="CE54" s="13" t="str">
        <f t="shared" si="56"/>
        <v xml:space="preserve"> </v>
      </c>
      <c r="CF54" s="13" t="str">
        <f t="shared" si="57"/>
        <v xml:space="preserve"> </v>
      </c>
      <c r="CG54" s="13" t="str">
        <f t="shared" si="58"/>
        <v xml:space="preserve"> </v>
      </c>
      <c r="CH54" s="13" t="str">
        <f t="shared" si="59"/>
        <v xml:space="preserve"> </v>
      </c>
      <c r="CI54" s="13" t="str">
        <f t="shared" si="60"/>
        <v xml:space="preserve"> </v>
      </c>
      <c r="CJ54" s="13" t="str">
        <f t="shared" si="61"/>
        <v xml:space="preserve"> </v>
      </c>
      <c r="CK54" s="13" t="str">
        <f t="shared" si="62"/>
        <v xml:space="preserve"> </v>
      </c>
      <c r="CL54" s="13" t="str">
        <f t="shared" si="63"/>
        <v xml:space="preserve"> </v>
      </c>
      <c r="CM54" s="13" t="str">
        <f t="shared" si="64"/>
        <v xml:space="preserve"> </v>
      </c>
      <c r="CN54" s="13" t="str">
        <f t="shared" si="65"/>
        <v xml:space="preserve"> </v>
      </c>
      <c r="CO54" s="14"/>
    </row>
    <row r="55" spans="1:93" ht="18.75">
      <c r="A55" s="41"/>
      <c r="B55" s="41"/>
      <c r="C55" s="41"/>
      <c r="D55" s="6"/>
      <c r="E55" s="7"/>
      <c r="F55" s="7"/>
      <c r="G55" s="7"/>
      <c r="H55" s="7"/>
      <c r="I55" s="6"/>
      <c r="J55" s="6"/>
      <c r="K55" s="6"/>
      <c r="L55" s="6"/>
      <c r="M55" s="7"/>
      <c r="N55" s="7"/>
      <c r="O55" s="6"/>
      <c r="P55" s="8"/>
      <c r="Q55" s="9"/>
      <c r="R55" s="29"/>
      <c r="S55" s="29"/>
      <c r="T55" s="29"/>
      <c r="U55" s="29"/>
      <c r="V55" s="29"/>
      <c r="W55" s="29"/>
      <c r="X55" s="29"/>
      <c r="Y55" s="29"/>
      <c r="Z55" s="29"/>
      <c r="AA55" s="29"/>
      <c r="AB55" s="29"/>
      <c r="AC55" s="29"/>
      <c r="AD55" s="10"/>
      <c r="AE55" s="11"/>
      <c r="AF55" s="11"/>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c r="BJ55" s="35"/>
      <c r="BK55" s="35"/>
      <c r="BL55" s="35"/>
      <c r="BM55" s="35"/>
      <c r="BN55" s="35"/>
      <c r="BO55" s="43"/>
      <c r="BP55" s="12"/>
      <c r="BQ55" s="15"/>
      <c r="BR55" s="16"/>
      <c r="BS55" s="16"/>
      <c r="BT55" s="16"/>
      <c r="BU55" s="16"/>
      <c r="BV55" s="16"/>
      <c r="BW55" s="16"/>
      <c r="BX55" s="16"/>
      <c r="BY55" s="16"/>
      <c r="BZ55" s="16"/>
      <c r="CA55" s="16"/>
      <c r="CB55" s="16"/>
      <c r="CC55" s="13"/>
      <c r="CD55" s="13"/>
      <c r="CE55" s="13"/>
      <c r="CF55" s="13"/>
      <c r="CG55" s="13"/>
      <c r="CH55" s="13"/>
      <c r="CI55" s="13"/>
      <c r="CJ55" s="13"/>
      <c r="CK55" s="13"/>
      <c r="CL55" s="13"/>
      <c r="CM55" s="13"/>
      <c r="CN55" s="13"/>
      <c r="CO55" s="14"/>
    </row>
  </sheetData>
  <mergeCells count="12">
    <mergeCell ref="BO2:BO3"/>
    <mergeCell ref="BR3:BV3"/>
    <mergeCell ref="BR4:BV4"/>
    <mergeCell ref="A1:BN1"/>
    <mergeCell ref="A2:A4"/>
    <mergeCell ref="B2:B4"/>
    <mergeCell ref="C2:C4"/>
    <mergeCell ref="D2:O2"/>
    <mergeCell ref="P2:P4"/>
    <mergeCell ref="Q2:Q4"/>
    <mergeCell ref="R2:AC2"/>
    <mergeCell ref="AG2:BN2"/>
  </mergeCell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AK58"/>
  <sheetViews>
    <sheetView view="pageBreakPreview" zoomScale="60" zoomScaleNormal="25" workbookViewId="0"/>
  </sheetViews>
  <sheetFormatPr defaultColWidth="0" defaultRowHeight="15"/>
  <cols>
    <col min="1" max="1" width="13.85546875" style="57" customWidth="1"/>
    <col min="2" max="2" width="7.140625" style="57" customWidth="1"/>
    <col min="3" max="3" width="6.7109375" style="57" customWidth="1"/>
    <col min="4" max="4" width="17" style="57" customWidth="1"/>
    <col min="5" max="5" width="4.140625" style="57" customWidth="1"/>
    <col min="6" max="6" width="36.85546875" style="57" customWidth="1"/>
    <col min="7" max="7" width="9.140625" style="57" customWidth="1"/>
    <col min="8" max="8" width="27" style="57" customWidth="1"/>
    <col min="9" max="9" width="2.42578125" style="57" customWidth="1"/>
    <col min="10" max="10" width="9.7109375" style="57" customWidth="1"/>
    <col min="11" max="11" width="16.42578125" style="57" customWidth="1"/>
    <col min="12" max="12" width="2.7109375" style="57" customWidth="1"/>
    <col min="13" max="13" width="78.42578125" style="57" customWidth="1"/>
    <col min="14" max="16" width="9.140625" style="57" hidden="1" customWidth="1"/>
    <col min="17" max="24" width="0" style="57" hidden="1" customWidth="1"/>
    <col min="25" max="37" width="9.140625" style="57" hidden="1" customWidth="1"/>
    <col min="38" max="16384" width="0" style="57" hidden="1"/>
  </cols>
  <sheetData>
    <row r="1" spans="1:13" ht="44.25" customHeight="1" thickBot="1">
      <c r="M1" s="58"/>
    </row>
    <row r="2" spans="1:13" ht="18" customHeight="1">
      <c r="I2" s="59"/>
      <c r="J2" s="853">
        <v>2</v>
      </c>
      <c r="K2" s="60"/>
      <c r="L2" s="60"/>
      <c r="M2" s="58"/>
    </row>
    <row r="3" spans="1:13" ht="18" customHeight="1">
      <c r="J3" s="854"/>
      <c r="K3" s="60"/>
      <c r="L3" s="60"/>
      <c r="M3" s="58"/>
    </row>
    <row r="4" spans="1:13" ht="18" customHeight="1" thickBot="1">
      <c r="J4" s="855"/>
      <c r="K4" s="60"/>
      <c r="L4" s="60"/>
    </row>
    <row r="5" spans="1:13" ht="18" customHeight="1">
      <c r="J5" s="61"/>
      <c r="K5" s="61"/>
      <c r="L5" s="61"/>
    </row>
    <row r="6" spans="1:13" ht="75.75" customHeight="1">
      <c r="J6" s="61"/>
      <c r="K6" s="61"/>
      <c r="L6" s="62"/>
      <c r="M6" s="63"/>
    </row>
    <row r="7" spans="1:13" ht="33" customHeight="1">
      <c r="M7" s="58"/>
    </row>
    <row r="8" spans="1:13">
      <c r="I8" s="64"/>
      <c r="J8" s="64"/>
      <c r="K8" s="64"/>
      <c r="L8" s="64"/>
      <c r="M8" s="58"/>
    </row>
    <row r="9" spans="1:13">
      <c r="A9" s="65"/>
      <c r="B9" s="65"/>
      <c r="C9" s="65"/>
      <c r="D9" s="65"/>
      <c r="E9" s="65"/>
      <c r="F9" s="65"/>
      <c r="G9" s="65"/>
      <c r="H9" s="65"/>
      <c r="I9" s="66"/>
      <c r="J9" s="66"/>
      <c r="K9" s="66"/>
      <c r="L9" s="66"/>
      <c r="M9" s="58"/>
    </row>
    <row r="10" spans="1:13" ht="61.5">
      <c r="A10" s="856" t="s">
        <v>135</v>
      </c>
      <c r="B10" s="856"/>
      <c r="C10" s="856"/>
      <c r="D10" s="856"/>
      <c r="E10" s="856"/>
      <c r="F10" s="856"/>
      <c r="G10" s="856"/>
      <c r="H10" s="856"/>
      <c r="I10" s="66"/>
      <c r="J10" s="66"/>
      <c r="K10" s="66"/>
      <c r="L10" s="66"/>
      <c r="M10" s="58"/>
    </row>
    <row r="11" spans="1:13" ht="31.5">
      <c r="A11" s="852" t="s">
        <v>136</v>
      </c>
      <c r="B11" s="852"/>
      <c r="C11" s="852"/>
      <c r="D11" s="852"/>
      <c r="E11" s="852"/>
      <c r="F11" s="852"/>
      <c r="G11" s="852"/>
      <c r="H11" s="852"/>
      <c r="I11" s="66"/>
      <c r="J11" s="66"/>
      <c r="K11" s="66"/>
      <c r="L11" s="66"/>
      <c r="M11" s="58"/>
    </row>
    <row r="12" spans="1:13" ht="33.75">
      <c r="A12" s="857" t="s">
        <v>137</v>
      </c>
      <c r="B12" s="857"/>
      <c r="C12" s="857"/>
      <c r="D12" s="857"/>
      <c r="E12" s="857"/>
      <c r="F12" s="857"/>
      <c r="G12" s="857"/>
      <c r="H12" s="857"/>
      <c r="I12" s="67"/>
      <c r="J12" s="67"/>
      <c r="K12" s="67"/>
      <c r="L12" s="67"/>
      <c r="M12" s="58"/>
    </row>
    <row r="13" spans="1:13" ht="60" customHeight="1">
      <c r="A13" s="65"/>
      <c r="B13" s="65"/>
      <c r="C13" s="65"/>
      <c r="D13" s="65"/>
      <c r="E13" s="65"/>
      <c r="F13" s="65"/>
      <c r="G13" s="65"/>
      <c r="H13" s="65"/>
      <c r="I13" s="67"/>
      <c r="J13" s="67"/>
      <c r="K13" s="67"/>
      <c r="L13" s="67"/>
      <c r="M13" s="58"/>
    </row>
    <row r="14" spans="1:13" ht="33.75">
      <c r="A14" s="858" t="str">
        <f>DEPAN!E10</f>
        <v>SD NEGERI 250 JAKAPURWA</v>
      </c>
      <c r="B14" s="858"/>
      <c r="C14" s="858"/>
      <c r="D14" s="858"/>
      <c r="E14" s="858"/>
      <c r="F14" s="858"/>
      <c r="G14" s="858"/>
      <c r="H14" s="858"/>
      <c r="I14" s="68"/>
      <c r="J14" s="68"/>
      <c r="K14" s="68"/>
      <c r="L14" s="68"/>
      <c r="M14" s="58"/>
    </row>
    <row r="15" spans="1:13" ht="26.25">
      <c r="A15" s="864" t="str">
        <f>DEPAN!E11</f>
        <v>Jln. Jakamulya no 16</v>
      </c>
      <c r="B15" s="864"/>
      <c r="C15" s="864"/>
      <c r="D15" s="864"/>
      <c r="E15" s="864"/>
      <c r="F15" s="864"/>
      <c r="G15" s="864"/>
      <c r="H15" s="864"/>
      <c r="I15" s="69"/>
      <c r="J15" s="69"/>
      <c r="K15" s="69"/>
      <c r="L15" s="69"/>
      <c r="M15" s="58"/>
    </row>
    <row r="16" spans="1:13" ht="51" customHeight="1">
      <c r="A16" s="65"/>
      <c r="B16" s="65"/>
      <c r="C16" s="65"/>
      <c r="D16" s="65"/>
      <c r="E16" s="65"/>
      <c r="F16" s="65"/>
      <c r="G16" s="65"/>
      <c r="H16" s="65"/>
      <c r="I16" s="70"/>
      <c r="J16" s="70"/>
      <c r="K16" s="70"/>
      <c r="L16" s="70"/>
      <c r="M16" s="58"/>
    </row>
    <row r="17" spans="1:13" ht="25.5" customHeight="1">
      <c r="A17" s="65"/>
      <c r="B17" s="65"/>
      <c r="C17" s="65"/>
      <c r="D17" s="65"/>
      <c r="E17" s="65"/>
      <c r="F17" s="65"/>
      <c r="G17" s="65"/>
      <c r="H17" s="65"/>
      <c r="I17" s="66"/>
      <c r="J17" s="66"/>
      <c r="K17" s="66"/>
      <c r="L17" s="66"/>
      <c r="M17" s="58"/>
    </row>
    <row r="18" spans="1:13" ht="51" customHeight="1">
      <c r="A18" s="65"/>
      <c r="B18" s="65"/>
      <c r="C18" s="65"/>
      <c r="D18" s="65"/>
      <c r="E18" s="65"/>
      <c r="F18" s="65"/>
      <c r="G18" s="65"/>
      <c r="H18" s="65"/>
      <c r="I18" s="66"/>
      <c r="J18" s="66"/>
      <c r="K18" s="66"/>
      <c r="L18" s="66"/>
      <c r="M18" s="58"/>
    </row>
    <row r="19" spans="1:13" ht="51" customHeight="1">
      <c r="A19" s="65"/>
      <c r="B19" s="65"/>
      <c r="C19" s="65"/>
      <c r="D19" s="65"/>
      <c r="E19" s="65"/>
      <c r="F19" s="65"/>
      <c r="G19" s="65"/>
      <c r="H19" s="65"/>
      <c r="I19" s="66"/>
      <c r="J19" s="66"/>
      <c r="K19" s="66"/>
      <c r="L19" s="66"/>
      <c r="M19" s="58"/>
    </row>
    <row r="20" spans="1:13">
      <c r="B20" s="65"/>
      <c r="C20" s="65"/>
      <c r="D20" s="65"/>
      <c r="E20" s="65"/>
      <c r="F20" s="65"/>
      <c r="G20" s="65"/>
      <c r="H20" s="65"/>
      <c r="I20" s="66"/>
      <c r="J20" s="66"/>
      <c r="K20" s="66"/>
      <c r="L20" s="66"/>
      <c r="M20" s="58"/>
    </row>
    <row r="21" spans="1:13" ht="21" thickBot="1">
      <c r="B21" s="65"/>
      <c r="C21" s="65"/>
      <c r="D21" s="862" t="s">
        <v>242</v>
      </c>
      <c r="E21" s="862"/>
      <c r="F21" s="862"/>
      <c r="G21" s="862"/>
      <c r="H21" s="244"/>
      <c r="I21" s="66"/>
      <c r="J21" s="66"/>
      <c r="K21" s="66"/>
      <c r="L21" s="66"/>
      <c r="M21" s="58"/>
    </row>
    <row r="22" spans="1:13" ht="27" customHeight="1" thickBot="1">
      <c r="B22" s="65"/>
      <c r="C22" s="65"/>
      <c r="D22" s="859" t="str">
        <f>VLOOKUP(J2,SISWA!$A:$AT,3)</f>
        <v>ADHWA BARIQ RAMDAENI BADRUL YAMAN</v>
      </c>
      <c r="E22" s="860"/>
      <c r="F22" s="860"/>
      <c r="G22" s="861"/>
      <c r="H22" s="65"/>
      <c r="I22" s="66"/>
      <c r="J22" s="66"/>
      <c r="K22" s="66"/>
      <c r="L22" s="66"/>
      <c r="M22" s="58"/>
    </row>
    <row r="23" spans="1:13" ht="27" customHeight="1" thickBot="1">
      <c r="B23" s="65"/>
      <c r="C23" s="65"/>
      <c r="D23" s="863" t="s">
        <v>243</v>
      </c>
      <c r="E23" s="863"/>
      <c r="F23" s="863"/>
      <c r="G23" s="863"/>
      <c r="H23" s="65"/>
      <c r="I23" s="66"/>
      <c r="J23" s="66"/>
      <c r="K23" s="66"/>
      <c r="L23" s="66"/>
      <c r="M23" s="58"/>
    </row>
    <row r="24" spans="1:13" ht="27" customHeight="1" thickBot="1">
      <c r="B24" s="65"/>
      <c r="C24" s="65"/>
      <c r="D24" s="859" t="str">
        <f>VLOOKUP(J2,SISWA!$A:$AT,46)</f>
        <v>72025516/1718250040306</v>
      </c>
      <c r="E24" s="860"/>
      <c r="F24" s="860"/>
      <c r="G24" s="861"/>
      <c r="H24" s="65"/>
      <c r="I24" s="66"/>
      <c r="J24" s="66"/>
      <c r="K24" s="66"/>
      <c r="L24" s="66"/>
      <c r="M24" s="58"/>
    </row>
    <row r="25" spans="1:13">
      <c r="B25" s="65"/>
      <c r="C25" s="65"/>
      <c r="D25" s="65"/>
      <c r="E25" s="65"/>
      <c r="F25" s="65"/>
      <c r="G25" s="65"/>
      <c r="H25" s="65"/>
      <c r="I25" s="66"/>
      <c r="J25" s="66"/>
      <c r="K25" s="66"/>
      <c r="L25" s="66"/>
      <c r="M25" s="58"/>
    </row>
    <row r="26" spans="1:13">
      <c r="H26" s="65"/>
      <c r="I26" s="66"/>
      <c r="J26" s="66"/>
      <c r="K26" s="66"/>
      <c r="L26" s="66"/>
      <c r="M26" s="58"/>
    </row>
    <row r="27" spans="1:13" ht="45.75" customHeight="1">
      <c r="A27" s="65"/>
      <c r="B27" s="65"/>
      <c r="C27" s="65"/>
      <c r="D27" s="65"/>
      <c r="E27" s="65"/>
      <c r="F27" s="65"/>
      <c r="G27" s="65"/>
      <c r="H27" s="65"/>
      <c r="I27" s="66"/>
      <c r="J27" s="66"/>
      <c r="K27" s="66"/>
      <c r="L27" s="66"/>
      <c r="M27" s="58"/>
    </row>
    <row r="28" spans="1:13" ht="31.5">
      <c r="A28" s="852" t="s">
        <v>603</v>
      </c>
      <c r="B28" s="852"/>
      <c r="C28" s="852"/>
      <c r="D28" s="852"/>
      <c r="E28" s="852"/>
      <c r="F28" s="852"/>
      <c r="G28" s="852"/>
      <c r="H28" s="852"/>
      <c r="I28" s="66"/>
      <c r="J28" s="66"/>
      <c r="K28" s="66"/>
      <c r="L28" s="66"/>
      <c r="M28" s="58"/>
    </row>
    <row r="29" spans="1:13" ht="31.5">
      <c r="A29" s="852" t="s">
        <v>602</v>
      </c>
      <c r="B29" s="852"/>
      <c r="C29" s="852"/>
      <c r="D29" s="852"/>
      <c r="E29" s="852"/>
      <c r="F29" s="852"/>
      <c r="G29" s="852"/>
      <c r="H29" s="852"/>
      <c r="I29" s="66"/>
      <c r="J29" s="66"/>
      <c r="K29" s="66"/>
      <c r="L29" s="66"/>
      <c r="M29" s="58"/>
    </row>
    <row r="30" spans="1:13">
      <c r="J30" s="66"/>
      <c r="K30" s="66"/>
      <c r="L30" s="66"/>
      <c r="M30" s="58"/>
    </row>
    <row r="31" spans="1:13">
      <c r="J31" s="66"/>
      <c r="K31" s="66"/>
      <c r="L31" s="66"/>
      <c r="M31" s="58"/>
    </row>
    <row r="33" spans="1:9" ht="27" customHeight="1"/>
    <row r="34" spans="1:9" ht="15.75" customHeight="1"/>
    <row r="35" spans="1:9" ht="64.5" customHeight="1"/>
    <row r="36" spans="1:9" ht="64.5" customHeight="1"/>
    <row r="37" spans="1:9" ht="64.5" customHeight="1"/>
    <row r="38" spans="1:9" ht="87" customHeight="1"/>
    <row r="39" spans="1:9" ht="42" customHeight="1">
      <c r="A39" s="851" t="s">
        <v>216</v>
      </c>
      <c r="B39" s="851"/>
      <c r="C39" s="851"/>
      <c r="D39" s="851"/>
      <c r="E39" s="851"/>
      <c r="F39" s="851"/>
      <c r="G39" s="851"/>
      <c r="H39" s="851"/>
      <c r="I39" s="851"/>
    </row>
    <row r="40" spans="1:9" ht="42" customHeight="1">
      <c r="A40" s="851" t="s">
        <v>217</v>
      </c>
      <c r="B40" s="851"/>
      <c r="C40" s="851"/>
      <c r="D40" s="851"/>
      <c r="E40" s="851"/>
      <c r="F40" s="851"/>
      <c r="G40" s="851"/>
      <c r="H40" s="851"/>
      <c r="I40" s="851"/>
    </row>
    <row r="41" spans="1:9" ht="42" customHeight="1">
      <c r="A41" s="851" t="s">
        <v>137</v>
      </c>
      <c r="B41" s="851"/>
      <c r="C41" s="851"/>
      <c r="D41" s="851"/>
      <c r="E41" s="851"/>
      <c r="F41" s="851"/>
      <c r="G41" s="851"/>
      <c r="H41" s="851"/>
      <c r="I41" s="851"/>
    </row>
    <row r="42" spans="1:9" ht="42" customHeight="1">
      <c r="A42" s="851" t="s">
        <v>218</v>
      </c>
      <c r="B42" s="851"/>
      <c r="C42" s="851"/>
      <c r="D42" s="851"/>
      <c r="E42" s="851"/>
      <c r="F42" s="851"/>
      <c r="G42" s="851"/>
      <c r="H42" s="851"/>
      <c r="I42" s="851"/>
    </row>
    <row r="43" spans="1:9">
      <c r="A43" s="78"/>
      <c r="B43" s="78"/>
      <c r="C43" s="78"/>
      <c r="D43" s="78"/>
      <c r="E43" s="79"/>
      <c r="F43" s="79"/>
      <c r="G43" s="79"/>
      <c r="H43" s="79"/>
      <c r="I43" s="79"/>
    </row>
    <row r="44" spans="1:9">
      <c r="A44" s="78"/>
      <c r="B44" s="78"/>
      <c r="C44" s="78"/>
      <c r="D44" s="78"/>
      <c r="E44" s="79"/>
      <c r="F44" s="79"/>
      <c r="G44" s="79"/>
      <c r="H44" s="79"/>
      <c r="I44" s="79"/>
    </row>
    <row r="45" spans="1:9">
      <c r="A45" s="78"/>
      <c r="B45" s="78"/>
      <c r="C45" s="78"/>
      <c r="D45" s="78"/>
      <c r="E45" s="79"/>
      <c r="F45" s="79"/>
      <c r="G45" s="79"/>
      <c r="H45" s="79"/>
      <c r="I45" s="79"/>
    </row>
    <row r="46" spans="1:9">
      <c r="A46" s="78"/>
      <c r="B46" s="78"/>
      <c r="C46" s="78"/>
      <c r="D46" s="78"/>
      <c r="E46" s="79"/>
      <c r="F46" s="79"/>
      <c r="G46" s="79"/>
      <c r="H46" s="79"/>
      <c r="I46" s="79"/>
    </row>
    <row r="47" spans="1:9" ht="27.75" customHeight="1">
      <c r="C47" s="80" t="s">
        <v>23</v>
      </c>
      <c r="D47" s="71"/>
      <c r="E47" s="81" t="s">
        <v>138</v>
      </c>
      <c r="F47" s="80" t="s">
        <v>584</v>
      </c>
    </row>
    <row r="48" spans="1:9" ht="27.75" customHeight="1">
      <c r="C48" s="80" t="s">
        <v>219</v>
      </c>
      <c r="D48" s="71"/>
      <c r="E48" s="81" t="s">
        <v>138</v>
      </c>
      <c r="F48" s="82" t="s">
        <v>585</v>
      </c>
    </row>
    <row r="49" spans="3:6" ht="27.75" customHeight="1">
      <c r="C49" s="80" t="s">
        <v>220</v>
      </c>
      <c r="D49" s="71"/>
      <c r="E49" s="81" t="s">
        <v>138</v>
      </c>
      <c r="F49" s="82" t="s">
        <v>604</v>
      </c>
    </row>
    <row r="50" spans="3:6" ht="27.75" customHeight="1">
      <c r="C50" s="80" t="s">
        <v>166</v>
      </c>
      <c r="D50" s="71"/>
      <c r="E50" s="81" t="s">
        <v>138</v>
      </c>
      <c r="F50" s="80" t="s">
        <v>605</v>
      </c>
    </row>
    <row r="51" spans="3:6" ht="27.75" customHeight="1">
      <c r="C51" s="80"/>
      <c r="D51" s="71"/>
      <c r="E51" s="80"/>
      <c r="F51" s="80" t="s">
        <v>606</v>
      </c>
    </row>
    <row r="52" spans="3:6" ht="27.75" customHeight="1">
      <c r="C52" s="80"/>
      <c r="D52" s="71"/>
      <c r="E52" s="80"/>
      <c r="F52" s="80" t="s">
        <v>607</v>
      </c>
    </row>
    <row r="53" spans="3:6" ht="27.75" customHeight="1">
      <c r="C53" s="80"/>
      <c r="D53" s="71"/>
      <c r="E53" s="80"/>
      <c r="F53" s="80"/>
    </row>
    <row r="54" spans="3:6" ht="27.75" customHeight="1">
      <c r="C54" s="80" t="s">
        <v>221</v>
      </c>
      <c r="D54" s="71"/>
      <c r="E54" s="81" t="s">
        <v>138</v>
      </c>
      <c r="F54" s="80" t="str">
        <f>DEPAN!E18</f>
        <v>Kujangsari</v>
      </c>
    </row>
    <row r="55" spans="3:6" ht="27.75" customHeight="1">
      <c r="C55" s="80" t="s">
        <v>40</v>
      </c>
      <c r="D55" s="71"/>
      <c r="E55" s="81" t="s">
        <v>138</v>
      </c>
      <c r="F55" s="80" t="str">
        <f>DEPAN!E19</f>
        <v>Bandung Kidul</v>
      </c>
    </row>
    <row r="56" spans="3:6" ht="27.75" customHeight="1">
      <c r="C56" s="80" t="s">
        <v>222</v>
      </c>
      <c r="D56" s="71"/>
      <c r="E56" s="81" t="s">
        <v>138</v>
      </c>
      <c r="F56" s="80" t="str">
        <f>DEPAN!E20</f>
        <v>Kota Bandung</v>
      </c>
    </row>
    <row r="57" spans="3:6" ht="27.75" customHeight="1">
      <c r="C57" s="80" t="s">
        <v>223</v>
      </c>
      <c r="D57" s="71"/>
      <c r="E57" s="81" t="s">
        <v>138</v>
      </c>
      <c r="F57" s="80" t="str">
        <f>DEPAN!E21</f>
        <v>Jawa Barat</v>
      </c>
    </row>
    <row r="58" spans="3:6" ht="24" customHeight="1"/>
  </sheetData>
  <mergeCells count="16">
    <mergeCell ref="D22:G22"/>
    <mergeCell ref="D21:G21"/>
    <mergeCell ref="D23:G23"/>
    <mergeCell ref="D24:G24"/>
    <mergeCell ref="A15:H15"/>
    <mergeCell ref="J2:J4"/>
    <mergeCell ref="A10:H10"/>
    <mergeCell ref="A11:H11"/>
    <mergeCell ref="A12:H12"/>
    <mergeCell ref="A14:H14"/>
    <mergeCell ref="A39:I39"/>
    <mergeCell ref="A40:I40"/>
    <mergeCell ref="A41:I41"/>
    <mergeCell ref="A42:I42"/>
    <mergeCell ref="A28:H28"/>
    <mergeCell ref="A29:H29"/>
  </mergeCells>
  <pageMargins left="0.66" right="0.36" top="0.75" bottom="0.75" header="0.3" footer="0.3"/>
  <pageSetup paperSize="272" scale="83" orientation="portrait" horizontalDpi="4294967293" r:id="rId1"/>
  <rowBreaks count="1" manualBreakCount="1">
    <brk id="30" max="7" man="1"/>
  </rowBreaks>
  <colBreaks count="1" manualBreakCount="1">
    <brk id="8" max="30" man="1"/>
  </colBreaks>
  <drawing r:id="rId2"/>
  <legacyDrawing r:id="rId3"/>
  <mc:AlternateContent xmlns:mc="http://schemas.openxmlformats.org/markup-compatibility/2006">
    <mc:Choice Requires="x14">
      <controls>
        <mc:AlternateContent xmlns:mc="http://schemas.openxmlformats.org/markup-compatibility/2006">
          <mc:Choice Requires="x14">
            <control shapeId="28673" r:id="rId4" name="Spinner 1">
              <controlPr defaultSize="0" autoPict="0">
                <anchor moveWithCells="1" sizeWithCells="1">
                  <from>
                    <xdr:col>10</xdr:col>
                    <xdr:colOff>152400</xdr:colOff>
                    <xdr:row>1</xdr:row>
                    <xdr:rowOff>0</xdr:rowOff>
                  </from>
                  <to>
                    <xdr:col>10</xdr:col>
                    <xdr:colOff>609600</xdr:colOff>
                    <xdr:row>4</xdr:row>
                    <xdr:rowOff>28575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AJ46"/>
  <sheetViews>
    <sheetView view="pageBreakPreview" zoomScale="70" zoomScaleSheetLayoutView="70" workbookViewId="0"/>
  </sheetViews>
  <sheetFormatPr defaultColWidth="0" defaultRowHeight="23.25" zeroHeight="1"/>
  <cols>
    <col min="1" max="1" width="4.5703125" style="85" customWidth="1"/>
    <col min="2" max="2" width="3.140625" style="85" customWidth="1"/>
    <col min="3" max="3" width="32.85546875" style="85" customWidth="1"/>
    <col min="4" max="4" width="3" style="85" customWidth="1"/>
    <col min="5" max="5" width="9.85546875" style="85" customWidth="1"/>
    <col min="6" max="6" width="5.5703125" style="85" customWidth="1"/>
    <col min="7" max="7" width="4.140625" style="85" customWidth="1"/>
    <col min="8" max="8" width="9" style="85" customWidth="1"/>
    <col min="9" max="9" width="4.140625" style="85" customWidth="1"/>
    <col min="10" max="10" width="5.28515625" style="85" customWidth="1"/>
    <col min="11" max="11" width="3.5703125" style="85" customWidth="1"/>
    <col min="12" max="12" width="5.7109375" style="85" customWidth="1"/>
    <col min="13" max="13" width="7" style="85" customWidth="1"/>
    <col min="14" max="14" width="6.140625" style="85" customWidth="1"/>
    <col min="15" max="15" width="6.28515625" style="85" customWidth="1"/>
    <col min="16" max="16" width="15.85546875" style="85" customWidth="1"/>
    <col min="17" max="17" width="2.42578125" style="85" customWidth="1"/>
    <col min="18" max="18" width="9.7109375" style="85" customWidth="1"/>
    <col min="19" max="19" width="16.42578125" style="85" customWidth="1"/>
    <col min="20" max="20" width="2.7109375" style="85" customWidth="1"/>
    <col min="21" max="21" width="78.42578125" style="85" customWidth="1"/>
    <col min="22" max="24" width="9.140625" style="85" hidden="1" customWidth="1"/>
    <col min="25" max="32" width="0" style="85" hidden="1" customWidth="1"/>
    <col min="33" max="36" width="9.140625" style="85" hidden="1" customWidth="1"/>
    <col min="37" max="16384" width="0" style="85" hidden="1"/>
  </cols>
  <sheetData>
    <row r="1" spans="1:21" ht="24" thickBot="1">
      <c r="U1" s="84"/>
    </row>
    <row r="2" spans="1:21">
      <c r="Q2" s="86"/>
      <c r="R2" s="87">
        <v>1</v>
      </c>
      <c r="S2" s="88"/>
      <c r="T2" s="88"/>
      <c r="U2" s="84"/>
    </row>
    <row r="3" spans="1:21" ht="11.25" customHeight="1">
      <c r="R3" s="83"/>
      <c r="S3" s="83"/>
      <c r="T3" s="89"/>
      <c r="U3" s="90"/>
    </row>
    <row r="4" spans="1:21" ht="27">
      <c r="A4" s="869" t="s">
        <v>139</v>
      </c>
      <c r="B4" s="869"/>
      <c r="C4" s="869"/>
      <c r="D4" s="869"/>
      <c r="E4" s="869"/>
      <c r="F4" s="869"/>
      <c r="G4" s="869"/>
      <c r="H4" s="869"/>
      <c r="I4" s="869"/>
      <c r="J4" s="869"/>
      <c r="K4" s="869"/>
      <c r="L4" s="869"/>
      <c r="M4" s="869"/>
      <c r="N4" s="869"/>
      <c r="O4" s="869"/>
      <c r="P4" s="869"/>
      <c r="Q4" s="83"/>
      <c r="R4" s="83"/>
      <c r="S4" s="83"/>
      <c r="T4" s="83"/>
      <c r="U4" s="84"/>
    </row>
    <row r="5" spans="1:21" ht="15" customHeight="1">
      <c r="A5" s="114"/>
      <c r="B5" s="114"/>
      <c r="C5" s="114"/>
      <c r="D5" s="114"/>
      <c r="E5" s="114"/>
      <c r="F5" s="114"/>
      <c r="G5" s="114"/>
      <c r="H5" s="114"/>
      <c r="I5" s="114"/>
      <c r="J5" s="114"/>
      <c r="K5" s="114"/>
      <c r="L5" s="114"/>
      <c r="M5" s="114"/>
      <c r="N5" s="114"/>
      <c r="O5" s="114"/>
      <c r="P5" s="114"/>
      <c r="Q5" s="83"/>
      <c r="R5" s="83"/>
      <c r="S5" s="83"/>
      <c r="T5" s="83"/>
      <c r="U5" s="84"/>
    </row>
    <row r="6" spans="1:21" ht="24.75" customHeight="1">
      <c r="Q6" s="91"/>
      <c r="R6" s="92"/>
      <c r="S6" s="92"/>
      <c r="T6" s="89"/>
      <c r="U6" s="90"/>
    </row>
    <row r="7" spans="1:21" s="93" customFormat="1" ht="27" customHeight="1">
      <c r="B7" s="93" t="s">
        <v>140</v>
      </c>
      <c r="F7" s="94" t="s">
        <v>138</v>
      </c>
      <c r="G7" s="93" t="str">
        <f>VLOOKUP($R$2,SISWA!$A:$AT,3)</f>
        <v>ABDANI YAHYA</v>
      </c>
      <c r="I7" s="95"/>
      <c r="J7" s="95"/>
      <c r="K7" s="95"/>
      <c r="L7" s="95"/>
      <c r="Q7" s="96"/>
      <c r="R7" s="85"/>
      <c r="S7" s="85"/>
      <c r="T7" s="85"/>
      <c r="U7" s="84"/>
    </row>
    <row r="8" spans="1:21" s="93" customFormat="1" ht="27" customHeight="1">
      <c r="B8" s="93" t="s">
        <v>141</v>
      </c>
      <c r="F8" s="94" t="s">
        <v>138</v>
      </c>
      <c r="G8" s="865" t="str">
        <f>VLOOKUP($R$2,SISWA!$A:$AT,2)</f>
        <v>1718250040305</v>
      </c>
      <c r="H8" s="865"/>
      <c r="I8" s="95"/>
      <c r="J8" s="95"/>
      <c r="K8" s="95"/>
      <c r="L8" s="95"/>
      <c r="Q8" s="96"/>
      <c r="R8" s="97"/>
      <c r="S8" s="97"/>
      <c r="T8" s="97"/>
      <c r="U8" s="84"/>
    </row>
    <row r="9" spans="1:21" s="93" customFormat="1" ht="27" customHeight="1">
      <c r="B9" s="93" t="s">
        <v>142</v>
      </c>
      <c r="F9" s="94" t="s">
        <v>138</v>
      </c>
      <c r="G9" s="865" t="str">
        <f>VLOOKUP($R$2,SISWA!$A:$AT,9)</f>
        <v>BANDUNG, 02 MEI 2008</v>
      </c>
      <c r="H9" s="865"/>
      <c r="I9" s="865"/>
      <c r="J9" s="865"/>
      <c r="K9" s="865"/>
      <c r="L9" s="865"/>
      <c r="M9" s="865"/>
      <c r="N9" s="865"/>
      <c r="O9" s="865"/>
      <c r="Q9" s="96"/>
      <c r="R9" s="98"/>
      <c r="S9" s="98"/>
      <c r="T9" s="98"/>
      <c r="U9" s="84"/>
    </row>
    <row r="10" spans="1:21" s="93" customFormat="1" ht="27" customHeight="1">
      <c r="B10" s="93" t="s">
        <v>143</v>
      </c>
      <c r="F10" s="94" t="s">
        <v>138</v>
      </c>
      <c r="G10" s="516" t="str">
        <f>VLOOKUP($R$2,SISWA!$A$6:$AT$55,6)</f>
        <v>L</v>
      </c>
      <c r="H10" s="516"/>
      <c r="I10" s="516"/>
      <c r="J10" s="516"/>
      <c r="K10" s="516"/>
      <c r="L10" s="516"/>
      <c r="M10" s="516"/>
      <c r="N10" s="516"/>
      <c r="O10" s="516"/>
      <c r="Q10" s="99"/>
      <c r="R10" s="99"/>
      <c r="S10" s="99"/>
      <c r="T10" s="99"/>
      <c r="U10" s="100"/>
    </row>
    <row r="11" spans="1:21" s="93" customFormat="1" ht="27" customHeight="1">
      <c r="B11" s="93" t="s">
        <v>144</v>
      </c>
      <c r="F11" s="94" t="s">
        <v>138</v>
      </c>
      <c r="G11" s="865" t="str">
        <f>VLOOKUP($R$2,SISWA!$A$6:$AT$55,7)</f>
        <v>Islam</v>
      </c>
      <c r="H11" s="865"/>
      <c r="I11" s="865"/>
      <c r="J11" s="865"/>
      <c r="K11" s="865"/>
      <c r="L11" s="865"/>
      <c r="M11" s="865"/>
      <c r="N11" s="865"/>
      <c r="Q11" s="99"/>
      <c r="R11" s="99"/>
      <c r="S11" s="99"/>
      <c r="T11" s="99"/>
      <c r="U11" s="100"/>
    </row>
    <row r="12" spans="1:21" s="93" customFormat="1" ht="27" customHeight="1">
      <c r="B12" s="93" t="s">
        <v>145</v>
      </c>
      <c r="F12" s="94" t="s">
        <v>138</v>
      </c>
      <c r="G12" s="865">
        <f>VLOOKUP($R$2,SISWA!$A$6:$AT$55,19)</f>
        <v>0</v>
      </c>
      <c r="H12" s="865"/>
      <c r="I12" s="865"/>
      <c r="J12" s="865"/>
      <c r="K12" s="865"/>
      <c r="L12" s="865"/>
      <c r="M12" s="865"/>
      <c r="N12" s="95"/>
      <c r="Q12" s="99"/>
      <c r="R12" s="99"/>
      <c r="S12" s="99"/>
      <c r="T12" s="99"/>
      <c r="U12" s="100"/>
    </row>
    <row r="13" spans="1:21" s="93" customFormat="1" ht="27" customHeight="1">
      <c r="B13" s="93" t="s">
        <v>146</v>
      </c>
      <c r="F13" s="94" t="s">
        <v>138</v>
      </c>
      <c r="G13" s="865">
        <f>VLOOKUP($R$2,SISWA!$A$6:$AT$55,15)</f>
        <v>0</v>
      </c>
      <c r="H13" s="865"/>
      <c r="I13" s="865"/>
      <c r="J13" s="865"/>
      <c r="K13" s="865"/>
      <c r="L13" s="865"/>
      <c r="M13" s="865"/>
      <c r="N13" s="865"/>
      <c r="O13" s="865"/>
      <c r="P13" s="865"/>
      <c r="Q13" s="99"/>
      <c r="R13" s="99"/>
      <c r="S13" s="99"/>
      <c r="T13" s="99"/>
      <c r="U13" s="100"/>
    </row>
    <row r="14" spans="1:21" s="93" customFormat="1" ht="27" customHeight="1">
      <c r="B14" s="93" t="s">
        <v>147</v>
      </c>
      <c r="F14" s="94"/>
      <c r="Q14" s="99"/>
      <c r="R14" s="99"/>
      <c r="S14" s="99"/>
      <c r="T14" s="99"/>
      <c r="U14" s="100"/>
    </row>
    <row r="15" spans="1:21" s="93" customFormat="1" ht="27" customHeight="1">
      <c r="C15" s="93" t="s">
        <v>148</v>
      </c>
      <c r="F15" s="94" t="s">
        <v>138</v>
      </c>
      <c r="G15" s="865">
        <f>VLOOKUP($R$2,SISWA!$A$6:$AT$55,20)</f>
        <v>0</v>
      </c>
      <c r="H15" s="865"/>
      <c r="I15" s="865"/>
      <c r="J15" s="865"/>
      <c r="K15" s="865"/>
      <c r="L15" s="865"/>
      <c r="M15" s="865"/>
      <c r="N15" s="865"/>
      <c r="Q15" s="99"/>
      <c r="R15" s="99"/>
      <c r="S15" s="99"/>
      <c r="T15" s="99"/>
      <c r="U15" s="100"/>
    </row>
    <row r="16" spans="1:21" s="93" customFormat="1" ht="27" customHeight="1">
      <c r="C16" s="93" t="s">
        <v>149</v>
      </c>
      <c r="F16" s="94" t="s">
        <v>138</v>
      </c>
      <c r="G16" s="865">
        <f>VLOOKUP($R$2,SISWA!$A$6:$AT$55,25)</f>
        <v>0</v>
      </c>
      <c r="H16" s="865"/>
      <c r="I16" s="865"/>
      <c r="J16" s="865"/>
      <c r="K16" s="865"/>
      <c r="L16" s="865"/>
      <c r="M16" s="865"/>
      <c r="N16" s="865"/>
      <c r="Q16" s="99"/>
      <c r="R16" s="99"/>
      <c r="S16" s="99"/>
      <c r="T16" s="99"/>
      <c r="U16" s="100"/>
    </row>
    <row r="17" spans="2:21" s="93" customFormat="1" ht="27" customHeight="1">
      <c r="B17" s="93" t="s">
        <v>150</v>
      </c>
      <c r="F17" s="94"/>
      <c r="Q17" s="99"/>
      <c r="R17" s="99"/>
      <c r="S17" s="99"/>
      <c r="T17" s="99"/>
      <c r="U17" s="100"/>
    </row>
    <row r="18" spans="2:21" s="93" customFormat="1" ht="27" customHeight="1">
      <c r="C18" s="93" t="s">
        <v>148</v>
      </c>
      <c r="F18" s="94" t="s">
        <v>138</v>
      </c>
      <c r="G18" s="865">
        <f>VLOOKUP($R$2,SISWA!$A$6:$AT$55,24)</f>
        <v>0</v>
      </c>
      <c r="H18" s="865"/>
      <c r="I18" s="865"/>
      <c r="J18" s="865"/>
      <c r="K18" s="865"/>
      <c r="L18" s="865"/>
      <c r="M18" s="865"/>
      <c r="N18" s="865"/>
      <c r="Q18" s="96"/>
      <c r="R18" s="96"/>
      <c r="S18" s="96"/>
      <c r="T18" s="96"/>
      <c r="U18" s="100"/>
    </row>
    <row r="19" spans="2:21" s="93" customFormat="1" ht="27" customHeight="1">
      <c r="C19" s="93" t="s">
        <v>149</v>
      </c>
      <c r="F19" s="94" t="s">
        <v>138</v>
      </c>
      <c r="G19" s="865">
        <f>VLOOKUP($R$2,SISWA!$A$6:$AT$55,29)</f>
        <v>0</v>
      </c>
      <c r="H19" s="865"/>
      <c r="I19" s="865"/>
      <c r="J19" s="865"/>
      <c r="K19" s="865"/>
      <c r="L19" s="865"/>
      <c r="M19" s="865"/>
      <c r="N19" s="865"/>
      <c r="Q19" s="101"/>
      <c r="R19" s="101"/>
      <c r="S19" s="101"/>
      <c r="T19" s="101"/>
      <c r="U19" s="100"/>
    </row>
    <row r="20" spans="2:21" s="93" customFormat="1" ht="27" customHeight="1">
      <c r="B20" s="93" t="s">
        <v>151</v>
      </c>
      <c r="F20" s="94"/>
      <c r="Q20" s="101"/>
      <c r="R20" s="101"/>
      <c r="S20" s="101"/>
      <c r="T20" s="101"/>
      <c r="U20" s="100"/>
    </row>
    <row r="21" spans="2:21" s="93" customFormat="1" ht="27" customHeight="1">
      <c r="C21" s="93" t="s">
        <v>38</v>
      </c>
      <c r="F21" s="94" t="s">
        <v>138</v>
      </c>
      <c r="G21" s="865">
        <f>VLOOKUP($R$2,SISWA!$A$6:$AT$55,30)</f>
        <v>0</v>
      </c>
      <c r="H21" s="865"/>
      <c r="I21" s="865"/>
      <c r="J21" s="865"/>
      <c r="K21" s="865"/>
      <c r="L21" s="865"/>
      <c r="M21" s="865"/>
      <c r="N21" s="865"/>
      <c r="Q21" s="101"/>
      <c r="R21" s="101"/>
      <c r="S21" s="101"/>
      <c r="T21" s="101"/>
      <c r="U21" s="100"/>
    </row>
    <row r="22" spans="2:21" s="93" customFormat="1" ht="27" customHeight="1">
      <c r="C22" s="93" t="s">
        <v>152</v>
      </c>
      <c r="F22" s="94" t="s">
        <v>138</v>
      </c>
      <c r="G22" s="865">
        <f>VLOOKUP($R$2,SISWA!$A$6:$AT$55,31)</f>
        <v>0</v>
      </c>
      <c r="H22" s="865"/>
      <c r="I22" s="865"/>
      <c r="J22" s="865"/>
      <c r="K22" s="865"/>
      <c r="L22" s="865"/>
      <c r="M22" s="865"/>
      <c r="N22" s="865"/>
      <c r="Q22" s="102"/>
      <c r="R22" s="102"/>
      <c r="S22" s="102"/>
      <c r="T22" s="102"/>
      <c r="U22" s="100"/>
    </row>
    <row r="23" spans="2:21" s="93" customFormat="1" ht="27" customHeight="1">
      <c r="C23" s="93" t="s">
        <v>153</v>
      </c>
      <c r="F23" s="94" t="s">
        <v>138</v>
      </c>
      <c r="G23" s="865">
        <f>VLOOKUP($R$2,SISWA!$A$6:$AT$55,32)</f>
        <v>0</v>
      </c>
      <c r="H23" s="865"/>
      <c r="I23" s="865"/>
      <c r="J23" s="865"/>
      <c r="K23" s="865"/>
      <c r="L23" s="865"/>
      <c r="M23" s="865"/>
      <c r="N23" s="865"/>
      <c r="Q23" s="102"/>
      <c r="R23" s="102"/>
      <c r="S23" s="102"/>
      <c r="T23" s="102"/>
      <c r="U23" s="100"/>
    </row>
    <row r="24" spans="2:21" s="93" customFormat="1" ht="27" customHeight="1">
      <c r="C24" s="93" t="s">
        <v>154</v>
      </c>
      <c r="F24" s="94" t="s">
        <v>138</v>
      </c>
      <c r="G24" s="865">
        <f>VLOOKUP($R$2,SISWA!$A$6:$AT$55,33)</f>
        <v>0</v>
      </c>
      <c r="H24" s="865"/>
      <c r="I24" s="865"/>
      <c r="J24" s="865"/>
      <c r="K24" s="865"/>
      <c r="L24" s="865"/>
      <c r="M24" s="865"/>
      <c r="N24" s="865"/>
      <c r="Q24" s="103"/>
      <c r="R24" s="103"/>
      <c r="S24" s="103"/>
      <c r="T24" s="103"/>
      <c r="U24" s="100"/>
    </row>
    <row r="25" spans="2:21" s="93" customFormat="1" ht="27" customHeight="1">
      <c r="C25" s="93" t="s">
        <v>156</v>
      </c>
      <c r="F25" s="94" t="s">
        <v>138</v>
      </c>
      <c r="G25" s="865">
        <f>VLOOKUP($R$2,SISWA!$A$6:$AT$55,34)</f>
        <v>0</v>
      </c>
      <c r="H25" s="865"/>
      <c r="I25" s="865"/>
      <c r="J25" s="865"/>
      <c r="K25" s="865"/>
      <c r="L25" s="865"/>
      <c r="M25" s="865"/>
      <c r="N25" s="865"/>
      <c r="Q25" s="103"/>
      <c r="R25" s="103"/>
      <c r="S25" s="103"/>
      <c r="T25" s="103"/>
      <c r="U25" s="100"/>
    </row>
    <row r="26" spans="2:21" s="93" customFormat="1" ht="27" customHeight="1">
      <c r="B26" s="93" t="s">
        <v>155</v>
      </c>
      <c r="F26" s="94"/>
      <c r="G26" s="516"/>
      <c r="H26" s="516"/>
      <c r="I26" s="516"/>
      <c r="J26" s="516"/>
      <c r="K26" s="516"/>
      <c r="L26" s="516"/>
      <c r="M26" s="516"/>
      <c r="N26" s="516"/>
      <c r="Q26" s="103"/>
      <c r="R26" s="103"/>
      <c r="S26" s="103"/>
      <c r="T26" s="103"/>
      <c r="U26" s="100"/>
    </row>
    <row r="27" spans="2:21" s="93" customFormat="1" ht="27" customHeight="1">
      <c r="C27" s="93" t="s">
        <v>157</v>
      </c>
      <c r="Q27" s="103"/>
      <c r="R27" s="103"/>
      <c r="S27" s="103"/>
      <c r="T27" s="103"/>
      <c r="U27" s="100"/>
    </row>
    <row r="28" spans="2:21" s="93" customFormat="1" ht="27" customHeight="1">
      <c r="C28" s="93" t="s">
        <v>158</v>
      </c>
      <c r="F28" s="94" t="s">
        <v>138</v>
      </c>
      <c r="G28" s="865">
        <f>VLOOKUP($R$2,SISWA!$A$6:$AT$55,36)</f>
        <v>0</v>
      </c>
      <c r="H28" s="865"/>
      <c r="I28" s="865"/>
      <c r="J28" s="865"/>
      <c r="K28" s="865"/>
      <c r="L28" s="865"/>
      <c r="M28" s="865"/>
      <c r="N28" s="865"/>
      <c r="Q28" s="103"/>
      <c r="R28" s="103"/>
      <c r="S28" s="103"/>
      <c r="T28" s="103"/>
      <c r="U28" s="100"/>
    </row>
    <row r="29" spans="2:21" s="93" customFormat="1" ht="27" customHeight="1">
      <c r="C29" s="93" t="s">
        <v>159</v>
      </c>
      <c r="F29" s="94" t="s">
        <v>138</v>
      </c>
      <c r="G29" s="865">
        <f>VLOOKUP($R$2,SISWA!$A$6:$AT$55,40)</f>
        <v>0</v>
      </c>
      <c r="H29" s="865"/>
      <c r="I29" s="865"/>
      <c r="J29" s="865"/>
      <c r="K29" s="865"/>
      <c r="L29" s="865"/>
      <c r="M29" s="865"/>
      <c r="N29" s="865"/>
      <c r="Q29" s="103"/>
      <c r="R29" s="103"/>
      <c r="S29" s="103"/>
      <c r="T29" s="103"/>
      <c r="U29" s="100"/>
    </row>
    <row r="30" spans="2:21" s="93" customFormat="1" ht="27" customHeight="1">
      <c r="C30" s="93" t="s">
        <v>160</v>
      </c>
      <c r="F30" s="94" t="s">
        <v>138</v>
      </c>
      <c r="G30" s="865">
        <f>VLOOKUP($R$2,SISWA!$A$6:$AT$55,41)</f>
        <v>0</v>
      </c>
      <c r="H30" s="865"/>
      <c r="I30" s="865"/>
      <c r="J30" s="865"/>
      <c r="K30" s="865"/>
      <c r="L30" s="865"/>
      <c r="M30" s="865"/>
      <c r="N30" s="865"/>
      <c r="Q30" s="103"/>
      <c r="R30" s="103"/>
      <c r="S30" s="103"/>
      <c r="T30" s="103"/>
      <c r="U30" s="100"/>
    </row>
    <row r="31" spans="2:21">
      <c r="F31" s="104"/>
      <c r="G31" s="95"/>
      <c r="H31" s="95"/>
      <c r="I31" s="95"/>
      <c r="J31" s="95"/>
      <c r="K31" s="95"/>
      <c r="L31" s="95"/>
      <c r="M31" s="95"/>
      <c r="N31" s="95"/>
      <c r="Q31" s="98"/>
      <c r="R31" s="98"/>
      <c r="S31" s="98"/>
      <c r="T31" s="98"/>
      <c r="U31" s="84"/>
    </row>
    <row r="32" spans="2:21">
      <c r="Q32" s="98"/>
      <c r="R32" s="98"/>
      <c r="S32" s="98"/>
      <c r="T32" s="98"/>
      <c r="U32" s="84"/>
    </row>
    <row r="33" spans="4:21" ht="24" thickBot="1">
      <c r="D33" s="105"/>
      <c r="E33" s="105"/>
      <c r="Q33" s="98"/>
      <c r="R33" s="98"/>
      <c r="S33" s="98"/>
      <c r="T33" s="98"/>
      <c r="U33" s="84"/>
    </row>
    <row r="34" spans="4:21">
      <c r="D34" s="106"/>
      <c r="E34" s="107"/>
      <c r="F34" s="108"/>
      <c r="J34" s="868" t="str">
        <f>DEPAN!E22</f>
        <v>Bandung, 21 Juni 2019</v>
      </c>
      <c r="K34" s="868"/>
      <c r="L34" s="868"/>
      <c r="M34" s="868"/>
      <c r="N34" s="868"/>
      <c r="O34" s="868"/>
      <c r="P34" s="868"/>
      <c r="Q34" s="98"/>
      <c r="R34" s="98"/>
      <c r="S34" s="98"/>
      <c r="T34" s="98"/>
      <c r="U34" s="84"/>
    </row>
    <row r="35" spans="4:21">
      <c r="D35" s="109"/>
      <c r="E35" s="105"/>
      <c r="F35" s="110"/>
      <c r="M35" s="85" t="s">
        <v>161</v>
      </c>
      <c r="Q35" s="98"/>
      <c r="R35" s="98"/>
      <c r="S35" s="98"/>
      <c r="T35" s="98"/>
      <c r="U35" s="84"/>
    </row>
    <row r="36" spans="4:21">
      <c r="D36" s="109"/>
      <c r="E36" s="105" t="s">
        <v>162</v>
      </c>
      <c r="F36" s="110"/>
      <c r="Q36" s="98"/>
      <c r="R36" s="98"/>
      <c r="S36" s="98"/>
      <c r="T36" s="98"/>
      <c r="U36" s="84"/>
    </row>
    <row r="37" spans="4:21">
      <c r="D37" s="109"/>
      <c r="E37" s="105"/>
      <c r="F37" s="110"/>
      <c r="Q37" s="98"/>
      <c r="R37" s="98"/>
      <c r="S37" s="98"/>
      <c r="T37" s="98"/>
      <c r="U37" s="84"/>
    </row>
    <row r="38" spans="4:21" ht="5.25" customHeight="1">
      <c r="D38" s="109"/>
      <c r="E38" s="105"/>
      <c r="F38" s="110"/>
      <c r="Q38" s="98"/>
      <c r="R38" s="98"/>
      <c r="S38" s="98"/>
      <c r="T38" s="98"/>
      <c r="U38" s="84"/>
    </row>
    <row r="39" spans="4:21" ht="5.25" customHeight="1">
      <c r="D39" s="109"/>
      <c r="E39" s="105"/>
      <c r="F39" s="110"/>
      <c r="Q39" s="98"/>
      <c r="R39" s="98"/>
      <c r="S39" s="98"/>
      <c r="T39" s="98"/>
      <c r="U39" s="84"/>
    </row>
    <row r="40" spans="4:21">
      <c r="D40" s="109"/>
      <c r="E40" s="105"/>
      <c r="F40" s="110"/>
      <c r="Q40" s="98"/>
      <c r="R40" s="98"/>
      <c r="S40" s="98"/>
      <c r="T40" s="98"/>
      <c r="U40" s="84"/>
    </row>
    <row r="41" spans="4:21" ht="24" thickBot="1">
      <c r="D41" s="111"/>
      <c r="E41" s="112"/>
      <c r="F41" s="113"/>
      <c r="K41" s="866" t="str">
        <f>DEPAN!E12</f>
        <v>Eyen Soleha SPd M.MPd</v>
      </c>
      <c r="L41" s="866"/>
      <c r="M41" s="866"/>
      <c r="N41" s="866"/>
      <c r="O41" s="866"/>
      <c r="P41" s="866"/>
      <c r="Q41" s="98"/>
      <c r="R41" s="98"/>
      <c r="S41" s="98"/>
      <c r="T41" s="98"/>
      <c r="U41" s="84"/>
    </row>
    <row r="42" spans="4:21">
      <c r="D42" s="105"/>
      <c r="E42" s="105"/>
      <c r="K42" s="867" t="str">
        <f>CONCATENATE("NIP. ",DEPAN!E13)</f>
        <v>NIP. 196409231983052001</v>
      </c>
      <c r="L42" s="867"/>
      <c r="M42" s="867"/>
      <c r="N42" s="867"/>
      <c r="O42" s="867"/>
      <c r="P42" s="867"/>
      <c r="Q42" s="98"/>
      <c r="R42" s="98"/>
      <c r="S42" s="98"/>
      <c r="T42" s="98"/>
      <c r="U42" s="84"/>
    </row>
    <row r="43" spans="4:21">
      <c r="Q43" s="98"/>
      <c r="R43" s="98"/>
      <c r="S43" s="98"/>
      <c r="T43" s="98"/>
      <c r="U43" s="84"/>
    </row>
    <row r="44" spans="4:21">
      <c r="U44" s="84"/>
    </row>
    <row r="45" spans="4:21">
      <c r="U45" s="84"/>
    </row>
    <row r="46" spans="4:21"/>
  </sheetData>
  <mergeCells count="21">
    <mergeCell ref="G15:N15"/>
    <mergeCell ref="G16:N16"/>
    <mergeCell ref="G18:N18"/>
    <mergeCell ref="G12:M12"/>
    <mergeCell ref="A4:P4"/>
    <mergeCell ref="G8:H8"/>
    <mergeCell ref="G11:N11"/>
    <mergeCell ref="G9:O9"/>
    <mergeCell ref="G13:P13"/>
    <mergeCell ref="G19:N19"/>
    <mergeCell ref="G30:N30"/>
    <mergeCell ref="K41:P41"/>
    <mergeCell ref="K42:P42"/>
    <mergeCell ref="J34:P34"/>
    <mergeCell ref="G29:N29"/>
    <mergeCell ref="G28:N28"/>
    <mergeCell ref="G21:N21"/>
    <mergeCell ref="G22:N22"/>
    <mergeCell ref="G23:N23"/>
    <mergeCell ref="G24:N24"/>
    <mergeCell ref="G25:N25"/>
  </mergeCells>
  <pageMargins left="0.5" right="0.15" top="0.45" bottom="0.75" header="0.3" footer="0.3"/>
  <pageSetup paperSize="9" scale="75"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pinner 1">
              <controlPr defaultSize="0" autoPict="0">
                <anchor moveWithCells="1" sizeWithCells="1">
                  <from>
                    <xdr:col>18</xdr:col>
                    <xdr:colOff>95250</xdr:colOff>
                    <xdr:row>1</xdr:row>
                    <xdr:rowOff>0</xdr:rowOff>
                  </from>
                  <to>
                    <xdr:col>18</xdr:col>
                    <xdr:colOff>552450</xdr:colOff>
                    <xdr:row>2</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Q117"/>
  <sheetViews>
    <sheetView view="pageBreakPreview" zoomScale="70" zoomScaleSheetLayoutView="70" workbookViewId="0">
      <selection sqref="A1:J1"/>
    </sheetView>
  </sheetViews>
  <sheetFormatPr defaultColWidth="0" defaultRowHeight="20.25" zeroHeight="1"/>
  <cols>
    <col min="1" max="1" width="5.28515625" style="115" customWidth="1"/>
    <col min="2" max="2" width="15.85546875" style="115" customWidth="1"/>
    <col min="3" max="4" width="2.7109375" style="115" customWidth="1"/>
    <col min="5" max="5" width="5.42578125" style="115" customWidth="1"/>
    <col min="6" max="6" width="32.7109375" style="115" customWidth="1"/>
    <col min="7" max="7" width="4.7109375" style="115" customWidth="1"/>
    <col min="8" max="8" width="9.5703125" style="115" customWidth="1"/>
    <col min="9" max="9" width="11.7109375" style="115" customWidth="1"/>
    <col min="10" max="10" width="29.140625" style="115" customWidth="1"/>
    <col min="11" max="12" width="2.28515625" style="115" customWidth="1"/>
    <col min="13" max="17" width="9.140625" style="115" customWidth="1"/>
    <col min="18" max="16384" width="9.140625" style="115" hidden="1"/>
  </cols>
  <sheetData>
    <row r="1" spans="1:13">
      <c r="A1" s="911" t="s">
        <v>163</v>
      </c>
      <c r="B1" s="911"/>
      <c r="C1" s="911"/>
      <c r="D1" s="911"/>
      <c r="E1" s="911"/>
      <c r="F1" s="911"/>
      <c r="G1" s="911"/>
      <c r="H1" s="911"/>
      <c r="I1" s="911"/>
      <c r="J1" s="911"/>
    </row>
    <row r="2" spans="1:13" ht="21" thickBot="1"/>
    <row r="3" spans="1:13" ht="30.75" customHeight="1">
      <c r="A3" s="116" t="s">
        <v>164</v>
      </c>
      <c r="B3" s="116"/>
      <c r="C3" s="116" t="s">
        <v>138</v>
      </c>
      <c r="D3" s="897" t="str">
        <f>VLOOKUP($M$3,REKAP!A:BS,3)</f>
        <v>ABDANI YAHYA</v>
      </c>
      <c r="E3" s="897"/>
      <c r="F3" s="897"/>
      <c r="H3" s="116" t="s">
        <v>286</v>
      </c>
      <c r="I3" s="117"/>
      <c r="J3" s="118" t="str">
        <f>DEPAN!E14</f>
        <v>5 (LIMA)-/2 (DUA)</v>
      </c>
      <c r="M3" s="895">
        <v>1</v>
      </c>
    </row>
    <row r="4" spans="1:13" ht="30.75" customHeight="1" thickBot="1">
      <c r="A4" s="116" t="s">
        <v>49</v>
      </c>
      <c r="B4" s="116"/>
      <c r="C4" s="116" t="s">
        <v>138</v>
      </c>
      <c r="D4" s="897" t="str">
        <f>VLOOKUP($M$3,REKAP!A:BS,2)</f>
        <v>1718250040305</v>
      </c>
      <c r="E4" s="897"/>
      <c r="F4" s="897"/>
      <c r="H4" s="116" t="s">
        <v>287</v>
      </c>
      <c r="I4" s="117"/>
      <c r="J4" s="118">
        <f>DEPAN!G14</f>
        <v>0</v>
      </c>
      <c r="M4" s="896"/>
    </row>
    <row r="5" spans="1:13" ht="30.75" customHeight="1">
      <c r="A5" s="116" t="s">
        <v>23</v>
      </c>
      <c r="B5" s="116"/>
      <c r="C5" s="116" t="s">
        <v>138</v>
      </c>
      <c r="D5" s="119" t="str">
        <f>DEPAN!E10</f>
        <v>SD NEGERI 250 JAKAPURWA</v>
      </c>
      <c r="E5" s="117"/>
      <c r="F5" s="117"/>
      <c r="H5" s="116" t="s">
        <v>165</v>
      </c>
      <c r="I5" s="117"/>
      <c r="J5" s="118"/>
    </row>
    <row r="6" spans="1:13" ht="30.75" customHeight="1">
      <c r="A6" s="116" t="s">
        <v>166</v>
      </c>
      <c r="B6" s="116"/>
      <c r="C6" s="116" t="s">
        <v>138</v>
      </c>
      <c r="D6" s="902" t="str">
        <f>DEPAN!E11</f>
        <v>Jln. Jakamulya no 16</v>
      </c>
      <c r="E6" s="902"/>
      <c r="F6" s="902"/>
      <c r="H6" s="119" t="s">
        <v>288</v>
      </c>
      <c r="I6" s="117"/>
      <c r="J6" s="118" t="str">
        <f>DEPAN!E15</f>
        <v>2018/2019</v>
      </c>
    </row>
    <row r="7" spans="1:13">
      <c r="A7" s="117"/>
      <c r="B7" s="117"/>
      <c r="C7" s="117"/>
      <c r="D7" s="902"/>
      <c r="E7" s="902"/>
      <c r="F7" s="902"/>
      <c r="G7" s="117"/>
      <c r="H7" s="117"/>
      <c r="I7" s="117"/>
      <c r="J7" s="117"/>
    </row>
    <row r="8" spans="1:13">
      <c r="A8" s="120" t="s">
        <v>167</v>
      </c>
    </row>
    <row r="9" spans="1:13">
      <c r="A9" s="898" t="s">
        <v>129</v>
      </c>
      <c r="B9" s="898"/>
      <c r="C9" s="898"/>
      <c r="D9" s="898"/>
      <c r="E9" s="898"/>
      <c r="F9" s="898"/>
      <c r="G9" s="898"/>
      <c r="H9" s="898"/>
      <c r="I9" s="898"/>
      <c r="J9" s="898"/>
    </row>
    <row r="10" spans="1:13" ht="114" customHeight="1">
      <c r="A10" s="121">
        <v>1</v>
      </c>
      <c r="B10" s="890" t="s">
        <v>168</v>
      </c>
      <c r="C10" s="890"/>
      <c r="D10" s="890"/>
      <c r="E10" s="899" t="str">
        <f>VLOOKUP($M$3,REKAP!A:BS,4)</f>
        <v xml:space="preserve">Ananda YAHYA baik dalam  ketaatan beribadah,  berperilaku syukur,  berdoa sebelum dan sesudah melakukan kegiatan,  toleransi dalam beribadah, </v>
      </c>
      <c r="F10" s="900"/>
      <c r="G10" s="900"/>
      <c r="H10" s="900"/>
      <c r="I10" s="900"/>
      <c r="J10" s="901"/>
    </row>
    <row r="11" spans="1:13" ht="112.5" customHeight="1">
      <c r="A11" s="121">
        <v>2</v>
      </c>
      <c r="B11" s="890" t="s">
        <v>169</v>
      </c>
      <c r="C11" s="890"/>
      <c r="D11" s="890"/>
      <c r="E11" s="899" t="str">
        <f>VLOOKUP($M$3,REKAP!A:BS,5)</f>
        <v xml:space="preserve">Ananda YAHYA baik dalam sikap jujur, disiplin, tanggung jawab, santun, peduli, percaya diri, </v>
      </c>
      <c r="F11" s="900"/>
      <c r="G11" s="900"/>
      <c r="H11" s="900"/>
      <c r="I11" s="900"/>
      <c r="J11" s="901"/>
    </row>
    <row r="12" spans="1:13">
      <c r="A12" s="122"/>
      <c r="B12" s="123"/>
      <c r="C12" s="123"/>
      <c r="D12" s="123"/>
      <c r="E12" s="123"/>
      <c r="F12" s="123"/>
      <c r="G12" s="123"/>
      <c r="H12" s="123"/>
      <c r="I12" s="123"/>
      <c r="J12" s="123"/>
    </row>
    <row r="13" spans="1:13">
      <c r="A13" s="120" t="s">
        <v>170</v>
      </c>
      <c r="B13" s="123"/>
      <c r="C13" s="123"/>
      <c r="D13" s="123"/>
      <c r="E13" s="123"/>
      <c r="F13" s="123"/>
      <c r="G13" s="123"/>
      <c r="H13" s="123"/>
      <c r="I13" s="123"/>
      <c r="J13" s="123"/>
    </row>
    <row r="14" spans="1:13"/>
    <row r="15" spans="1:13">
      <c r="A15" s="875" t="s">
        <v>26</v>
      </c>
      <c r="B15" s="875" t="s">
        <v>171</v>
      </c>
      <c r="C15" s="877" t="s">
        <v>172</v>
      </c>
      <c r="D15" s="878"/>
      <c r="E15" s="878"/>
      <c r="F15" s="879"/>
      <c r="G15" s="875" t="s">
        <v>173</v>
      </c>
      <c r="H15" s="875"/>
      <c r="I15" s="875"/>
      <c r="J15" s="875"/>
    </row>
    <row r="16" spans="1:13" ht="31.5">
      <c r="A16" s="875"/>
      <c r="B16" s="875"/>
      <c r="C16" s="880" t="s">
        <v>13</v>
      </c>
      <c r="D16" s="881"/>
      <c r="E16" s="135" t="s">
        <v>14</v>
      </c>
      <c r="F16" s="136" t="s">
        <v>129</v>
      </c>
      <c r="G16" s="136" t="s">
        <v>13</v>
      </c>
      <c r="H16" s="135" t="s">
        <v>14</v>
      </c>
      <c r="I16" s="880" t="s">
        <v>129</v>
      </c>
      <c r="J16" s="881"/>
    </row>
    <row r="17" spans="1:10" ht="268.5" customHeight="1">
      <c r="A17" s="121">
        <v>1</v>
      </c>
      <c r="B17" s="124" t="s">
        <v>214</v>
      </c>
      <c r="C17" s="882">
        <f>VLOOKUP($M$3,REKAP!A:BS,6)</f>
        <v>81</v>
      </c>
      <c r="D17" s="882"/>
      <c r="E17" s="124" t="str">
        <f>VLOOKUP($M$3,REKAP!A:BS,7)</f>
        <v>B</v>
      </c>
      <c r="F17" s="376" t="str">
        <f>VLOOKUP($M$3,REKAP!A:BS,8)</f>
        <v>YAHYA sangat baik  dalam memahami makna Q.S. at-Tīn dan Q.S. al-Mā’ūn dengan benar., dan  cukup baik  dalam memahami makna sederhana dalam kehidupan sehari-hari.</v>
      </c>
      <c r="G17" s="124">
        <f>VLOOKUP($M$3,REKAP!A:BS,39)</f>
        <v>90</v>
      </c>
      <c r="H17" s="124" t="str">
        <f>VLOOKUP($M$3,REKAP!A:BS,40)</f>
        <v>A</v>
      </c>
      <c r="I17" s="873" t="str">
        <f>VLOOKUP($M$3,REKAP!A:BS,41)</f>
        <v>YAHYA sangat baik  dalam membaca Q.S. at-Tīn dan Q.S. al-Mā’ūn dengan tartil.</v>
      </c>
      <c r="J17" s="874"/>
    </row>
    <row r="18" spans="1:10" ht="118.5" customHeight="1">
      <c r="A18" s="235"/>
      <c r="B18" s="236"/>
      <c r="C18" s="236"/>
      <c r="D18" s="236"/>
      <c r="E18" s="236"/>
      <c r="F18" s="237"/>
      <c r="G18" s="236"/>
      <c r="H18" s="236"/>
      <c r="I18" s="236"/>
      <c r="J18" s="238"/>
    </row>
    <row r="19" spans="1:10">
      <c r="A19" s="235"/>
      <c r="B19" s="236"/>
      <c r="C19" s="236"/>
      <c r="D19" s="236"/>
      <c r="E19" s="236"/>
      <c r="F19" s="237"/>
      <c r="G19" s="236"/>
      <c r="H19" s="236"/>
      <c r="I19" s="236"/>
      <c r="J19" s="238" t="str">
        <f>CONCATENATE($D$3,"    1")</f>
        <v>ABDANI YAHYA    1</v>
      </c>
    </row>
    <row r="20" spans="1:10">
      <c r="A20" s="875" t="s">
        <v>26</v>
      </c>
      <c r="B20" s="875" t="s">
        <v>171</v>
      </c>
      <c r="C20" s="877" t="s">
        <v>172</v>
      </c>
      <c r="D20" s="878"/>
      <c r="E20" s="878"/>
      <c r="F20" s="879"/>
      <c r="G20" s="913" t="s">
        <v>173</v>
      </c>
      <c r="H20" s="913"/>
      <c r="I20" s="913"/>
      <c r="J20" s="913"/>
    </row>
    <row r="21" spans="1:10" ht="31.5">
      <c r="A21" s="875"/>
      <c r="B21" s="875"/>
      <c r="C21" s="880" t="s">
        <v>13</v>
      </c>
      <c r="D21" s="881"/>
      <c r="E21" s="135" t="s">
        <v>14</v>
      </c>
      <c r="F21" s="136" t="s">
        <v>129</v>
      </c>
      <c r="G21" s="136" t="s">
        <v>13</v>
      </c>
      <c r="H21" s="135" t="s">
        <v>14</v>
      </c>
      <c r="I21" s="880" t="s">
        <v>129</v>
      </c>
      <c r="J21" s="881"/>
    </row>
    <row r="22" spans="1:10" ht="337.5" customHeight="1">
      <c r="A22" s="121">
        <v>2</v>
      </c>
      <c r="B22" s="124" t="s">
        <v>119</v>
      </c>
      <c r="C22" s="882">
        <f>VLOOKUP($M$3,REKAP!A:BS,9)</f>
        <v>95</v>
      </c>
      <c r="D22" s="882"/>
      <c r="E22" s="124" t="str">
        <f>VLOOKUP($M$3,REKAP!A:BS,10)</f>
        <v>A</v>
      </c>
      <c r="F22" s="377" t="str">
        <f>VLOOKUP($M$3,REKAP!A:BS,11)</f>
        <v xml:space="preserve">YAHYA sangat baik  dalam memahami hak, kewajiban dan tanggung jawab sebagai warga dalam kehidupan sehari-hari.
</v>
      </c>
      <c r="G22" s="124">
        <f>VLOOKUP($M$3,REKAP!A:BS,42)</f>
        <v>95</v>
      </c>
      <c r="H22" s="124" t="str">
        <f>VLOOKUP($M$3,REKAP!A:BS,43)</f>
        <v>A</v>
      </c>
      <c r="I22" s="873" t="str">
        <f>VLOOKUP($M$3,REKAP!A:BS,44)</f>
        <v>YAHYA sangat baik  dalam menjelaskan hak, kewajiban, dan tanggung  jawab sebagai warga masyarakat dalam kehidupan sehari-hari</v>
      </c>
      <c r="J22" s="874"/>
    </row>
    <row r="23" spans="1:10" ht="408.75" customHeight="1">
      <c r="A23" s="909">
        <v>3</v>
      </c>
      <c r="B23" s="903" t="s">
        <v>174</v>
      </c>
      <c r="C23" s="905">
        <f>VLOOKUP($M$3,REKAP!A:BS,12)</f>
        <v>93</v>
      </c>
      <c r="D23" s="906"/>
      <c r="E23" s="903" t="str">
        <f>VLOOKUP($M$3,REKAP!A:BS,13)</f>
        <v>A</v>
      </c>
      <c r="F23" s="918" t="str">
        <f>VLOOKUP($M$3,REKAP!A:BS,14)</f>
        <v>YAHYA sangat baik  dalam meringkas teks penjelasan (eksplanasi) dari media cetak atau elektronik.</v>
      </c>
      <c r="G23" s="903">
        <f>VLOOKUP($M$3,REKAP!A:BS,45)</f>
        <v>93</v>
      </c>
      <c r="H23" s="903" t="str">
        <f>VLOOKUP($M$3,REKAP!A:BS,46)</f>
        <v>A</v>
      </c>
      <c r="I23" s="914" t="str">
        <f>VLOOKUP($M$3,REKAP!A:BS,47)</f>
        <v xml:space="preserve">YAHYA sangat baik  dalam menyajikan ringkasan teks penjelasan (eksplanasi) dari media cetak atau elektronik dengan menggunakan kosakata baku dan kalimat efektif secara lisan, tulis, dan visual.
</v>
      </c>
      <c r="J23" s="915"/>
    </row>
    <row r="24" spans="1:10" ht="160.5" customHeight="1">
      <c r="A24" s="910"/>
      <c r="B24" s="904"/>
      <c r="C24" s="907"/>
      <c r="D24" s="908"/>
      <c r="E24" s="904"/>
      <c r="F24" s="919"/>
      <c r="G24" s="904"/>
      <c r="H24" s="904"/>
      <c r="I24" s="916"/>
      <c r="J24" s="917"/>
    </row>
    <row r="25" spans="1:10" ht="27" customHeight="1">
      <c r="A25" s="122"/>
      <c r="B25" s="239"/>
      <c r="C25" s="239"/>
      <c r="D25" s="239"/>
      <c r="E25" s="239"/>
      <c r="F25" s="240"/>
      <c r="G25" s="239"/>
      <c r="H25" s="239"/>
      <c r="I25" s="239"/>
      <c r="J25" s="240"/>
    </row>
    <row r="26" spans="1:10">
      <c r="A26" s="235"/>
      <c r="B26" s="236"/>
      <c r="C26" s="236"/>
      <c r="D26" s="236"/>
      <c r="E26" s="236"/>
      <c r="F26" s="237"/>
      <c r="G26" s="236"/>
      <c r="H26" s="236"/>
      <c r="I26" s="236"/>
      <c r="J26" s="238" t="str">
        <f>CONCATENATE($D$3,"    2")</f>
        <v>ABDANI YAHYA    2</v>
      </c>
    </row>
    <row r="27" spans="1:10">
      <c r="A27" s="875" t="s">
        <v>26</v>
      </c>
      <c r="B27" s="875" t="s">
        <v>171</v>
      </c>
      <c r="C27" s="877" t="s">
        <v>172</v>
      </c>
      <c r="D27" s="878"/>
      <c r="E27" s="878"/>
      <c r="F27" s="879"/>
      <c r="G27" s="875" t="s">
        <v>173</v>
      </c>
      <c r="H27" s="875"/>
      <c r="I27" s="875"/>
      <c r="J27" s="875"/>
    </row>
    <row r="28" spans="1:10" ht="31.5">
      <c r="A28" s="875"/>
      <c r="B28" s="875"/>
      <c r="C28" s="880" t="s">
        <v>13</v>
      </c>
      <c r="D28" s="881"/>
      <c r="E28" s="135" t="s">
        <v>14</v>
      </c>
      <c r="F28" s="136" t="s">
        <v>129</v>
      </c>
      <c r="G28" s="136" t="s">
        <v>13</v>
      </c>
      <c r="H28" s="135" t="s">
        <v>14</v>
      </c>
      <c r="I28" s="880" t="s">
        <v>129</v>
      </c>
      <c r="J28" s="881"/>
    </row>
    <row r="29" spans="1:10" ht="408.75" customHeight="1">
      <c r="A29" s="909">
        <v>4</v>
      </c>
      <c r="B29" s="903" t="s">
        <v>175</v>
      </c>
      <c r="C29" s="905">
        <f>VLOOKUP($M$3,REKAP!A:BS,15)</f>
        <v>85</v>
      </c>
      <c r="D29" s="906"/>
      <c r="E29" s="903" t="str">
        <f>VLOOKUP($M$3,REKAP!A:BS,16)</f>
        <v>B</v>
      </c>
      <c r="F29" s="918" t="str">
        <f>VLOOKUP($M$3,REKAP!A:BS,17)</f>
        <v xml:space="preserve">YAHYA baik  dalam menjelaskan, dan menentukan volume bangun ruang dengan menggunakan satuan volume (seperti kubus satuan) serta hubungan pangkat tiga dengan akar pangkat tiga
</v>
      </c>
      <c r="G29" s="903">
        <f>VLOOKUP($M$3,REKAP!A:BS,48)</f>
        <v>85</v>
      </c>
      <c r="H29" s="903" t="str">
        <f>VLOOKUP($M$3,REKAP!A:BS,49)</f>
        <v>B</v>
      </c>
      <c r="I29" s="914" t="str">
        <f>VLOOKUP($M$3,REKAP!A:BS,50)</f>
        <v xml:space="preserve">YAHYA baik  dalam menyelesaikan masalah yang berkaitan dengan volume bangun ruang dengan menggunakan satuan volume (seperti kubus satuan) melibatkan pangkat tiga dan akar pangkat tiga
</v>
      </c>
      <c r="J29" s="915"/>
    </row>
    <row r="30" spans="1:10" ht="113.25" customHeight="1">
      <c r="A30" s="910"/>
      <c r="B30" s="904"/>
      <c r="C30" s="907"/>
      <c r="D30" s="908"/>
      <c r="E30" s="904"/>
      <c r="F30" s="919"/>
      <c r="G30" s="904"/>
      <c r="H30" s="904"/>
      <c r="I30" s="916"/>
      <c r="J30" s="917"/>
    </row>
    <row r="31" spans="1:10" ht="341.25" customHeight="1">
      <c r="A31" s="121">
        <v>5</v>
      </c>
      <c r="B31" s="124" t="s">
        <v>208</v>
      </c>
      <c r="C31" s="882">
        <f>VLOOKUP($M$3,REKAP!A:BS,18)</f>
        <v>93</v>
      </c>
      <c r="D31" s="882"/>
      <c r="E31" s="124" t="str">
        <f>VLOOKUP($M$3,REKAP!A:BS,19)</f>
        <v>A</v>
      </c>
      <c r="F31" s="376" t="str">
        <f>VLOOKUP($M$3,REKAP!A:BS,20)</f>
        <v xml:space="preserve">YAHYA sangat baik  dalam menerapkan konsep perpindahan kalor dalam kehidupan sehari-hari.
</v>
      </c>
      <c r="G31" s="124">
        <f>VLOOKUP($M$3,REKAP!A:BS,51)</f>
        <v>93</v>
      </c>
      <c r="H31" s="124" t="str">
        <f>VLOOKUP($M$3,REKAP!A:BS,52)</f>
        <v>A</v>
      </c>
      <c r="I31" s="873" t="str">
        <f>VLOOKUP($M$3,REKAP!A:BS,53)</f>
        <v>YAHYA sangat baik  dalam melaporkan hasil pengamatan tentang perpindahan kalor.</v>
      </c>
      <c r="J31" s="874"/>
    </row>
    <row r="32" spans="1:10" ht="70.5" customHeight="1">
      <c r="A32" s="122"/>
      <c r="B32" s="239"/>
      <c r="C32" s="239"/>
      <c r="D32" s="239"/>
      <c r="E32" s="239"/>
      <c r="F32" s="240"/>
      <c r="G32" s="239"/>
      <c r="H32" s="239"/>
      <c r="I32" s="239"/>
      <c r="J32" s="240"/>
    </row>
    <row r="33" spans="1:10">
      <c r="A33" s="235"/>
      <c r="B33" s="236"/>
      <c r="C33" s="236"/>
      <c r="D33" s="236"/>
      <c r="E33" s="236"/>
      <c r="F33" s="237"/>
      <c r="G33" s="236"/>
      <c r="H33" s="236"/>
      <c r="I33" s="236"/>
      <c r="J33" s="238" t="str">
        <f>CONCATENATE($D$3,"    3")</f>
        <v>ABDANI YAHYA    3</v>
      </c>
    </row>
    <row r="34" spans="1:10">
      <c r="A34" s="875" t="s">
        <v>26</v>
      </c>
      <c r="B34" s="875" t="s">
        <v>171</v>
      </c>
      <c r="C34" s="877" t="s">
        <v>172</v>
      </c>
      <c r="D34" s="878"/>
      <c r="E34" s="878"/>
      <c r="F34" s="879"/>
      <c r="G34" s="875" t="s">
        <v>173</v>
      </c>
      <c r="H34" s="875"/>
      <c r="I34" s="875"/>
      <c r="J34" s="875"/>
    </row>
    <row r="35" spans="1:10" ht="31.5">
      <c r="A35" s="875"/>
      <c r="B35" s="875"/>
      <c r="C35" s="880" t="s">
        <v>13</v>
      </c>
      <c r="D35" s="881"/>
      <c r="E35" s="135" t="s">
        <v>14</v>
      </c>
      <c r="F35" s="136" t="s">
        <v>129</v>
      </c>
      <c r="G35" s="136" t="s">
        <v>13</v>
      </c>
      <c r="H35" s="135" t="s">
        <v>14</v>
      </c>
      <c r="I35" s="880" t="s">
        <v>129</v>
      </c>
      <c r="J35" s="881"/>
    </row>
    <row r="36" spans="1:10" ht="321.75" customHeight="1">
      <c r="A36" s="121">
        <v>6</v>
      </c>
      <c r="B36" s="125" t="s">
        <v>209</v>
      </c>
      <c r="C36" s="882">
        <f>VLOOKUP($M$3,REKAP!A:BS,21)</f>
        <v>88</v>
      </c>
      <c r="D36" s="882"/>
      <c r="E36" s="124" t="str">
        <f>VLOOKUP($M$3,REKAP!A:BS,22)</f>
        <v>A</v>
      </c>
      <c r="F36" s="376" t="str">
        <f>VLOOKUP($M$3,REKAP!A:BS,23)</f>
        <v>YAHYA sangat baik  dalam Mengidentifikasi karakteristik geografis Indonesia sebagai negara kepulauan/maritim dan agraris serta pengaruhnya terhadap kehidupan ekonomi, sosial, budaya, komunikasi, serta transportasi.</v>
      </c>
      <c r="G36" s="124">
        <f>VLOOKUP($M$3,REKAP!A:BS,54)</f>
        <v>88</v>
      </c>
      <c r="H36" s="124" t="str">
        <f>VLOOKUP($M$3,REKAP!A:BS,55)</f>
        <v>A</v>
      </c>
      <c r="I36" s="873" t="str">
        <f>VLOOKUP($M$3,REKAP!A:BS,56)</f>
        <v>YAHYA sangat baik  dalam menyajikan hasil identifikasi karakteristik geografis Indonesia sebagai negara kepulauan/maritim dan agraris serta pengaruhnya terhadap kehidupan ekonomi, sosial, budaya, komunikasi, serta transportasi.</v>
      </c>
      <c r="J36" s="874"/>
    </row>
    <row r="37" spans="1:10" ht="230.25" customHeight="1">
      <c r="A37" s="121">
        <v>7</v>
      </c>
      <c r="B37" s="125" t="s">
        <v>215</v>
      </c>
      <c r="C37" s="882">
        <f>VLOOKUP($M$3,REKAP!A:BS,24)</f>
        <v>95</v>
      </c>
      <c r="D37" s="882"/>
      <c r="E37" s="124" t="str">
        <f>VLOOKUP($M$3,REKAP!A:BS,25)</f>
        <v>A</v>
      </c>
      <c r="F37" s="376" t="str">
        <f>VLOOKUP($M$3,REKAP!A:BS,26)</f>
        <v>YAHYA sangat baik  dalam memahami gambar cerita</v>
      </c>
      <c r="G37" s="124">
        <f>VLOOKUP($M$3,REKAP!A:BS,57)</f>
        <v>95</v>
      </c>
      <c r="H37" s="124" t="str">
        <f>VLOOKUP($M$3,REKAP!A:BS,58)</f>
        <v>A</v>
      </c>
      <c r="I37" s="873" t="str">
        <f>VLOOKUP($M$3,REKAP!A:BS,59)</f>
        <v>YAHYA sangat baik  dalam membuat gambar cerita</v>
      </c>
      <c r="J37" s="874"/>
    </row>
    <row r="38" spans="1:10" ht="354" customHeight="1">
      <c r="A38" s="121">
        <v>8</v>
      </c>
      <c r="B38" s="124" t="s">
        <v>123</v>
      </c>
      <c r="C38" s="882">
        <f>VLOOKUP($M$3,REKAP!A:BS,27)</f>
        <v>89</v>
      </c>
      <c r="D38" s="882"/>
      <c r="E38" s="124" t="str">
        <f>VLOOKUP($M$3,REKAP!A:BS,28)</f>
        <v>A</v>
      </c>
      <c r="F38" s="376" t="str">
        <f>VLOOKUP($M$3,REKAP!A:BS,29)</f>
        <v xml:space="preserve">YAHYA sangat baik  dalam memahami kombinasi pola gerak dominan (bertumpu, bergantung, keseimbangan, berpindah/lokomotor, tolakan, putaran, ayunan, melayang, dan mendarat) untuk membentuk keterampilan dasar senam menggunakan alat
</v>
      </c>
      <c r="G38" s="124">
        <f>VLOOKUP($M$3,REKAP!A:BS,60)</f>
        <v>89</v>
      </c>
      <c r="H38" s="124" t="str">
        <f>VLOOKUP($M$3,REKAP!A:BS,61)</f>
        <v>A</v>
      </c>
      <c r="I38" s="873" t="str">
        <f>VLOOKUP($M$3,REKAP!A:BS,62)</f>
        <v>YAHYA sangat baik  dalam mempraktikkan salah satu gaya renang dengan koordinasi yang baik pada jarak tertentu, dan  baik  dalam memaparkan bahaya merokok, meminum minuman keras, dan mengonsumsi narkotika, zat-zat aditif (NAPZA) dan obat berbahaya lainnya terhadap kesehatan tubuh</v>
      </c>
      <c r="J38" s="874"/>
    </row>
    <row r="39" spans="1:10" ht="43.5" customHeight="1">
      <c r="A39" s="122"/>
      <c r="B39" s="239"/>
      <c r="C39" s="239"/>
      <c r="D39" s="239"/>
      <c r="E39" s="239"/>
      <c r="F39" s="240"/>
      <c r="G39" s="239"/>
      <c r="H39" s="239"/>
      <c r="I39" s="239"/>
      <c r="J39" s="240"/>
    </row>
    <row r="40" spans="1:10">
      <c r="A40" s="235"/>
      <c r="B40" s="236"/>
      <c r="C40" s="236"/>
      <c r="D40" s="236"/>
      <c r="E40" s="236"/>
      <c r="F40" s="237"/>
      <c r="G40" s="236"/>
      <c r="H40" s="236"/>
      <c r="I40" s="236"/>
      <c r="J40" s="238" t="str">
        <f>CONCATENATE($D$3,"    4")</f>
        <v>ABDANI YAHYA    4</v>
      </c>
    </row>
    <row r="41" spans="1:10">
      <c r="A41" s="126"/>
      <c r="B41" s="127"/>
      <c r="C41" s="127"/>
      <c r="D41" s="127"/>
      <c r="E41" s="127"/>
      <c r="F41" s="128"/>
      <c r="G41" s="127"/>
      <c r="H41" s="127"/>
      <c r="I41" s="127"/>
      <c r="J41" s="128"/>
    </row>
    <row r="42" spans="1:10" ht="19.5" customHeight="1">
      <c r="A42" s="876" t="s">
        <v>176</v>
      </c>
      <c r="B42" s="876"/>
      <c r="C42" s="876"/>
      <c r="D42" s="876"/>
      <c r="E42" s="876"/>
      <c r="F42" s="876"/>
      <c r="G42" s="876"/>
      <c r="H42" s="876"/>
      <c r="I42" s="876"/>
      <c r="J42" s="876"/>
    </row>
    <row r="43" spans="1:10">
      <c r="A43" s="875" t="s">
        <v>26</v>
      </c>
      <c r="B43" s="875" t="s">
        <v>171</v>
      </c>
      <c r="C43" s="877" t="s">
        <v>172</v>
      </c>
      <c r="D43" s="878"/>
      <c r="E43" s="878"/>
      <c r="F43" s="879"/>
      <c r="G43" s="875" t="s">
        <v>173</v>
      </c>
      <c r="H43" s="875"/>
      <c r="I43" s="875"/>
      <c r="J43" s="875"/>
    </row>
    <row r="44" spans="1:10" ht="31.5">
      <c r="A44" s="875"/>
      <c r="B44" s="875"/>
      <c r="C44" s="880" t="s">
        <v>13</v>
      </c>
      <c r="D44" s="881"/>
      <c r="E44" s="135" t="s">
        <v>14</v>
      </c>
      <c r="F44" s="136" t="s">
        <v>129</v>
      </c>
      <c r="G44" s="136" t="s">
        <v>13</v>
      </c>
      <c r="H44" s="135" t="s">
        <v>14</v>
      </c>
      <c r="I44" s="880" t="s">
        <v>129</v>
      </c>
      <c r="J44" s="881"/>
    </row>
    <row r="45" spans="1:10" ht="264" customHeight="1">
      <c r="A45" s="121">
        <v>9</v>
      </c>
      <c r="B45" s="124" t="str">
        <f>KKM!X7</f>
        <v>BAHASA dan SASTRA SUNDA</v>
      </c>
      <c r="C45" s="882">
        <f>VLOOKUP($M$3,REKAP!A:BS,30)</f>
        <v>85</v>
      </c>
      <c r="D45" s="882"/>
      <c r="E45" s="124" t="str">
        <f>VLOOKUP($M$3,REKAP!A:BS,31)</f>
        <v>B</v>
      </c>
      <c r="F45" s="377" t="str">
        <f>VLOOKUP($M$3,REKAP!A:BS,32)</f>
        <v>YAHYA baik  dalam memahami teks kawih tentang bangga sebagai bangsa Indonesia</v>
      </c>
      <c r="G45" s="124">
        <f>VLOOKUP($M$3,REKAP!A:BS,63)</f>
        <v>85</v>
      </c>
      <c r="H45" s="124" t="str">
        <f>VLOOKUP($M$3,REKAP!A:BS,64)</f>
        <v>B</v>
      </c>
      <c r="I45" s="873" t="str">
        <f>VLOOKUP($M$3,REKAP!A:BS,65)</f>
        <v>YAHYA baik  dalam melantunkan dan menceritakan isi kawih tentang bangga sebagai bangsa Indonesia</v>
      </c>
      <c r="J45" s="874"/>
    </row>
    <row r="46" spans="1:10" ht="256.5" customHeight="1">
      <c r="A46" s="121">
        <v>10</v>
      </c>
      <c r="B46" s="262" t="str">
        <f>KKM!X8</f>
        <v>PLH</v>
      </c>
      <c r="C46" s="882">
        <f>VLOOKUP($M$3,REKAP!A:BS,33)</f>
        <v>97</v>
      </c>
      <c r="D46" s="882"/>
      <c r="E46" s="124" t="str">
        <f>VLOOKUP($M$3,REKAP!A:BS,34)</f>
        <v>A</v>
      </c>
      <c r="F46" s="377" t="str">
        <f>VLOOKUP($M$3,REKAP!A:BS,35)</f>
        <v xml:space="preserve">YAHYA sangat baik  dalam merespon instruksi sangat sederhana dengan tindakan secara berterima dalam konteks sekolah  </v>
      </c>
      <c r="G46" s="124">
        <f>VLOOKUP($M$3,REKAP!A:BS,66)</f>
        <v>97</v>
      </c>
      <c r="H46" s="124" t="str">
        <f>VLOOKUP($M$3,REKAP!A:BS,67)</f>
        <v>A</v>
      </c>
      <c r="I46" s="873" t="str">
        <f>VLOOKUP($M$3,REKAP!A:BS,68)</f>
        <v>YAHYA sangat baik  dalam memahami langkah-langkah pengawasan kelestarian lingkungan hidup</v>
      </c>
      <c r="J46" s="874"/>
    </row>
    <row r="47" spans="1:10" ht="187.5" customHeight="1">
      <c r="A47" s="121">
        <v>11</v>
      </c>
      <c r="B47" s="262" t="str">
        <f>KKM!X9</f>
        <v>BAHASA INGGRIS</v>
      </c>
      <c r="C47" s="882">
        <f>VLOOKUP($M$3,REKAP!A:BS,36)</f>
        <v>97</v>
      </c>
      <c r="D47" s="882"/>
      <c r="E47" s="124" t="str">
        <f>VLOOKUP($M$3,REKAP!A:BS,37)</f>
        <v>A</v>
      </c>
      <c r="F47" s="377" t="str">
        <f>VLOOKUP($M$3,REKAP!A:BS,38)</f>
        <v xml:space="preserve">YAHYA sangat baik  dalam merespon instruksi sangat sederhana dengan tindakan secara berterima dalam konteks sekolah  , dan  sangat baik  dalam membaca nyaring dengan ucapan, tekanan, dan intonasi secara tepat dan berterima yang melibatkan: kata, frasa, kalimat sangat sederhana, dan teks sangat sederhana 
</v>
      </c>
      <c r="G47" s="124">
        <f>VLOOKUP($M$3,REKAP!A:BS,69)</f>
        <v>95</v>
      </c>
      <c r="H47" s="124" t="str">
        <f>VLOOKUP($M$3,REKAP!A:BS,70)</f>
        <v>A</v>
      </c>
      <c r="I47" s="873" t="str">
        <f>VLOOKUP($M$3,REKAP!A:BS,71)</f>
        <v xml:space="preserve">YAHYA sangat baik  dalam merespon instruksi sangat sederhana dengan tindakan secara berterima dalam konteks sekolah  </v>
      </c>
      <c r="J47" s="874"/>
    </row>
    <row r="48" spans="1:10"/>
    <row r="49" spans="1:10">
      <c r="A49" s="129" t="s">
        <v>177</v>
      </c>
    </row>
    <row r="50" spans="1:10">
      <c r="A50" s="121" t="s">
        <v>26</v>
      </c>
      <c r="B50" s="883" t="s">
        <v>544</v>
      </c>
      <c r="C50" s="883"/>
      <c r="D50" s="883"/>
      <c r="E50" s="883"/>
      <c r="F50" s="883" t="s">
        <v>178</v>
      </c>
      <c r="G50" s="883"/>
      <c r="H50" s="883"/>
      <c r="I50" s="883"/>
      <c r="J50" s="883"/>
    </row>
    <row r="51" spans="1:10">
      <c r="A51" s="121">
        <v>1</v>
      </c>
      <c r="B51" s="890" t="s">
        <v>179</v>
      </c>
      <c r="C51" s="890"/>
      <c r="D51" s="890"/>
      <c r="E51" s="890"/>
      <c r="F51" s="899" t="str">
        <f>VLOOKUP($M$3,ABSEN!A7:W56,4)</f>
        <v>baik</v>
      </c>
      <c r="G51" s="900" t="e">
        <f>VLOOKUP($D$4,[1]REKAP!$B$6:$CK$41,82,FALSE)</f>
        <v>#N/A</v>
      </c>
      <c r="H51" s="900" t="e">
        <f>VLOOKUP($D$4,[1]REKAP!$B$6:$CK$41,82,FALSE)</f>
        <v>#N/A</v>
      </c>
      <c r="I51" s="900"/>
      <c r="J51" s="901" t="e">
        <f>VLOOKUP($D$4,[1]REKAP!$B$6:$CK$41,82,FALSE)</f>
        <v>#N/A</v>
      </c>
    </row>
    <row r="52" spans="1:10">
      <c r="A52" s="121">
        <v>2</v>
      </c>
      <c r="B52" s="890">
        <f>VLOOKUP($M$3,ABSEN!A7:W56,5)</f>
        <v>0</v>
      </c>
      <c r="C52" s="890" t="e">
        <f>VLOOKUP($D$4,[1]REKAP!$B$6:$CK$41,82,FALSE)</f>
        <v>#N/A</v>
      </c>
      <c r="D52" s="890" t="e">
        <f>VLOOKUP($D$4,[1]REKAP!$B$6:$CK$41,82,FALSE)</f>
        <v>#N/A</v>
      </c>
      <c r="E52" s="890" t="e">
        <f>VLOOKUP($D$4,[1]REKAP!$B$6:$CK$41,82,FALSE)</f>
        <v>#N/A</v>
      </c>
      <c r="F52" s="890">
        <f>VLOOKUP($M$3,ABSEN!A7:W56,6)</f>
        <v>0</v>
      </c>
      <c r="G52" s="890" t="e">
        <f>VLOOKUP($D$4,[1]REKAP!$B$6:$CK$41,82,FALSE)</f>
        <v>#N/A</v>
      </c>
      <c r="H52" s="890" t="e">
        <f>VLOOKUP($D$4,[1]REKAP!$B$6:$CK$41,82,FALSE)</f>
        <v>#N/A</v>
      </c>
      <c r="I52" s="890"/>
      <c r="J52" s="890" t="e">
        <f>VLOOKUP($D$4,[1]REKAP!$B$6:$CK$41,82,FALSE)</f>
        <v>#N/A</v>
      </c>
    </row>
    <row r="53" spans="1:10">
      <c r="A53" s="121">
        <v>3</v>
      </c>
      <c r="B53" s="912">
        <f>VLOOKUP($M$3,ABSEN!A7:W56,7)</f>
        <v>0</v>
      </c>
      <c r="C53" s="912" t="e">
        <f>VLOOKUP($D$4,[1]REKAP!$B$6:$CK$41,82,FALSE)</f>
        <v>#N/A</v>
      </c>
      <c r="D53" s="912" t="e">
        <f>VLOOKUP($D$4,[1]REKAP!$B$6:$CK$41,82,FALSE)</f>
        <v>#N/A</v>
      </c>
      <c r="E53" s="912" t="e">
        <f>VLOOKUP($D$4,[1]REKAP!$B$6:$CK$41,82,FALSE)</f>
        <v>#N/A</v>
      </c>
      <c r="F53" s="912">
        <f>VLOOKUP($M$3,ABSEN!A7:W56,8)</f>
        <v>0</v>
      </c>
      <c r="G53" s="912" t="e">
        <f>VLOOKUP($D$4,[1]REKAP!$B$6:$CK$41,82,FALSE)</f>
        <v>#N/A</v>
      </c>
      <c r="H53" s="912" t="e">
        <f>VLOOKUP($D$4,[1]REKAP!$B$6:$CK$41,82,FALSE)</f>
        <v>#N/A</v>
      </c>
      <c r="I53" s="912"/>
      <c r="J53" s="912" t="e">
        <f>VLOOKUP($D$4,[1]REKAP!$B$6:$CK$41,82,FALSE)</f>
        <v>#N/A</v>
      </c>
    </row>
    <row r="54" spans="1:10"/>
    <row r="55" spans="1:10" ht="33.75" customHeight="1">
      <c r="A55" s="122"/>
      <c r="B55" s="239"/>
      <c r="C55" s="239"/>
      <c r="D55" s="239"/>
      <c r="E55" s="239"/>
      <c r="F55" s="240"/>
      <c r="G55" s="239"/>
      <c r="H55" s="239"/>
      <c r="I55" s="239"/>
      <c r="J55" s="240"/>
    </row>
    <row r="56" spans="1:10">
      <c r="A56" s="235"/>
      <c r="B56" s="236"/>
      <c r="C56" s="236"/>
      <c r="D56" s="236"/>
      <c r="E56" s="236"/>
      <c r="F56" s="237"/>
      <c r="G56" s="236"/>
      <c r="H56" s="236"/>
      <c r="I56" s="236"/>
      <c r="J56" s="238" t="str">
        <f>CONCATENATE($D$3,"    5")</f>
        <v>ABDANI YAHYA    5</v>
      </c>
    </row>
    <row r="57" spans="1:10">
      <c r="A57" s="129" t="s">
        <v>180</v>
      </c>
    </row>
    <row r="58" spans="1:10" ht="62.25" customHeight="1">
      <c r="A58" s="899" t="str">
        <f>VLOOKUP($M$3,ABSEN!A7:W56,12)</f>
        <v xml:space="preserve">Alhamdulillah, ananda selama satu semester ini sudah banyak peningkatan dalam prestasi belajarnya, mohon ditingkatkan lagi prestasinya. Jangan lupa sholat lima waktu dan selalu berdo'a. </v>
      </c>
      <c r="B58" s="900"/>
      <c r="C58" s="900"/>
      <c r="D58" s="900"/>
      <c r="E58" s="900"/>
      <c r="F58" s="900"/>
      <c r="G58" s="900"/>
      <c r="H58" s="900"/>
      <c r="I58" s="900"/>
      <c r="J58" s="901"/>
    </row>
    <row r="59" spans="1:10"/>
    <row r="60" spans="1:10">
      <c r="A60" s="129" t="s">
        <v>181</v>
      </c>
    </row>
    <row r="61" spans="1:10">
      <c r="A61" s="883" t="s">
        <v>26</v>
      </c>
      <c r="B61" s="883" t="s">
        <v>182</v>
      </c>
      <c r="C61" s="883"/>
      <c r="D61" s="883"/>
      <c r="E61" s="883"/>
      <c r="F61" s="883"/>
      <c r="G61" s="883" t="s">
        <v>24</v>
      </c>
      <c r="H61" s="883"/>
      <c r="I61" s="883"/>
      <c r="J61" s="883"/>
    </row>
    <row r="62" spans="1:10">
      <c r="A62" s="883"/>
      <c r="B62" s="883"/>
      <c r="C62" s="883"/>
      <c r="D62" s="883"/>
      <c r="E62" s="883"/>
      <c r="F62" s="883"/>
      <c r="G62" s="884">
        <v>1</v>
      </c>
      <c r="H62" s="885"/>
      <c r="I62" s="886"/>
      <c r="J62" s="121">
        <v>2</v>
      </c>
    </row>
    <row r="63" spans="1:10" ht="26.25" customHeight="1">
      <c r="A63" s="121">
        <v>1</v>
      </c>
      <c r="B63" s="890" t="s">
        <v>184</v>
      </c>
      <c r="C63" s="890"/>
      <c r="D63" s="890"/>
      <c r="E63" s="890"/>
      <c r="F63" s="890"/>
      <c r="G63" s="884" t="str">
        <f>VLOOKUP($M$3,ABSEN!A7:W56,13)</f>
        <v>150 cm</v>
      </c>
      <c r="H63" s="885"/>
      <c r="I63" s="886"/>
      <c r="J63" s="130"/>
    </row>
    <row r="64" spans="1:10" ht="26.25" customHeight="1">
      <c r="A64" s="121">
        <v>2</v>
      </c>
      <c r="B64" s="890" t="s">
        <v>183</v>
      </c>
      <c r="C64" s="890"/>
      <c r="D64" s="890"/>
      <c r="E64" s="890"/>
      <c r="F64" s="890"/>
      <c r="G64" s="884" t="str">
        <f>VLOOKUP($M$3,ABSEN!A7:W56,14)</f>
        <v>54 kg</v>
      </c>
      <c r="H64" s="885"/>
      <c r="I64" s="886"/>
      <c r="J64" s="130"/>
    </row>
    <row r="65" spans="1:10" ht="12" customHeight="1"/>
    <row r="66" spans="1:10">
      <c r="A66" s="129" t="s">
        <v>185</v>
      </c>
    </row>
    <row r="67" spans="1:10">
      <c r="A67" s="131" t="s">
        <v>26</v>
      </c>
      <c r="B67" s="889" t="s">
        <v>186</v>
      </c>
      <c r="C67" s="889"/>
      <c r="D67" s="889"/>
      <c r="E67" s="889"/>
      <c r="F67" s="889" t="s">
        <v>84</v>
      </c>
      <c r="G67" s="889"/>
      <c r="H67" s="889"/>
      <c r="I67" s="889"/>
      <c r="J67" s="889"/>
    </row>
    <row r="68" spans="1:10" ht="27" customHeight="1">
      <c r="A68" s="121">
        <v>1</v>
      </c>
      <c r="B68" s="891" t="s">
        <v>80</v>
      </c>
      <c r="C68" s="891"/>
      <c r="D68" s="891"/>
      <c r="E68" s="891"/>
      <c r="F68" s="892" t="str">
        <f>VLOOKUP($M$3,ABSEN!A7:W56,17)</f>
        <v>Baik, normal</v>
      </c>
      <c r="G68" s="892" t="e">
        <f>VLOOKUP($D$4,[1]REKAP!$B$6:$CK$41,82,FALSE)</f>
        <v>#N/A</v>
      </c>
      <c r="H68" s="892" t="e">
        <f>VLOOKUP($D$4,[1]REKAP!$B$6:$CK$41,82,FALSE)</f>
        <v>#N/A</v>
      </c>
      <c r="I68" s="892"/>
      <c r="J68" s="892" t="e">
        <f>VLOOKUP($D$4,[1]REKAP!$B$6:$CK$41,82,FALSE)</f>
        <v>#N/A</v>
      </c>
    </row>
    <row r="69" spans="1:10" ht="27" customHeight="1">
      <c r="A69" s="121">
        <v>2</v>
      </c>
      <c r="B69" s="891" t="s">
        <v>81</v>
      </c>
      <c r="C69" s="891"/>
      <c r="D69" s="891"/>
      <c r="E69" s="891"/>
      <c r="F69" s="892" t="str">
        <f>VLOOKUP($M$3,ABSEN!A7:W56,18)</f>
        <v>Baik, normal</v>
      </c>
      <c r="G69" s="892" t="e">
        <f>VLOOKUP($D$4,[1]REKAP!$B$6:$CK$41,82,FALSE)</f>
        <v>#N/A</v>
      </c>
      <c r="H69" s="892" t="e">
        <f>VLOOKUP($D$4,[1]REKAP!$B$6:$CK$41,82,FALSE)</f>
        <v>#N/A</v>
      </c>
      <c r="I69" s="892"/>
      <c r="J69" s="892" t="e">
        <f>VLOOKUP($D$4,[1]REKAP!$B$6:$CK$41,82,FALSE)</f>
        <v>#N/A</v>
      </c>
    </row>
    <row r="70" spans="1:10" ht="27" customHeight="1">
      <c r="A70" s="121">
        <v>3</v>
      </c>
      <c r="B70" s="891" t="s">
        <v>82</v>
      </c>
      <c r="C70" s="891"/>
      <c r="D70" s="891"/>
      <c r="E70" s="891"/>
      <c r="F70" s="892" t="str">
        <f>VLOOKUP($M$3,ABSEN!A7:W56,19)</f>
        <v>Bagus</v>
      </c>
      <c r="G70" s="892" t="e">
        <f>VLOOKUP($D$4,[1]REKAP!$B$6:$CK$41,82,FALSE)</f>
        <v>#N/A</v>
      </c>
      <c r="H70" s="892" t="e">
        <f>VLOOKUP($D$4,[1]REKAP!$B$6:$CK$41,82,FALSE)</f>
        <v>#N/A</v>
      </c>
      <c r="I70" s="892"/>
      <c r="J70" s="892" t="e">
        <f>VLOOKUP($D$4,[1]REKAP!$B$6:$CK$41,82,FALSE)</f>
        <v>#N/A</v>
      </c>
    </row>
    <row r="71" spans="1:10" ht="12" customHeight="1"/>
    <row r="72" spans="1:10">
      <c r="A72" s="129" t="s">
        <v>187</v>
      </c>
    </row>
    <row r="73" spans="1:10">
      <c r="A73" s="131" t="s">
        <v>26</v>
      </c>
      <c r="B73" s="889" t="s">
        <v>188</v>
      </c>
      <c r="C73" s="889"/>
      <c r="D73" s="889"/>
      <c r="E73" s="889"/>
      <c r="F73" s="889" t="s">
        <v>84</v>
      </c>
      <c r="G73" s="889"/>
      <c r="H73" s="889"/>
      <c r="I73" s="889"/>
      <c r="J73" s="889"/>
    </row>
    <row r="74" spans="1:10" ht="24.75" customHeight="1">
      <c r="A74" s="121">
        <v>1</v>
      </c>
      <c r="B74" s="894">
        <f>VLOOKUP($M$3,ABSEN!A7:W56,20)</f>
        <v>0</v>
      </c>
      <c r="C74" s="894" t="e">
        <f>VLOOKUP($D$4,[1]REKAP!$B$6:$CK$41,82,FALSE)</f>
        <v>#N/A</v>
      </c>
      <c r="D74" s="894" t="e">
        <f>VLOOKUP($D$4,[1]REKAP!$B$6:$CK$41,82,FALSE)</f>
        <v>#N/A</v>
      </c>
      <c r="E74" s="894" t="e">
        <f>VLOOKUP($D$4,[1]REKAP!$B$6:$CK$41,82,FALSE)</f>
        <v>#N/A</v>
      </c>
      <c r="F74" s="893">
        <f>VLOOKUP($M$3,ABSEN!A7:W56,21)</f>
        <v>0</v>
      </c>
      <c r="G74" s="893" t="e">
        <f>VLOOKUP($D$4,[1]REKAP!$B$6:$CK$41,82,FALSE)</f>
        <v>#N/A</v>
      </c>
      <c r="H74" s="893" t="e">
        <f>VLOOKUP($D$4,[1]REKAP!$B$6:$CK$41,82,FALSE)</f>
        <v>#N/A</v>
      </c>
      <c r="I74" s="893"/>
      <c r="J74" s="893" t="e">
        <f>VLOOKUP($D$4,[1]REKAP!$B$6:$CK$41,82,FALSE)</f>
        <v>#N/A</v>
      </c>
    </row>
    <row r="75" spans="1:10" ht="24" customHeight="1">
      <c r="A75" s="121">
        <v>2</v>
      </c>
      <c r="B75" s="894">
        <f>VLOOKUP($M$3,ABSEN!A7:W56,22)</f>
        <v>0</v>
      </c>
      <c r="C75" s="894" t="e">
        <f>VLOOKUP($D$4,[1]REKAP!$B$6:$CK$41,82,FALSE)</f>
        <v>#N/A</v>
      </c>
      <c r="D75" s="894" t="e">
        <f>VLOOKUP($D$4,[1]REKAP!$B$6:$CK$41,82,FALSE)</f>
        <v>#N/A</v>
      </c>
      <c r="E75" s="894" t="e">
        <f>VLOOKUP($D$4,[1]REKAP!$B$6:$CK$41,82,FALSE)</f>
        <v>#N/A</v>
      </c>
      <c r="F75" s="893">
        <f>VLOOKUP($M$3,ABSEN!A7:W56,23)</f>
        <v>0</v>
      </c>
      <c r="G75" s="893" t="e">
        <f>VLOOKUP($D$4,[1]REKAP!$B$6:$CK$41,82,FALSE)</f>
        <v>#N/A</v>
      </c>
      <c r="H75" s="893" t="e">
        <f>VLOOKUP($D$4,[1]REKAP!$B$6:$CK$41,82,FALSE)</f>
        <v>#N/A</v>
      </c>
      <c r="I75" s="893"/>
      <c r="J75" s="893" t="e">
        <f>VLOOKUP($D$4,[1]REKAP!$B$6:$CK$41,82,FALSE)</f>
        <v>#N/A</v>
      </c>
    </row>
    <row r="76" spans="1:10" ht="12.75" customHeight="1"/>
    <row r="77" spans="1:10">
      <c r="A77" s="129" t="s">
        <v>189</v>
      </c>
      <c r="H77" s="375"/>
      <c r="I77" s="375"/>
      <c r="J77" s="375"/>
    </row>
    <row r="78" spans="1:10" ht="26.25" customHeight="1">
      <c r="A78" s="242">
        <v>1</v>
      </c>
      <c r="B78" s="887" t="s">
        <v>75</v>
      </c>
      <c r="C78" s="888"/>
      <c r="D78" s="888"/>
      <c r="E78" s="888"/>
      <c r="F78" s="241">
        <f>VLOOKUP($M$3,ABSEN!A7:W56,9)</f>
        <v>0</v>
      </c>
      <c r="H78" s="375"/>
      <c r="I78" s="375"/>
      <c r="J78" s="375"/>
    </row>
    <row r="79" spans="1:10" ht="26.25" customHeight="1">
      <c r="A79" s="242">
        <v>2</v>
      </c>
      <c r="B79" s="887" t="s">
        <v>76</v>
      </c>
      <c r="C79" s="888"/>
      <c r="D79" s="888"/>
      <c r="E79" s="888"/>
      <c r="F79" s="241">
        <f>VLOOKUP($M$3,ABSEN!A7:W56,10)</f>
        <v>0</v>
      </c>
      <c r="H79" s="375"/>
      <c r="I79" s="375"/>
      <c r="J79" s="375"/>
    </row>
    <row r="80" spans="1:10" ht="26.25" customHeight="1">
      <c r="A80" s="242">
        <v>3</v>
      </c>
      <c r="B80" s="887" t="s">
        <v>190</v>
      </c>
      <c r="C80" s="888"/>
      <c r="D80" s="888"/>
      <c r="E80" s="888"/>
      <c r="F80" s="241">
        <f>VLOOKUP($M$3,ABSEN!A7:W56,11)</f>
        <v>0</v>
      </c>
      <c r="H80" s="375"/>
      <c r="I80" s="375"/>
      <c r="J80" s="261"/>
    </row>
    <row r="81" spans="1:15" ht="14.25" customHeight="1">
      <c r="A81" s="122"/>
      <c r="B81" s="260"/>
      <c r="C81" s="260"/>
      <c r="D81" s="260"/>
      <c r="E81" s="260"/>
      <c r="F81" s="123"/>
      <c r="H81" s="375"/>
      <c r="I81" s="375"/>
      <c r="J81" s="261"/>
    </row>
    <row r="82" spans="1:15" ht="22.5" customHeight="1">
      <c r="A82" s="122"/>
      <c r="B82" s="260"/>
      <c r="C82" s="260"/>
      <c r="D82" s="260"/>
      <c r="E82" s="260"/>
      <c r="F82" s="123"/>
      <c r="H82" s="375"/>
      <c r="I82" s="375"/>
      <c r="J82" s="261"/>
    </row>
    <row r="83" spans="1:15" ht="9" customHeight="1">
      <c r="A83" s="122"/>
      <c r="B83" s="260"/>
      <c r="C83" s="260"/>
      <c r="D83" s="260"/>
      <c r="E83" s="260"/>
      <c r="F83" s="123"/>
      <c r="H83" s="375"/>
      <c r="I83" s="375"/>
      <c r="J83" s="261"/>
    </row>
    <row r="84" spans="1:15">
      <c r="H84" s="375"/>
      <c r="I84" s="375"/>
      <c r="J84" s="261"/>
    </row>
    <row r="85" spans="1:15" ht="8.25" customHeight="1">
      <c r="H85" s="261"/>
      <c r="I85" s="261"/>
      <c r="J85" s="261"/>
    </row>
    <row r="86" spans="1:15" ht="8.25" customHeight="1">
      <c r="H86" s="261"/>
      <c r="I86" s="261"/>
      <c r="J86" s="261"/>
    </row>
    <row r="87" spans="1:15">
      <c r="I87" s="870" t="str">
        <f>DEPAN!E22</f>
        <v>Bandung, 21 Juni 2019</v>
      </c>
      <c r="J87" s="870"/>
      <c r="O87" s="132"/>
    </row>
    <row r="88" spans="1:15">
      <c r="I88" s="870" t="s">
        <v>191</v>
      </c>
      <c r="J88" s="870"/>
    </row>
    <row r="89" spans="1:15" ht="13.5" customHeight="1"/>
    <row r="90" spans="1:15" ht="13.5" customHeight="1"/>
    <row r="91" spans="1:15" ht="13.5" customHeight="1"/>
    <row r="92" spans="1:15" ht="13.5" customHeight="1"/>
    <row r="93" spans="1:15">
      <c r="I93" s="871" t="str">
        <f>DEPAN!E16</f>
        <v>N Rina Sandrawati SPd</v>
      </c>
      <c r="J93" s="871"/>
    </row>
    <row r="94" spans="1:15">
      <c r="H94" s="133"/>
      <c r="I94" s="872" t="str">
        <f>CONCATENATE("NIP. ",DEPAN!E17)</f>
        <v>NIP. 197703202007012006</v>
      </c>
      <c r="J94" s="872"/>
    </row>
    <row r="95" spans="1:15"/>
    <row r="96" spans="1:15">
      <c r="F96" s="872" t="s">
        <v>192</v>
      </c>
      <c r="G96" s="872"/>
      <c r="H96" s="872"/>
      <c r="I96" s="362"/>
    </row>
    <row r="97" spans="1:10">
      <c r="F97" s="872" t="s">
        <v>193</v>
      </c>
      <c r="G97" s="872"/>
      <c r="H97" s="872"/>
      <c r="I97" s="362"/>
    </row>
    <row r="98" spans="1:10" ht="12.75" customHeight="1">
      <c r="F98" s="134"/>
    </row>
    <row r="99" spans="1:10" ht="12.75" customHeight="1">
      <c r="F99" s="134"/>
    </row>
    <row r="100" spans="1:10" ht="12.75" customHeight="1">
      <c r="F100" s="134"/>
    </row>
    <row r="101" spans="1:10">
      <c r="F101" s="911" t="str">
        <f>DEPAN!E12</f>
        <v>Eyen Soleha SPd M.MPd</v>
      </c>
      <c r="G101" s="911"/>
      <c r="H101" s="911"/>
      <c r="I101" s="363"/>
    </row>
    <row r="102" spans="1:10">
      <c r="F102" s="872" t="str">
        <f>CONCATENATE("NIP. ",DEPAN!E13)</f>
        <v>NIP. 196409231983052001</v>
      </c>
      <c r="G102" s="872"/>
      <c r="H102" s="872"/>
      <c r="I102" s="362"/>
    </row>
    <row r="103" spans="1:10" ht="18.75" customHeight="1">
      <c r="A103" s="122"/>
      <c r="B103" s="239"/>
      <c r="C103" s="239"/>
      <c r="D103" s="239"/>
      <c r="E103" s="239"/>
      <c r="F103" s="240"/>
      <c r="G103" s="239"/>
      <c r="H103" s="239"/>
      <c r="I103" s="239"/>
      <c r="J103" s="240"/>
    </row>
    <row r="104" spans="1:10">
      <c r="A104" s="235"/>
      <c r="B104" s="236"/>
      <c r="C104" s="236"/>
      <c r="D104" s="236"/>
      <c r="E104" s="236"/>
      <c r="F104" s="237"/>
      <c r="G104" s="236"/>
      <c r="H104" s="236"/>
      <c r="I104" s="236"/>
      <c r="J104" s="238" t="str">
        <f>CONCATENATE($D$3,"    6")</f>
        <v>ABDANI YAHYA    6</v>
      </c>
    </row>
    <row r="105" spans="1:10"/>
    <row r="106" spans="1:10"/>
    <row r="107" spans="1:10"/>
    <row r="108" spans="1:10"/>
    <row r="109" spans="1:10"/>
    <row r="110" spans="1:10"/>
    <row r="111" spans="1:10"/>
    <row r="112" spans="1:10"/>
    <row r="113"/>
    <row r="114"/>
    <row r="115"/>
    <row r="116"/>
    <row r="117"/>
  </sheetData>
  <mergeCells count="117">
    <mergeCell ref="B34:B35"/>
    <mergeCell ref="C34:F34"/>
    <mergeCell ref="G34:J34"/>
    <mergeCell ref="C35:D35"/>
    <mergeCell ref="I28:J28"/>
    <mergeCell ref="I35:J35"/>
    <mergeCell ref="I22:J22"/>
    <mergeCell ref="I23:J24"/>
    <mergeCell ref="I29:J30"/>
    <mergeCell ref="I31:J31"/>
    <mergeCell ref="H23:H24"/>
    <mergeCell ref="G23:G24"/>
    <mergeCell ref="F23:F24"/>
    <mergeCell ref="E23:E24"/>
    <mergeCell ref="H29:H30"/>
    <mergeCell ref="G29:G30"/>
    <mergeCell ref="F29:F30"/>
    <mergeCell ref="E29:E30"/>
    <mergeCell ref="A1:J1"/>
    <mergeCell ref="D3:F3"/>
    <mergeCell ref="A15:A16"/>
    <mergeCell ref="B15:B16"/>
    <mergeCell ref="C15:F15"/>
    <mergeCell ref="G15:J15"/>
    <mergeCell ref="C16:D16"/>
    <mergeCell ref="G20:J20"/>
    <mergeCell ref="C21:D21"/>
    <mergeCell ref="F96:H96"/>
    <mergeCell ref="F97:H97"/>
    <mergeCell ref="F101:H101"/>
    <mergeCell ref="F102:H102"/>
    <mergeCell ref="G27:J27"/>
    <mergeCell ref="B63:F63"/>
    <mergeCell ref="F50:J50"/>
    <mergeCell ref="B51:E51"/>
    <mergeCell ref="F51:J51"/>
    <mergeCell ref="B52:E52"/>
    <mergeCell ref="F52:J52"/>
    <mergeCell ref="B53:E53"/>
    <mergeCell ref="F53:J53"/>
    <mergeCell ref="A58:J58"/>
    <mergeCell ref="A61:A62"/>
    <mergeCell ref="C38:D38"/>
    <mergeCell ref="C28:D28"/>
    <mergeCell ref="C31:D31"/>
    <mergeCell ref="C36:D36"/>
    <mergeCell ref="A27:A28"/>
    <mergeCell ref="B27:B28"/>
    <mergeCell ref="C27:F27"/>
    <mergeCell ref="C29:D30"/>
    <mergeCell ref="B29:B30"/>
    <mergeCell ref="G63:I63"/>
    <mergeCell ref="G64:I64"/>
    <mergeCell ref="M3:M4"/>
    <mergeCell ref="D4:F4"/>
    <mergeCell ref="A9:J9"/>
    <mergeCell ref="B11:D11"/>
    <mergeCell ref="E11:J11"/>
    <mergeCell ref="D6:F7"/>
    <mergeCell ref="A20:A21"/>
    <mergeCell ref="B20:B21"/>
    <mergeCell ref="C20:F20"/>
    <mergeCell ref="B10:D10"/>
    <mergeCell ref="E10:J10"/>
    <mergeCell ref="I16:J16"/>
    <mergeCell ref="I21:J21"/>
    <mergeCell ref="I17:J17"/>
    <mergeCell ref="C22:D22"/>
    <mergeCell ref="C17:D17"/>
    <mergeCell ref="C37:D37"/>
    <mergeCell ref="B23:B24"/>
    <mergeCell ref="C23:D24"/>
    <mergeCell ref="A23:A24"/>
    <mergeCell ref="A29:A30"/>
    <mergeCell ref="A34:A35"/>
    <mergeCell ref="B79:E79"/>
    <mergeCell ref="B80:E80"/>
    <mergeCell ref="B78:E78"/>
    <mergeCell ref="F73:J73"/>
    <mergeCell ref="B64:F64"/>
    <mergeCell ref="B67:E67"/>
    <mergeCell ref="F67:J67"/>
    <mergeCell ref="B68:E68"/>
    <mergeCell ref="F68:J68"/>
    <mergeCell ref="F75:J75"/>
    <mergeCell ref="B74:E74"/>
    <mergeCell ref="F74:J74"/>
    <mergeCell ref="B75:E75"/>
    <mergeCell ref="B69:E69"/>
    <mergeCell ref="F69:J69"/>
    <mergeCell ref="B70:E70"/>
    <mergeCell ref="F70:J70"/>
    <mergeCell ref="B73:E73"/>
    <mergeCell ref="I87:J87"/>
    <mergeCell ref="I88:J88"/>
    <mergeCell ref="I93:J93"/>
    <mergeCell ref="I94:J94"/>
    <mergeCell ref="I36:J36"/>
    <mergeCell ref="I37:J37"/>
    <mergeCell ref="I38:J38"/>
    <mergeCell ref="I45:J45"/>
    <mergeCell ref="I46:J46"/>
    <mergeCell ref="I47:J47"/>
    <mergeCell ref="G43:J43"/>
    <mergeCell ref="A42:J42"/>
    <mergeCell ref="A43:A44"/>
    <mergeCell ref="B43:B44"/>
    <mergeCell ref="C43:F43"/>
    <mergeCell ref="C44:D44"/>
    <mergeCell ref="C45:D45"/>
    <mergeCell ref="C46:D46"/>
    <mergeCell ref="C47:D47"/>
    <mergeCell ref="B50:E50"/>
    <mergeCell ref="B61:F62"/>
    <mergeCell ref="G61:J61"/>
    <mergeCell ref="I44:J44"/>
    <mergeCell ref="G62:I62"/>
  </mergeCells>
  <pageMargins left="0.52" right="0.18" top="0.48" bottom="0.4" header="0.3" footer="0.3"/>
  <pageSetup paperSize="9" scale="78" orientation="portrait" horizontalDpi="4294967293" verticalDpi="4294967293" r:id="rId1"/>
  <rowBreaks count="5" manualBreakCount="5">
    <brk id="19" max="16383" man="1"/>
    <brk id="26" max="16383" man="1"/>
    <brk id="33" max="16383" man="1"/>
    <brk id="40" max="16383" man="1"/>
    <brk id="5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Spinner 1">
              <controlPr defaultSize="0" autoPict="0">
                <anchor moveWithCells="1" sizeWithCells="1">
                  <from>
                    <xdr:col>13</xdr:col>
                    <xdr:colOff>85725</xdr:colOff>
                    <xdr:row>1</xdr:row>
                    <xdr:rowOff>133350</xdr:rowOff>
                  </from>
                  <to>
                    <xdr:col>14</xdr:col>
                    <xdr:colOff>19050</xdr:colOff>
                    <xdr:row>4</xdr:row>
                    <xdr:rowOff>123825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S95"/>
  <sheetViews>
    <sheetView view="pageBreakPreview" zoomScale="80" zoomScaleSheetLayoutView="80" workbookViewId="0">
      <selection activeCell="B34" sqref="B34:R34"/>
    </sheetView>
  </sheetViews>
  <sheetFormatPr defaultRowHeight="15"/>
  <cols>
    <col min="1" max="1" width="3.7109375" style="57" customWidth="1"/>
    <col min="2" max="9" width="5" style="57" customWidth="1"/>
    <col min="10" max="10" width="3.28515625" style="57" customWidth="1"/>
    <col min="11" max="24" width="5" style="57" customWidth="1"/>
    <col min="25" max="16384" width="9.140625" style="57"/>
  </cols>
  <sheetData>
    <row r="1" spans="4:18" ht="18.75">
      <c r="J1" s="921" t="s">
        <v>358</v>
      </c>
      <c r="K1" s="921"/>
      <c r="L1" s="921"/>
      <c r="M1" s="921"/>
      <c r="N1" s="921"/>
      <c r="O1" s="921"/>
      <c r="P1" s="921"/>
      <c r="Q1" s="921"/>
      <c r="R1" s="921"/>
    </row>
    <row r="2" spans="4:18" ht="18.75">
      <c r="J2" s="921" t="s">
        <v>49</v>
      </c>
      <c r="K2" s="921"/>
      <c r="L2" s="921"/>
      <c r="M2" s="921" t="s">
        <v>359</v>
      </c>
      <c r="N2" s="921"/>
      <c r="O2" s="921"/>
      <c r="P2" s="921"/>
      <c r="Q2" s="921"/>
      <c r="R2" s="921"/>
    </row>
    <row r="3" spans="4:18" ht="18.75">
      <c r="J3" s="549"/>
      <c r="K3" s="549"/>
      <c r="L3" s="549"/>
      <c r="M3" s="549"/>
      <c r="N3" s="549"/>
      <c r="O3" s="549"/>
      <c r="P3" s="549"/>
      <c r="Q3" s="549"/>
      <c r="R3" s="549"/>
    </row>
    <row r="4" spans="4:18" ht="18.75" customHeight="1">
      <c r="J4" s="549"/>
      <c r="K4" s="549"/>
      <c r="L4" s="549"/>
      <c r="M4" s="549"/>
      <c r="N4" s="549"/>
      <c r="O4" s="549"/>
      <c r="P4" s="549"/>
      <c r="Q4" s="549"/>
      <c r="R4" s="549"/>
    </row>
    <row r="5" spans="4:18" ht="23.25" customHeight="1">
      <c r="J5" s="550"/>
      <c r="K5" s="550"/>
      <c r="L5" s="550"/>
      <c r="M5" s="551"/>
      <c r="N5" s="551"/>
      <c r="O5" s="551"/>
    </row>
    <row r="6" spans="4:18" ht="16.5" customHeight="1">
      <c r="D6" s="552"/>
    </row>
    <row r="8" spans="4:18" ht="15.75">
      <c r="D8" s="552"/>
    </row>
    <row r="9" spans="4:18" ht="15.75">
      <c r="D9" s="552"/>
    </row>
    <row r="10" spans="4:18" ht="15.75">
      <c r="D10" s="552"/>
    </row>
    <row r="11" spans="4:18" ht="15.75">
      <c r="D11" s="552"/>
    </row>
    <row r="12" spans="4:18" ht="15.75">
      <c r="D12" s="552"/>
    </row>
    <row r="13" spans="4:18" ht="15.75">
      <c r="D13" s="552"/>
    </row>
    <row r="14" spans="4:18" ht="15.75">
      <c r="D14" s="552"/>
    </row>
    <row r="15" spans="4:18" ht="15.75">
      <c r="D15" s="552"/>
    </row>
    <row r="16" spans="4:18" ht="15.75">
      <c r="D16" s="552"/>
    </row>
    <row r="17" spans="2:18" ht="48.75">
      <c r="B17" s="922" t="s">
        <v>360</v>
      </c>
      <c r="C17" s="922"/>
      <c r="D17" s="922"/>
      <c r="E17" s="922"/>
      <c r="F17" s="922"/>
      <c r="G17" s="922"/>
      <c r="H17" s="922"/>
      <c r="I17" s="922"/>
      <c r="J17" s="922"/>
      <c r="K17" s="922"/>
      <c r="L17" s="922"/>
      <c r="M17" s="922"/>
      <c r="N17" s="922"/>
      <c r="O17" s="922"/>
      <c r="P17" s="922"/>
      <c r="Q17" s="922"/>
      <c r="R17" s="922"/>
    </row>
    <row r="18" spans="2:18" ht="18">
      <c r="D18" s="553"/>
    </row>
    <row r="19" spans="2:18" ht="30">
      <c r="B19" s="920" t="s">
        <v>361</v>
      </c>
      <c r="C19" s="920"/>
      <c r="D19" s="920"/>
      <c r="E19" s="920"/>
      <c r="F19" s="920"/>
      <c r="G19" s="920"/>
      <c r="H19" s="920"/>
      <c r="I19" s="920"/>
      <c r="J19" s="920"/>
      <c r="K19" s="920"/>
      <c r="L19" s="920"/>
      <c r="M19" s="920"/>
      <c r="N19" s="920"/>
      <c r="O19" s="920"/>
      <c r="P19" s="920"/>
      <c r="Q19" s="920"/>
      <c r="R19" s="920"/>
    </row>
    <row r="20" spans="2:18" ht="30">
      <c r="B20" s="920" t="s">
        <v>362</v>
      </c>
      <c r="C20" s="920"/>
      <c r="D20" s="920"/>
      <c r="E20" s="920"/>
      <c r="F20" s="920"/>
      <c r="G20" s="920"/>
      <c r="H20" s="920"/>
      <c r="I20" s="920"/>
      <c r="J20" s="920"/>
      <c r="K20" s="920"/>
      <c r="L20" s="920"/>
      <c r="M20" s="920"/>
      <c r="N20" s="920"/>
      <c r="O20" s="920"/>
      <c r="P20" s="920"/>
      <c r="Q20" s="920"/>
      <c r="R20" s="920"/>
    </row>
    <row r="21" spans="2:18" ht="15.75">
      <c r="D21" s="554"/>
    </row>
    <row r="22" spans="2:18" ht="18">
      <c r="D22" s="555"/>
    </row>
    <row r="23" spans="2:18" ht="15.75">
      <c r="D23" s="556" t="s">
        <v>363</v>
      </c>
      <c r="E23" s="557"/>
      <c r="F23" s="557"/>
      <c r="G23" s="557"/>
      <c r="H23" s="557"/>
      <c r="I23" s="557"/>
      <c r="J23" s="556" t="s">
        <v>364</v>
      </c>
      <c r="K23" s="924" t="str">
        <f>DEPAN!E10</f>
        <v>SD NEGERI 250 JAKAPURWA</v>
      </c>
      <c r="L23" s="924"/>
      <c r="M23" s="924"/>
      <c r="N23" s="924"/>
      <c r="O23" s="924"/>
      <c r="P23" s="924"/>
      <c r="Q23" s="924"/>
      <c r="R23" s="924"/>
    </row>
    <row r="24" spans="2:18" ht="15.75">
      <c r="D24" s="556" t="s">
        <v>219</v>
      </c>
      <c r="E24" s="557"/>
      <c r="F24" s="557"/>
      <c r="G24" s="557"/>
      <c r="H24" s="557"/>
      <c r="I24" s="557"/>
      <c r="J24" s="556" t="s">
        <v>364</v>
      </c>
      <c r="K24" s="924" t="str">
        <f>DEPAN!E9</f>
        <v>20245034</v>
      </c>
      <c r="L24" s="924"/>
      <c r="M24" s="924"/>
      <c r="N24" s="924"/>
      <c r="O24" s="924"/>
      <c r="P24" s="924"/>
      <c r="Q24" s="924"/>
      <c r="R24" s="924"/>
    </row>
    <row r="25" spans="2:18" ht="15.75">
      <c r="D25" s="556" t="s">
        <v>365</v>
      </c>
      <c r="E25" s="557"/>
      <c r="F25" s="557"/>
      <c r="G25" s="557"/>
      <c r="H25" s="557"/>
      <c r="I25" s="557"/>
      <c r="J25" s="556" t="s">
        <v>364</v>
      </c>
      <c r="K25" s="924" t="s">
        <v>449</v>
      </c>
      <c r="L25" s="924"/>
      <c r="M25" s="924"/>
      <c r="N25" s="924"/>
      <c r="O25" s="924"/>
      <c r="P25" s="924"/>
      <c r="Q25" s="924"/>
      <c r="R25" s="924"/>
    </row>
    <row r="26" spans="2:18" ht="15.75">
      <c r="D26" s="556" t="s">
        <v>366</v>
      </c>
      <c r="E26" s="557"/>
      <c r="F26" s="557"/>
      <c r="G26" s="557"/>
      <c r="H26" s="557"/>
      <c r="I26" s="557"/>
      <c r="J26" s="556" t="s">
        <v>364</v>
      </c>
      <c r="K26" s="924" t="str">
        <f>DEPAN!E11</f>
        <v>Jln. Jakamulya no 16</v>
      </c>
      <c r="L26" s="924"/>
      <c r="M26" s="924"/>
      <c r="N26" s="924"/>
      <c r="O26" s="924"/>
      <c r="P26" s="924"/>
      <c r="Q26" s="924"/>
      <c r="R26" s="924"/>
    </row>
    <row r="27" spans="2:18" ht="15.75">
      <c r="D27" s="556" t="s">
        <v>367</v>
      </c>
      <c r="E27" s="557"/>
      <c r="F27" s="557"/>
      <c r="G27" s="557"/>
      <c r="H27" s="557"/>
      <c r="I27" s="557"/>
      <c r="J27" s="556" t="s">
        <v>364</v>
      </c>
      <c r="K27" s="924" t="str">
        <f>DEPAN!E18</f>
        <v>Kujangsari</v>
      </c>
      <c r="L27" s="924"/>
      <c r="M27" s="924"/>
      <c r="N27" s="924"/>
      <c r="O27" s="924"/>
      <c r="P27" s="924"/>
      <c r="Q27" s="924"/>
      <c r="R27" s="924"/>
    </row>
    <row r="28" spans="2:18" ht="15.75">
      <c r="D28" s="556" t="s">
        <v>368</v>
      </c>
      <c r="E28" s="557"/>
      <c r="F28" s="557"/>
      <c r="G28" s="557"/>
      <c r="H28" s="557"/>
      <c r="I28" s="557"/>
      <c r="J28" s="556" t="s">
        <v>364</v>
      </c>
      <c r="K28" s="924" t="str">
        <f>DEPAN!E19</f>
        <v>Bandung Kidul</v>
      </c>
      <c r="L28" s="924"/>
      <c r="M28" s="924"/>
      <c r="N28" s="924"/>
      <c r="O28" s="924"/>
      <c r="P28" s="924"/>
      <c r="Q28" s="924"/>
      <c r="R28" s="924"/>
    </row>
    <row r="29" spans="2:18" ht="15.75">
      <c r="D29" s="556" t="s">
        <v>369</v>
      </c>
      <c r="E29" s="557"/>
      <c r="F29" s="557"/>
      <c r="G29" s="557"/>
      <c r="H29" s="557"/>
      <c r="I29" s="557"/>
      <c r="J29" s="556" t="s">
        <v>364</v>
      </c>
      <c r="K29" s="924" t="str">
        <f>DEPAN!E20</f>
        <v>Kota Bandung</v>
      </c>
      <c r="L29" s="924"/>
      <c r="M29" s="924"/>
      <c r="N29" s="924"/>
      <c r="O29" s="924"/>
      <c r="P29" s="924"/>
      <c r="Q29" s="924"/>
      <c r="R29" s="924"/>
    </row>
    <row r="30" spans="2:18" ht="15.75">
      <c r="D30" s="556" t="s">
        <v>370</v>
      </c>
      <c r="E30" s="557"/>
      <c r="F30" s="557"/>
      <c r="G30" s="557"/>
      <c r="H30" s="557"/>
      <c r="I30" s="557"/>
      <c r="J30" s="556" t="s">
        <v>364</v>
      </c>
      <c r="K30" s="924" t="str">
        <f>DEPAN!E21</f>
        <v>Jawa Barat</v>
      </c>
      <c r="L30" s="924"/>
      <c r="M30" s="924"/>
      <c r="N30" s="924"/>
      <c r="O30" s="924"/>
      <c r="P30" s="924"/>
      <c r="Q30" s="924"/>
      <c r="R30" s="924"/>
    </row>
    <row r="31" spans="2:18" ht="20.25">
      <c r="D31" s="558"/>
    </row>
    <row r="32" spans="2:18" ht="19.5">
      <c r="D32" s="559"/>
    </row>
    <row r="33" spans="2:19" ht="18" customHeight="1">
      <c r="B33" s="923" t="s">
        <v>601</v>
      </c>
      <c r="C33" s="923"/>
      <c r="D33" s="923"/>
      <c r="E33" s="923"/>
      <c r="F33" s="923"/>
      <c r="G33" s="923"/>
      <c r="H33" s="923"/>
      <c r="I33" s="923"/>
      <c r="J33" s="923"/>
      <c r="K33" s="923"/>
      <c r="L33" s="923"/>
      <c r="M33" s="923"/>
      <c r="N33" s="923"/>
      <c r="O33" s="923"/>
      <c r="P33" s="923"/>
      <c r="Q33" s="923"/>
      <c r="R33" s="923"/>
    </row>
    <row r="34" spans="2:19" ht="18" customHeight="1">
      <c r="B34" s="923" t="s">
        <v>602</v>
      </c>
      <c r="C34" s="923"/>
      <c r="D34" s="923"/>
      <c r="E34" s="923"/>
      <c r="F34" s="923"/>
      <c r="G34" s="923"/>
      <c r="H34" s="923"/>
      <c r="I34" s="923"/>
      <c r="J34" s="923"/>
      <c r="K34" s="923"/>
      <c r="L34" s="923"/>
      <c r="M34" s="923"/>
      <c r="N34" s="923"/>
      <c r="O34" s="923"/>
      <c r="P34" s="923"/>
      <c r="Q34" s="923"/>
      <c r="R34" s="923"/>
    </row>
    <row r="38" spans="2:19">
      <c r="B38" s="926" t="s">
        <v>371</v>
      </c>
      <c r="C38" s="926"/>
      <c r="D38" s="926"/>
      <c r="E38" s="926"/>
      <c r="F38" s="926"/>
      <c r="G38" s="926"/>
      <c r="H38" s="926"/>
      <c r="I38" s="926"/>
      <c r="J38" s="926"/>
      <c r="K38" s="926"/>
      <c r="L38" s="926"/>
      <c r="M38" s="926"/>
      <c r="N38" s="926"/>
      <c r="O38" s="926"/>
      <c r="P38" s="926"/>
      <c r="Q38" s="926"/>
      <c r="R38" s="926"/>
    </row>
    <row r="39" spans="2:19" s="560" customFormat="1" ht="11.25">
      <c r="B39" s="927" t="s">
        <v>372</v>
      </c>
      <c r="C39" s="927"/>
      <c r="D39" s="927"/>
      <c r="E39" s="927"/>
      <c r="F39" s="927"/>
      <c r="G39" s="927"/>
      <c r="H39" s="927"/>
      <c r="I39" s="927"/>
      <c r="J39" s="927"/>
      <c r="K39" s="927"/>
      <c r="L39" s="927"/>
      <c r="M39" s="927"/>
      <c r="N39" s="927"/>
      <c r="O39" s="927"/>
      <c r="P39" s="927"/>
      <c r="Q39" s="927"/>
      <c r="R39" s="927"/>
    </row>
    <row r="40" spans="2:19" s="560" customFormat="1" ht="22.5" customHeight="1">
      <c r="B40" s="925" t="s">
        <v>373</v>
      </c>
      <c r="C40" s="925"/>
      <c r="D40" s="925"/>
      <c r="E40" s="925"/>
      <c r="F40" s="925"/>
      <c r="G40" s="925"/>
      <c r="H40" s="925"/>
      <c r="I40" s="925"/>
      <c r="J40" s="925"/>
      <c r="K40" s="925"/>
      <c r="L40" s="925"/>
      <c r="M40" s="925"/>
      <c r="N40" s="925"/>
      <c r="O40" s="925"/>
      <c r="P40" s="925"/>
      <c r="Q40" s="925"/>
      <c r="R40" s="925"/>
      <c r="S40" s="925"/>
    </row>
    <row r="41" spans="2:19" s="560" customFormat="1" ht="25.5" customHeight="1">
      <c r="B41" s="925" t="s">
        <v>374</v>
      </c>
      <c r="C41" s="925"/>
      <c r="D41" s="925"/>
      <c r="E41" s="925"/>
      <c r="F41" s="925"/>
      <c r="G41" s="925"/>
      <c r="H41" s="925"/>
      <c r="I41" s="925"/>
      <c r="J41" s="925"/>
      <c r="K41" s="925"/>
      <c r="L41" s="925"/>
      <c r="M41" s="925"/>
      <c r="N41" s="925"/>
      <c r="O41" s="925"/>
      <c r="P41" s="925"/>
      <c r="Q41" s="925"/>
      <c r="R41" s="925"/>
    </row>
    <row r="42" spans="2:19" s="560" customFormat="1" ht="12.75" customHeight="1">
      <c r="B42" s="925" t="s">
        <v>375</v>
      </c>
      <c r="C42" s="925"/>
      <c r="D42" s="925"/>
      <c r="E42" s="925"/>
      <c r="F42" s="925"/>
      <c r="G42" s="925"/>
      <c r="H42" s="925"/>
      <c r="I42" s="925"/>
      <c r="J42" s="925"/>
      <c r="K42" s="925"/>
      <c r="L42" s="925"/>
      <c r="M42" s="925"/>
      <c r="N42" s="925"/>
      <c r="O42" s="925"/>
      <c r="P42" s="925"/>
      <c r="Q42" s="925"/>
      <c r="R42" s="925"/>
    </row>
    <row r="43" spans="2:19" s="560" customFormat="1" ht="11.25">
      <c r="B43" s="928" t="s">
        <v>376</v>
      </c>
      <c r="C43" s="928"/>
      <c r="D43" s="928"/>
      <c r="E43" s="928"/>
      <c r="F43" s="928"/>
      <c r="G43" s="928"/>
      <c r="H43" s="928"/>
      <c r="I43" s="928"/>
      <c r="J43" s="928"/>
      <c r="K43" s="928"/>
      <c r="L43" s="928"/>
      <c r="M43" s="928"/>
      <c r="N43" s="928"/>
      <c r="O43" s="928"/>
      <c r="P43" s="928"/>
      <c r="Q43" s="928"/>
      <c r="R43" s="928"/>
    </row>
    <row r="44" spans="2:19" s="560" customFormat="1" ht="11.25">
      <c r="B44" s="928" t="s">
        <v>377</v>
      </c>
      <c r="C44" s="928"/>
      <c r="D44" s="928"/>
      <c r="E44" s="928"/>
      <c r="F44" s="928"/>
      <c r="G44" s="928"/>
      <c r="H44" s="928"/>
      <c r="I44" s="928"/>
      <c r="J44" s="928"/>
      <c r="K44" s="928"/>
      <c r="L44" s="928"/>
      <c r="M44" s="928"/>
      <c r="N44" s="928"/>
      <c r="O44" s="928"/>
      <c r="P44" s="928"/>
      <c r="Q44" s="928"/>
      <c r="R44" s="928"/>
    </row>
    <row r="45" spans="2:19" s="560" customFormat="1" ht="11.25"/>
    <row r="46" spans="2:19" s="560" customFormat="1" ht="11.25">
      <c r="B46" s="927" t="s">
        <v>378</v>
      </c>
      <c r="C46" s="927"/>
      <c r="D46" s="927"/>
      <c r="E46" s="927"/>
      <c r="F46" s="927"/>
      <c r="G46" s="927"/>
      <c r="H46" s="927"/>
      <c r="I46" s="927"/>
      <c r="J46" s="927"/>
      <c r="K46" s="927"/>
      <c r="L46" s="927"/>
      <c r="M46" s="927"/>
      <c r="N46" s="927"/>
      <c r="O46" s="927"/>
      <c r="P46" s="927"/>
      <c r="Q46" s="927"/>
      <c r="R46" s="927"/>
    </row>
    <row r="47" spans="2:19" s="560" customFormat="1" ht="15" customHeight="1">
      <c r="B47" s="929" t="s">
        <v>379</v>
      </c>
      <c r="C47" s="929"/>
      <c r="D47" s="929"/>
      <c r="E47" s="929"/>
      <c r="F47" s="929"/>
      <c r="G47" s="929"/>
      <c r="H47" s="929"/>
      <c r="I47" s="929"/>
      <c r="J47" s="929"/>
      <c r="K47" s="929"/>
      <c r="L47" s="929"/>
      <c r="M47" s="929"/>
      <c r="N47" s="929"/>
      <c r="O47" s="929"/>
      <c r="P47" s="929"/>
      <c r="Q47" s="929"/>
      <c r="R47" s="929"/>
    </row>
    <row r="48" spans="2:19" s="560" customFormat="1" ht="11.25">
      <c r="B48" s="925" t="s">
        <v>380</v>
      </c>
      <c r="C48" s="925"/>
      <c r="D48" s="925"/>
      <c r="E48" s="925"/>
      <c r="F48" s="925"/>
      <c r="G48" s="925"/>
      <c r="H48" s="925"/>
      <c r="I48" s="925"/>
      <c r="J48" s="925"/>
      <c r="K48" s="925"/>
      <c r="L48" s="925"/>
      <c r="M48" s="925"/>
      <c r="N48" s="925"/>
      <c r="O48" s="925"/>
      <c r="P48" s="925"/>
      <c r="Q48" s="925"/>
      <c r="R48" s="925"/>
    </row>
    <row r="49" spans="2:18" s="560" customFormat="1" ht="11.25">
      <c r="B49" s="925" t="s">
        <v>381</v>
      </c>
      <c r="C49" s="925"/>
      <c r="D49" s="925"/>
      <c r="E49" s="925"/>
      <c r="F49" s="925"/>
      <c r="G49" s="925"/>
      <c r="H49" s="925"/>
      <c r="I49" s="925"/>
      <c r="J49" s="925"/>
      <c r="K49" s="925"/>
      <c r="L49" s="925"/>
      <c r="M49" s="925"/>
      <c r="N49" s="925"/>
      <c r="O49" s="925"/>
      <c r="P49" s="925"/>
      <c r="Q49" s="925"/>
      <c r="R49" s="925"/>
    </row>
    <row r="50" spans="2:18" s="560" customFormat="1" ht="11.25">
      <c r="B50" s="925" t="s">
        <v>382</v>
      </c>
      <c r="C50" s="925"/>
      <c r="D50" s="925"/>
      <c r="E50" s="925"/>
      <c r="F50" s="925"/>
      <c r="G50" s="925"/>
      <c r="H50" s="925"/>
      <c r="I50" s="925"/>
      <c r="J50" s="925"/>
      <c r="K50" s="925"/>
      <c r="L50" s="925"/>
      <c r="M50" s="925"/>
      <c r="N50" s="925"/>
      <c r="O50" s="925"/>
      <c r="P50" s="925"/>
      <c r="Q50" s="925"/>
      <c r="R50" s="925"/>
    </row>
    <row r="51" spans="2:18" s="560" customFormat="1" ht="11.25">
      <c r="B51" s="925" t="s">
        <v>383</v>
      </c>
      <c r="C51" s="925"/>
      <c r="D51" s="925"/>
      <c r="E51" s="925"/>
      <c r="F51" s="925"/>
      <c r="G51" s="925"/>
      <c r="H51" s="925"/>
      <c r="I51" s="925"/>
      <c r="J51" s="925"/>
      <c r="K51" s="925"/>
      <c r="L51" s="925"/>
      <c r="M51" s="925"/>
      <c r="N51" s="925"/>
      <c r="O51" s="925"/>
      <c r="P51" s="925"/>
      <c r="Q51" s="925"/>
      <c r="R51" s="925"/>
    </row>
    <row r="52" spans="2:18" s="560" customFormat="1" ht="11.25">
      <c r="B52" s="925" t="s">
        <v>384</v>
      </c>
      <c r="C52" s="925"/>
      <c r="D52" s="925"/>
      <c r="E52" s="925"/>
      <c r="F52" s="925"/>
      <c r="G52" s="925"/>
      <c r="H52" s="925"/>
      <c r="I52" s="925"/>
      <c r="J52" s="925"/>
      <c r="K52" s="925"/>
      <c r="L52" s="925"/>
      <c r="M52" s="925"/>
      <c r="N52" s="925"/>
      <c r="O52" s="925"/>
      <c r="P52" s="925"/>
      <c r="Q52" s="925"/>
      <c r="R52" s="925"/>
    </row>
    <row r="53" spans="2:18" s="560" customFormat="1" ht="11.25">
      <c r="B53" s="925" t="s">
        <v>385</v>
      </c>
      <c r="C53" s="925"/>
      <c r="D53" s="925"/>
      <c r="E53" s="925"/>
      <c r="F53" s="925"/>
      <c r="G53" s="925"/>
      <c r="H53" s="925"/>
      <c r="I53" s="925"/>
      <c r="J53" s="925"/>
      <c r="K53" s="925"/>
      <c r="L53" s="925"/>
      <c r="M53" s="925"/>
      <c r="N53" s="925"/>
      <c r="O53" s="925"/>
      <c r="P53" s="925"/>
      <c r="Q53" s="925"/>
      <c r="R53" s="925"/>
    </row>
    <row r="54" spans="2:18" s="560" customFormat="1" ht="11.25">
      <c r="B54" s="925" t="s">
        <v>386</v>
      </c>
      <c r="C54" s="925"/>
      <c r="D54" s="925"/>
      <c r="E54" s="925"/>
      <c r="F54" s="925"/>
      <c r="G54" s="925"/>
      <c r="H54" s="925"/>
      <c r="I54" s="925"/>
      <c r="J54" s="925"/>
      <c r="K54" s="925"/>
      <c r="L54" s="925"/>
      <c r="M54" s="925"/>
      <c r="N54" s="925"/>
      <c r="O54" s="925"/>
      <c r="P54" s="925"/>
      <c r="Q54" s="925"/>
      <c r="R54" s="925"/>
    </row>
    <row r="55" spans="2:18" s="560" customFormat="1" ht="11.25">
      <c r="B55" s="925" t="s">
        <v>387</v>
      </c>
      <c r="C55" s="925"/>
      <c r="D55" s="925"/>
      <c r="E55" s="925"/>
      <c r="F55" s="925"/>
      <c r="G55" s="925"/>
      <c r="H55" s="925"/>
      <c r="I55" s="925"/>
      <c r="J55" s="925"/>
      <c r="K55" s="925"/>
      <c r="L55" s="925"/>
      <c r="M55" s="925"/>
      <c r="N55" s="925"/>
      <c r="O55" s="925"/>
      <c r="P55" s="925"/>
      <c r="Q55" s="925"/>
      <c r="R55" s="925"/>
    </row>
    <row r="56" spans="2:18" s="560" customFormat="1" ht="11.25">
      <c r="B56" s="925" t="s">
        <v>388</v>
      </c>
      <c r="C56" s="925"/>
      <c r="D56" s="925"/>
      <c r="E56" s="925"/>
      <c r="F56" s="925"/>
      <c r="G56" s="925"/>
      <c r="H56" s="925"/>
      <c r="I56" s="925"/>
      <c r="J56" s="925"/>
      <c r="K56" s="925"/>
      <c r="L56" s="925"/>
      <c r="M56" s="925"/>
      <c r="N56" s="925"/>
      <c r="O56" s="925"/>
      <c r="P56" s="925"/>
      <c r="Q56" s="925"/>
      <c r="R56" s="925"/>
    </row>
    <row r="57" spans="2:18" s="560" customFormat="1" ht="11.25">
      <c r="B57" s="925" t="s">
        <v>389</v>
      </c>
      <c r="C57" s="925"/>
      <c r="D57" s="925"/>
      <c r="E57" s="925"/>
      <c r="F57" s="925"/>
      <c r="G57" s="925"/>
      <c r="H57" s="925"/>
      <c r="I57" s="925"/>
      <c r="J57" s="925"/>
      <c r="K57" s="925"/>
      <c r="L57" s="925"/>
      <c r="M57" s="925"/>
      <c r="N57" s="925"/>
      <c r="O57" s="925"/>
      <c r="P57" s="925"/>
      <c r="Q57" s="925"/>
      <c r="R57" s="925"/>
    </row>
    <row r="58" spans="2:18" s="560" customFormat="1" ht="11.25">
      <c r="B58" s="925" t="s">
        <v>390</v>
      </c>
      <c r="C58" s="925"/>
      <c r="D58" s="925"/>
      <c r="E58" s="925"/>
      <c r="F58" s="925"/>
      <c r="G58" s="925"/>
      <c r="H58" s="925"/>
      <c r="I58" s="925"/>
      <c r="J58" s="925"/>
      <c r="K58" s="925"/>
      <c r="L58" s="925"/>
      <c r="M58" s="925"/>
      <c r="N58" s="925"/>
      <c r="O58" s="925"/>
      <c r="P58" s="925"/>
      <c r="Q58" s="925"/>
      <c r="R58" s="925"/>
    </row>
    <row r="59" spans="2:18" s="560" customFormat="1" ht="11.25">
      <c r="B59" s="561"/>
      <c r="C59" s="561"/>
      <c r="D59" s="561"/>
      <c r="E59" s="561"/>
      <c r="F59" s="561"/>
      <c r="G59" s="561"/>
      <c r="H59" s="561"/>
      <c r="I59" s="561"/>
      <c r="J59" s="561"/>
      <c r="K59" s="561"/>
      <c r="L59" s="561"/>
      <c r="M59" s="561"/>
      <c r="N59" s="561"/>
      <c r="O59" s="561"/>
      <c r="P59" s="561"/>
      <c r="Q59" s="561"/>
      <c r="R59" s="561"/>
    </row>
    <row r="60" spans="2:18" s="560" customFormat="1" ht="11.25">
      <c r="B60" s="929" t="s">
        <v>391</v>
      </c>
      <c r="C60" s="929"/>
      <c r="D60" s="929"/>
      <c r="E60" s="929"/>
      <c r="F60" s="929"/>
      <c r="G60" s="929"/>
      <c r="H60" s="929"/>
      <c r="I60" s="929"/>
      <c r="J60" s="929"/>
      <c r="K60" s="929"/>
      <c r="L60" s="929"/>
      <c r="M60" s="929"/>
      <c r="N60" s="929"/>
      <c r="O60" s="929"/>
      <c r="P60" s="929"/>
      <c r="Q60" s="929"/>
      <c r="R60" s="929"/>
    </row>
    <row r="61" spans="2:18" s="560" customFormat="1" ht="11.25">
      <c r="B61" s="925" t="s">
        <v>392</v>
      </c>
      <c r="C61" s="925"/>
      <c r="D61" s="925"/>
      <c r="E61" s="925"/>
      <c r="F61" s="925"/>
      <c r="G61" s="925"/>
      <c r="H61" s="925"/>
      <c r="I61" s="925"/>
      <c r="J61" s="925"/>
      <c r="K61" s="929" t="s">
        <v>393</v>
      </c>
      <c r="L61" s="929"/>
      <c r="M61" s="929"/>
      <c r="N61" s="929"/>
      <c r="O61" s="929"/>
      <c r="P61" s="929"/>
      <c r="Q61" s="929"/>
      <c r="R61" s="929"/>
    </row>
    <row r="62" spans="2:18" s="560" customFormat="1" ht="11.25">
      <c r="B62" s="925" t="s">
        <v>394</v>
      </c>
      <c r="C62" s="925"/>
      <c r="D62" s="925"/>
      <c r="E62" s="925"/>
      <c r="F62" s="925"/>
      <c r="G62" s="925"/>
      <c r="H62" s="925"/>
      <c r="I62" s="925"/>
      <c r="J62" s="925"/>
      <c r="K62" s="930" t="s">
        <v>395</v>
      </c>
      <c r="L62" s="930"/>
      <c r="M62" s="930"/>
      <c r="N62" s="930"/>
      <c r="O62" s="930"/>
      <c r="P62" s="930"/>
      <c r="Q62" s="930"/>
      <c r="R62" s="930"/>
    </row>
    <row r="63" spans="2:18" s="560" customFormat="1" ht="11.25">
      <c r="B63" s="931" t="s">
        <v>396</v>
      </c>
      <c r="C63" s="931"/>
      <c r="D63" s="931"/>
      <c r="E63" s="931"/>
      <c r="F63" s="931"/>
      <c r="G63" s="931"/>
      <c r="H63" s="931"/>
      <c r="I63" s="931"/>
      <c r="J63" s="931"/>
      <c r="K63" s="930" t="s">
        <v>397</v>
      </c>
      <c r="L63" s="930"/>
      <c r="M63" s="930"/>
      <c r="N63" s="930"/>
      <c r="O63" s="930"/>
      <c r="P63" s="930"/>
      <c r="Q63" s="930"/>
      <c r="R63" s="930"/>
    </row>
    <row r="64" spans="2:18" s="560" customFormat="1" ht="11.25">
      <c r="B64" s="925" t="s">
        <v>398</v>
      </c>
      <c r="C64" s="925"/>
      <c r="D64" s="925"/>
      <c r="E64" s="925"/>
      <c r="F64" s="925"/>
      <c r="G64" s="925"/>
      <c r="H64" s="925"/>
      <c r="I64" s="925"/>
      <c r="J64" s="925"/>
      <c r="K64" s="930" t="s">
        <v>399</v>
      </c>
      <c r="L64" s="930"/>
      <c r="M64" s="930"/>
      <c r="N64" s="930"/>
      <c r="O64" s="930"/>
      <c r="P64" s="930"/>
      <c r="Q64" s="930"/>
      <c r="R64" s="930"/>
    </row>
    <row r="65" spans="2:18" s="560" customFormat="1" ht="11.25">
      <c r="B65" s="925" t="s">
        <v>400</v>
      </c>
      <c r="C65" s="925"/>
      <c r="D65" s="925"/>
      <c r="E65" s="925"/>
      <c r="F65" s="925"/>
      <c r="G65" s="925"/>
      <c r="H65" s="925"/>
      <c r="I65" s="925"/>
      <c r="J65" s="925"/>
      <c r="K65" s="930" t="s">
        <v>401</v>
      </c>
      <c r="L65" s="930"/>
      <c r="M65" s="930"/>
      <c r="N65" s="930"/>
      <c r="O65" s="930"/>
      <c r="P65" s="930"/>
      <c r="Q65" s="930"/>
      <c r="R65" s="930"/>
    </row>
    <row r="66" spans="2:18" s="560" customFormat="1" ht="11.25">
      <c r="B66" s="925" t="s">
        <v>402</v>
      </c>
      <c r="C66" s="925"/>
      <c r="D66" s="925"/>
      <c r="E66" s="925"/>
      <c r="F66" s="925"/>
      <c r="G66" s="925"/>
      <c r="H66" s="925"/>
      <c r="I66" s="925"/>
      <c r="J66" s="925"/>
      <c r="K66" s="930" t="s">
        <v>403</v>
      </c>
      <c r="L66" s="930"/>
      <c r="M66" s="930"/>
      <c r="N66" s="930"/>
      <c r="O66" s="930"/>
      <c r="P66" s="930"/>
      <c r="Q66" s="930"/>
      <c r="R66" s="930"/>
    </row>
    <row r="67" spans="2:18" s="560" customFormat="1" ht="11.25">
      <c r="B67" s="932" t="s">
        <v>404</v>
      </c>
      <c r="C67" s="932"/>
      <c r="D67" s="932"/>
      <c r="E67" s="932"/>
      <c r="F67" s="932"/>
      <c r="G67" s="932"/>
      <c r="H67" s="932"/>
      <c r="I67" s="932"/>
      <c r="J67" s="932"/>
      <c r="K67" s="930" t="s">
        <v>405</v>
      </c>
      <c r="L67" s="930"/>
      <c r="M67" s="930"/>
      <c r="N67" s="930"/>
      <c r="O67" s="930"/>
      <c r="P67" s="930"/>
      <c r="Q67" s="930"/>
      <c r="R67" s="930"/>
    </row>
    <row r="68" spans="2:18" s="560" customFormat="1" ht="11.25">
      <c r="B68" s="925" t="s">
        <v>406</v>
      </c>
      <c r="C68" s="925"/>
      <c r="D68" s="925"/>
      <c r="E68" s="925"/>
      <c r="F68" s="925"/>
      <c r="G68" s="925"/>
      <c r="H68" s="925"/>
      <c r="I68" s="925"/>
      <c r="J68" s="925"/>
      <c r="K68" s="930" t="s">
        <v>407</v>
      </c>
      <c r="L68" s="930"/>
      <c r="M68" s="930"/>
      <c r="N68" s="930"/>
      <c r="O68" s="930"/>
      <c r="P68" s="930"/>
      <c r="Q68" s="930"/>
      <c r="R68" s="930"/>
    </row>
    <row r="69" spans="2:18" s="560" customFormat="1" ht="11.25">
      <c r="B69" s="925" t="s">
        <v>408</v>
      </c>
      <c r="C69" s="925"/>
      <c r="D69" s="925"/>
      <c r="E69" s="925"/>
      <c r="F69" s="925"/>
      <c r="G69" s="925"/>
      <c r="H69" s="925"/>
      <c r="I69" s="925"/>
      <c r="J69" s="925"/>
      <c r="K69" s="930" t="s">
        <v>409</v>
      </c>
      <c r="L69" s="930"/>
      <c r="M69" s="930"/>
      <c r="N69" s="930"/>
      <c r="O69" s="930"/>
      <c r="P69" s="930"/>
      <c r="Q69" s="930"/>
      <c r="R69" s="930"/>
    </row>
    <row r="70" spans="2:18" s="560" customFormat="1" ht="11.25">
      <c r="B70" s="925" t="s">
        <v>410</v>
      </c>
      <c r="C70" s="925"/>
      <c r="D70" s="925"/>
      <c r="E70" s="925"/>
      <c r="F70" s="925"/>
      <c r="G70" s="925"/>
      <c r="H70" s="925"/>
      <c r="I70" s="925"/>
      <c r="J70" s="925"/>
      <c r="K70" s="560" t="s">
        <v>411</v>
      </c>
    </row>
    <row r="71" spans="2:18" s="560" customFormat="1" ht="11.25">
      <c r="B71" s="925" t="s">
        <v>412</v>
      </c>
      <c r="C71" s="925"/>
      <c r="D71" s="925"/>
      <c r="E71" s="925"/>
      <c r="F71" s="925"/>
      <c r="G71" s="925"/>
      <c r="H71" s="925"/>
      <c r="I71" s="925"/>
      <c r="J71" s="925"/>
      <c r="K71" s="930" t="s">
        <v>413</v>
      </c>
      <c r="L71" s="930"/>
      <c r="M71" s="930"/>
      <c r="N71" s="930"/>
      <c r="O71" s="930"/>
      <c r="P71" s="930"/>
      <c r="Q71" s="930"/>
      <c r="R71" s="930"/>
    </row>
    <row r="72" spans="2:18" s="560" customFormat="1" ht="11.25">
      <c r="B72" s="925" t="s">
        <v>414</v>
      </c>
      <c r="C72" s="925"/>
      <c r="D72" s="925"/>
      <c r="E72" s="925"/>
      <c r="F72" s="925"/>
      <c r="G72" s="925"/>
      <c r="H72" s="925"/>
      <c r="I72" s="925"/>
      <c r="J72" s="925"/>
      <c r="K72" s="929" t="s">
        <v>415</v>
      </c>
      <c r="L72" s="929"/>
      <c r="M72" s="929"/>
      <c r="N72" s="929"/>
      <c r="O72" s="929"/>
      <c r="P72" s="929"/>
      <c r="Q72" s="929"/>
      <c r="R72" s="929"/>
    </row>
    <row r="73" spans="2:18" s="560" customFormat="1" ht="11.25">
      <c r="B73" s="932" t="s">
        <v>416</v>
      </c>
      <c r="C73" s="932"/>
      <c r="D73" s="932"/>
      <c r="E73" s="932"/>
      <c r="F73" s="932"/>
      <c r="G73" s="932"/>
      <c r="H73" s="932"/>
      <c r="I73" s="932"/>
      <c r="J73" s="932"/>
      <c r="K73" s="930" t="s">
        <v>417</v>
      </c>
      <c r="L73" s="930"/>
      <c r="M73" s="930"/>
      <c r="N73" s="930"/>
      <c r="O73" s="930"/>
      <c r="P73" s="930"/>
      <c r="Q73" s="930"/>
      <c r="R73" s="930"/>
    </row>
    <row r="74" spans="2:18" s="560" customFormat="1" ht="11.25">
      <c r="B74" s="925" t="s">
        <v>418</v>
      </c>
      <c r="C74" s="925"/>
      <c r="D74" s="925"/>
      <c r="E74" s="925"/>
      <c r="F74" s="925"/>
      <c r="G74" s="925"/>
      <c r="H74" s="925"/>
      <c r="I74" s="925"/>
      <c r="J74" s="925"/>
      <c r="K74" s="930" t="s">
        <v>419</v>
      </c>
      <c r="L74" s="930"/>
      <c r="M74" s="930"/>
      <c r="N74" s="930"/>
      <c r="O74" s="930"/>
      <c r="P74" s="930"/>
      <c r="Q74" s="930"/>
      <c r="R74" s="930"/>
    </row>
    <row r="75" spans="2:18" s="560" customFormat="1" ht="11.25">
      <c r="B75" s="925" t="s">
        <v>420</v>
      </c>
      <c r="C75" s="925"/>
      <c r="D75" s="925"/>
      <c r="E75" s="925"/>
      <c r="F75" s="925"/>
      <c r="G75" s="925"/>
      <c r="H75" s="925"/>
      <c r="I75" s="925"/>
      <c r="J75" s="925"/>
      <c r="K75" s="930" t="s">
        <v>421</v>
      </c>
      <c r="L75" s="930"/>
      <c r="M75" s="930"/>
      <c r="N75" s="930"/>
      <c r="O75" s="930"/>
      <c r="P75" s="930"/>
      <c r="Q75" s="930"/>
      <c r="R75" s="930"/>
    </row>
    <row r="76" spans="2:18" s="560" customFormat="1" ht="11.25">
      <c r="B76" s="925" t="s">
        <v>422</v>
      </c>
      <c r="C76" s="925"/>
      <c r="D76" s="925"/>
      <c r="E76" s="925"/>
      <c r="F76" s="925"/>
      <c r="G76" s="925"/>
      <c r="H76" s="925"/>
      <c r="I76" s="925"/>
      <c r="J76" s="925"/>
      <c r="K76" s="930" t="s">
        <v>423</v>
      </c>
      <c r="L76" s="930"/>
      <c r="M76" s="930"/>
      <c r="N76" s="930"/>
      <c r="O76" s="930"/>
      <c r="P76" s="930"/>
      <c r="Q76" s="930"/>
      <c r="R76" s="930"/>
    </row>
    <row r="77" spans="2:18" s="560" customFormat="1" ht="11.25">
      <c r="B77" s="925"/>
      <c r="C77" s="925"/>
      <c r="D77" s="925"/>
      <c r="E77" s="925"/>
      <c r="F77" s="925"/>
      <c r="G77" s="925"/>
      <c r="H77" s="925"/>
      <c r="I77" s="925"/>
      <c r="J77" s="925"/>
      <c r="K77" s="930" t="s">
        <v>424</v>
      </c>
      <c r="L77" s="930"/>
      <c r="M77" s="930"/>
      <c r="N77" s="930"/>
      <c r="O77" s="930"/>
      <c r="P77" s="930"/>
      <c r="Q77" s="930"/>
      <c r="R77" s="930"/>
    </row>
    <row r="78" spans="2:18" s="560" customFormat="1" ht="11.25">
      <c r="B78" s="932" t="s">
        <v>425</v>
      </c>
      <c r="C78" s="932"/>
      <c r="D78" s="932"/>
      <c r="E78" s="932"/>
      <c r="F78" s="932"/>
      <c r="G78" s="932"/>
      <c r="H78" s="932"/>
      <c r="I78" s="932"/>
      <c r="J78" s="932"/>
      <c r="K78" s="930" t="s">
        <v>426</v>
      </c>
      <c r="L78" s="930"/>
      <c r="M78" s="930"/>
      <c r="N78" s="930"/>
      <c r="O78" s="930"/>
      <c r="P78" s="930"/>
      <c r="Q78" s="930"/>
      <c r="R78" s="930"/>
    </row>
    <row r="79" spans="2:18" s="560" customFormat="1" ht="11.25">
      <c r="B79" s="925" t="s">
        <v>427</v>
      </c>
      <c r="C79" s="925"/>
      <c r="D79" s="925"/>
      <c r="E79" s="925"/>
      <c r="F79" s="925"/>
      <c r="G79" s="925"/>
      <c r="H79" s="925"/>
      <c r="I79" s="925"/>
      <c r="J79" s="925"/>
      <c r="K79" s="930" t="s">
        <v>428</v>
      </c>
      <c r="L79" s="930"/>
      <c r="M79" s="930"/>
      <c r="N79" s="930"/>
      <c r="O79" s="930"/>
      <c r="P79" s="930"/>
      <c r="Q79" s="930"/>
      <c r="R79" s="930"/>
    </row>
    <row r="80" spans="2:18" s="560" customFormat="1" ht="11.25">
      <c r="B80" s="925" t="s">
        <v>429</v>
      </c>
      <c r="C80" s="925"/>
      <c r="D80" s="925"/>
      <c r="E80" s="925"/>
      <c r="F80" s="925"/>
      <c r="G80" s="925"/>
      <c r="H80" s="925"/>
      <c r="I80" s="925"/>
      <c r="J80" s="925"/>
      <c r="K80" s="930" t="s">
        <v>430</v>
      </c>
      <c r="L80" s="930"/>
      <c r="M80" s="930"/>
      <c r="N80" s="930"/>
      <c r="O80" s="930"/>
      <c r="P80" s="930"/>
      <c r="Q80" s="930"/>
      <c r="R80" s="930"/>
    </row>
    <row r="81" spans="2:18" s="560" customFormat="1" ht="11.25">
      <c r="B81" s="925" t="s">
        <v>431</v>
      </c>
      <c r="C81" s="925"/>
      <c r="D81" s="925"/>
      <c r="E81" s="925"/>
      <c r="F81" s="925"/>
      <c r="G81" s="925"/>
      <c r="H81" s="925"/>
      <c r="I81" s="925"/>
      <c r="J81" s="925"/>
      <c r="K81" s="930" t="s">
        <v>432</v>
      </c>
      <c r="L81" s="930"/>
      <c r="M81" s="930"/>
      <c r="N81" s="930"/>
      <c r="O81" s="930"/>
      <c r="P81" s="930"/>
      <c r="Q81" s="930"/>
      <c r="R81" s="930"/>
    </row>
    <row r="82" spans="2:18" s="560" customFormat="1" ht="11.25">
      <c r="B82" s="925" t="s">
        <v>433</v>
      </c>
      <c r="C82" s="925"/>
      <c r="D82" s="925"/>
      <c r="E82" s="925"/>
      <c r="F82" s="925"/>
      <c r="G82" s="925"/>
      <c r="H82" s="925"/>
      <c r="I82" s="925"/>
      <c r="J82" s="925"/>
      <c r="K82" s="929" t="s">
        <v>434</v>
      </c>
      <c r="L82" s="929"/>
      <c r="M82" s="929"/>
      <c r="N82" s="929"/>
      <c r="O82" s="929"/>
      <c r="P82" s="929"/>
      <c r="Q82" s="929"/>
      <c r="R82" s="929"/>
    </row>
    <row r="83" spans="2:18" s="560" customFormat="1" ht="11.25">
      <c r="B83" s="925" t="s">
        <v>435</v>
      </c>
      <c r="C83" s="925"/>
      <c r="D83" s="925"/>
      <c r="E83" s="925"/>
      <c r="F83" s="925"/>
      <c r="G83" s="925"/>
      <c r="H83" s="925"/>
      <c r="I83" s="925"/>
      <c r="J83" s="925"/>
      <c r="K83" s="930" t="s">
        <v>436</v>
      </c>
      <c r="L83" s="930"/>
      <c r="M83" s="930"/>
      <c r="N83" s="930"/>
      <c r="O83" s="930"/>
      <c r="P83" s="930"/>
      <c r="Q83" s="930"/>
      <c r="R83" s="930"/>
    </row>
    <row r="84" spans="2:18" s="560" customFormat="1" ht="11.25">
      <c r="B84" s="925" t="s">
        <v>437</v>
      </c>
      <c r="C84" s="925"/>
      <c r="D84" s="925"/>
      <c r="E84" s="925"/>
      <c r="F84" s="925"/>
      <c r="G84" s="925"/>
      <c r="H84" s="925"/>
      <c r="I84" s="925"/>
      <c r="J84" s="925"/>
      <c r="K84" s="930" t="s">
        <v>438</v>
      </c>
      <c r="L84" s="930"/>
      <c r="M84" s="930"/>
      <c r="N84" s="930"/>
      <c r="O84" s="930"/>
      <c r="P84" s="930"/>
      <c r="Q84" s="930"/>
      <c r="R84" s="930"/>
    </row>
    <row r="85" spans="2:18" s="560" customFormat="1" ht="11.25">
      <c r="B85" s="925" t="s">
        <v>439</v>
      </c>
      <c r="C85" s="925"/>
      <c r="D85" s="925"/>
      <c r="E85" s="925"/>
      <c r="F85" s="925"/>
      <c r="G85" s="925"/>
      <c r="H85" s="925"/>
      <c r="I85" s="925"/>
      <c r="J85" s="925"/>
      <c r="K85" s="930" t="s">
        <v>440</v>
      </c>
      <c r="L85" s="930"/>
      <c r="M85" s="930"/>
      <c r="N85" s="930"/>
      <c r="O85" s="930"/>
      <c r="P85" s="930"/>
      <c r="Q85" s="930"/>
      <c r="R85" s="930"/>
    </row>
    <row r="86" spans="2:18" s="560" customFormat="1" ht="11.25">
      <c r="B86" s="925" t="s">
        <v>441</v>
      </c>
      <c r="C86" s="925"/>
      <c r="D86" s="925"/>
      <c r="E86" s="925"/>
      <c r="F86" s="925"/>
      <c r="G86" s="925"/>
      <c r="H86" s="925"/>
      <c r="I86" s="925"/>
      <c r="J86" s="925"/>
      <c r="K86" s="933" t="s">
        <v>442</v>
      </c>
      <c r="L86" s="933"/>
      <c r="M86" s="933"/>
      <c r="N86" s="933"/>
      <c r="O86" s="933"/>
      <c r="P86" s="933"/>
      <c r="Q86" s="933"/>
      <c r="R86" s="933"/>
    </row>
    <row r="87" spans="2:18" s="560" customFormat="1" ht="11.25">
      <c r="B87" s="560" t="s">
        <v>443</v>
      </c>
      <c r="K87" s="933" t="s">
        <v>444</v>
      </c>
      <c r="L87" s="933"/>
      <c r="M87" s="933"/>
      <c r="N87" s="933"/>
      <c r="O87" s="933"/>
      <c r="P87" s="933"/>
      <c r="Q87" s="933"/>
      <c r="R87" s="933"/>
    </row>
    <row r="88" spans="2:18" s="560" customFormat="1" ht="11.25">
      <c r="B88" s="560" t="s">
        <v>445</v>
      </c>
    </row>
    <row r="89" spans="2:18" s="560" customFormat="1" ht="11.25">
      <c r="B89" s="930" t="s">
        <v>446</v>
      </c>
      <c r="C89" s="930"/>
      <c r="D89" s="930"/>
      <c r="E89" s="930"/>
      <c r="F89" s="930"/>
      <c r="G89" s="930"/>
      <c r="H89" s="930"/>
      <c r="I89" s="930"/>
      <c r="K89" s="929" t="s">
        <v>447</v>
      </c>
      <c r="L89" s="929"/>
      <c r="M89" s="929"/>
      <c r="N89" s="929"/>
      <c r="O89" s="929"/>
      <c r="P89" s="929"/>
      <c r="Q89" s="929"/>
      <c r="R89" s="929"/>
    </row>
    <row r="90" spans="2:18" s="560" customFormat="1" ht="11.25">
      <c r="K90" s="929" t="s">
        <v>448</v>
      </c>
      <c r="L90" s="929"/>
      <c r="M90" s="929"/>
      <c r="N90" s="929"/>
      <c r="O90" s="929"/>
      <c r="P90" s="929"/>
      <c r="Q90" s="929"/>
      <c r="R90" s="929"/>
    </row>
    <row r="91" spans="2:18" s="560" customFormat="1" ht="11.25"/>
    <row r="92" spans="2:18" s="560" customFormat="1" ht="11.25"/>
    <row r="93" spans="2:18" s="560" customFormat="1" ht="11.25"/>
    <row r="94" spans="2:18" s="560" customFormat="1" ht="11.25"/>
    <row r="95" spans="2:18" s="560" customFormat="1" ht="11.25"/>
  </sheetData>
  <mergeCells count="93">
    <mergeCell ref="K90:R90"/>
    <mergeCell ref="B85:J85"/>
    <mergeCell ref="K85:R85"/>
    <mergeCell ref="B86:J86"/>
    <mergeCell ref="K86:R86"/>
    <mergeCell ref="K87:R87"/>
    <mergeCell ref="B89:I89"/>
    <mergeCell ref="K89:R89"/>
    <mergeCell ref="B82:J82"/>
    <mergeCell ref="K82:R82"/>
    <mergeCell ref="B83:J83"/>
    <mergeCell ref="K83:R83"/>
    <mergeCell ref="B84:J84"/>
    <mergeCell ref="K84:R84"/>
    <mergeCell ref="B79:J79"/>
    <mergeCell ref="K79:R79"/>
    <mergeCell ref="B80:J80"/>
    <mergeCell ref="K80:R80"/>
    <mergeCell ref="B81:J81"/>
    <mergeCell ref="K81:R81"/>
    <mergeCell ref="B76:J76"/>
    <mergeCell ref="K76:R76"/>
    <mergeCell ref="B77:J77"/>
    <mergeCell ref="K77:R77"/>
    <mergeCell ref="B78:J78"/>
    <mergeCell ref="K78:R78"/>
    <mergeCell ref="B73:J73"/>
    <mergeCell ref="K73:R73"/>
    <mergeCell ref="B74:J74"/>
    <mergeCell ref="K74:R74"/>
    <mergeCell ref="B75:J75"/>
    <mergeCell ref="K75:R75"/>
    <mergeCell ref="B72:J72"/>
    <mergeCell ref="K72:R72"/>
    <mergeCell ref="B66:J66"/>
    <mergeCell ref="K66:R66"/>
    <mergeCell ref="B67:J67"/>
    <mergeCell ref="K67:R67"/>
    <mergeCell ref="B68:J68"/>
    <mergeCell ref="K68:R68"/>
    <mergeCell ref="B69:J69"/>
    <mergeCell ref="K69:R69"/>
    <mergeCell ref="B70:J70"/>
    <mergeCell ref="B71:J71"/>
    <mergeCell ref="K71:R71"/>
    <mergeCell ref="B63:J63"/>
    <mergeCell ref="K63:R63"/>
    <mergeCell ref="B64:J64"/>
    <mergeCell ref="K64:R64"/>
    <mergeCell ref="B65:J65"/>
    <mergeCell ref="K65:R65"/>
    <mergeCell ref="B62:J62"/>
    <mergeCell ref="K62:R62"/>
    <mergeCell ref="B51:R51"/>
    <mergeCell ref="B52:R52"/>
    <mergeCell ref="B53:R53"/>
    <mergeCell ref="B54:R54"/>
    <mergeCell ref="B55:R55"/>
    <mergeCell ref="B56:R56"/>
    <mergeCell ref="B57:R57"/>
    <mergeCell ref="B58:R58"/>
    <mergeCell ref="B60:R60"/>
    <mergeCell ref="B61:J61"/>
    <mergeCell ref="K61:R61"/>
    <mergeCell ref="B50:R50"/>
    <mergeCell ref="B38:R38"/>
    <mergeCell ref="B39:R39"/>
    <mergeCell ref="B40:S40"/>
    <mergeCell ref="B41:R41"/>
    <mergeCell ref="B42:R42"/>
    <mergeCell ref="B43:R43"/>
    <mergeCell ref="B44:R44"/>
    <mergeCell ref="B46:R46"/>
    <mergeCell ref="B47:R47"/>
    <mergeCell ref="B48:R48"/>
    <mergeCell ref="B49:R49"/>
    <mergeCell ref="B34:R34"/>
    <mergeCell ref="B20:R20"/>
    <mergeCell ref="K23:R23"/>
    <mergeCell ref="K24:R24"/>
    <mergeCell ref="K25:R25"/>
    <mergeCell ref="K26:R26"/>
    <mergeCell ref="K27:R27"/>
    <mergeCell ref="K28:R28"/>
    <mergeCell ref="K29:R29"/>
    <mergeCell ref="K30:R30"/>
    <mergeCell ref="B33:R33"/>
    <mergeCell ref="B19:R19"/>
    <mergeCell ref="J1:L1"/>
    <mergeCell ref="M1:R1"/>
    <mergeCell ref="J2:L2"/>
    <mergeCell ref="M2:R2"/>
    <mergeCell ref="B17:R17"/>
  </mergeCells>
  <pageMargins left="0.7" right="0.7" top="0.75" bottom="0.75" header="0.3" footer="0.3"/>
  <pageSetup scale="98" orientation="portrait" horizontalDpi="4294967293" verticalDpi="300" r:id="rId1"/>
  <rowBreaks count="1" manualBreakCount="1">
    <brk id="36" max="18" man="1"/>
  </rowBreaks>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U93"/>
  <sheetViews>
    <sheetView view="pageBreakPreview" zoomScale="90" zoomScaleSheetLayoutView="90" workbookViewId="0"/>
  </sheetViews>
  <sheetFormatPr defaultRowHeight="15"/>
  <cols>
    <col min="1" max="1" width="3.85546875" customWidth="1"/>
    <col min="2" max="2" width="5" customWidth="1"/>
    <col min="3" max="3" width="14.5703125" customWidth="1"/>
    <col min="4" max="4" width="9.85546875" customWidth="1"/>
    <col min="5" max="5" width="7.140625" customWidth="1"/>
    <col min="6" max="6" width="2.85546875" customWidth="1"/>
    <col min="7" max="18" width="4.28515625" customWidth="1"/>
    <col min="19" max="19" width="5" customWidth="1"/>
    <col min="20" max="20" width="4.140625" customWidth="1"/>
    <col min="21" max="21" width="12.42578125" customWidth="1"/>
  </cols>
  <sheetData>
    <row r="2" spans="2:21" ht="19.5">
      <c r="B2" s="934" t="s">
        <v>450</v>
      </c>
      <c r="C2" s="934"/>
      <c r="D2" s="934"/>
      <c r="E2" s="934"/>
      <c r="F2" s="934"/>
      <c r="G2" s="934"/>
      <c r="H2" s="934"/>
      <c r="I2" s="934"/>
      <c r="J2" s="934"/>
      <c r="K2" s="934"/>
      <c r="L2" s="934"/>
      <c r="M2" s="934"/>
      <c r="N2" s="934"/>
      <c r="O2" s="934"/>
      <c r="P2" s="934"/>
      <c r="Q2" s="934"/>
      <c r="R2" s="934"/>
      <c r="S2" s="934"/>
    </row>
    <row r="3" spans="2:21" ht="19.5">
      <c r="B3" s="517"/>
    </row>
    <row r="4" spans="2:21" ht="15.75" thickBot="1">
      <c r="B4" s="518"/>
    </row>
    <row r="5" spans="2:21" ht="16.5">
      <c r="C5" s="519" t="s">
        <v>49</v>
      </c>
      <c r="D5" s="519"/>
      <c r="E5" s="520" t="s">
        <v>364</v>
      </c>
      <c r="F5" s="942" t="str">
        <f>VLOOKUP($U$5,SISWA!$A:$AT,2)</f>
        <v>1718250040306</v>
      </c>
      <c r="G5" s="942"/>
      <c r="H5" s="942"/>
      <c r="I5" s="942"/>
      <c r="J5" s="942"/>
      <c r="K5" s="942"/>
      <c r="L5" s="942"/>
      <c r="M5" s="942"/>
      <c r="U5" s="936">
        <v>2</v>
      </c>
    </row>
    <row r="6" spans="2:21" ht="16.5">
      <c r="C6" s="519" t="s">
        <v>451</v>
      </c>
      <c r="D6" s="519"/>
      <c r="E6" s="520" t="s">
        <v>452</v>
      </c>
      <c r="F6" s="942" t="str">
        <f>VLOOKUP($U$5,SISWA!$A:$AT,4)</f>
        <v>72025516</v>
      </c>
      <c r="G6" s="942"/>
      <c r="H6" s="942"/>
      <c r="I6" s="942"/>
      <c r="J6" s="942"/>
      <c r="K6" s="942"/>
      <c r="L6" s="942"/>
      <c r="M6" s="942"/>
      <c r="U6" s="937"/>
    </row>
    <row r="7" spans="2:21" ht="15.75" thickBot="1">
      <c r="B7" s="521"/>
      <c r="U7" s="938"/>
    </row>
    <row r="8" spans="2:21">
      <c r="B8" s="522" t="s">
        <v>453</v>
      </c>
    </row>
    <row r="9" spans="2:21">
      <c r="B9" s="523">
        <v>1</v>
      </c>
      <c r="C9" s="524" t="s">
        <v>454</v>
      </c>
      <c r="D9" s="524"/>
      <c r="E9" s="524"/>
      <c r="F9" s="523" t="s">
        <v>138</v>
      </c>
      <c r="G9" s="935" t="str">
        <f>VLOOKUP($U$5,SISWA!$A:$AT,3)</f>
        <v>ADHWA BARIQ RAMDAENI BADRUL YAMAN</v>
      </c>
      <c r="H9" s="935"/>
      <c r="I9" s="935"/>
      <c r="J9" s="935"/>
      <c r="K9" s="935"/>
      <c r="L9" s="935"/>
      <c r="M9" s="935"/>
      <c r="N9" s="935"/>
      <c r="O9" s="935"/>
      <c r="P9" s="935"/>
      <c r="Q9" s="935"/>
      <c r="R9" s="935"/>
    </row>
    <row r="10" spans="2:21">
      <c r="B10" s="22"/>
      <c r="C10" s="524" t="s">
        <v>455</v>
      </c>
      <c r="D10" s="524"/>
      <c r="E10" s="524"/>
      <c r="F10" s="523" t="s">
        <v>138</v>
      </c>
      <c r="G10" s="935" t="str">
        <f>VLOOKUP($U$5,SISWA!$A:$AT,5)</f>
        <v>ADHWA</v>
      </c>
      <c r="H10" s="935"/>
      <c r="I10" s="935"/>
      <c r="J10" s="935"/>
      <c r="K10" s="935"/>
      <c r="L10" s="935"/>
      <c r="M10" s="935"/>
      <c r="N10" s="935"/>
      <c r="O10" s="935"/>
      <c r="P10" s="935"/>
      <c r="Q10" s="935"/>
      <c r="R10" s="935"/>
    </row>
    <row r="11" spans="2:21">
      <c r="B11" s="523">
        <v>2</v>
      </c>
      <c r="C11" s="524" t="s">
        <v>456</v>
      </c>
      <c r="D11" s="524"/>
      <c r="E11" s="524"/>
      <c r="F11" s="523" t="s">
        <v>138</v>
      </c>
      <c r="G11" s="935" t="str">
        <f>VLOOKUP($U$5,SISWA!$A:$AT,6)</f>
        <v>P</v>
      </c>
      <c r="H11" s="935"/>
      <c r="I11" s="935"/>
      <c r="J11" s="935"/>
      <c r="K11" s="935"/>
      <c r="L11" s="935"/>
      <c r="M11" s="935"/>
      <c r="N11" s="935"/>
      <c r="O11" s="935"/>
      <c r="P11" s="935"/>
      <c r="Q11" s="935"/>
      <c r="R11" s="935"/>
    </row>
    <row r="12" spans="2:21">
      <c r="B12" s="523">
        <v>3</v>
      </c>
      <c r="C12" s="524" t="s">
        <v>457</v>
      </c>
      <c r="D12" s="524"/>
      <c r="E12" s="524"/>
      <c r="F12" s="523" t="s">
        <v>138</v>
      </c>
      <c r="G12" s="935" t="str">
        <f>VLOOKUP($U$5,SISWA!$A:$AT,9)</f>
        <v>BANDUNG, 01 OKTOBER 2007</v>
      </c>
      <c r="H12" s="935"/>
      <c r="I12" s="935"/>
      <c r="J12" s="935"/>
      <c r="K12" s="935"/>
      <c r="L12" s="935"/>
      <c r="M12" s="935"/>
      <c r="N12" s="935"/>
      <c r="O12" s="935"/>
      <c r="P12" s="935"/>
      <c r="Q12" s="935"/>
      <c r="R12" s="935"/>
    </row>
    <row r="13" spans="2:21">
      <c r="B13" s="523">
        <v>4</v>
      </c>
      <c r="C13" s="524" t="s">
        <v>31</v>
      </c>
      <c r="D13" s="524"/>
      <c r="E13" s="524"/>
      <c r="F13" s="523" t="s">
        <v>138</v>
      </c>
      <c r="G13" s="935" t="str">
        <f>VLOOKUP($U$5,SISWA!$A:$AT,7)</f>
        <v>Islam</v>
      </c>
      <c r="H13" s="935"/>
      <c r="I13" s="935"/>
      <c r="J13" s="935"/>
      <c r="K13" s="935"/>
      <c r="L13" s="935"/>
      <c r="M13" s="935"/>
      <c r="N13" s="935"/>
      <c r="O13" s="935"/>
      <c r="P13" s="935"/>
      <c r="Q13" s="935"/>
      <c r="R13" s="935"/>
    </row>
    <row r="14" spans="2:21">
      <c r="B14" s="523">
        <v>5</v>
      </c>
      <c r="C14" s="524" t="s">
        <v>458</v>
      </c>
      <c r="D14" s="524"/>
      <c r="E14" s="524"/>
      <c r="F14" s="523" t="s">
        <v>138</v>
      </c>
      <c r="G14" s="935">
        <f>VLOOKUP($U$5,SISWA!$A:$AT,8)</f>
        <v>0</v>
      </c>
      <c r="H14" s="935"/>
      <c r="I14" s="935"/>
      <c r="J14" s="935"/>
      <c r="K14" s="935"/>
      <c r="L14" s="935"/>
      <c r="M14" s="935"/>
      <c r="N14" s="935"/>
      <c r="O14" s="935"/>
      <c r="P14" s="935"/>
      <c r="Q14" s="935"/>
      <c r="R14" s="935"/>
    </row>
    <row r="15" spans="2:21">
      <c r="B15" s="523">
        <v>6</v>
      </c>
      <c r="C15" s="524" t="s">
        <v>459</v>
      </c>
      <c r="D15" s="524"/>
      <c r="E15" s="524"/>
      <c r="F15" s="523" t="s">
        <v>138</v>
      </c>
      <c r="G15" s="935">
        <f>VLOOKUP($U$5,SISWA!$A:$AT,10)</f>
        <v>0</v>
      </c>
      <c r="H15" s="935"/>
      <c r="I15" s="935"/>
      <c r="J15" s="935"/>
      <c r="K15" s="935"/>
      <c r="L15" s="935"/>
      <c r="M15" s="935"/>
      <c r="N15" s="935"/>
      <c r="O15" s="935"/>
      <c r="P15" s="935"/>
      <c r="Q15" s="935"/>
      <c r="R15" s="935"/>
    </row>
    <row r="16" spans="2:21">
      <c r="B16" s="523">
        <v>7</v>
      </c>
      <c r="C16" s="524" t="s">
        <v>460</v>
      </c>
      <c r="D16" s="524"/>
      <c r="E16" s="524"/>
      <c r="F16" s="523" t="s">
        <v>138</v>
      </c>
      <c r="G16" s="935">
        <f>VLOOKUP($U$5,SISWA!$A:$AT,11)</f>
        <v>0</v>
      </c>
      <c r="H16" s="935"/>
      <c r="I16" s="935"/>
      <c r="J16" s="935"/>
      <c r="K16" s="935"/>
      <c r="L16" s="935"/>
      <c r="M16" s="935"/>
      <c r="N16" s="935"/>
      <c r="O16" s="935"/>
      <c r="P16" s="935"/>
      <c r="Q16" s="935"/>
      <c r="R16" s="935"/>
    </row>
    <row r="17" spans="2:18">
      <c r="B17" s="523">
        <v>8</v>
      </c>
      <c r="C17" s="524" t="s">
        <v>461</v>
      </c>
      <c r="D17" s="524"/>
      <c r="E17" s="524"/>
      <c r="F17" s="523" t="s">
        <v>138</v>
      </c>
      <c r="G17" s="935">
        <f>VLOOKUP($U$5,SISWA!$A:$AT,12)</f>
        <v>0</v>
      </c>
      <c r="H17" s="935"/>
      <c r="I17" s="935"/>
      <c r="J17" s="935"/>
      <c r="K17" s="935"/>
      <c r="L17" s="935"/>
      <c r="M17" s="935"/>
      <c r="N17" s="935"/>
      <c r="O17" s="935"/>
      <c r="P17" s="935"/>
      <c r="Q17" s="935"/>
      <c r="R17" s="935"/>
    </row>
    <row r="18" spans="2:18">
      <c r="B18" s="523">
        <v>9</v>
      </c>
      <c r="C18" s="524" t="s">
        <v>462</v>
      </c>
      <c r="D18" s="524"/>
      <c r="E18" s="524"/>
      <c r="F18" s="523" t="s">
        <v>138</v>
      </c>
      <c r="G18" s="935">
        <f>VLOOKUP($U$5,SISWA!$A:$AT,13)</f>
        <v>0</v>
      </c>
      <c r="H18" s="935"/>
      <c r="I18" s="935"/>
      <c r="J18" s="935"/>
      <c r="K18" s="935"/>
      <c r="L18" s="935"/>
      <c r="M18" s="935"/>
      <c r="N18" s="935"/>
      <c r="O18" s="935"/>
      <c r="P18" s="935"/>
      <c r="Q18" s="935"/>
      <c r="R18" s="935"/>
    </row>
    <row r="19" spans="2:18">
      <c r="B19" s="523">
        <v>10</v>
      </c>
      <c r="C19" s="524" t="s">
        <v>463</v>
      </c>
      <c r="D19" s="524"/>
      <c r="E19" s="524"/>
      <c r="F19" s="523" t="s">
        <v>138</v>
      </c>
      <c r="G19" s="935">
        <f>VLOOKUP($U$5,SISWA!$A:$AT,14)</f>
        <v>0</v>
      </c>
      <c r="H19" s="935"/>
      <c r="I19" s="935"/>
      <c r="J19" s="935"/>
      <c r="K19" s="935"/>
      <c r="L19" s="935"/>
      <c r="M19" s="935"/>
      <c r="N19" s="935"/>
      <c r="O19" s="935"/>
      <c r="P19" s="935"/>
      <c r="Q19" s="935"/>
      <c r="R19" s="935"/>
    </row>
    <row r="20" spans="2:18">
      <c r="B20" s="525"/>
    </row>
    <row r="21" spans="2:18">
      <c r="B21" s="522" t="s">
        <v>464</v>
      </c>
    </row>
    <row r="22" spans="2:18">
      <c r="B22" s="523">
        <v>11</v>
      </c>
      <c r="C22" s="524" t="s">
        <v>46</v>
      </c>
      <c r="D22" s="524"/>
      <c r="E22" s="524"/>
      <c r="F22" s="526" t="s">
        <v>138</v>
      </c>
      <c r="G22" s="935">
        <f>VLOOKUP($U$5,SISWA!$A:$AT,15)</f>
        <v>0</v>
      </c>
      <c r="H22" s="935"/>
      <c r="I22" s="935"/>
      <c r="J22" s="935"/>
      <c r="K22" s="935"/>
      <c r="L22" s="935"/>
      <c r="M22" s="935"/>
      <c r="N22" s="935"/>
      <c r="O22" s="935"/>
      <c r="P22" s="935"/>
      <c r="Q22" s="935"/>
      <c r="R22" s="935"/>
    </row>
    <row r="23" spans="2:18">
      <c r="B23" s="523">
        <v>12</v>
      </c>
      <c r="C23" s="524" t="s">
        <v>465</v>
      </c>
      <c r="D23" s="524"/>
      <c r="E23" s="524"/>
      <c r="F23" s="526" t="s">
        <v>138</v>
      </c>
      <c r="G23" s="935">
        <f>VLOOKUP($U$5,SISWA!$A:$AT,16)</f>
        <v>0</v>
      </c>
      <c r="H23" s="935"/>
      <c r="I23" s="935"/>
      <c r="J23" s="935"/>
      <c r="K23" s="935"/>
      <c r="L23" s="935"/>
      <c r="M23" s="935"/>
      <c r="N23" s="935"/>
      <c r="O23" s="935"/>
      <c r="P23" s="935"/>
      <c r="Q23" s="935"/>
      <c r="R23" s="935"/>
    </row>
    <row r="24" spans="2:18">
      <c r="B24" s="523">
        <v>13</v>
      </c>
      <c r="C24" s="524" t="s">
        <v>466</v>
      </c>
      <c r="D24" s="524"/>
      <c r="E24" s="524"/>
      <c r="F24" s="526" t="s">
        <v>138</v>
      </c>
      <c r="G24" s="935">
        <f>VLOOKUP($U$5,SISWA!$A:$AT,17)</f>
        <v>0</v>
      </c>
      <c r="H24" s="935"/>
      <c r="I24" s="935"/>
      <c r="J24" s="935"/>
      <c r="K24" s="935"/>
      <c r="L24" s="935"/>
      <c r="M24" s="935"/>
      <c r="N24" s="935"/>
      <c r="O24" s="935"/>
      <c r="P24" s="935"/>
      <c r="Q24" s="935"/>
      <c r="R24" s="935"/>
    </row>
    <row r="25" spans="2:18">
      <c r="B25" s="523">
        <v>14</v>
      </c>
      <c r="C25" s="524" t="s">
        <v>467</v>
      </c>
      <c r="D25" s="524"/>
      <c r="E25" s="524"/>
      <c r="F25" s="526" t="s">
        <v>138</v>
      </c>
      <c r="G25" s="935">
        <f>VLOOKUP($U$5,SISWA!$A:$AT,18)</f>
        <v>0</v>
      </c>
      <c r="H25" s="935"/>
      <c r="I25" s="935"/>
      <c r="J25" s="935"/>
      <c r="K25" s="935"/>
      <c r="L25" s="935"/>
      <c r="M25" s="935"/>
      <c r="N25" s="935"/>
      <c r="O25" s="935"/>
      <c r="P25" s="935"/>
      <c r="Q25" s="935"/>
      <c r="R25" s="935"/>
    </row>
    <row r="26" spans="2:18">
      <c r="B26" s="528"/>
      <c r="F26" s="529"/>
    </row>
    <row r="27" spans="2:18">
      <c r="B27" s="522" t="s">
        <v>468</v>
      </c>
      <c r="F27" s="529"/>
    </row>
    <row r="28" spans="2:18">
      <c r="B28" s="523">
        <v>15</v>
      </c>
      <c r="C28" s="524" t="s">
        <v>469</v>
      </c>
      <c r="D28" s="524"/>
      <c r="E28" s="524"/>
      <c r="F28" s="526" t="s">
        <v>138</v>
      </c>
      <c r="G28" s="935"/>
      <c r="H28" s="935"/>
      <c r="I28" s="935"/>
      <c r="J28" s="935"/>
      <c r="K28" s="935"/>
      <c r="L28" s="935"/>
      <c r="M28" s="935"/>
      <c r="N28" s="935"/>
      <c r="O28" s="935"/>
      <c r="P28" s="935"/>
      <c r="Q28" s="935"/>
      <c r="R28" s="935"/>
    </row>
    <row r="29" spans="2:18">
      <c r="B29" s="523">
        <v>16</v>
      </c>
      <c r="C29" s="524" t="s">
        <v>471</v>
      </c>
      <c r="D29" s="524"/>
      <c r="E29" s="524"/>
      <c r="F29" s="526" t="s">
        <v>138</v>
      </c>
      <c r="G29" s="935"/>
      <c r="H29" s="935"/>
      <c r="I29" s="935"/>
      <c r="J29" s="935"/>
      <c r="K29" s="935"/>
      <c r="L29" s="935"/>
      <c r="M29" s="935"/>
      <c r="N29" s="935"/>
      <c r="O29" s="935"/>
      <c r="P29" s="935"/>
      <c r="Q29" s="935"/>
      <c r="R29" s="935"/>
    </row>
    <row r="30" spans="2:18">
      <c r="B30" s="523">
        <v>17</v>
      </c>
      <c r="C30" s="524" t="s">
        <v>472</v>
      </c>
      <c r="D30" s="524"/>
      <c r="E30" s="524"/>
      <c r="F30" s="526" t="s">
        <v>138</v>
      </c>
      <c r="G30" s="935"/>
      <c r="H30" s="935"/>
      <c r="I30" s="935"/>
      <c r="J30" s="935"/>
      <c r="K30" s="935"/>
      <c r="L30" s="935"/>
      <c r="M30" s="935"/>
      <c r="N30" s="935"/>
      <c r="O30" s="935"/>
      <c r="P30" s="935"/>
      <c r="Q30" s="935"/>
      <c r="R30" s="935"/>
    </row>
    <row r="31" spans="2:18">
      <c r="B31" s="523">
        <v>18</v>
      </c>
      <c r="C31" s="524" t="s">
        <v>473</v>
      </c>
      <c r="D31" s="524"/>
      <c r="E31" s="524"/>
      <c r="F31" s="529"/>
      <c r="G31" s="935"/>
      <c r="H31" s="935"/>
      <c r="I31" s="935"/>
      <c r="J31" s="935"/>
      <c r="K31" s="935"/>
      <c r="L31" s="935"/>
      <c r="M31" s="935"/>
      <c r="N31" s="935"/>
      <c r="O31" s="935"/>
      <c r="P31" s="935"/>
      <c r="Q31" s="935"/>
      <c r="R31" s="935"/>
    </row>
    <row r="32" spans="2:18">
      <c r="B32" s="523">
        <v>19</v>
      </c>
      <c r="C32" s="524" t="s">
        <v>474</v>
      </c>
      <c r="D32" s="524"/>
      <c r="E32" s="524"/>
      <c r="F32" s="527" t="s">
        <v>138</v>
      </c>
      <c r="G32" s="527" t="s">
        <v>470</v>
      </c>
    </row>
    <row r="33" spans="2:20">
      <c r="B33" s="527"/>
      <c r="C33" s="524" t="s">
        <v>475</v>
      </c>
      <c r="G33" s="943" t="str">
        <f>DEPAN!E15</f>
        <v>2018/2019</v>
      </c>
      <c r="H33" s="944"/>
      <c r="I33" s="944"/>
      <c r="J33" s="945"/>
      <c r="K33" s="943"/>
      <c r="L33" s="944"/>
      <c r="M33" s="944"/>
      <c r="N33" s="945"/>
      <c r="O33" s="943"/>
      <c r="P33" s="944"/>
      <c r="Q33" s="944"/>
      <c r="R33" s="945"/>
    </row>
    <row r="34" spans="2:20">
      <c r="B34" s="527"/>
      <c r="C34" s="524" t="s">
        <v>24</v>
      </c>
      <c r="G34" s="939" t="s">
        <v>529</v>
      </c>
      <c r="H34" s="939"/>
      <c r="I34" s="939" t="s">
        <v>530</v>
      </c>
      <c r="J34" s="939"/>
      <c r="K34" s="939" t="s">
        <v>529</v>
      </c>
      <c r="L34" s="939"/>
      <c r="M34" s="939" t="s">
        <v>530</v>
      </c>
      <c r="N34" s="939"/>
      <c r="O34" s="939" t="s">
        <v>529</v>
      </c>
      <c r="P34" s="939"/>
      <c r="Q34" s="939" t="s">
        <v>530</v>
      </c>
      <c r="R34" s="939"/>
      <c r="S34" s="528"/>
      <c r="T34" s="530"/>
    </row>
    <row r="35" spans="2:20">
      <c r="B35" s="527"/>
      <c r="C35" s="525" t="s">
        <v>183</v>
      </c>
      <c r="G35" s="940" t="str">
        <f>VLOOKUP(U5,ABSEN!A7:W56,14)</f>
        <v>30 kg</v>
      </c>
      <c r="H35" s="941"/>
      <c r="I35" s="939"/>
      <c r="J35" s="939"/>
      <c r="K35" s="939"/>
      <c r="L35" s="939"/>
      <c r="M35" s="939"/>
      <c r="N35" s="939"/>
      <c r="O35" s="939"/>
      <c r="P35" s="939"/>
      <c r="Q35" s="939"/>
      <c r="R35" s="939"/>
    </row>
    <row r="36" spans="2:20">
      <c r="B36" s="525"/>
      <c r="C36" s="525" t="s">
        <v>184</v>
      </c>
      <c r="G36" s="940" t="str">
        <f>VLOOKUP(U5,ABSEN!A7:W56,13)</f>
        <v>140 cm</v>
      </c>
      <c r="H36" s="941"/>
      <c r="I36" s="939"/>
      <c r="J36" s="939"/>
      <c r="K36" s="939"/>
      <c r="L36" s="939"/>
      <c r="M36" s="939"/>
      <c r="N36" s="939"/>
      <c r="O36" s="939"/>
      <c r="P36" s="939"/>
      <c r="Q36" s="939"/>
      <c r="R36" s="939"/>
    </row>
    <row r="37" spans="2:20">
      <c r="B37" s="525"/>
    </row>
    <row r="38" spans="2:20">
      <c r="B38" s="522" t="s">
        <v>476</v>
      </c>
    </row>
    <row r="39" spans="2:20">
      <c r="B39" s="526">
        <v>20</v>
      </c>
      <c r="C39" s="526" t="s">
        <v>33</v>
      </c>
      <c r="D39" s="527"/>
      <c r="E39" s="527"/>
    </row>
    <row r="40" spans="2:20">
      <c r="C40" s="526" t="s">
        <v>477</v>
      </c>
      <c r="D40" s="532"/>
      <c r="E40" s="532"/>
      <c r="F40" s="526" t="s">
        <v>478</v>
      </c>
    </row>
    <row r="41" spans="2:20">
      <c r="C41" s="526" t="s">
        <v>479</v>
      </c>
      <c r="D41" s="532"/>
      <c r="E41" s="532"/>
      <c r="F41" s="526" t="s">
        <v>138</v>
      </c>
      <c r="G41" s="935">
        <f>VLOOKUP($U$5,SISWA!$A:$AT,19)</f>
        <v>0</v>
      </c>
      <c r="H41" s="935"/>
      <c r="I41" s="935"/>
      <c r="J41" s="935"/>
      <c r="K41" s="935"/>
      <c r="L41" s="935"/>
      <c r="M41" s="935"/>
      <c r="N41" s="935"/>
      <c r="O41" s="935"/>
      <c r="P41" s="935"/>
      <c r="Q41" s="935"/>
      <c r="R41" s="935"/>
    </row>
    <row r="42" spans="2:20">
      <c r="C42" s="526" t="s">
        <v>480</v>
      </c>
      <c r="D42" s="532"/>
      <c r="E42" s="532"/>
      <c r="F42" s="526" t="s">
        <v>138</v>
      </c>
      <c r="G42" s="935"/>
      <c r="H42" s="935"/>
      <c r="I42" s="935"/>
      <c r="J42" s="935"/>
      <c r="K42" s="935"/>
      <c r="L42" s="935"/>
      <c r="M42" s="935"/>
      <c r="N42" s="935"/>
      <c r="O42" s="935"/>
      <c r="P42" s="935"/>
      <c r="Q42" s="935"/>
      <c r="R42" s="935"/>
    </row>
    <row r="43" spans="2:20">
      <c r="C43" s="526" t="s">
        <v>481</v>
      </c>
      <c r="D43" s="532"/>
      <c r="E43" s="532"/>
      <c r="F43" s="526" t="s">
        <v>138</v>
      </c>
      <c r="G43" s="935"/>
      <c r="H43" s="935"/>
      <c r="I43" s="935"/>
      <c r="J43" s="935"/>
      <c r="K43" s="935"/>
      <c r="L43" s="935"/>
      <c r="M43" s="935"/>
      <c r="N43" s="935"/>
      <c r="O43" s="935"/>
      <c r="P43" s="935"/>
      <c r="Q43" s="935"/>
      <c r="R43" s="935"/>
    </row>
    <row r="44" spans="2:20">
      <c r="B44" s="526">
        <v>21</v>
      </c>
      <c r="C44" s="526" t="s">
        <v>482</v>
      </c>
      <c r="D44" s="527"/>
      <c r="E44" s="527"/>
    </row>
    <row r="45" spans="2:20">
      <c r="C45" s="526" t="s">
        <v>483</v>
      </c>
      <c r="D45" s="532"/>
      <c r="E45" s="532"/>
      <c r="F45" s="526" t="s">
        <v>138</v>
      </c>
    </row>
    <row r="46" spans="2:20">
      <c r="C46" s="526" t="s">
        <v>484</v>
      </c>
      <c r="D46" s="532"/>
      <c r="E46" s="532"/>
      <c r="F46" s="526" t="s">
        <v>138</v>
      </c>
    </row>
    <row r="47" spans="2:20">
      <c r="C47" s="526" t="s">
        <v>485</v>
      </c>
      <c r="D47" s="532"/>
      <c r="E47" s="532"/>
      <c r="F47" s="526" t="s">
        <v>138</v>
      </c>
    </row>
    <row r="48" spans="2:20">
      <c r="C48" s="526" t="s">
        <v>486</v>
      </c>
      <c r="D48" s="532"/>
      <c r="E48" s="532"/>
      <c r="F48" s="526" t="s">
        <v>138</v>
      </c>
    </row>
    <row r="49" spans="2:18">
      <c r="B49" s="526">
        <v>22</v>
      </c>
      <c r="C49" s="526" t="s">
        <v>487</v>
      </c>
      <c r="D49" s="527"/>
      <c r="E49" s="527"/>
    </row>
    <row r="50" spans="2:18">
      <c r="C50" s="526" t="s">
        <v>488</v>
      </c>
      <c r="D50" s="532"/>
      <c r="E50" s="532"/>
      <c r="F50" s="526" t="s">
        <v>138</v>
      </c>
    </row>
    <row r="51" spans="2:18">
      <c r="C51" s="526" t="s">
        <v>489</v>
      </c>
      <c r="D51" s="532"/>
      <c r="E51" s="532"/>
      <c r="F51" s="526" t="s">
        <v>138</v>
      </c>
    </row>
    <row r="52" spans="2:18">
      <c r="B52" s="522"/>
    </row>
    <row r="53" spans="2:18">
      <c r="B53" s="522" t="s">
        <v>490</v>
      </c>
    </row>
    <row r="54" spans="2:18">
      <c r="B54" s="523">
        <v>23</v>
      </c>
      <c r="C54" s="526" t="s">
        <v>44</v>
      </c>
      <c r="D54" s="527"/>
      <c r="E54" s="527"/>
      <c r="F54" s="526" t="s">
        <v>138</v>
      </c>
      <c r="G54" s="935">
        <f>VLOOKUP($U$5,SISWA!$A:$AT,20)</f>
        <v>0</v>
      </c>
      <c r="H54" s="935"/>
      <c r="I54" s="935"/>
      <c r="J54" s="935"/>
      <c r="K54" s="935"/>
      <c r="L54" s="935"/>
      <c r="M54" s="935"/>
      <c r="N54" s="935"/>
      <c r="O54" s="935"/>
      <c r="P54" s="935"/>
      <c r="Q54" s="935"/>
      <c r="R54" s="935"/>
    </row>
    <row r="55" spans="2:18">
      <c r="B55" s="523">
        <v>24</v>
      </c>
      <c r="C55" s="526" t="s">
        <v>540</v>
      </c>
      <c r="D55" s="527"/>
      <c r="E55" s="527"/>
      <c r="F55" s="526" t="s">
        <v>138</v>
      </c>
      <c r="G55" s="935">
        <f>VLOOKUP($U$5,SISWA!$A:$AT,21)</f>
        <v>0</v>
      </c>
      <c r="H55" s="935"/>
      <c r="I55" s="935"/>
      <c r="J55" s="935"/>
      <c r="K55" s="935"/>
      <c r="L55" s="935"/>
      <c r="M55" s="935"/>
      <c r="N55" s="935"/>
      <c r="O55" s="935"/>
      <c r="P55" s="935"/>
      <c r="Q55" s="935"/>
      <c r="R55" s="935"/>
    </row>
    <row r="56" spans="2:18">
      <c r="B56" s="523">
        <v>25</v>
      </c>
      <c r="C56" s="526" t="s">
        <v>31</v>
      </c>
      <c r="D56" s="527"/>
      <c r="E56" s="527"/>
      <c r="F56" s="526" t="s">
        <v>138</v>
      </c>
      <c r="G56" s="935">
        <f>VLOOKUP($U$5,SISWA!$A:$AT,22)</f>
        <v>0</v>
      </c>
      <c r="H56" s="935"/>
      <c r="I56" s="935"/>
      <c r="J56" s="935"/>
      <c r="K56" s="935"/>
      <c r="L56" s="935"/>
      <c r="M56" s="935"/>
      <c r="N56" s="935"/>
      <c r="O56" s="935"/>
      <c r="P56" s="935"/>
      <c r="Q56" s="935"/>
      <c r="R56" s="935"/>
    </row>
    <row r="57" spans="2:18">
      <c r="B57" s="523">
        <v>26</v>
      </c>
      <c r="C57" s="526" t="s">
        <v>491</v>
      </c>
      <c r="D57" s="527"/>
      <c r="E57" s="527"/>
      <c r="F57" s="526" t="s">
        <v>138</v>
      </c>
      <c r="G57" s="935">
        <f>VLOOKUP($U$5,SISWA!$A:$AT,23)</f>
        <v>0</v>
      </c>
      <c r="H57" s="935"/>
      <c r="I57" s="935"/>
      <c r="J57" s="935"/>
      <c r="K57" s="935"/>
      <c r="L57" s="935"/>
      <c r="M57" s="935"/>
      <c r="N57" s="935"/>
      <c r="O57" s="935"/>
      <c r="P57" s="935"/>
      <c r="Q57" s="935"/>
      <c r="R57" s="935"/>
    </row>
    <row r="58" spans="2:18">
      <c r="B58" s="523">
        <v>27</v>
      </c>
      <c r="C58" s="526" t="s">
        <v>45</v>
      </c>
      <c r="D58" s="527"/>
      <c r="E58" s="527"/>
      <c r="F58" s="526" t="s">
        <v>138</v>
      </c>
      <c r="G58" s="935">
        <f>VLOOKUP($U$5,SISWA!$A:$AT,24)</f>
        <v>0</v>
      </c>
      <c r="H58" s="935"/>
      <c r="I58" s="935"/>
      <c r="J58" s="935"/>
      <c r="K58" s="935"/>
      <c r="L58" s="935"/>
      <c r="M58" s="935"/>
      <c r="N58" s="935"/>
      <c r="O58" s="935"/>
      <c r="P58" s="935"/>
      <c r="Q58" s="935"/>
      <c r="R58" s="935"/>
    </row>
    <row r="59" spans="2:18">
      <c r="B59" s="522"/>
    </row>
    <row r="60" spans="2:18">
      <c r="B60" s="522" t="s">
        <v>493</v>
      </c>
      <c r="C60" s="522" t="s">
        <v>494</v>
      </c>
      <c r="D60" s="522"/>
      <c r="E60" s="522"/>
    </row>
    <row r="61" spans="2:18">
      <c r="B61" s="523">
        <v>29</v>
      </c>
      <c r="C61" s="526" t="s">
        <v>44</v>
      </c>
      <c r="D61" s="527"/>
      <c r="E61" s="527"/>
      <c r="F61" s="526" t="s">
        <v>138</v>
      </c>
      <c r="G61" s="935">
        <f>VLOOKUP($U$5,SISWA!$A:$AT,25)</f>
        <v>0</v>
      </c>
      <c r="H61" s="935"/>
      <c r="I61" s="935"/>
      <c r="J61" s="935"/>
      <c r="K61" s="935"/>
      <c r="L61" s="935"/>
      <c r="M61" s="935"/>
      <c r="N61" s="935"/>
      <c r="O61" s="935"/>
      <c r="P61" s="935"/>
      <c r="Q61" s="935"/>
      <c r="R61" s="935"/>
    </row>
    <row r="62" spans="2:18">
      <c r="B62" s="523">
        <v>30</v>
      </c>
      <c r="C62" s="526" t="s">
        <v>540</v>
      </c>
      <c r="D62" s="527"/>
      <c r="E62" s="527"/>
      <c r="F62" s="526" t="s">
        <v>138</v>
      </c>
      <c r="G62" s="935">
        <f>VLOOKUP($U$5,SISWA!$A:$AT,26)</f>
        <v>0</v>
      </c>
      <c r="H62" s="935"/>
      <c r="I62" s="935"/>
      <c r="J62" s="935"/>
      <c r="K62" s="935"/>
      <c r="L62" s="935"/>
      <c r="M62" s="935"/>
      <c r="N62" s="935"/>
      <c r="O62" s="935"/>
      <c r="P62" s="935"/>
      <c r="Q62" s="935"/>
      <c r="R62" s="935"/>
    </row>
    <row r="63" spans="2:18">
      <c r="B63" s="523">
        <v>34</v>
      </c>
      <c r="C63" s="526" t="s">
        <v>31</v>
      </c>
      <c r="D63" s="527"/>
      <c r="E63" s="527"/>
      <c r="F63" s="526" t="s">
        <v>138</v>
      </c>
      <c r="G63" s="935">
        <f>VLOOKUP($U$5,SISWA!$A:$AT,27)</f>
        <v>0</v>
      </c>
      <c r="H63" s="935"/>
      <c r="I63" s="935"/>
      <c r="J63" s="935"/>
      <c r="K63" s="935"/>
      <c r="L63" s="935"/>
      <c r="M63" s="935"/>
      <c r="N63" s="935"/>
      <c r="O63" s="935"/>
      <c r="P63" s="935"/>
      <c r="Q63" s="935"/>
      <c r="R63" s="935"/>
    </row>
    <row r="64" spans="2:18">
      <c r="B64" s="523">
        <v>36</v>
      </c>
      <c r="C64" s="526" t="s">
        <v>491</v>
      </c>
      <c r="D64" s="527"/>
      <c r="E64" s="527"/>
      <c r="F64" s="526" t="s">
        <v>138</v>
      </c>
      <c r="G64" s="935">
        <f>VLOOKUP($U$5,SISWA!$A:$AT,28)</f>
        <v>0</v>
      </c>
      <c r="H64" s="935"/>
      <c r="I64" s="935"/>
      <c r="J64" s="935"/>
      <c r="K64" s="935"/>
      <c r="L64" s="935"/>
      <c r="M64" s="935"/>
      <c r="N64" s="935"/>
      <c r="O64" s="935"/>
      <c r="P64" s="935"/>
      <c r="Q64" s="935"/>
      <c r="R64" s="935"/>
    </row>
    <row r="65" spans="2:18">
      <c r="B65" s="523">
        <v>37</v>
      </c>
      <c r="C65" s="526" t="s">
        <v>45</v>
      </c>
      <c r="D65" s="527"/>
      <c r="E65" s="527"/>
      <c r="F65" s="526" t="s">
        <v>138</v>
      </c>
      <c r="G65" s="935">
        <f>VLOOKUP($U$5,SISWA!$A:$AT,29)</f>
        <v>0</v>
      </c>
      <c r="H65" s="935"/>
      <c r="I65" s="935"/>
      <c r="J65" s="935"/>
      <c r="K65" s="935"/>
      <c r="L65" s="935"/>
      <c r="M65" s="935"/>
      <c r="N65" s="935"/>
      <c r="O65" s="935"/>
      <c r="P65" s="935"/>
      <c r="Q65" s="935"/>
      <c r="R65" s="935"/>
    </row>
    <row r="66" spans="2:18">
      <c r="B66" s="522"/>
    </row>
    <row r="67" spans="2:18">
      <c r="B67" s="522" t="s">
        <v>495</v>
      </c>
    </row>
    <row r="68" spans="2:18">
      <c r="B68" s="523">
        <v>41</v>
      </c>
      <c r="C68" s="526" t="s">
        <v>44</v>
      </c>
      <c r="D68" s="527"/>
      <c r="E68" s="527"/>
      <c r="F68" s="526" t="s">
        <v>138</v>
      </c>
      <c r="G68" s="935">
        <f>VLOOKUP($U$5,SISWA!$A:$AT,36)</f>
        <v>0</v>
      </c>
      <c r="H68" s="935"/>
      <c r="I68" s="935"/>
      <c r="J68" s="935"/>
      <c r="K68" s="935"/>
      <c r="L68" s="935"/>
      <c r="M68" s="935"/>
      <c r="N68" s="935"/>
      <c r="O68" s="935"/>
      <c r="P68" s="935"/>
      <c r="Q68" s="935"/>
      <c r="R68" s="935"/>
    </row>
    <row r="69" spans="2:18">
      <c r="B69" s="523">
        <v>42</v>
      </c>
      <c r="C69" s="526" t="s">
        <v>540</v>
      </c>
      <c r="D69" s="527"/>
      <c r="E69" s="527"/>
      <c r="F69" s="526" t="s">
        <v>138</v>
      </c>
      <c r="G69" s="935">
        <f>VLOOKUP($U$5,SISWA!$A:$AT,37)</f>
        <v>0</v>
      </c>
      <c r="H69" s="935"/>
      <c r="I69" s="935"/>
      <c r="J69" s="935"/>
      <c r="K69" s="935"/>
      <c r="L69" s="935"/>
      <c r="M69" s="935"/>
      <c r="N69" s="935"/>
      <c r="O69" s="935"/>
      <c r="P69" s="935"/>
      <c r="Q69" s="935"/>
      <c r="R69" s="935"/>
    </row>
    <row r="70" spans="2:18">
      <c r="B70" s="523">
        <v>43</v>
      </c>
      <c r="C70" s="526" t="s">
        <v>31</v>
      </c>
      <c r="D70" s="527"/>
      <c r="E70" s="527"/>
      <c r="F70" s="526" t="s">
        <v>138</v>
      </c>
      <c r="G70" s="935">
        <f>VLOOKUP($U$5,SISWA!$A:$AT,38)</f>
        <v>0</v>
      </c>
      <c r="H70" s="935"/>
      <c r="I70" s="935"/>
      <c r="J70" s="935"/>
      <c r="K70" s="935"/>
      <c r="L70" s="935"/>
      <c r="M70" s="935"/>
      <c r="N70" s="935"/>
      <c r="O70" s="935"/>
      <c r="P70" s="935"/>
      <c r="Q70" s="935"/>
      <c r="R70" s="935"/>
    </row>
    <row r="71" spans="2:18">
      <c r="B71" s="523">
        <v>45</v>
      </c>
      <c r="C71" s="526" t="s">
        <v>491</v>
      </c>
      <c r="D71" s="527"/>
      <c r="E71" s="527"/>
      <c r="F71" s="526" t="s">
        <v>138</v>
      </c>
      <c r="G71" s="935">
        <f>VLOOKUP($U$5,SISWA!$A:$AT,39)</f>
        <v>0</v>
      </c>
      <c r="H71" s="935"/>
      <c r="I71" s="935"/>
      <c r="J71" s="935"/>
      <c r="K71" s="935"/>
      <c r="L71" s="935"/>
      <c r="M71" s="935"/>
      <c r="N71" s="935"/>
      <c r="O71" s="935"/>
      <c r="P71" s="935"/>
      <c r="Q71" s="935"/>
      <c r="R71" s="935"/>
    </row>
    <row r="72" spans="2:18">
      <c r="B72" s="523">
        <v>46</v>
      </c>
      <c r="C72" s="526" t="s">
        <v>45</v>
      </c>
      <c r="D72" s="527"/>
      <c r="E72" s="527"/>
      <c r="F72" s="526" t="s">
        <v>138</v>
      </c>
      <c r="G72" s="935">
        <f>VLOOKUP($U$5,SISWA!$A:$AT,40)</f>
        <v>0</v>
      </c>
      <c r="H72" s="935"/>
      <c r="I72" s="935"/>
      <c r="J72" s="935"/>
      <c r="K72" s="935"/>
      <c r="L72" s="935"/>
      <c r="M72" s="935"/>
      <c r="N72" s="935"/>
      <c r="O72" s="935"/>
      <c r="P72" s="935"/>
      <c r="Q72" s="935"/>
      <c r="R72" s="935"/>
    </row>
    <row r="73" spans="2:18">
      <c r="B73" s="523">
        <v>48</v>
      </c>
      <c r="C73" s="526" t="s">
        <v>492</v>
      </c>
      <c r="D73" s="527"/>
      <c r="E73" s="527"/>
      <c r="F73" s="526" t="s">
        <v>138</v>
      </c>
      <c r="G73" s="935">
        <f>VLOOKUP($U$5,SISWA!$A:$AT,41)</f>
        <v>0</v>
      </c>
      <c r="H73" s="935"/>
      <c r="I73" s="935"/>
      <c r="J73" s="935"/>
      <c r="K73" s="935"/>
      <c r="L73" s="935"/>
      <c r="M73" s="935"/>
      <c r="N73" s="935"/>
      <c r="O73" s="935"/>
      <c r="P73" s="935"/>
      <c r="Q73" s="935"/>
      <c r="R73" s="935"/>
    </row>
    <row r="74" spans="2:18">
      <c r="B74" s="523">
        <v>49</v>
      </c>
      <c r="C74" s="526" t="s">
        <v>496</v>
      </c>
      <c r="D74" s="527"/>
      <c r="E74" s="527"/>
      <c r="F74" s="526" t="s">
        <v>138</v>
      </c>
      <c r="G74" s="935">
        <f>VLOOKUP($U$5,SISWA!$A:$AT,42)</f>
        <v>0</v>
      </c>
      <c r="H74" s="935"/>
      <c r="I74" s="935"/>
      <c r="J74" s="935"/>
      <c r="K74" s="935"/>
      <c r="L74" s="935"/>
      <c r="M74" s="935"/>
      <c r="N74" s="935"/>
      <c r="O74" s="935"/>
      <c r="P74" s="935"/>
      <c r="Q74" s="935"/>
      <c r="R74" s="935"/>
    </row>
    <row r="75" spans="2:18">
      <c r="B75" s="522"/>
    </row>
    <row r="76" spans="2:18">
      <c r="B76" s="522" t="s">
        <v>497</v>
      </c>
    </row>
    <row r="77" spans="2:18">
      <c r="B77" s="523">
        <v>50</v>
      </c>
      <c r="C77" s="526" t="s">
        <v>498</v>
      </c>
      <c r="D77" s="527"/>
      <c r="E77" s="527"/>
      <c r="F77" s="527" t="s">
        <v>138</v>
      </c>
    </row>
    <row r="78" spans="2:18">
      <c r="B78" s="22"/>
      <c r="C78" s="526" t="s">
        <v>499</v>
      </c>
      <c r="D78" s="527"/>
      <c r="E78" s="527"/>
    </row>
    <row r="79" spans="2:18">
      <c r="B79" s="22"/>
      <c r="C79" s="526" t="s">
        <v>499</v>
      </c>
      <c r="D79" s="527"/>
      <c r="E79" s="527"/>
    </row>
    <row r="80" spans="2:18">
      <c r="B80" s="22"/>
      <c r="C80" s="526" t="s">
        <v>499</v>
      </c>
      <c r="D80" s="527"/>
      <c r="E80" s="527"/>
    </row>
    <row r="81" spans="2:6">
      <c r="B81" s="22"/>
      <c r="C81" s="526" t="s">
        <v>499</v>
      </c>
      <c r="D81" s="527"/>
      <c r="E81" s="527"/>
    </row>
    <row r="82" spans="2:6">
      <c r="B82" s="523">
        <v>51</v>
      </c>
      <c r="C82" s="526" t="s">
        <v>500</v>
      </c>
      <c r="D82" s="527"/>
      <c r="E82" s="527"/>
    </row>
    <row r="83" spans="2:6">
      <c r="C83" s="526" t="s">
        <v>501</v>
      </c>
      <c r="E83" s="533"/>
      <c r="F83" s="523" t="s">
        <v>364</v>
      </c>
    </row>
    <row r="84" spans="2:6">
      <c r="C84" s="526" t="s">
        <v>502</v>
      </c>
      <c r="E84" s="533"/>
      <c r="F84" s="523" t="s">
        <v>364</v>
      </c>
    </row>
    <row r="85" spans="2:6">
      <c r="C85" s="526" t="s">
        <v>503</v>
      </c>
      <c r="E85" s="533"/>
      <c r="F85" s="523" t="s">
        <v>364</v>
      </c>
    </row>
    <row r="86" spans="2:6">
      <c r="C86" s="526" t="s">
        <v>504</v>
      </c>
      <c r="E86" s="533"/>
      <c r="F86" s="523" t="s">
        <v>364</v>
      </c>
    </row>
    <row r="87" spans="2:6">
      <c r="C87" s="526" t="s">
        <v>505</v>
      </c>
      <c r="E87" s="533"/>
      <c r="F87" s="523" t="s">
        <v>364</v>
      </c>
    </row>
    <row r="88" spans="2:6">
      <c r="C88" s="526" t="s">
        <v>506</v>
      </c>
      <c r="E88" s="533"/>
      <c r="F88" s="523" t="s">
        <v>364</v>
      </c>
    </row>
    <row r="89" spans="2:6">
      <c r="C89" s="526" t="s">
        <v>507</v>
      </c>
      <c r="E89" s="533"/>
      <c r="F89" s="523" t="s">
        <v>364</v>
      </c>
    </row>
    <row r="90" spans="2:6">
      <c r="B90" s="523">
        <v>52</v>
      </c>
      <c r="C90" s="526" t="s">
        <v>508</v>
      </c>
      <c r="D90" s="527"/>
      <c r="E90" s="527"/>
    </row>
    <row r="91" spans="2:6">
      <c r="C91" s="526" t="s">
        <v>509</v>
      </c>
      <c r="E91" s="533"/>
      <c r="F91" s="523" t="s">
        <v>364</v>
      </c>
    </row>
    <row r="92" spans="2:6">
      <c r="C92" s="526" t="s">
        <v>510</v>
      </c>
      <c r="E92" s="533"/>
      <c r="F92" s="523" t="s">
        <v>364</v>
      </c>
    </row>
    <row r="93" spans="2:6">
      <c r="C93" s="526" t="s">
        <v>511</v>
      </c>
      <c r="E93" s="533"/>
      <c r="F93" s="523" t="s">
        <v>364</v>
      </c>
    </row>
  </sheetData>
  <mergeCells count="64">
    <mergeCell ref="K33:N33"/>
    <mergeCell ref="O33:R33"/>
    <mergeCell ref="G36:H36"/>
    <mergeCell ref="I35:J35"/>
    <mergeCell ref="K35:L35"/>
    <mergeCell ref="M35:N35"/>
    <mergeCell ref="O35:P35"/>
    <mergeCell ref="Q35:R35"/>
    <mergeCell ref="I36:J36"/>
    <mergeCell ref="K36:L36"/>
    <mergeCell ref="M36:N36"/>
    <mergeCell ref="O36:P36"/>
    <mergeCell ref="G73:R73"/>
    <mergeCell ref="G74:R74"/>
    <mergeCell ref="F6:M6"/>
    <mergeCell ref="F5:M5"/>
    <mergeCell ref="G41:R41"/>
    <mergeCell ref="G42:R42"/>
    <mergeCell ref="G43:R43"/>
    <mergeCell ref="G34:H34"/>
    <mergeCell ref="I34:J34"/>
    <mergeCell ref="K34:L34"/>
    <mergeCell ref="G69:R69"/>
    <mergeCell ref="G70:R70"/>
    <mergeCell ref="G71:R71"/>
    <mergeCell ref="G72:R72"/>
    <mergeCell ref="Q36:R36"/>
    <mergeCell ref="G33:J33"/>
    <mergeCell ref="G55:R55"/>
    <mergeCell ref="G56:R56"/>
    <mergeCell ref="G57:R57"/>
    <mergeCell ref="G58:R58"/>
    <mergeCell ref="G68:R68"/>
    <mergeCell ref="G61:R61"/>
    <mergeCell ref="G62:R62"/>
    <mergeCell ref="G63:R63"/>
    <mergeCell ref="G64:R64"/>
    <mergeCell ref="G65:R65"/>
    <mergeCell ref="G54:R54"/>
    <mergeCell ref="M34:N34"/>
    <mergeCell ref="O34:P34"/>
    <mergeCell ref="Q34:R34"/>
    <mergeCell ref="G35:H35"/>
    <mergeCell ref="G25:R25"/>
    <mergeCell ref="G28:R28"/>
    <mergeCell ref="G29:R29"/>
    <mergeCell ref="G30:R30"/>
    <mergeCell ref="G31:R31"/>
    <mergeCell ref="U5:U7"/>
    <mergeCell ref="G9:R9"/>
    <mergeCell ref="G10:R10"/>
    <mergeCell ref="G11:R11"/>
    <mergeCell ref="G12:R12"/>
    <mergeCell ref="B2:S2"/>
    <mergeCell ref="G14:R14"/>
    <mergeCell ref="G15:R15"/>
    <mergeCell ref="G16:R16"/>
    <mergeCell ref="G24:R24"/>
    <mergeCell ref="G13:R13"/>
    <mergeCell ref="G17:R17"/>
    <mergeCell ref="G18:R18"/>
    <mergeCell ref="G19:R19"/>
    <mergeCell ref="G22:R22"/>
    <mergeCell ref="G23:R23"/>
  </mergeCells>
  <pageMargins left="0.7" right="0.36" top="0.3" bottom="0.56999999999999995" header="0.3" footer="0.3"/>
  <pageSetup scale="94" orientation="portrait" horizontalDpi="4294967293" verticalDpi="300" r:id="rId1"/>
  <rowBreaks count="1" manualBreakCount="1">
    <brk id="5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21</xdr:col>
                    <xdr:colOff>0</xdr:colOff>
                    <xdr:row>2</xdr:row>
                    <xdr:rowOff>161925</xdr:rowOff>
                  </from>
                  <to>
                    <xdr:col>21</xdr:col>
                    <xdr:colOff>542925</xdr:colOff>
                    <xdr:row>8</xdr:row>
                    <xdr:rowOff>76200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AJ71"/>
  <sheetViews>
    <sheetView view="pageBreakPreview" zoomScale="80" zoomScaleNormal="85" zoomScaleSheetLayoutView="80" workbookViewId="0"/>
  </sheetViews>
  <sheetFormatPr defaultRowHeight="15"/>
  <cols>
    <col min="1" max="1" width="3.5703125" customWidth="1"/>
    <col min="2" max="2" width="5.42578125" customWidth="1"/>
    <col min="3" max="3" width="10.5703125" customWidth="1"/>
    <col min="4" max="4" width="19.42578125" customWidth="1"/>
    <col min="5" max="32" width="4.85546875" customWidth="1"/>
    <col min="33" max="47" width="4.140625" customWidth="1"/>
  </cols>
  <sheetData>
    <row r="1" spans="2:36" ht="21">
      <c r="C1" s="1014" t="s">
        <v>512</v>
      </c>
      <c r="D1" s="1014"/>
      <c r="E1" s="1014"/>
      <c r="F1" s="1014"/>
      <c r="G1" s="1014"/>
      <c r="H1" s="1014"/>
      <c r="I1" s="1014"/>
      <c r="J1" s="1014"/>
      <c r="K1" s="1014"/>
      <c r="L1" s="1014"/>
      <c r="M1" s="1014"/>
      <c r="N1" s="1014"/>
      <c r="O1" s="1014"/>
      <c r="P1" s="1014"/>
      <c r="Q1" s="1014"/>
      <c r="R1" s="1014"/>
      <c r="S1" s="1014"/>
      <c r="T1" s="1014"/>
      <c r="U1" s="1014"/>
      <c r="V1" s="1014"/>
      <c r="W1" s="1014"/>
      <c r="X1" s="1014"/>
      <c r="Y1" s="1014"/>
      <c r="Z1" s="1014"/>
      <c r="AA1" s="1014"/>
      <c r="AB1" s="1014"/>
      <c r="AC1" s="1014"/>
      <c r="AD1" s="1014"/>
      <c r="AE1" s="1014"/>
    </row>
    <row r="2" spans="2:36">
      <c r="C2" s="530"/>
      <c r="D2" s="530"/>
      <c r="E2" s="530"/>
      <c r="F2" s="530"/>
      <c r="G2" s="530"/>
      <c r="H2" s="530"/>
      <c r="I2" s="530"/>
      <c r="J2" s="530"/>
      <c r="K2" s="530"/>
      <c r="L2" s="530"/>
      <c r="M2" s="530"/>
      <c r="N2" s="530"/>
      <c r="O2" s="530"/>
      <c r="W2" s="534"/>
    </row>
    <row r="3" spans="2:36" ht="15.75" thickBot="1">
      <c r="B3" s="534" t="s">
        <v>513</v>
      </c>
      <c r="C3" s="534"/>
    </row>
    <row r="4" spans="2:36" s="19" customFormat="1" ht="21.75" customHeight="1">
      <c r="B4" s="1001" t="s">
        <v>24</v>
      </c>
      <c r="C4" s="1001"/>
      <c r="D4" s="535" t="s">
        <v>514</v>
      </c>
      <c r="E4" s="966" t="str">
        <f>DEPAN!E14</f>
        <v>5 (LIMA)-/2 (DUA)</v>
      </c>
      <c r="F4" s="966"/>
      <c r="G4" s="966"/>
      <c r="H4" s="966"/>
      <c r="I4" s="966"/>
      <c r="J4" s="966"/>
      <c r="K4" s="966"/>
      <c r="L4" s="966"/>
      <c r="M4" s="966"/>
      <c r="N4" s="966"/>
      <c r="O4" s="966"/>
      <c r="P4" s="966"/>
      <c r="Q4" s="966"/>
      <c r="R4" s="966"/>
      <c r="S4" s="966"/>
      <c r="T4" s="966"/>
      <c r="U4" s="966"/>
      <c r="V4" s="966"/>
      <c r="W4" s="966"/>
      <c r="X4" s="966"/>
      <c r="Y4" s="966"/>
      <c r="Z4" s="966"/>
      <c r="AA4" s="966"/>
      <c r="AB4" s="966"/>
      <c r="AC4" s="966"/>
      <c r="AD4" s="966"/>
      <c r="AE4" s="966"/>
      <c r="AF4" s="966"/>
      <c r="AI4" s="1010">
        <v>1</v>
      </c>
      <c r="AJ4" s="1011"/>
    </row>
    <row r="5" spans="2:36" s="19" customFormat="1" ht="21.75" customHeight="1" thickBot="1">
      <c r="B5" s="1001"/>
      <c r="C5" s="1001"/>
      <c r="D5" s="535" t="s">
        <v>475</v>
      </c>
      <c r="E5" s="966" t="str">
        <f>DEPAN!E15</f>
        <v>2018/2019</v>
      </c>
      <c r="F5" s="966"/>
      <c r="G5" s="966"/>
      <c r="H5" s="966"/>
      <c r="I5" s="966"/>
      <c r="J5" s="966"/>
      <c r="K5" s="966"/>
      <c r="L5" s="966"/>
      <c r="M5" s="966"/>
      <c r="N5" s="966"/>
      <c r="O5" s="966"/>
      <c r="P5" s="966"/>
      <c r="Q5" s="966"/>
      <c r="R5" s="966"/>
      <c r="S5" s="966"/>
      <c r="T5" s="966"/>
      <c r="U5" s="966">
        <v>1</v>
      </c>
      <c r="V5" s="966"/>
      <c r="W5" s="966"/>
      <c r="X5" s="966"/>
      <c r="Y5" s="966"/>
      <c r="Z5" s="966"/>
      <c r="AA5" s="966"/>
      <c r="AB5" s="966"/>
      <c r="AC5" s="966"/>
      <c r="AD5" s="966"/>
      <c r="AE5" s="966"/>
      <c r="AF5" s="966"/>
      <c r="AI5" s="1012"/>
      <c r="AJ5" s="1013"/>
    </row>
    <row r="6" spans="2:36" ht="111.75" customHeight="1">
      <c r="B6" s="1005" t="s">
        <v>546</v>
      </c>
      <c r="C6" s="1005"/>
      <c r="D6" s="535" t="s">
        <v>168</v>
      </c>
      <c r="E6" s="1002" t="str">
        <f>VLOOKUP($AI$4,REKAP!A:BS,4)</f>
        <v xml:space="preserve">Ananda YAHYA baik dalam  ketaatan beribadah,  berperilaku syukur,  berdoa sebelum dan sesudah melakukan kegiatan,  toleransi dalam beribadah, </v>
      </c>
      <c r="F6" s="1003"/>
      <c r="G6" s="1003"/>
      <c r="H6" s="1003"/>
      <c r="I6" s="1003"/>
      <c r="J6" s="1003"/>
      <c r="K6" s="1004"/>
      <c r="L6" s="966"/>
      <c r="M6" s="966"/>
      <c r="N6" s="966"/>
      <c r="O6" s="966"/>
      <c r="P6" s="966"/>
      <c r="Q6" s="966"/>
      <c r="R6" s="966"/>
      <c r="S6" s="966"/>
      <c r="T6" s="966"/>
      <c r="U6" s="966"/>
      <c r="V6" s="966"/>
      <c r="W6" s="966"/>
      <c r="X6" s="966"/>
      <c r="Y6" s="966"/>
      <c r="Z6" s="966"/>
      <c r="AA6" s="966"/>
      <c r="AB6" s="966"/>
      <c r="AC6" s="966"/>
      <c r="AD6" s="966"/>
      <c r="AE6" s="966"/>
      <c r="AF6" s="966"/>
      <c r="AG6" s="19"/>
      <c r="AH6" s="19"/>
    </row>
    <row r="7" spans="2:36" ht="111.75" customHeight="1">
      <c r="B7" s="1005"/>
      <c r="C7" s="1005"/>
      <c r="D7" s="536" t="s">
        <v>515</v>
      </c>
      <c r="E7" s="1002" t="str">
        <f>VLOOKUP($AI$4,REKAP!A:BS,5)</f>
        <v xml:space="preserve">Ananda YAHYA baik dalam sikap jujur, disiplin, tanggung jawab, santun, peduli, percaya diri, </v>
      </c>
      <c r="F7" s="1003"/>
      <c r="G7" s="1003"/>
      <c r="H7" s="1003"/>
      <c r="I7" s="1003"/>
      <c r="J7" s="1003"/>
      <c r="K7" s="1004"/>
      <c r="L7" s="966"/>
      <c r="M7" s="966"/>
      <c r="N7" s="966"/>
      <c r="O7" s="966"/>
      <c r="P7" s="966"/>
      <c r="Q7" s="966"/>
      <c r="R7" s="966"/>
      <c r="S7" s="966"/>
      <c r="T7" s="966"/>
      <c r="U7" s="966"/>
      <c r="V7" s="966"/>
      <c r="W7" s="966"/>
      <c r="X7" s="966"/>
      <c r="Y7" s="966"/>
      <c r="Z7" s="966"/>
      <c r="AA7" s="966"/>
      <c r="AB7" s="966"/>
      <c r="AC7" s="966"/>
      <c r="AD7" s="966"/>
      <c r="AE7" s="966"/>
      <c r="AF7" s="966"/>
      <c r="AG7" s="19"/>
      <c r="AH7" s="19"/>
    </row>
    <row r="8" spans="2:36" ht="111.75" customHeight="1">
      <c r="B8" s="1005" t="s">
        <v>547</v>
      </c>
      <c r="C8" s="1005"/>
      <c r="D8" s="535" t="s">
        <v>168</v>
      </c>
      <c r="E8" s="966"/>
      <c r="F8" s="966"/>
      <c r="G8" s="966"/>
      <c r="H8" s="966"/>
      <c r="I8" s="966"/>
      <c r="J8" s="966"/>
      <c r="K8" s="966"/>
      <c r="L8" s="966"/>
      <c r="M8" s="966"/>
      <c r="N8" s="966"/>
      <c r="O8" s="966"/>
      <c r="P8" s="966"/>
      <c r="Q8" s="966"/>
      <c r="R8" s="966"/>
      <c r="S8" s="966"/>
      <c r="T8" s="966"/>
      <c r="U8" s="966"/>
      <c r="V8" s="966"/>
      <c r="W8" s="966"/>
      <c r="X8" s="966"/>
      <c r="Y8" s="966"/>
      <c r="Z8" s="966"/>
      <c r="AA8" s="966"/>
      <c r="AB8" s="966"/>
      <c r="AC8" s="966"/>
      <c r="AD8" s="966"/>
      <c r="AE8" s="966"/>
      <c r="AF8" s="966"/>
      <c r="AG8" s="19"/>
      <c r="AH8" s="19"/>
    </row>
    <row r="9" spans="2:36" ht="111.75" customHeight="1">
      <c r="B9" s="1005"/>
      <c r="C9" s="1005"/>
      <c r="D9" s="536" t="s">
        <v>515</v>
      </c>
      <c r="E9" s="966"/>
      <c r="F9" s="966"/>
      <c r="G9" s="966"/>
      <c r="H9" s="966"/>
      <c r="I9" s="966"/>
      <c r="J9" s="966"/>
      <c r="K9" s="966"/>
      <c r="L9" s="966"/>
      <c r="M9" s="966"/>
      <c r="N9" s="966"/>
      <c r="O9" s="966"/>
      <c r="P9" s="966"/>
      <c r="Q9" s="966"/>
      <c r="R9" s="966"/>
      <c r="S9" s="966"/>
      <c r="T9" s="966"/>
      <c r="U9" s="966"/>
      <c r="V9" s="966"/>
      <c r="W9" s="966"/>
      <c r="X9" s="966"/>
      <c r="Y9" s="966"/>
      <c r="Z9" s="966"/>
      <c r="AA9" s="966"/>
      <c r="AB9" s="966"/>
      <c r="AC9" s="966"/>
      <c r="AD9" s="966"/>
      <c r="AE9" s="966"/>
      <c r="AF9" s="966"/>
      <c r="AG9" s="19"/>
      <c r="AH9" s="19"/>
    </row>
    <row r="10" spans="2:36" ht="24" customHeight="1"/>
    <row r="11" spans="2:36" ht="24" customHeight="1">
      <c r="B11" s="534" t="s">
        <v>516</v>
      </c>
      <c r="C11" s="534"/>
    </row>
    <row r="12" spans="2:36" ht="24" customHeight="1">
      <c r="B12" s="1006" t="s">
        <v>514</v>
      </c>
      <c r="C12" s="1006"/>
      <c r="D12" s="1006"/>
      <c r="E12" s="974" t="s">
        <v>575</v>
      </c>
      <c r="F12" s="975"/>
      <c r="G12" s="975"/>
      <c r="H12" s="976"/>
      <c r="I12" s="966" t="s">
        <v>576</v>
      </c>
      <c r="J12" s="966"/>
      <c r="K12" s="966"/>
      <c r="L12" s="966"/>
      <c r="M12" s="966" t="s">
        <v>577</v>
      </c>
      <c r="N12" s="966"/>
      <c r="O12" s="966"/>
      <c r="P12" s="966"/>
      <c r="Q12" s="966" t="s">
        <v>578</v>
      </c>
      <c r="R12" s="966"/>
      <c r="S12" s="966"/>
      <c r="T12" s="966"/>
      <c r="U12" s="966" t="str">
        <f>DEPAN!$E$14</f>
        <v>5 (LIMA)-/2 (DUA)</v>
      </c>
      <c r="V12" s="966"/>
      <c r="W12" s="966"/>
      <c r="X12" s="966"/>
      <c r="Y12" s="939"/>
      <c r="Z12" s="939"/>
      <c r="AA12" s="939"/>
      <c r="AB12" s="939"/>
      <c r="AC12" s="939"/>
      <c r="AD12" s="939"/>
      <c r="AE12" s="939"/>
      <c r="AF12" s="939"/>
    </row>
    <row r="13" spans="2:36" ht="24" customHeight="1">
      <c r="B13" s="1006" t="s">
        <v>475</v>
      </c>
      <c r="C13" s="1006"/>
      <c r="D13" s="1006"/>
      <c r="E13" s="974" t="s">
        <v>582</v>
      </c>
      <c r="F13" s="975"/>
      <c r="G13" s="975"/>
      <c r="H13" s="976"/>
      <c r="I13" s="966" t="s">
        <v>581</v>
      </c>
      <c r="J13" s="966"/>
      <c r="K13" s="966"/>
      <c r="L13" s="966"/>
      <c r="M13" s="966" t="s">
        <v>580</v>
      </c>
      <c r="N13" s="966"/>
      <c r="O13" s="966"/>
      <c r="P13" s="966"/>
      <c r="Q13" s="966" t="s">
        <v>579</v>
      </c>
      <c r="R13" s="966"/>
      <c r="S13" s="966"/>
      <c r="T13" s="966"/>
      <c r="U13" s="966" t="str">
        <f>DEPAN!$E$15</f>
        <v>2018/2019</v>
      </c>
      <c r="V13" s="966"/>
      <c r="W13" s="966"/>
      <c r="X13" s="966"/>
      <c r="Y13" s="939"/>
      <c r="Z13" s="939"/>
      <c r="AA13" s="939"/>
      <c r="AB13" s="939"/>
      <c r="AC13" s="939"/>
      <c r="AD13" s="939"/>
      <c r="AE13" s="939"/>
      <c r="AF13" s="939"/>
    </row>
    <row r="14" spans="2:36" ht="24" customHeight="1">
      <c r="B14" s="1006" t="s">
        <v>24</v>
      </c>
      <c r="C14" s="1006"/>
      <c r="D14" s="1006"/>
      <c r="E14" s="974" t="s">
        <v>517</v>
      </c>
      <c r="F14" s="976"/>
      <c r="G14" s="974" t="s">
        <v>518</v>
      </c>
      <c r="H14" s="976"/>
      <c r="I14" s="974" t="s">
        <v>517</v>
      </c>
      <c r="J14" s="976"/>
      <c r="K14" s="974" t="s">
        <v>518</v>
      </c>
      <c r="L14" s="976"/>
      <c r="M14" s="974" t="s">
        <v>517</v>
      </c>
      <c r="N14" s="976"/>
      <c r="O14" s="974" t="s">
        <v>518</v>
      </c>
      <c r="P14" s="976"/>
      <c r="Q14" s="974" t="s">
        <v>517</v>
      </c>
      <c r="R14" s="976"/>
      <c r="S14" s="974" t="s">
        <v>518</v>
      </c>
      <c r="T14" s="976"/>
      <c r="U14" s="974" t="s">
        <v>517</v>
      </c>
      <c r="V14" s="976"/>
      <c r="W14" s="974" t="s">
        <v>518</v>
      </c>
      <c r="X14" s="976"/>
      <c r="Y14" s="974" t="s">
        <v>517</v>
      </c>
      <c r="Z14" s="976"/>
      <c r="AA14" s="974" t="s">
        <v>518</v>
      </c>
      <c r="AB14" s="976"/>
      <c r="AC14" s="974" t="s">
        <v>517</v>
      </c>
      <c r="AD14" s="976"/>
      <c r="AE14" s="974" t="s">
        <v>518</v>
      </c>
      <c r="AF14" s="976"/>
    </row>
    <row r="15" spans="2:36" ht="24" customHeight="1">
      <c r="B15" s="1006" t="s">
        <v>212</v>
      </c>
      <c r="C15" s="1006"/>
      <c r="D15" s="1006"/>
      <c r="E15" s="974"/>
      <c r="F15" s="976"/>
      <c r="G15" s="943"/>
      <c r="H15" s="945"/>
      <c r="I15" s="943"/>
      <c r="J15" s="945"/>
      <c r="K15" s="943"/>
      <c r="L15" s="945"/>
      <c r="M15" s="943"/>
      <c r="N15" s="945"/>
      <c r="O15" s="943"/>
      <c r="P15" s="945"/>
      <c r="Q15" s="943"/>
      <c r="R15" s="945"/>
      <c r="S15" s="943"/>
      <c r="T15" s="945"/>
      <c r="U15" s="943">
        <f>KKM!D8</f>
        <v>65</v>
      </c>
      <c r="V15" s="945"/>
      <c r="W15" s="531"/>
      <c r="X15" s="531"/>
      <c r="Y15" s="531"/>
      <c r="Z15" s="531"/>
      <c r="AA15" s="531"/>
      <c r="AB15" s="531"/>
      <c r="AC15" s="531"/>
      <c r="AD15" s="531"/>
      <c r="AE15" s="531"/>
      <c r="AF15" s="531"/>
    </row>
    <row r="16" spans="2:36" ht="24" customHeight="1">
      <c r="B16" s="1006" t="s">
        <v>519</v>
      </c>
      <c r="C16" s="1006"/>
      <c r="D16" s="1006"/>
      <c r="E16" s="537" t="s">
        <v>520</v>
      </c>
      <c r="F16" s="537" t="s">
        <v>521</v>
      </c>
      <c r="G16" s="537" t="s">
        <v>520</v>
      </c>
      <c r="H16" s="537" t="s">
        <v>521</v>
      </c>
      <c r="I16" s="537" t="s">
        <v>520</v>
      </c>
      <c r="J16" s="537" t="s">
        <v>521</v>
      </c>
      <c r="K16" s="537" t="s">
        <v>520</v>
      </c>
      <c r="L16" s="537" t="s">
        <v>521</v>
      </c>
      <c r="M16" s="537" t="s">
        <v>520</v>
      </c>
      <c r="N16" s="537" t="s">
        <v>521</v>
      </c>
      <c r="O16" s="537" t="s">
        <v>520</v>
      </c>
      <c r="P16" s="537" t="s">
        <v>521</v>
      </c>
      <c r="Q16" s="537" t="s">
        <v>520</v>
      </c>
      <c r="R16" s="537" t="s">
        <v>521</v>
      </c>
      <c r="S16" s="537" t="s">
        <v>520</v>
      </c>
      <c r="T16" s="537" t="s">
        <v>521</v>
      </c>
      <c r="U16" s="537" t="s">
        <v>520</v>
      </c>
      <c r="V16" s="537" t="s">
        <v>521</v>
      </c>
      <c r="W16" s="537" t="s">
        <v>520</v>
      </c>
      <c r="X16" s="537" t="s">
        <v>521</v>
      </c>
      <c r="Y16" s="537" t="s">
        <v>520</v>
      </c>
      <c r="Z16" s="537" t="s">
        <v>521</v>
      </c>
      <c r="AA16" s="537" t="s">
        <v>520</v>
      </c>
      <c r="AB16" s="537" t="s">
        <v>521</v>
      </c>
      <c r="AC16" s="537" t="s">
        <v>520</v>
      </c>
      <c r="AD16" s="537" t="s">
        <v>521</v>
      </c>
      <c r="AE16" s="537" t="s">
        <v>520</v>
      </c>
      <c r="AF16" s="537" t="s">
        <v>521</v>
      </c>
    </row>
    <row r="17" spans="2:32" ht="29.25" customHeight="1">
      <c r="B17" s="537">
        <v>1</v>
      </c>
      <c r="C17" s="1007" t="s">
        <v>522</v>
      </c>
      <c r="D17" s="1007"/>
      <c r="E17" s="537"/>
      <c r="F17" s="537"/>
      <c r="G17" s="531"/>
      <c r="H17" s="531"/>
      <c r="I17" s="531"/>
      <c r="J17" s="531"/>
      <c r="K17" s="531"/>
      <c r="L17" s="531"/>
      <c r="M17" s="531"/>
      <c r="N17" s="531"/>
      <c r="O17" s="531"/>
      <c r="P17" s="531"/>
      <c r="Q17" s="531"/>
      <c r="R17" s="531"/>
      <c r="S17" s="531"/>
      <c r="T17" s="531"/>
      <c r="U17" s="565">
        <f>VLOOKUP($AI$4,REKAP!$A:$BS,6)</f>
        <v>81</v>
      </c>
      <c r="V17" s="565" t="str">
        <f>VLOOKUP($AI$4,REKAP!$A:$BS,7)</f>
        <v>B</v>
      </c>
      <c r="W17" s="531"/>
      <c r="X17" s="531"/>
      <c r="Y17" s="531"/>
      <c r="Z17" s="531"/>
      <c r="AA17" s="531"/>
      <c r="AB17" s="531"/>
      <c r="AC17" s="531"/>
      <c r="AD17" s="531"/>
      <c r="AE17" s="531"/>
      <c r="AF17" s="531"/>
    </row>
    <row r="18" spans="2:32">
      <c r="B18" s="537">
        <v>2</v>
      </c>
      <c r="C18" s="1007" t="s">
        <v>523</v>
      </c>
      <c r="D18" s="1007"/>
      <c r="E18" s="537"/>
      <c r="F18" s="537"/>
      <c r="G18" s="531"/>
      <c r="H18" s="531"/>
      <c r="I18" s="531"/>
      <c r="J18" s="531"/>
      <c r="K18" s="531"/>
      <c r="L18" s="531"/>
      <c r="M18" s="531"/>
      <c r="N18" s="531"/>
      <c r="O18" s="531"/>
      <c r="P18" s="531"/>
      <c r="Q18" s="531"/>
      <c r="R18" s="531"/>
      <c r="S18" s="531"/>
      <c r="T18" s="531"/>
      <c r="U18" s="565">
        <f>VLOOKUP($AI$4,REKAP!$A:$BS,9)</f>
        <v>95</v>
      </c>
      <c r="V18" s="565" t="str">
        <f>VLOOKUP($AI$4,REKAP!$A:$BS,10)</f>
        <v>A</v>
      </c>
      <c r="W18" s="531"/>
      <c r="X18" s="531"/>
      <c r="Y18" s="531"/>
      <c r="Z18" s="531"/>
      <c r="AA18" s="531"/>
      <c r="AB18" s="531"/>
      <c r="AC18" s="531"/>
      <c r="AD18" s="531"/>
      <c r="AE18" s="531"/>
      <c r="AF18" s="531"/>
    </row>
    <row r="19" spans="2:32">
      <c r="B19" s="537">
        <v>3</v>
      </c>
      <c r="C19" s="1007" t="s">
        <v>174</v>
      </c>
      <c r="D19" s="1007"/>
      <c r="E19" s="537"/>
      <c r="F19" s="537"/>
      <c r="G19" s="531"/>
      <c r="H19" s="531"/>
      <c r="I19" s="531"/>
      <c r="J19" s="531"/>
      <c r="K19" s="531"/>
      <c r="L19" s="531"/>
      <c r="M19" s="531"/>
      <c r="N19" s="531"/>
      <c r="O19" s="531"/>
      <c r="P19" s="531"/>
      <c r="Q19" s="531"/>
      <c r="R19" s="531"/>
      <c r="S19" s="531"/>
      <c r="T19" s="531"/>
      <c r="U19" s="565">
        <f>VLOOKUP($AI$4,REKAP!$A:$BS,12)</f>
        <v>93</v>
      </c>
      <c r="V19" s="565" t="str">
        <f>VLOOKUP($AI$4,REKAP!$A:$BS,13)</f>
        <v>A</v>
      </c>
      <c r="W19" s="531"/>
      <c r="X19" s="531"/>
      <c r="Y19" s="531"/>
      <c r="Z19" s="531"/>
      <c r="AA19" s="531"/>
      <c r="AB19" s="531"/>
      <c r="AC19" s="531"/>
      <c r="AD19" s="531"/>
      <c r="AE19" s="531"/>
      <c r="AF19" s="531"/>
    </row>
    <row r="20" spans="2:32">
      <c r="B20" s="537">
        <v>4</v>
      </c>
      <c r="C20" s="1007" t="s">
        <v>175</v>
      </c>
      <c r="D20" s="1007"/>
      <c r="E20" s="537"/>
      <c r="F20" s="537"/>
      <c r="G20" s="531"/>
      <c r="H20" s="531"/>
      <c r="I20" s="531"/>
      <c r="J20" s="531"/>
      <c r="K20" s="531"/>
      <c r="L20" s="531"/>
      <c r="M20" s="531"/>
      <c r="N20" s="531"/>
      <c r="O20" s="531"/>
      <c r="P20" s="531"/>
      <c r="Q20" s="531"/>
      <c r="R20" s="531"/>
      <c r="S20" s="531"/>
      <c r="T20" s="531"/>
      <c r="U20" s="565">
        <f>VLOOKUP($AI$4,REKAP!$A:$BS,15)</f>
        <v>85</v>
      </c>
      <c r="V20" s="565" t="str">
        <f>VLOOKUP($AI$4,REKAP!$A:$BS,16)</f>
        <v>B</v>
      </c>
      <c r="W20" s="531"/>
      <c r="X20" s="531"/>
      <c r="Y20" s="531"/>
      <c r="Z20" s="531"/>
      <c r="AA20" s="531"/>
      <c r="AB20" s="531"/>
      <c r="AC20" s="531"/>
      <c r="AD20" s="531"/>
      <c r="AE20" s="531"/>
      <c r="AF20" s="531"/>
    </row>
    <row r="21" spans="2:32">
      <c r="B21" s="537">
        <v>5</v>
      </c>
      <c r="C21" s="1007" t="s">
        <v>524</v>
      </c>
      <c r="D21" s="1007"/>
      <c r="E21" s="537"/>
      <c r="F21" s="537"/>
      <c r="G21" s="531"/>
      <c r="H21" s="531"/>
      <c r="I21" s="531"/>
      <c r="J21" s="531"/>
      <c r="K21" s="531"/>
      <c r="L21" s="531"/>
      <c r="M21" s="531"/>
      <c r="N21" s="531"/>
      <c r="O21" s="531"/>
      <c r="P21" s="531"/>
      <c r="Q21" s="531"/>
      <c r="R21" s="531"/>
      <c r="S21" s="531"/>
      <c r="T21" s="531"/>
      <c r="U21" s="565">
        <f>VLOOKUP($AI$4,REKAP!$A:$BS,18)</f>
        <v>93</v>
      </c>
      <c r="V21" s="565" t="str">
        <f>VLOOKUP($AI$4,REKAP!$A:$BS,19)</f>
        <v>A</v>
      </c>
      <c r="W21" s="531"/>
      <c r="X21" s="531"/>
      <c r="Y21" s="531"/>
      <c r="Z21" s="531"/>
      <c r="AA21" s="531"/>
      <c r="AB21" s="531"/>
      <c r="AC21" s="531"/>
      <c r="AD21" s="531"/>
      <c r="AE21" s="531"/>
      <c r="AF21" s="531"/>
    </row>
    <row r="22" spans="2:32">
      <c r="B22" s="537">
        <v>6</v>
      </c>
      <c r="C22" s="1007" t="s">
        <v>525</v>
      </c>
      <c r="D22" s="1007"/>
      <c r="E22" s="537"/>
      <c r="F22" s="537"/>
      <c r="G22" s="531"/>
      <c r="H22" s="531"/>
      <c r="I22" s="531"/>
      <c r="J22" s="531"/>
      <c r="K22" s="531"/>
      <c r="L22" s="531"/>
      <c r="M22" s="531"/>
      <c r="N22" s="531"/>
      <c r="O22" s="531"/>
      <c r="P22" s="531"/>
      <c r="Q22" s="531"/>
      <c r="R22" s="531"/>
      <c r="S22" s="531"/>
      <c r="T22" s="531"/>
      <c r="U22" s="565">
        <f>VLOOKUP($AI$4,REKAP!$A:$BS,21)</f>
        <v>88</v>
      </c>
      <c r="V22" s="565" t="str">
        <f>VLOOKUP($AI$4,REKAP!$A:$BS,22)</f>
        <v>A</v>
      </c>
      <c r="W22" s="531"/>
      <c r="X22" s="531"/>
      <c r="Y22" s="531"/>
      <c r="Z22" s="531"/>
      <c r="AA22" s="531"/>
      <c r="AB22" s="531"/>
      <c r="AC22" s="531"/>
      <c r="AD22" s="531"/>
      <c r="AE22" s="531"/>
      <c r="AF22" s="531"/>
    </row>
    <row r="23" spans="2:32">
      <c r="B23" s="537">
        <v>7</v>
      </c>
      <c r="C23" s="1007" t="s">
        <v>526</v>
      </c>
      <c r="D23" s="1007"/>
      <c r="E23" s="537"/>
      <c r="F23" s="537"/>
      <c r="G23" s="531"/>
      <c r="H23" s="531"/>
      <c r="I23" s="531"/>
      <c r="J23" s="531"/>
      <c r="K23" s="531"/>
      <c r="L23" s="531"/>
      <c r="M23" s="531"/>
      <c r="N23" s="531"/>
      <c r="O23" s="531"/>
      <c r="P23" s="531"/>
      <c r="Q23" s="531"/>
      <c r="R23" s="531"/>
      <c r="S23" s="531"/>
      <c r="T23" s="531"/>
      <c r="U23" s="565">
        <f>VLOOKUP($AI$4,REKAP!$A:$BS,24)</f>
        <v>95</v>
      </c>
      <c r="V23" s="565" t="str">
        <f>VLOOKUP($AI$4,REKAP!$A:$BS,25)</f>
        <v>A</v>
      </c>
      <c r="W23" s="531"/>
      <c r="X23" s="531"/>
      <c r="Y23" s="531"/>
      <c r="Z23" s="531"/>
      <c r="AA23" s="531"/>
      <c r="AB23" s="531"/>
      <c r="AC23" s="531"/>
      <c r="AD23" s="531"/>
      <c r="AE23" s="531"/>
      <c r="AF23" s="531"/>
    </row>
    <row r="24" spans="2:32" ht="30" customHeight="1">
      <c r="B24" s="537">
        <v>8</v>
      </c>
      <c r="C24" s="1007" t="s">
        <v>527</v>
      </c>
      <c r="D24" s="1007"/>
      <c r="E24" s="537"/>
      <c r="F24" s="537"/>
      <c r="G24" s="531"/>
      <c r="H24" s="531"/>
      <c r="I24" s="531"/>
      <c r="J24" s="531"/>
      <c r="K24" s="531"/>
      <c r="L24" s="531"/>
      <c r="M24" s="531"/>
      <c r="N24" s="531"/>
      <c r="O24" s="531"/>
      <c r="P24" s="531"/>
      <c r="Q24" s="531"/>
      <c r="R24" s="531"/>
      <c r="S24" s="531"/>
      <c r="T24" s="531"/>
      <c r="U24" s="565">
        <f>VLOOKUP($AI$4,REKAP!$A:$BS,27)</f>
        <v>89</v>
      </c>
      <c r="V24" s="565" t="str">
        <f>VLOOKUP($AI$4,REKAP!$A:$BS,28)</f>
        <v>A</v>
      </c>
      <c r="W24" s="531"/>
      <c r="X24" s="531"/>
      <c r="Y24" s="531"/>
      <c r="Z24" s="531"/>
      <c r="AA24" s="531"/>
      <c r="AB24" s="531"/>
      <c r="AC24" s="531"/>
      <c r="AD24" s="531"/>
      <c r="AE24" s="531"/>
      <c r="AF24" s="531"/>
    </row>
    <row r="25" spans="2:32">
      <c r="B25" s="537">
        <v>9</v>
      </c>
      <c r="C25" s="1007" t="s">
        <v>176</v>
      </c>
      <c r="D25" s="1007"/>
      <c r="E25" s="531"/>
      <c r="F25" s="531"/>
      <c r="G25" s="531"/>
      <c r="H25" s="531"/>
      <c r="I25" s="531"/>
      <c r="J25" s="531"/>
      <c r="K25" s="531"/>
      <c r="L25" s="531"/>
      <c r="M25" s="531"/>
      <c r="N25" s="531"/>
      <c r="O25" s="531"/>
      <c r="P25" s="531"/>
      <c r="Q25" s="531"/>
      <c r="R25" s="531"/>
      <c r="S25" s="531"/>
      <c r="T25" s="531"/>
      <c r="U25" s="565"/>
      <c r="V25" s="565"/>
      <c r="W25" s="531"/>
      <c r="X25" s="531"/>
      <c r="Y25" s="531"/>
      <c r="Z25" s="531"/>
      <c r="AA25" s="531"/>
      <c r="AB25" s="531"/>
      <c r="AC25" s="531"/>
      <c r="AD25" s="531"/>
      <c r="AE25" s="531"/>
      <c r="AF25" s="531"/>
    </row>
    <row r="26" spans="2:32">
      <c r="B26" s="531"/>
      <c r="C26" s="1008" t="str">
        <f>KKM!$X$7</f>
        <v>BAHASA dan SASTRA SUNDA</v>
      </c>
      <c r="D26" s="1009"/>
      <c r="E26" s="537"/>
      <c r="F26" s="537"/>
      <c r="G26" s="531"/>
      <c r="H26" s="531"/>
      <c r="I26" s="531"/>
      <c r="J26" s="531"/>
      <c r="K26" s="531"/>
      <c r="L26" s="531"/>
      <c r="M26" s="531"/>
      <c r="N26" s="531"/>
      <c r="O26" s="531"/>
      <c r="P26" s="531"/>
      <c r="Q26" s="531"/>
      <c r="R26" s="531"/>
      <c r="S26" s="531"/>
      <c r="T26" s="531"/>
      <c r="U26" s="565">
        <f>VLOOKUP($AI$4,REKAP!$A:$BS,30)</f>
        <v>85</v>
      </c>
      <c r="V26" s="565" t="str">
        <f>VLOOKUP($AI$4,REKAP!$A:$BS,31)</f>
        <v>B</v>
      </c>
      <c r="W26" s="531"/>
      <c r="X26" s="531"/>
      <c r="Y26" s="531"/>
      <c r="Z26" s="531"/>
      <c r="AA26" s="531"/>
      <c r="AB26" s="531"/>
      <c r="AC26" s="531"/>
      <c r="AD26" s="531"/>
      <c r="AE26" s="531"/>
      <c r="AF26" s="531"/>
    </row>
    <row r="27" spans="2:32">
      <c r="B27" s="531"/>
      <c r="C27" s="1008" t="str">
        <f>KKM!$X$8</f>
        <v>PLH</v>
      </c>
      <c r="D27" s="1009"/>
      <c r="E27" s="537"/>
      <c r="F27" s="537"/>
      <c r="G27" s="531"/>
      <c r="H27" s="531"/>
      <c r="I27" s="531"/>
      <c r="J27" s="531"/>
      <c r="K27" s="531"/>
      <c r="L27" s="531"/>
      <c r="M27" s="531"/>
      <c r="N27" s="531"/>
      <c r="O27" s="531"/>
      <c r="P27" s="531"/>
      <c r="Q27" s="531"/>
      <c r="R27" s="531"/>
      <c r="S27" s="531"/>
      <c r="T27" s="531"/>
      <c r="U27" s="565">
        <f>VLOOKUP($AI$4,REKAP!$A:$BS,33)</f>
        <v>97</v>
      </c>
      <c r="V27" s="565" t="str">
        <f>VLOOKUP($AI$4,REKAP!$A:$BS,34)</f>
        <v>A</v>
      </c>
      <c r="W27" s="531"/>
      <c r="X27" s="531"/>
      <c r="Y27" s="531"/>
      <c r="Z27" s="531"/>
      <c r="AA27" s="531"/>
      <c r="AB27" s="531"/>
      <c r="AC27" s="531"/>
      <c r="AD27" s="531"/>
      <c r="AE27" s="531"/>
      <c r="AF27" s="531"/>
    </row>
    <row r="28" spans="2:32">
      <c r="B28" s="531"/>
      <c r="C28" s="1008" t="str">
        <f>KKM!$X$9</f>
        <v>BAHASA INGGRIS</v>
      </c>
      <c r="D28" s="1009"/>
      <c r="E28" s="537"/>
      <c r="F28" s="537"/>
      <c r="G28" s="531"/>
      <c r="H28" s="531"/>
      <c r="I28" s="531"/>
      <c r="J28" s="531"/>
      <c r="K28" s="531"/>
      <c r="L28" s="531"/>
      <c r="M28" s="531"/>
      <c r="N28" s="531"/>
      <c r="O28" s="531"/>
      <c r="P28" s="531"/>
      <c r="Q28" s="531"/>
      <c r="R28" s="531"/>
      <c r="S28" s="531"/>
      <c r="T28" s="531"/>
      <c r="U28" s="565">
        <f>VLOOKUP($AI$4,REKAP!$A:$BS,36)</f>
        <v>97</v>
      </c>
      <c r="V28" s="565" t="str">
        <f>VLOOKUP($AI$4,REKAP!$A:$BS,37)</f>
        <v>A</v>
      </c>
      <c r="W28" s="531"/>
      <c r="X28" s="531"/>
      <c r="Y28" s="531"/>
      <c r="Z28" s="531"/>
      <c r="AA28" s="531"/>
      <c r="AB28" s="531"/>
      <c r="AC28" s="531"/>
      <c r="AD28" s="531"/>
      <c r="AE28" s="531"/>
      <c r="AF28" s="531"/>
    </row>
    <row r="31" spans="2:32">
      <c r="B31" s="534" t="s">
        <v>528</v>
      </c>
      <c r="C31" s="534"/>
    </row>
    <row r="32" spans="2:32" ht="15.75">
      <c r="B32" s="1006" t="s">
        <v>514</v>
      </c>
      <c r="C32" s="1006"/>
      <c r="D32" s="1006"/>
      <c r="E32" s="974" t="s">
        <v>575</v>
      </c>
      <c r="F32" s="975"/>
      <c r="G32" s="975"/>
      <c r="H32" s="976"/>
      <c r="I32" s="966" t="s">
        <v>576</v>
      </c>
      <c r="J32" s="966"/>
      <c r="K32" s="966"/>
      <c r="L32" s="966"/>
      <c r="M32" s="966" t="s">
        <v>577</v>
      </c>
      <c r="N32" s="966"/>
      <c r="O32" s="966"/>
      <c r="P32" s="966"/>
      <c r="Q32" s="966" t="s">
        <v>578</v>
      </c>
      <c r="R32" s="966"/>
      <c r="S32" s="966"/>
      <c r="T32" s="966"/>
      <c r="U32" s="939" t="str">
        <f>DEPAN!$E$14</f>
        <v>5 (LIMA)-/2 (DUA)</v>
      </c>
      <c r="V32" s="939"/>
      <c r="W32" s="939"/>
      <c r="X32" s="939"/>
      <c r="Y32" s="939"/>
      <c r="Z32" s="939"/>
      <c r="AA32" s="939"/>
      <c r="AB32" s="939"/>
      <c r="AC32" s="939"/>
      <c r="AD32" s="939"/>
      <c r="AE32" s="939"/>
      <c r="AF32" s="939"/>
    </row>
    <row r="33" spans="2:32" ht="15.75">
      <c r="B33" s="1006" t="s">
        <v>475</v>
      </c>
      <c r="C33" s="1006"/>
      <c r="D33" s="1006"/>
      <c r="E33" s="974" t="s">
        <v>582</v>
      </c>
      <c r="F33" s="975"/>
      <c r="G33" s="975"/>
      <c r="H33" s="976"/>
      <c r="I33" s="966" t="s">
        <v>581</v>
      </c>
      <c r="J33" s="966"/>
      <c r="K33" s="966"/>
      <c r="L33" s="966"/>
      <c r="M33" s="966" t="s">
        <v>580</v>
      </c>
      <c r="N33" s="966"/>
      <c r="O33" s="966"/>
      <c r="P33" s="966"/>
      <c r="Q33" s="966" t="s">
        <v>579</v>
      </c>
      <c r="R33" s="966"/>
      <c r="S33" s="966"/>
      <c r="T33" s="966"/>
      <c r="U33" s="939" t="str">
        <f>DEPAN!$E$15</f>
        <v>2018/2019</v>
      </c>
      <c r="V33" s="939"/>
      <c r="W33" s="939"/>
      <c r="X33" s="939"/>
      <c r="Y33" s="939"/>
      <c r="Z33" s="939"/>
      <c r="AA33" s="939"/>
      <c r="AB33" s="939"/>
      <c r="AC33" s="939"/>
      <c r="AD33" s="939"/>
      <c r="AE33" s="939"/>
      <c r="AF33" s="939"/>
    </row>
    <row r="34" spans="2:32" ht="15.75">
      <c r="B34" s="1006" t="s">
        <v>24</v>
      </c>
      <c r="C34" s="1006"/>
      <c r="D34" s="1006"/>
      <c r="E34" s="974" t="s">
        <v>517</v>
      </c>
      <c r="F34" s="976"/>
      <c r="G34" s="974" t="s">
        <v>518</v>
      </c>
      <c r="H34" s="976"/>
      <c r="I34" s="974" t="s">
        <v>517</v>
      </c>
      <c r="J34" s="976"/>
      <c r="K34" s="974" t="s">
        <v>518</v>
      </c>
      <c r="L34" s="976"/>
      <c r="M34" s="974" t="s">
        <v>517</v>
      </c>
      <c r="N34" s="976"/>
      <c r="O34" s="974" t="s">
        <v>518</v>
      </c>
      <c r="P34" s="976"/>
      <c r="Q34" s="974" t="s">
        <v>517</v>
      </c>
      <c r="R34" s="976"/>
      <c r="S34" s="974" t="s">
        <v>518</v>
      </c>
      <c r="T34" s="976"/>
      <c r="U34" s="974" t="s">
        <v>517</v>
      </c>
      <c r="V34" s="976"/>
      <c r="W34" s="974" t="s">
        <v>518</v>
      </c>
      <c r="X34" s="976"/>
      <c r="Y34" s="974" t="s">
        <v>517</v>
      </c>
      <c r="Z34" s="976"/>
      <c r="AA34" s="974" t="s">
        <v>518</v>
      </c>
      <c r="AB34" s="976"/>
      <c r="AC34" s="974" t="s">
        <v>517</v>
      </c>
      <c r="AD34" s="976"/>
      <c r="AE34" s="974" t="s">
        <v>518</v>
      </c>
      <c r="AF34" s="976"/>
    </row>
    <row r="35" spans="2:32" ht="15.75">
      <c r="B35" s="1006" t="s">
        <v>212</v>
      </c>
      <c r="C35" s="1006"/>
      <c r="D35" s="1006"/>
      <c r="E35" s="531"/>
      <c r="F35" s="531"/>
      <c r="G35" s="531"/>
      <c r="H35" s="531"/>
      <c r="I35" s="531"/>
      <c r="J35" s="531"/>
      <c r="K35" s="531"/>
      <c r="L35" s="531"/>
      <c r="M35" s="531"/>
      <c r="N35" s="531"/>
      <c r="O35" s="531"/>
      <c r="P35" s="531"/>
      <c r="Q35" s="531"/>
      <c r="R35" s="531"/>
      <c r="S35" s="531"/>
      <c r="T35" s="531"/>
      <c r="U35" s="531"/>
      <c r="V35" s="531"/>
      <c r="W35" s="531"/>
      <c r="X35" s="531"/>
      <c r="Y35" s="531"/>
      <c r="Z35" s="531"/>
      <c r="AA35" s="531"/>
      <c r="AB35" s="531"/>
      <c r="AC35" s="531"/>
      <c r="AD35" s="531"/>
      <c r="AE35" s="531"/>
      <c r="AF35" s="531"/>
    </row>
    <row r="36" spans="2:32" ht="15.75">
      <c r="B36" s="1006" t="s">
        <v>519</v>
      </c>
      <c r="C36" s="1006"/>
      <c r="D36" s="1006"/>
      <c r="E36" s="537" t="s">
        <v>520</v>
      </c>
      <c r="F36" s="537" t="s">
        <v>521</v>
      </c>
      <c r="G36" s="537" t="s">
        <v>520</v>
      </c>
      <c r="H36" s="537" t="s">
        <v>521</v>
      </c>
      <c r="I36" s="537" t="s">
        <v>520</v>
      </c>
      <c r="J36" s="537" t="s">
        <v>521</v>
      </c>
      <c r="K36" s="537" t="s">
        <v>520</v>
      </c>
      <c r="L36" s="537" t="s">
        <v>521</v>
      </c>
      <c r="M36" s="537" t="s">
        <v>520</v>
      </c>
      <c r="N36" s="537" t="s">
        <v>521</v>
      </c>
      <c r="O36" s="537" t="s">
        <v>520</v>
      </c>
      <c r="P36" s="537" t="s">
        <v>521</v>
      </c>
      <c r="Q36" s="537" t="s">
        <v>520</v>
      </c>
      <c r="R36" s="537" t="s">
        <v>521</v>
      </c>
      <c r="S36" s="537" t="s">
        <v>520</v>
      </c>
      <c r="T36" s="537" t="s">
        <v>521</v>
      </c>
      <c r="U36" s="537" t="s">
        <v>520</v>
      </c>
      <c r="V36" s="537" t="s">
        <v>521</v>
      </c>
      <c r="W36" s="537" t="s">
        <v>520</v>
      </c>
      <c r="X36" s="537" t="s">
        <v>521</v>
      </c>
      <c r="Y36" s="537" t="s">
        <v>520</v>
      </c>
      <c r="Z36" s="537" t="s">
        <v>521</v>
      </c>
      <c r="AA36" s="537" t="s">
        <v>520</v>
      </c>
      <c r="AB36" s="537" t="s">
        <v>521</v>
      </c>
      <c r="AC36" s="537" t="s">
        <v>520</v>
      </c>
      <c r="AD36" s="537" t="s">
        <v>521</v>
      </c>
      <c r="AE36" s="537" t="s">
        <v>520</v>
      </c>
      <c r="AF36" s="537" t="s">
        <v>521</v>
      </c>
    </row>
    <row r="37" spans="2:32" ht="30" customHeight="1">
      <c r="B37" s="537">
        <v>1</v>
      </c>
      <c r="C37" s="1007" t="s">
        <v>522</v>
      </c>
      <c r="D37" s="1007"/>
      <c r="E37" s="537"/>
      <c r="F37" s="537"/>
      <c r="G37" s="531"/>
      <c r="H37" s="531"/>
      <c r="I37" s="531"/>
      <c r="J37" s="531"/>
      <c r="K37" s="531"/>
      <c r="L37" s="531"/>
      <c r="M37" s="531"/>
      <c r="N37" s="531"/>
      <c r="O37" s="531"/>
      <c r="P37" s="531"/>
      <c r="Q37" s="531"/>
      <c r="R37" s="531"/>
      <c r="S37" s="531"/>
      <c r="T37" s="531"/>
      <c r="U37" s="565">
        <f>VLOOKUP($AI$4,REKAP!$A:$BS,39)</f>
        <v>90</v>
      </c>
      <c r="V37" s="565" t="str">
        <f>VLOOKUP($AI$4,REKAP!$A:$BS,40)</f>
        <v>A</v>
      </c>
      <c r="W37" s="531"/>
      <c r="X37" s="531"/>
      <c r="Y37" s="531"/>
      <c r="Z37" s="531"/>
      <c r="AA37" s="531"/>
      <c r="AB37" s="531"/>
      <c r="AC37" s="531"/>
      <c r="AD37" s="531"/>
      <c r="AE37" s="531"/>
      <c r="AF37" s="531"/>
    </row>
    <row r="38" spans="2:32">
      <c r="B38" s="537">
        <v>2</v>
      </c>
      <c r="C38" s="1007" t="s">
        <v>523</v>
      </c>
      <c r="D38" s="1007"/>
      <c r="E38" s="537"/>
      <c r="F38" s="537"/>
      <c r="G38" s="531"/>
      <c r="H38" s="531"/>
      <c r="I38" s="531"/>
      <c r="J38" s="531"/>
      <c r="K38" s="531"/>
      <c r="L38" s="531"/>
      <c r="M38" s="531"/>
      <c r="N38" s="531"/>
      <c r="O38" s="531"/>
      <c r="P38" s="531"/>
      <c r="Q38" s="531"/>
      <c r="R38" s="531"/>
      <c r="S38" s="531"/>
      <c r="T38" s="531"/>
      <c r="U38" s="565">
        <f>VLOOKUP($AI$4,REKAP!$A:$BS,42)</f>
        <v>95</v>
      </c>
      <c r="V38" s="565" t="str">
        <f>VLOOKUP($AI$4,REKAP!$A:$BS,43)</f>
        <v>A</v>
      </c>
      <c r="W38" s="531"/>
      <c r="X38" s="531"/>
      <c r="Y38" s="531"/>
      <c r="Z38" s="531"/>
      <c r="AA38" s="531"/>
      <c r="AB38" s="531"/>
      <c r="AC38" s="531"/>
      <c r="AD38" s="531"/>
      <c r="AE38" s="531"/>
      <c r="AF38" s="531"/>
    </row>
    <row r="39" spans="2:32">
      <c r="B39" s="537">
        <v>3</v>
      </c>
      <c r="C39" s="1007" t="s">
        <v>174</v>
      </c>
      <c r="D39" s="1007"/>
      <c r="E39" s="537"/>
      <c r="F39" s="537"/>
      <c r="G39" s="531"/>
      <c r="H39" s="531"/>
      <c r="I39" s="531"/>
      <c r="J39" s="531"/>
      <c r="K39" s="531"/>
      <c r="L39" s="531"/>
      <c r="M39" s="531"/>
      <c r="N39" s="531"/>
      <c r="O39" s="531"/>
      <c r="P39" s="531"/>
      <c r="Q39" s="531"/>
      <c r="R39" s="531"/>
      <c r="S39" s="531"/>
      <c r="T39" s="531"/>
      <c r="U39" s="565">
        <f>VLOOKUP($AI$4,REKAP!$A:$BS,45)</f>
        <v>93</v>
      </c>
      <c r="V39" s="565" t="str">
        <f>VLOOKUP($AI$4,REKAP!$A:$BS,46)</f>
        <v>A</v>
      </c>
      <c r="W39" s="531"/>
      <c r="X39" s="531"/>
      <c r="Y39" s="531"/>
      <c r="Z39" s="531"/>
      <c r="AA39" s="531"/>
      <c r="AB39" s="531"/>
      <c r="AC39" s="531"/>
      <c r="AD39" s="531"/>
      <c r="AE39" s="531"/>
      <c r="AF39" s="531"/>
    </row>
    <row r="40" spans="2:32">
      <c r="B40" s="537">
        <v>4</v>
      </c>
      <c r="C40" s="1007" t="s">
        <v>175</v>
      </c>
      <c r="D40" s="1007"/>
      <c r="E40" s="537"/>
      <c r="F40" s="537"/>
      <c r="G40" s="531"/>
      <c r="H40" s="531"/>
      <c r="I40" s="531"/>
      <c r="J40" s="531"/>
      <c r="K40" s="531"/>
      <c r="L40" s="531"/>
      <c r="M40" s="531"/>
      <c r="N40" s="531"/>
      <c r="O40" s="531"/>
      <c r="P40" s="531"/>
      <c r="Q40" s="531"/>
      <c r="R40" s="531"/>
      <c r="S40" s="531"/>
      <c r="T40" s="531"/>
      <c r="U40" s="565">
        <f>VLOOKUP($AI$4,REKAP!$A:$BS,48)</f>
        <v>85</v>
      </c>
      <c r="V40" s="565" t="str">
        <f>VLOOKUP($AI$4,REKAP!$A:$BS,49)</f>
        <v>B</v>
      </c>
      <c r="W40" s="531"/>
      <c r="X40" s="531"/>
      <c r="Y40" s="531"/>
      <c r="Z40" s="531"/>
      <c r="AA40" s="531"/>
      <c r="AB40" s="531"/>
      <c r="AC40" s="531"/>
      <c r="AD40" s="531"/>
      <c r="AE40" s="531"/>
      <c r="AF40" s="531"/>
    </row>
    <row r="41" spans="2:32">
      <c r="B41" s="537">
        <v>5</v>
      </c>
      <c r="C41" s="1007" t="s">
        <v>524</v>
      </c>
      <c r="D41" s="1007"/>
      <c r="E41" s="537"/>
      <c r="F41" s="537"/>
      <c r="G41" s="531"/>
      <c r="H41" s="531"/>
      <c r="I41" s="531"/>
      <c r="J41" s="531"/>
      <c r="K41" s="531"/>
      <c r="L41" s="531"/>
      <c r="M41" s="531"/>
      <c r="N41" s="531"/>
      <c r="O41" s="531"/>
      <c r="P41" s="531"/>
      <c r="Q41" s="531"/>
      <c r="R41" s="531"/>
      <c r="S41" s="531"/>
      <c r="T41" s="531"/>
      <c r="U41" s="565">
        <f>VLOOKUP($AI$4,REKAP!$A:$BS,51)</f>
        <v>93</v>
      </c>
      <c r="V41" s="565" t="str">
        <f>VLOOKUP($AI$4,REKAP!$A:$BS,52)</f>
        <v>A</v>
      </c>
      <c r="W41" s="531"/>
      <c r="X41" s="531"/>
      <c r="Y41" s="531"/>
      <c r="Z41" s="531"/>
      <c r="AA41" s="531"/>
      <c r="AB41" s="531"/>
      <c r="AC41" s="531"/>
      <c r="AD41" s="531"/>
      <c r="AE41" s="531"/>
      <c r="AF41" s="531"/>
    </row>
    <row r="42" spans="2:32">
      <c r="B42" s="537">
        <v>6</v>
      </c>
      <c r="C42" s="1007" t="s">
        <v>525</v>
      </c>
      <c r="D42" s="1007"/>
      <c r="E42" s="537"/>
      <c r="F42" s="537"/>
      <c r="G42" s="531"/>
      <c r="H42" s="531"/>
      <c r="I42" s="531"/>
      <c r="J42" s="531"/>
      <c r="K42" s="531"/>
      <c r="L42" s="531"/>
      <c r="M42" s="531"/>
      <c r="N42" s="531"/>
      <c r="O42" s="531"/>
      <c r="P42" s="531"/>
      <c r="Q42" s="531"/>
      <c r="R42" s="531"/>
      <c r="S42" s="531"/>
      <c r="T42" s="531"/>
      <c r="U42" s="565">
        <f>VLOOKUP($AI$4,REKAP!$A:$BS,54)</f>
        <v>88</v>
      </c>
      <c r="V42" s="565" t="str">
        <f>VLOOKUP($AI$4,REKAP!$A:$BS,55)</f>
        <v>A</v>
      </c>
      <c r="W42" s="531"/>
      <c r="X42" s="531"/>
      <c r="Y42" s="531"/>
      <c r="Z42" s="531"/>
      <c r="AA42" s="531"/>
      <c r="AB42" s="531"/>
      <c r="AC42" s="531"/>
      <c r="AD42" s="531"/>
      <c r="AE42" s="531"/>
      <c r="AF42" s="531"/>
    </row>
    <row r="43" spans="2:32">
      <c r="B43" s="537">
        <v>7</v>
      </c>
      <c r="C43" s="1007" t="s">
        <v>526</v>
      </c>
      <c r="D43" s="1007"/>
      <c r="E43" s="537"/>
      <c r="F43" s="537"/>
      <c r="G43" s="531"/>
      <c r="H43" s="531"/>
      <c r="I43" s="531"/>
      <c r="J43" s="531"/>
      <c r="K43" s="531"/>
      <c r="L43" s="531"/>
      <c r="M43" s="531"/>
      <c r="N43" s="531"/>
      <c r="O43" s="531"/>
      <c r="P43" s="531"/>
      <c r="Q43" s="531"/>
      <c r="R43" s="531"/>
      <c r="S43" s="531"/>
      <c r="T43" s="531"/>
      <c r="U43" s="565">
        <f>VLOOKUP($AI$4,REKAP!$A:$BS,57)</f>
        <v>95</v>
      </c>
      <c r="V43" s="565" t="str">
        <f>VLOOKUP($AI$4,REKAP!$A:$BS,58)</f>
        <v>A</v>
      </c>
      <c r="W43" s="531"/>
      <c r="X43" s="531"/>
      <c r="Y43" s="531"/>
      <c r="Z43" s="531"/>
      <c r="AA43" s="531"/>
      <c r="AB43" s="531"/>
      <c r="AC43" s="531"/>
      <c r="AD43" s="531"/>
      <c r="AE43" s="531"/>
      <c r="AF43" s="531"/>
    </row>
    <row r="44" spans="2:32" ht="32.25" customHeight="1">
      <c r="B44" s="537">
        <v>8</v>
      </c>
      <c r="C44" s="1007" t="s">
        <v>527</v>
      </c>
      <c r="D44" s="1007"/>
      <c r="E44" s="537"/>
      <c r="F44" s="537"/>
      <c r="G44" s="531"/>
      <c r="H44" s="531"/>
      <c r="I44" s="531"/>
      <c r="J44" s="531"/>
      <c r="K44" s="531"/>
      <c r="L44" s="531"/>
      <c r="M44" s="531"/>
      <c r="N44" s="531"/>
      <c r="O44" s="531"/>
      <c r="P44" s="531"/>
      <c r="Q44" s="531"/>
      <c r="R44" s="531"/>
      <c r="S44" s="531"/>
      <c r="T44" s="531"/>
      <c r="U44" s="565">
        <f>VLOOKUP($AI$4,REKAP!$A:$BS,60)</f>
        <v>89</v>
      </c>
      <c r="V44" s="565" t="str">
        <f>VLOOKUP($AI$4,REKAP!$A:$BS,61)</f>
        <v>A</v>
      </c>
      <c r="W44" s="531"/>
      <c r="X44" s="531"/>
      <c r="Y44" s="531"/>
      <c r="Z44" s="531"/>
      <c r="AA44" s="531"/>
      <c r="AB44" s="531"/>
      <c r="AC44" s="531"/>
      <c r="AD44" s="531"/>
      <c r="AE44" s="531"/>
      <c r="AF44" s="531"/>
    </row>
    <row r="45" spans="2:32">
      <c r="B45" s="537">
        <v>9</v>
      </c>
      <c r="C45" s="1007" t="s">
        <v>176</v>
      </c>
      <c r="D45" s="1007"/>
      <c r="E45" s="531"/>
      <c r="F45" s="531"/>
      <c r="G45" s="531"/>
      <c r="H45" s="531"/>
      <c r="I45" s="531"/>
      <c r="J45" s="531"/>
      <c r="K45" s="531"/>
      <c r="L45" s="531"/>
      <c r="M45" s="531"/>
      <c r="N45" s="531"/>
      <c r="O45" s="531"/>
      <c r="P45" s="531"/>
      <c r="Q45" s="531"/>
      <c r="R45" s="531"/>
      <c r="S45" s="531"/>
      <c r="T45" s="531"/>
      <c r="U45" s="565"/>
      <c r="V45" s="565"/>
      <c r="W45" s="531"/>
      <c r="X45" s="531"/>
      <c r="Y45" s="531"/>
      <c r="Z45" s="531"/>
      <c r="AA45" s="531"/>
      <c r="AB45" s="531"/>
      <c r="AC45" s="531"/>
      <c r="AD45" s="531"/>
      <c r="AE45" s="531"/>
      <c r="AF45" s="531"/>
    </row>
    <row r="46" spans="2:32">
      <c r="B46" s="531"/>
      <c r="C46" s="1008" t="str">
        <f>KKM!$X$7</f>
        <v>BAHASA dan SASTRA SUNDA</v>
      </c>
      <c r="D46" s="1009"/>
      <c r="E46" s="537"/>
      <c r="F46" s="537"/>
      <c r="G46" s="531"/>
      <c r="H46" s="531"/>
      <c r="I46" s="531"/>
      <c r="J46" s="531"/>
      <c r="K46" s="531"/>
      <c r="L46" s="531"/>
      <c r="M46" s="531"/>
      <c r="N46" s="531"/>
      <c r="O46" s="531"/>
      <c r="P46" s="531"/>
      <c r="Q46" s="531"/>
      <c r="R46" s="531"/>
      <c r="S46" s="531"/>
      <c r="T46" s="531"/>
      <c r="U46" s="565">
        <f>VLOOKUP($AI$4,REKAP!$A:$BS,60)</f>
        <v>89</v>
      </c>
      <c r="V46" s="565" t="str">
        <f>VLOOKUP($AI$4,REKAP!$A:$BS,64)</f>
        <v>B</v>
      </c>
      <c r="W46" s="531"/>
      <c r="X46" s="531"/>
      <c r="Y46" s="531"/>
      <c r="Z46" s="531"/>
      <c r="AA46" s="531"/>
      <c r="AB46" s="531"/>
      <c r="AC46" s="531"/>
      <c r="AD46" s="531"/>
      <c r="AE46" s="531"/>
      <c r="AF46" s="531"/>
    </row>
    <row r="47" spans="2:32">
      <c r="B47" s="531"/>
      <c r="C47" s="1008" t="str">
        <f>KKM!$X$8</f>
        <v>PLH</v>
      </c>
      <c r="D47" s="1009"/>
      <c r="E47" s="537"/>
      <c r="F47" s="537"/>
      <c r="G47" s="531"/>
      <c r="H47" s="531"/>
      <c r="I47" s="531"/>
      <c r="J47" s="531"/>
      <c r="K47" s="531"/>
      <c r="L47" s="531"/>
      <c r="M47" s="531"/>
      <c r="N47" s="531"/>
      <c r="O47" s="531"/>
      <c r="P47" s="531"/>
      <c r="Q47" s="531"/>
      <c r="R47" s="531"/>
      <c r="S47" s="531"/>
      <c r="T47" s="531"/>
      <c r="U47" s="565">
        <f>VLOOKUP($AI$4,REKAP!$A:$BS,66)</f>
        <v>97</v>
      </c>
      <c r="V47" s="565" t="str">
        <f>VLOOKUP($AI$4,REKAP!$A:$BS,67)</f>
        <v>A</v>
      </c>
      <c r="W47" s="531"/>
      <c r="X47" s="531"/>
      <c r="Y47" s="531"/>
      <c r="Z47" s="531"/>
      <c r="AA47" s="531"/>
      <c r="AB47" s="531"/>
      <c r="AC47" s="531"/>
      <c r="AD47" s="531"/>
      <c r="AE47" s="531"/>
      <c r="AF47" s="531"/>
    </row>
    <row r="48" spans="2:32">
      <c r="B48" s="531"/>
      <c r="C48" s="1008" t="str">
        <f>KKM!$X$9</f>
        <v>BAHASA INGGRIS</v>
      </c>
      <c r="D48" s="1009"/>
      <c r="E48" s="537"/>
      <c r="F48" s="537"/>
      <c r="G48" s="531"/>
      <c r="H48" s="531"/>
      <c r="I48" s="531"/>
      <c r="J48" s="531"/>
      <c r="K48" s="531"/>
      <c r="L48" s="531"/>
      <c r="M48" s="531"/>
      <c r="N48" s="531"/>
      <c r="O48" s="531"/>
      <c r="P48" s="531"/>
      <c r="Q48" s="531"/>
      <c r="R48" s="531"/>
      <c r="S48" s="531"/>
      <c r="T48" s="531"/>
      <c r="U48" s="565">
        <f>VLOOKUP($AI$4,REKAP!$A:$BS,69)</f>
        <v>95</v>
      </c>
      <c r="V48" s="565" t="str">
        <f>VLOOKUP($AI$4,REKAP!$A:$BS,70)</f>
        <v>A</v>
      </c>
      <c r="W48" s="531"/>
      <c r="X48" s="531"/>
      <c r="Y48" s="531"/>
      <c r="Z48" s="531"/>
      <c r="AA48" s="531"/>
      <c r="AB48" s="531"/>
      <c r="AC48" s="531"/>
      <c r="AD48" s="531"/>
      <c r="AE48" s="531"/>
      <c r="AF48" s="531"/>
    </row>
    <row r="50" spans="2:32" ht="15.75" thickBot="1">
      <c r="B50" s="534" t="s">
        <v>545</v>
      </c>
    </row>
    <row r="51" spans="2:32" ht="15.75" thickBot="1">
      <c r="B51" s="995" t="s">
        <v>24</v>
      </c>
      <c r="C51" s="996"/>
      <c r="D51" s="546" t="s">
        <v>514</v>
      </c>
      <c r="E51" s="974" t="s">
        <v>575</v>
      </c>
      <c r="F51" s="975"/>
      <c r="G51" s="975"/>
      <c r="H51" s="976"/>
      <c r="I51" s="966" t="s">
        <v>576</v>
      </c>
      <c r="J51" s="966"/>
      <c r="K51" s="966"/>
      <c r="L51" s="966"/>
      <c r="M51" s="966" t="s">
        <v>577</v>
      </c>
      <c r="N51" s="966"/>
      <c r="O51" s="966"/>
      <c r="P51" s="966"/>
      <c r="Q51" s="966" t="s">
        <v>578</v>
      </c>
      <c r="R51" s="966"/>
      <c r="S51" s="966"/>
      <c r="T51" s="966"/>
      <c r="U51" s="981" t="str">
        <f>DEPAN!$E$14</f>
        <v>5 (LIMA)-/2 (DUA)</v>
      </c>
      <c r="V51" s="982"/>
      <c r="W51" s="982"/>
      <c r="X51" s="983"/>
      <c r="Y51" s="981"/>
      <c r="Z51" s="982"/>
      <c r="AA51" s="982"/>
      <c r="AB51" s="983"/>
      <c r="AC51" s="981"/>
      <c r="AD51" s="982"/>
      <c r="AE51" s="982"/>
      <c r="AF51" s="984"/>
    </row>
    <row r="52" spans="2:32" ht="15.75" thickBot="1">
      <c r="B52" s="997"/>
      <c r="C52" s="998"/>
      <c r="D52" s="547" t="s">
        <v>475</v>
      </c>
      <c r="E52" s="974" t="s">
        <v>582</v>
      </c>
      <c r="F52" s="975"/>
      <c r="G52" s="975"/>
      <c r="H52" s="976"/>
      <c r="I52" s="966" t="s">
        <v>581</v>
      </c>
      <c r="J52" s="966"/>
      <c r="K52" s="966"/>
      <c r="L52" s="966"/>
      <c r="M52" s="966" t="s">
        <v>580</v>
      </c>
      <c r="N52" s="966"/>
      <c r="O52" s="966"/>
      <c r="P52" s="966"/>
      <c r="Q52" s="966" t="s">
        <v>579</v>
      </c>
      <c r="R52" s="966"/>
      <c r="S52" s="966"/>
      <c r="T52" s="966"/>
      <c r="U52" s="981" t="str">
        <f>DEPAN!$E$15</f>
        <v>2018/2019</v>
      </c>
      <c r="V52" s="982"/>
      <c r="W52" s="982"/>
      <c r="X52" s="983"/>
      <c r="Y52" s="985"/>
      <c r="Z52" s="985"/>
      <c r="AA52" s="985"/>
      <c r="AB52" s="985"/>
      <c r="AC52" s="985"/>
      <c r="AD52" s="985"/>
      <c r="AE52" s="985"/>
      <c r="AF52" s="986"/>
    </row>
    <row r="53" spans="2:32">
      <c r="B53" s="988" t="s">
        <v>546</v>
      </c>
      <c r="C53" s="989"/>
      <c r="D53" s="545" t="str">
        <f>ABSEN!D5</f>
        <v>Pramuka</v>
      </c>
      <c r="E53" s="999" t="str">
        <f>VLOOKUP($AI$4,ABSEN!A7:W56,4)</f>
        <v>baik</v>
      </c>
      <c r="F53" s="999"/>
      <c r="G53" s="999"/>
      <c r="H53" s="999"/>
      <c r="I53" s="977"/>
      <c r="J53" s="978"/>
      <c r="K53" s="978"/>
      <c r="L53" s="979"/>
      <c r="M53" s="977"/>
      <c r="N53" s="978"/>
      <c r="O53" s="978"/>
      <c r="P53" s="979"/>
      <c r="Q53" s="977"/>
      <c r="R53" s="978"/>
      <c r="S53" s="978"/>
      <c r="T53" s="979"/>
      <c r="U53" s="977" t="str">
        <f>VLOOKUP($AI$4,ABSEN!A7:W56,4)</f>
        <v>baik</v>
      </c>
      <c r="V53" s="978"/>
      <c r="W53" s="978"/>
      <c r="X53" s="979"/>
      <c r="Y53" s="977"/>
      <c r="Z53" s="978"/>
      <c r="AA53" s="978"/>
      <c r="AB53" s="979"/>
      <c r="AC53" s="977"/>
      <c r="AD53" s="978"/>
      <c r="AE53" s="978"/>
      <c r="AF53" s="987"/>
    </row>
    <row r="54" spans="2:32">
      <c r="B54" s="988"/>
      <c r="C54" s="989"/>
      <c r="D54" s="543">
        <f>VLOOKUP($AI$4,ABSEN!A7:W56,5)</f>
        <v>0</v>
      </c>
      <c r="E54" s="1000">
        <f>VLOOKUP($AI$4,ABSEN!A7:W56,6)</f>
        <v>0</v>
      </c>
      <c r="F54" s="1000"/>
      <c r="G54" s="1000"/>
      <c r="H54" s="1000"/>
      <c r="I54" s="939"/>
      <c r="J54" s="939"/>
      <c r="K54" s="939"/>
      <c r="L54" s="939"/>
      <c r="M54" s="939"/>
      <c r="N54" s="939"/>
      <c r="O54" s="939"/>
      <c r="P54" s="939"/>
      <c r="Q54" s="939"/>
      <c r="R54" s="939"/>
      <c r="S54" s="939"/>
      <c r="T54" s="939"/>
      <c r="U54" s="977">
        <f>VLOOKUP($AI$4,ABSEN!A7:W57,6)</f>
        <v>0</v>
      </c>
      <c r="V54" s="978"/>
      <c r="W54" s="978"/>
      <c r="X54" s="979"/>
      <c r="Y54" s="939"/>
      <c r="Z54" s="939"/>
      <c r="AA54" s="939"/>
      <c r="AB54" s="939"/>
      <c r="AC54" s="939"/>
      <c r="AD54" s="939"/>
      <c r="AE54" s="939"/>
      <c r="AF54" s="969"/>
    </row>
    <row r="55" spans="2:32">
      <c r="B55" s="990"/>
      <c r="C55" s="979"/>
      <c r="D55" s="544">
        <f>VLOOKUP($AI$4,ABSEN!A7:W56,7)</f>
        <v>0</v>
      </c>
      <c r="E55" s="1000">
        <f>VLOOKUP($AI$4,ABSEN!A7:W56,8)</f>
        <v>0</v>
      </c>
      <c r="F55" s="1000"/>
      <c r="G55" s="1000"/>
      <c r="H55" s="1000"/>
      <c r="I55" s="974"/>
      <c r="J55" s="975"/>
      <c r="K55" s="975"/>
      <c r="L55" s="976"/>
      <c r="M55" s="974"/>
      <c r="N55" s="975"/>
      <c r="O55" s="975"/>
      <c r="P55" s="976"/>
      <c r="Q55" s="974"/>
      <c r="R55" s="975"/>
      <c r="S55" s="975"/>
      <c r="T55" s="976"/>
      <c r="U55" s="977">
        <f>VLOOKUP($AI$4,ABSEN!A7:W58,8)</f>
        <v>0</v>
      </c>
      <c r="V55" s="978"/>
      <c r="W55" s="978"/>
      <c r="X55" s="979"/>
      <c r="Y55" s="974"/>
      <c r="Z55" s="975"/>
      <c r="AA55" s="975"/>
      <c r="AB55" s="976"/>
      <c r="AC55" s="974"/>
      <c r="AD55" s="975"/>
      <c r="AE55" s="975"/>
      <c r="AF55" s="980"/>
    </row>
    <row r="56" spans="2:32">
      <c r="B56" s="991" t="s">
        <v>547</v>
      </c>
      <c r="C56" s="992"/>
      <c r="D56" s="531"/>
      <c r="E56" s="974"/>
      <c r="F56" s="975"/>
      <c r="G56" s="975"/>
      <c r="H56" s="976"/>
      <c r="I56" s="974"/>
      <c r="J56" s="975"/>
      <c r="K56" s="975"/>
      <c r="L56" s="976"/>
      <c r="M56" s="974"/>
      <c r="N56" s="975"/>
      <c r="O56" s="975"/>
      <c r="P56" s="976"/>
      <c r="Q56" s="974"/>
      <c r="R56" s="975"/>
      <c r="S56" s="975"/>
      <c r="T56" s="976"/>
      <c r="U56" s="974"/>
      <c r="V56" s="975"/>
      <c r="W56" s="975"/>
      <c r="X56" s="976"/>
      <c r="Y56" s="974"/>
      <c r="Z56" s="975"/>
      <c r="AA56" s="975"/>
      <c r="AB56" s="976"/>
      <c r="AC56" s="974"/>
      <c r="AD56" s="975"/>
      <c r="AE56" s="975"/>
      <c r="AF56" s="980"/>
    </row>
    <row r="57" spans="2:32">
      <c r="B57" s="988"/>
      <c r="C57" s="989"/>
      <c r="D57" s="531"/>
      <c r="E57" s="939"/>
      <c r="F57" s="939"/>
      <c r="G57" s="939"/>
      <c r="H57" s="939"/>
      <c r="I57" s="939"/>
      <c r="J57" s="939"/>
      <c r="K57" s="939"/>
      <c r="L57" s="939"/>
      <c r="M57" s="939"/>
      <c r="N57" s="939"/>
      <c r="O57" s="939"/>
      <c r="P57" s="939"/>
      <c r="Q57" s="939"/>
      <c r="R57" s="939"/>
      <c r="S57" s="939"/>
      <c r="T57" s="939"/>
      <c r="U57" s="939"/>
      <c r="V57" s="939"/>
      <c r="W57" s="939"/>
      <c r="X57" s="939"/>
      <c r="Y57" s="939"/>
      <c r="Z57" s="939"/>
      <c r="AA57" s="939"/>
      <c r="AB57" s="939"/>
      <c r="AC57" s="939"/>
      <c r="AD57" s="939"/>
      <c r="AE57" s="939"/>
      <c r="AF57" s="969"/>
    </row>
    <row r="58" spans="2:32" ht="15.75" thickBot="1">
      <c r="B58" s="993"/>
      <c r="C58" s="994"/>
      <c r="D58" s="548"/>
      <c r="E58" s="970"/>
      <c r="F58" s="971"/>
      <c r="G58" s="971"/>
      <c r="H58" s="972"/>
      <c r="I58" s="970"/>
      <c r="J58" s="971"/>
      <c r="K58" s="971"/>
      <c r="L58" s="972"/>
      <c r="M58" s="970"/>
      <c r="N58" s="971"/>
      <c r="O58" s="971"/>
      <c r="P58" s="972"/>
      <c r="Q58" s="970"/>
      <c r="R58" s="971"/>
      <c r="S58" s="971"/>
      <c r="T58" s="972"/>
      <c r="U58" s="970"/>
      <c r="V58" s="971"/>
      <c r="W58" s="971"/>
      <c r="X58" s="972"/>
      <c r="Y58" s="970"/>
      <c r="Z58" s="971"/>
      <c r="AA58" s="971"/>
      <c r="AB58" s="972"/>
      <c r="AC58" s="970"/>
      <c r="AD58" s="971"/>
      <c r="AE58" s="971"/>
      <c r="AF58" s="973"/>
    </row>
    <row r="60" spans="2:32">
      <c r="B60" s="534" t="s">
        <v>549</v>
      </c>
    </row>
    <row r="61" spans="2:32">
      <c r="B61" s="967" t="s">
        <v>514</v>
      </c>
      <c r="C61" s="967"/>
      <c r="D61" s="967"/>
      <c r="E61" s="966" t="s">
        <v>575</v>
      </c>
      <c r="F61" s="966"/>
      <c r="G61" s="966"/>
      <c r="H61" s="966"/>
      <c r="I61" s="966" t="s">
        <v>576</v>
      </c>
      <c r="J61" s="966"/>
      <c r="K61" s="966"/>
      <c r="L61" s="966"/>
      <c r="M61" s="966" t="s">
        <v>577</v>
      </c>
      <c r="N61" s="966"/>
      <c r="O61" s="966"/>
      <c r="P61" s="966"/>
      <c r="Q61" s="966" t="s">
        <v>578</v>
      </c>
      <c r="R61" s="966"/>
      <c r="S61" s="966"/>
      <c r="T61" s="966"/>
      <c r="U61" s="939" t="str">
        <f>DEPAN!$E$14</f>
        <v>5 (LIMA)-/2 (DUA)</v>
      </c>
      <c r="V61" s="939"/>
      <c r="W61" s="939"/>
      <c r="X61" s="939"/>
      <c r="Y61" s="584"/>
      <c r="Z61" s="584"/>
      <c r="AA61" s="584"/>
      <c r="AB61" s="584"/>
      <c r="AC61" s="584"/>
      <c r="AD61" s="584"/>
      <c r="AE61" s="584"/>
      <c r="AF61" s="584"/>
    </row>
    <row r="62" spans="2:32">
      <c r="B62" s="967" t="s">
        <v>475</v>
      </c>
      <c r="C62" s="967"/>
      <c r="D62" s="967"/>
      <c r="E62" s="966" t="s">
        <v>582</v>
      </c>
      <c r="F62" s="966"/>
      <c r="G62" s="966"/>
      <c r="H62" s="966"/>
      <c r="I62" s="966" t="s">
        <v>581</v>
      </c>
      <c r="J62" s="966"/>
      <c r="K62" s="966"/>
      <c r="L62" s="966"/>
      <c r="M62" s="966" t="s">
        <v>580</v>
      </c>
      <c r="N62" s="966"/>
      <c r="O62" s="966"/>
      <c r="P62" s="966"/>
      <c r="Q62" s="966" t="s">
        <v>579</v>
      </c>
      <c r="R62" s="966"/>
      <c r="S62" s="966"/>
      <c r="T62" s="966"/>
      <c r="U62" s="939" t="str">
        <f>DEPAN!$E$15</f>
        <v>2018/2019</v>
      </c>
      <c r="V62" s="939"/>
      <c r="W62" s="939"/>
      <c r="X62" s="939"/>
      <c r="Y62" s="584"/>
      <c r="Z62" s="584"/>
      <c r="AA62" s="584"/>
      <c r="AB62" s="584"/>
      <c r="AC62" s="584"/>
      <c r="AD62" s="584"/>
      <c r="AE62" s="584"/>
      <c r="AF62" s="584"/>
    </row>
    <row r="63" spans="2:32">
      <c r="B63" s="967" t="s">
        <v>24</v>
      </c>
      <c r="C63" s="967"/>
      <c r="D63" s="967"/>
      <c r="E63" s="939" t="s">
        <v>553</v>
      </c>
      <c r="F63" s="939"/>
      <c r="G63" s="939" t="s">
        <v>554</v>
      </c>
      <c r="H63" s="939"/>
      <c r="I63" s="939" t="s">
        <v>553</v>
      </c>
      <c r="J63" s="939"/>
      <c r="K63" s="939" t="s">
        <v>554</v>
      </c>
      <c r="L63" s="939"/>
      <c r="M63" s="939" t="s">
        <v>553</v>
      </c>
      <c r="N63" s="939"/>
      <c r="O63" s="939" t="s">
        <v>554</v>
      </c>
      <c r="P63" s="939"/>
      <c r="Q63" s="939" t="s">
        <v>553</v>
      </c>
      <c r="R63" s="939"/>
      <c r="S63" s="939" t="s">
        <v>554</v>
      </c>
      <c r="T63" s="939"/>
      <c r="U63" s="939" t="s">
        <v>553</v>
      </c>
      <c r="V63" s="939"/>
      <c r="W63" s="939" t="s">
        <v>554</v>
      </c>
      <c r="X63" s="939"/>
      <c r="Y63" s="939" t="s">
        <v>553</v>
      </c>
      <c r="Z63" s="939"/>
      <c r="AA63" s="939" t="s">
        <v>554</v>
      </c>
      <c r="AB63" s="939"/>
      <c r="AC63" s="939" t="s">
        <v>553</v>
      </c>
      <c r="AD63" s="939"/>
      <c r="AE63" s="939" t="s">
        <v>554</v>
      </c>
      <c r="AF63" s="939"/>
    </row>
    <row r="64" spans="2:32">
      <c r="B64" s="968" t="s">
        <v>75</v>
      </c>
      <c r="C64" s="968"/>
      <c r="D64" s="968"/>
      <c r="E64" s="939">
        <f>VLOOKUP($AI$4,ABSEN!A7:W56,9)</f>
        <v>0</v>
      </c>
      <c r="F64" s="939"/>
      <c r="G64" s="939"/>
      <c r="H64" s="939"/>
      <c r="I64" s="939"/>
      <c r="J64" s="939"/>
      <c r="K64" s="939"/>
      <c r="L64" s="939"/>
      <c r="M64" s="939"/>
      <c r="N64" s="939"/>
      <c r="O64" s="939"/>
      <c r="P64" s="939"/>
      <c r="Q64" s="939"/>
      <c r="R64" s="939"/>
      <c r="S64" s="939"/>
      <c r="T64" s="939"/>
      <c r="U64" s="939"/>
      <c r="V64" s="939"/>
      <c r="W64" s="939"/>
      <c r="X64" s="939"/>
      <c r="Y64" s="939"/>
      <c r="Z64" s="939"/>
      <c r="AA64" s="939"/>
      <c r="AB64" s="939"/>
      <c r="AC64" s="939"/>
      <c r="AD64" s="939"/>
      <c r="AE64" s="939"/>
      <c r="AF64" s="939"/>
    </row>
    <row r="65" spans="2:32">
      <c r="B65" s="968" t="s">
        <v>548</v>
      </c>
      <c r="C65" s="968"/>
      <c r="D65" s="968"/>
      <c r="E65" s="939">
        <f>VLOOKUP($AI$4,ABSEN!A7:W56,10)</f>
        <v>0</v>
      </c>
      <c r="F65" s="939"/>
      <c r="G65" s="939"/>
      <c r="H65" s="939"/>
      <c r="I65" s="939"/>
      <c r="J65" s="939"/>
      <c r="K65" s="939"/>
      <c r="L65" s="939"/>
      <c r="M65" s="939"/>
      <c r="N65" s="939"/>
      <c r="O65" s="939"/>
      <c r="P65" s="939"/>
      <c r="Q65" s="939"/>
      <c r="R65" s="939"/>
      <c r="S65" s="939"/>
      <c r="T65" s="939"/>
      <c r="U65" s="939"/>
      <c r="V65" s="939"/>
      <c r="W65" s="939"/>
      <c r="X65" s="939"/>
      <c r="Y65" s="939"/>
      <c r="Z65" s="939"/>
      <c r="AA65" s="939"/>
      <c r="AB65" s="939"/>
      <c r="AC65" s="939"/>
      <c r="AD65" s="939"/>
      <c r="AE65" s="939"/>
      <c r="AF65" s="939"/>
    </row>
    <row r="66" spans="2:32">
      <c r="B66" s="968" t="s">
        <v>77</v>
      </c>
      <c r="C66" s="968"/>
      <c r="D66" s="968"/>
      <c r="E66" s="939">
        <f>VLOOKUP($AI$4,ABSEN!A7:W56,11)</f>
        <v>0</v>
      </c>
      <c r="F66" s="939"/>
      <c r="G66" s="939"/>
      <c r="H66" s="939"/>
      <c r="I66" s="939"/>
      <c r="J66" s="939"/>
      <c r="K66" s="939"/>
      <c r="L66" s="939"/>
      <c r="M66" s="939"/>
      <c r="N66" s="939"/>
      <c r="O66" s="939"/>
      <c r="P66" s="939"/>
      <c r="Q66" s="939"/>
      <c r="R66" s="939"/>
      <c r="S66" s="939"/>
      <c r="T66" s="939"/>
      <c r="U66" s="939"/>
      <c r="V66" s="939"/>
      <c r="W66" s="939"/>
      <c r="X66" s="939"/>
      <c r="Y66" s="939"/>
      <c r="Z66" s="939"/>
      <c r="AA66" s="939"/>
      <c r="AB66" s="939"/>
      <c r="AC66" s="939"/>
      <c r="AD66" s="939"/>
      <c r="AE66" s="939"/>
      <c r="AF66" s="939"/>
    </row>
    <row r="68" spans="2:32">
      <c r="B68" s="534" t="s">
        <v>550</v>
      </c>
    </row>
    <row r="69" spans="2:32" ht="72" customHeight="1">
      <c r="B69" s="964" t="s">
        <v>551</v>
      </c>
      <c r="C69" s="964"/>
      <c r="D69" s="964"/>
      <c r="E69" s="965" t="s">
        <v>552</v>
      </c>
      <c r="F69" s="966"/>
      <c r="G69" s="966"/>
      <c r="H69" s="966"/>
      <c r="I69" s="965" t="s">
        <v>552</v>
      </c>
      <c r="J69" s="966"/>
      <c r="K69" s="966"/>
      <c r="L69" s="966"/>
      <c r="M69" s="965" t="s">
        <v>552</v>
      </c>
      <c r="N69" s="966"/>
      <c r="O69" s="966"/>
      <c r="P69" s="966"/>
      <c r="Q69" s="965" t="s">
        <v>552</v>
      </c>
      <c r="R69" s="966"/>
      <c r="S69" s="966"/>
      <c r="T69" s="966"/>
      <c r="U69" s="965" t="s">
        <v>552</v>
      </c>
      <c r="V69" s="966"/>
      <c r="W69" s="966"/>
      <c r="X69" s="966"/>
      <c r="Y69" s="965" t="s">
        <v>552</v>
      </c>
      <c r="Z69" s="966"/>
      <c r="AA69" s="966"/>
      <c r="AB69" s="966"/>
      <c r="AC69" s="965" t="s">
        <v>552</v>
      </c>
      <c r="AD69" s="966"/>
      <c r="AE69" s="966"/>
      <c r="AF69" s="966"/>
    </row>
    <row r="70" spans="2:32" ht="76.5" customHeight="1">
      <c r="B70" s="946" t="s">
        <v>555</v>
      </c>
      <c r="C70" s="947"/>
      <c r="D70" s="948"/>
      <c r="E70" s="952" t="str">
        <f>DEPAN!E16</f>
        <v>N Rina Sandrawati SPd</v>
      </c>
      <c r="F70" s="953"/>
      <c r="G70" s="953"/>
      <c r="H70" s="954"/>
      <c r="I70" s="955"/>
      <c r="J70" s="956"/>
      <c r="K70" s="956"/>
      <c r="L70" s="957"/>
      <c r="M70" s="955"/>
      <c r="N70" s="956"/>
      <c r="O70" s="956"/>
      <c r="P70" s="957"/>
      <c r="Q70" s="955"/>
      <c r="R70" s="956"/>
      <c r="S70" s="956"/>
      <c r="T70" s="957"/>
      <c r="U70" s="952" t="str">
        <f>DEPAN!E16</f>
        <v>N Rina Sandrawati SPd</v>
      </c>
      <c r="V70" s="953"/>
      <c r="W70" s="953"/>
      <c r="X70" s="954"/>
      <c r="Y70" s="955"/>
      <c r="Z70" s="956"/>
      <c r="AA70" s="956"/>
      <c r="AB70" s="957"/>
      <c r="AC70" s="955"/>
      <c r="AD70" s="956"/>
      <c r="AE70" s="956"/>
      <c r="AF70" s="957"/>
    </row>
    <row r="71" spans="2:32">
      <c r="B71" s="949"/>
      <c r="C71" s="950"/>
      <c r="D71" s="951"/>
      <c r="E71" s="958" t="str">
        <f>DEPAN!E17</f>
        <v>197703202007012006</v>
      </c>
      <c r="F71" s="959"/>
      <c r="G71" s="959"/>
      <c r="H71" s="960"/>
      <c r="I71" s="961"/>
      <c r="J71" s="962"/>
      <c r="K71" s="962"/>
      <c r="L71" s="963"/>
      <c r="M71" s="961"/>
      <c r="N71" s="962"/>
      <c r="O71" s="962"/>
      <c r="P71" s="963"/>
      <c r="Q71" s="961"/>
      <c r="R71" s="962"/>
      <c r="S71" s="962"/>
      <c r="T71" s="963"/>
      <c r="U71" s="952" t="str">
        <f>DEPAN!E17</f>
        <v>197703202007012006</v>
      </c>
      <c r="V71" s="953"/>
      <c r="W71" s="953"/>
      <c r="X71" s="954"/>
      <c r="Y71" s="961"/>
      <c r="Z71" s="962"/>
      <c r="AA71" s="962"/>
      <c r="AB71" s="963"/>
      <c r="AC71" s="961"/>
      <c r="AD71" s="962"/>
      <c r="AE71" s="962"/>
      <c r="AF71" s="963"/>
    </row>
  </sheetData>
  <mergeCells count="264">
    <mergeCell ref="Q15:R15"/>
    <mergeCell ref="S15:T15"/>
    <mergeCell ref="U61:X61"/>
    <mergeCell ref="U62:X62"/>
    <mergeCell ref="I61:L61"/>
    <mergeCell ref="I62:L62"/>
    <mergeCell ref="M61:P61"/>
    <mergeCell ref="M62:P62"/>
    <mergeCell ref="Q61:T61"/>
    <mergeCell ref="Q62:T62"/>
    <mergeCell ref="W34:X34"/>
    <mergeCell ref="I51:L51"/>
    <mergeCell ref="I52:L52"/>
    <mergeCell ref="I53:L53"/>
    <mergeCell ref="I54:L54"/>
    <mergeCell ref="I55:L55"/>
    <mergeCell ref="M51:P51"/>
    <mergeCell ref="Q51:T51"/>
    <mergeCell ref="U51:X51"/>
    <mergeCell ref="M54:P54"/>
    <mergeCell ref="Q54:T54"/>
    <mergeCell ref="U54:X54"/>
    <mergeCell ref="AI4:AJ5"/>
    <mergeCell ref="E15:F15"/>
    <mergeCell ref="C44:D44"/>
    <mergeCell ref="C45:D45"/>
    <mergeCell ref="C46:D46"/>
    <mergeCell ref="C47:D47"/>
    <mergeCell ref="C48:D48"/>
    <mergeCell ref="C1:AE1"/>
    <mergeCell ref="C38:D38"/>
    <mergeCell ref="C39:D39"/>
    <mergeCell ref="C40:D40"/>
    <mergeCell ref="C41:D41"/>
    <mergeCell ref="C42:D42"/>
    <mergeCell ref="C43:D43"/>
    <mergeCell ref="AA34:AB34"/>
    <mergeCell ref="AC34:AD34"/>
    <mergeCell ref="AE34:AF34"/>
    <mergeCell ref="B35:D35"/>
    <mergeCell ref="B36:D36"/>
    <mergeCell ref="C37:D37"/>
    <mergeCell ref="O34:P34"/>
    <mergeCell ref="Q34:R34"/>
    <mergeCell ref="S34:T34"/>
    <mergeCell ref="U34:V34"/>
    <mergeCell ref="Y34:Z34"/>
    <mergeCell ref="B34:D34"/>
    <mergeCell ref="E34:F34"/>
    <mergeCell ref="G34:H34"/>
    <mergeCell ref="I34:J34"/>
    <mergeCell ref="K34:L34"/>
    <mergeCell ref="M34:N34"/>
    <mergeCell ref="AC32:AF32"/>
    <mergeCell ref="B33:D33"/>
    <mergeCell ref="E33:H33"/>
    <mergeCell ref="I33:L33"/>
    <mergeCell ref="M33:P33"/>
    <mergeCell ref="Q33:T33"/>
    <mergeCell ref="U33:X33"/>
    <mergeCell ref="Y33:AB33"/>
    <mergeCell ref="AC33:AF33"/>
    <mergeCell ref="E32:H32"/>
    <mergeCell ref="I32:L32"/>
    <mergeCell ref="M32:P32"/>
    <mergeCell ref="Q32:T32"/>
    <mergeCell ref="U32:X32"/>
    <mergeCell ref="Y32:AB32"/>
    <mergeCell ref="C24:D24"/>
    <mergeCell ref="C25:D25"/>
    <mergeCell ref="C26:D26"/>
    <mergeCell ref="C27:D27"/>
    <mergeCell ref="C28:D28"/>
    <mergeCell ref="B32:D32"/>
    <mergeCell ref="C18:D18"/>
    <mergeCell ref="C19:D19"/>
    <mergeCell ref="C20:D20"/>
    <mergeCell ref="C21:D21"/>
    <mergeCell ref="C22:D22"/>
    <mergeCell ref="C23:D23"/>
    <mergeCell ref="AA14:AB14"/>
    <mergeCell ref="AC14:AD14"/>
    <mergeCell ref="AE14:AF14"/>
    <mergeCell ref="B15:D15"/>
    <mergeCell ref="B16:D16"/>
    <mergeCell ref="C17:D17"/>
    <mergeCell ref="O14:P14"/>
    <mergeCell ref="Q14:R14"/>
    <mergeCell ref="S14:T14"/>
    <mergeCell ref="U14:V14"/>
    <mergeCell ref="W14:X14"/>
    <mergeCell ref="Y14:Z14"/>
    <mergeCell ref="B14:D14"/>
    <mergeCell ref="E14:F14"/>
    <mergeCell ref="G14:H14"/>
    <mergeCell ref="I14:J14"/>
    <mergeCell ref="K14:L14"/>
    <mergeCell ref="M14:N14"/>
    <mergeCell ref="U15:V15"/>
    <mergeCell ref="G15:H15"/>
    <mergeCell ref="I15:J15"/>
    <mergeCell ref="K15:L15"/>
    <mergeCell ref="M15:N15"/>
    <mergeCell ref="O15:P15"/>
    <mergeCell ref="Y12:AB12"/>
    <mergeCell ref="AC12:AF12"/>
    <mergeCell ref="B13:D13"/>
    <mergeCell ref="E13:H13"/>
    <mergeCell ref="I13:L13"/>
    <mergeCell ref="M13:P13"/>
    <mergeCell ref="Q13:T13"/>
    <mergeCell ref="U13:X13"/>
    <mergeCell ref="Y13:AB13"/>
    <mergeCell ref="AC13:AF13"/>
    <mergeCell ref="B12:D12"/>
    <mergeCell ref="E12:H12"/>
    <mergeCell ref="I12:L12"/>
    <mergeCell ref="M12:P12"/>
    <mergeCell ref="Q12:T12"/>
    <mergeCell ref="U12:X12"/>
    <mergeCell ref="E8:K8"/>
    <mergeCell ref="L8:R8"/>
    <mergeCell ref="S8:Y8"/>
    <mergeCell ref="Z8:AF8"/>
    <mergeCell ref="E9:K9"/>
    <mergeCell ref="L9:R9"/>
    <mergeCell ref="S9:Y9"/>
    <mergeCell ref="Z9:AF9"/>
    <mergeCell ref="B8:C9"/>
    <mergeCell ref="E6:K6"/>
    <mergeCell ref="L6:R6"/>
    <mergeCell ref="S6:Y6"/>
    <mergeCell ref="Z6:AF6"/>
    <mergeCell ref="E7:K7"/>
    <mergeCell ref="L7:R7"/>
    <mergeCell ref="S7:Y7"/>
    <mergeCell ref="Z7:AF7"/>
    <mergeCell ref="B6:C7"/>
    <mergeCell ref="E4:K4"/>
    <mergeCell ref="L4:R4"/>
    <mergeCell ref="S4:Y4"/>
    <mergeCell ref="Z4:AF4"/>
    <mergeCell ref="E5:K5"/>
    <mergeCell ref="L5:R5"/>
    <mergeCell ref="S5:Y5"/>
    <mergeCell ref="Z5:AF5"/>
    <mergeCell ref="B4:C5"/>
    <mergeCell ref="B53:C55"/>
    <mergeCell ref="B56:C58"/>
    <mergeCell ref="E56:H56"/>
    <mergeCell ref="E57:H57"/>
    <mergeCell ref="E58:H58"/>
    <mergeCell ref="I56:L56"/>
    <mergeCell ref="I57:L57"/>
    <mergeCell ref="I58:L58"/>
    <mergeCell ref="B51:C52"/>
    <mergeCell ref="E53:H53"/>
    <mergeCell ref="E54:H54"/>
    <mergeCell ref="E55:H55"/>
    <mergeCell ref="E51:H51"/>
    <mergeCell ref="E52:H52"/>
    <mergeCell ref="Y51:AB51"/>
    <mergeCell ref="AC51:AF51"/>
    <mergeCell ref="M52:P52"/>
    <mergeCell ref="Q52:T52"/>
    <mergeCell ref="U52:X52"/>
    <mergeCell ref="Y52:AB52"/>
    <mergeCell ref="AC52:AF52"/>
    <mergeCell ref="M53:P53"/>
    <mergeCell ref="Q53:T53"/>
    <mergeCell ref="U53:X53"/>
    <mergeCell ref="Y53:AB53"/>
    <mergeCell ref="AC53:AF53"/>
    <mergeCell ref="Y54:AB54"/>
    <mergeCell ref="AC54:AF54"/>
    <mergeCell ref="Y57:AB57"/>
    <mergeCell ref="AC57:AF57"/>
    <mergeCell ref="M58:P58"/>
    <mergeCell ref="Q58:T58"/>
    <mergeCell ref="U58:X58"/>
    <mergeCell ref="Y58:AB58"/>
    <mergeCell ref="AC58:AF58"/>
    <mergeCell ref="M55:P55"/>
    <mergeCell ref="Q55:T55"/>
    <mergeCell ref="U55:X55"/>
    <mergeCell ref="Y55:AB55"/>
    <mergeCell ref="AC55:AF55"/>
    <mergeCell ref="M56:P56"/>
    <mergeCell ref="Q56:T56"/>
    <mergeCell ref="U56:X56"/>
    <mergeCell ref="Y56:AB56"/>
    <mergeCell ref="AC56:AF56"/>
    <mergeCell ref="B61:D61"/>
    <mergeCell ref="B62:D62"/>
    <mergeCell ref="B63:D63"/>
    <mergeCell ref="B64:D64"/>
    <mergeCell ref="B65:D65"/>
    <mergeCell ref="B66:D66"/>
    <mergeCell ref="M57:P57"/>
    <mergeCell ref="Q57:T57"/>
    <mergeCell ref="U57:X57"/>
    <mergeCell ref="I64:L64"/>
    <mergeCell ref="M64:P64"/>
    <mergeCell ref="Q64:T64"/>
    <mergeCell ref="U64:X64"/>
    <mergeCell ref="U65:X65"/>
    <mergeCell ref="E61:H61"/>
    <mergeCell ref="E62:H62"/>
    <mergeCell ref="E63:F63"/>
    <mergeCell ref="G63:H63"/>
    <mergeCell ref="AC66:AF66"/>
    <mergeCell ref="Y64:AB64"/>
    <mergeCell ref="AC64:AF64"/>
    <mergeCell ref="I63:J63"/>
    <mergeCell ref="K63:L63"/>
    <mergeCell ref="M63:N63"/>
    <mergeCell ref="O63:P63"/>
    <mergeCell ref="Q63:R63"/>
    <mergeCell ref="S63:T63"/>
    <mergeCell ref="U63:V63"/>
    <mergeCell ref="W63:X63"/>
    <mergeCell ref="Y63:Z63"/>
    <mergeCell ref="AA63:AB63"/>
    <mergeCell ref="AC63:AD63"/>
    <mergeCell ref="AE63:AF63"/>
    <mergeCell ref="B69:D69"/>
    <mergeCell ref="E69:H69"/>
    <mergeCell ref="I69:L69"/>
    <mergeCell ref="M69:P69"/>
    <mergeCell ref="Q69:T69"/>
    <mergeCell ref="U69:X69"/>
    <mergeCell ref="Y69:AB69"/>
    <mergeCell ref="AC69:AF69"/>
    <mergeCell ref="E64:F64"/>
    <mergeCell ref="G64:H64"/>
    <mergeCell ref="E65:F65"/>
    <mergeCell ref="G65:H65"/>
    <mergeCell ref="E66:F66"/>
    <mergeCell ref="G66:H66"/>
    <mergeCell ref="I65:L65"/>
    <mergeCell ref="M65:P65"/>
    <mergeCell ref="Q65:T65"/>
    <mergeCell ref="Y65:AB65"/>
    <mergeCell ref="AC65:AF65"/>
    <mergeCell ref="I66:L66"/>
    <mergeCell ref="M66:P66"/>
    <mergeCell ref="Q66:T66"/>
    <mergeCell ref="U66:X66"/>
    <mergeCell ref="Y66:AB66"/>
    <mergeCell ref="B70:D71"/>
    <mergeCell ref="E70:H70"/>
    <mergeCell ref="I70:L70"/>
    <mergeCell ref="M70:P70"/>
    <mergeCell ref="Q70:T70"/>
    <mergeCell ref="U70:X70"/>
    <mergeCell ref="Y70:AB70"/>
    <mergeCell ref="AC70:AF70"/>
    <mergeCell ref="E71:H71"/>
    <mergeCell ref="I71:L71"/>
    <mergeCell ref="M71:P71"/>
    <mergeCell ref="Q71:T71"/>
    <mergeCell ref="U71:X71"/>
    <mergeCell ref="Y71:AB71"/>
    <mergeCell ref="AC71:AF71"/>
  </mergeCells>
  <pageMargins left="0.25" right="0.24" top="0.34" bottom="0.34" header="0.3" footer="0.3"/>
  <pageSetup paperSize="9" scale="80" orientation="landscape" horizontalDpi="4294967293" verticalDpi="300" r:id="rId1"/>
  <rowBreaks count="1" manualBreakCount="1">
    <brk id="10" max="31" man="1"/>
  </rowBreaks>
  <colBreaks count="1" manualBreakCount="1">
    <brk id="3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3793" r:id="rId4" name="Spinner 1">
              <controlPr defaultSize="0" autoPict="0">
                <anchor moveWithCells="1" sizeWithCells="1">
                  <from>
                    <xdr:col>36</xdr:col>
                    <xdr:colOff>57150</xdr:colOff>
                    <xdr:row>1</xdr:row>
                    <xdr:rowOff>152400</xdr:rowOff>
                  </from>
                  <to>
                    <xdr:col>38</xdr:col>
                    <xdr:colOff>9525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6</vt:i4>
      </vt:variant>
    </vt:vector>
  </HeadingPairs>
  <TitlesOfParts>
    <vt:vector size="46" baseType="lpstr">
      <vt:lpstr>LOGIN</vt:lpstr>
      <vt:lpstr>DEPAN</vt:lpstr>
      <vt:lpstr>KKM</vt:lpstr>
      <vt:lpstr>KI-KD</vt:lpstr>
      <vt:lpstr>SISWA</vt:lpstr>
      <vt:lpstr>SPIRIT</vt:lpstr>
      <vt:lpstr>SOSIAL</vt:lpstr>
      <vt:lpstr>PAI3</vt:lpstr>
      <vt:lpstr>PKN3</vt:lpstr>
      <vt:lpstr>BIND3</vt:lpstr>
      <vt:lpstr>MTK3</vt:lpstr>
      <vt:lpstr>IPA3</vt:lpstr>
      <vt:lpstr>IPS3</vt:lpstr>
      <vt:lpstr>SBDP3</vt:lpstr>
      <vt:lpstr>PJOK3</vt:lpstr>
      <vt:lpstr>MLK1-3</vt:lpstr>
      <vt:lpstr>MLK2-3</vt:lpstr>
      <vt:lpstr>MLK3-3</vt:lpstr>
      <vt:lpstr>PAI4</vt:lpstr>
      <vt:lpstr>PKN4</vt:lpstr>
      <vt:lpstr>BIND4</vt:lpstr>
      <vt:lpstr>MTK4</vt:lpstr>
      <vt:lpstr>IPA4</vt:lpstr>
      <vt:lpstr>IPS4</vt:lpstr>
      <vt:lpstr>SBDP4</vt:lpstr>
      <vt:lpstr>PJOK4</vt:lpstr>
      <vt:lpstr>MLK1-4</vt:lpstr>
      <vt:lpstr>MLK2-4</vt:lpstr>
      <vt:lpstr>MLK3-4</vt:lpstr>
      <vt:lpstr>TUTOR</vt:lpstr>
      <vt:lpstr>REKAP</vt:lpstr>
      <vt:lpstr>LEGER</vt:lpstr>
      <vt:lpstr>ABSEN</vt:lpstr>
      <vt:lpstr>APIK</vt:lpstr>
      <vt:lpstr>RAPORT</vt:lpstr>
      <vt:lpstr>DATA RAPORT</vt:lpstr>
      <vt:lpstr>DES RAPORT</vt:lpstr>
      <vt:lpstr>INDUK1</vt:lpstr>
      <vt:lpstr>INDUK2</vt:lpstr>
      <vt:lpstr>INDUK3</vt:lpstr>
      <vt:lpstr>'DATA RAPORT'!Print_Area</vt:lpstr>
      <vt:lpstr>'DES RAPORT'!Print_Area</vt:lpstr>
      <vt:lpstr>INDUK1!Print_Area</vt:lpstr>
      <vt:lpstr>INDUK2!Print_Area</vt:lpstr>
      <vt:lpstr>INDUK3!Print_Area</vt:lpstr>
      <vt:lpstr>RAPORT!Print_Area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kangmartho.com</dc:creator>
  <cp:lastModifiedBy>user</cp:lastModifiedBy>
  <cp:lastPrinted>2018-12-27T06:41:16Z</cp:lastPrinted>
  <dcterms:created xsi:type="dcterms:W3CDTF">2017-08-07T12:04:30Z</dcterms:created>
  <dcterms:modified xsi:type="dcterms:W3CDTF">2021-02-16T13:42:16Z</dcterms:modified>
</cp:coreProperties>
</file>