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odule 1 Challenge\"/>
    </mc:Choice>
  </mc:AlternateContent>
  <xr:revisionPtr revIDLastSave="0" documentId="13_ncr:1_{1E810951-322E-4816-B972-716EE314A91D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Sheet1" sheetId="3" r:id="rId1"/>
    <sheet name="Sheet2" sheetId="4" r:id="rId2"/>
    <sheet name="Sheet3" sheetId="5" r:id="rId3"/>
    <sheet name="crowdfunding" sheetId="1" r:id="rId4"/>
    <sheet name=" Goals analysis" sheetId="6" r:id="rId5"/>
    <sheet name="statistical analysis" sheetId="7" r:id="rId6"/>
  </sheets>
  <definedNames>
    <definedName name="_xlnm._FilterDatabase" localSheetId="4" hidden="1">' Goals analysis'!$A$1:$H$1</definedName>
    <definedName name="_xlnm._FilterDatabase" localSheetId="3" hidden="1">crowdfunding!$A$1:$T$1001</definedName>
    <definedName name="_xlnm._FilterDatabase" localSheetId="5" hidden="1">'statistical analysis'!$A$4:$B$4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I3" i="7"/>
  <c r="G7" i="7"/>
  <c r="G6" i="7"/>
  <c r="G4" i="7"/>
  <c r="G5" i="7"/>
  <c r="G8" i="7"/>
  <c r="G3" i="7"/>
  <c r="B10" i="6"/>
  <c r="D13" i="6"/>
  <c r="C13" i="6"/>
  <c r="B13" i="6"/>
  <c r="E13" i="6" s="1"/>
  <c r="D12" i="6"/>
  <c r="C12" i="6"/>
  <c r="B12" i="6"/>
  <c r="E12" i="6" s="1"/>
  <c r="G12" i="6" s="1"/>
  <c r="D11" i="6"/>
  <c r="C11" i="6"/>
  <c r="B11" i="6"/>
  <c r="D10" i="6"/>
  <c r="C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E5" i="6" s="1"/>
  <c r="D4" i="6"/>
  <c r="C4" i="6"/>
  <c r="B4" i="6"/>
  <c r="D3" i="6"/>
  <c r="C3" i="6"/>
  <c r="B3" i="6"/>
  <c r="E3" i="6" s="1"/>
  <c r="D2" i="6"/>
  <c r="C2" i="6"/>
  <c r="B2" i="6"/>
  <c r="E2" i="6" s="1"/>
  <c r="F2" i="6" s="1"/>
  <c r="M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9" i="1"/>
  <c r="M10" i="1"/>
  <c r="M4" i="1"/>
  <c r="M5" i="1"/>
  <c r="M6" i="1"/>
  <c r="M7" i="1"/>
  <c r="M8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E11" i="6"/>
  <c r="H11" i="6" s="1"/>
  <c r="H6" i="6"/>
  <c r="G6" i="6"/>
  <c r="E4" i="6"/>
  <c r="H4" i="6" s="1"/>
  <c r="E9" i="6"/>
  <c r="H9" i="6" s="1"/>
  <c r="E10" i="6"/>
  <c r="H10" i="6" s="1"/>
  <c r="G5" i="6"/>
  <c r="H5" i="6"/>
  <c r="G2" i="6"/>
  <c r="H2" i="6"/>
  <c r="G7" i="6"/>
  <c r="H7" i="6"/>
  <c r="H12" i="6"/>
  <c r="G3" i="6"/>
  <c r="H3" i="6"/>
  <c r="G13" i="6"/>
  <c r="H13" i="6"/>
  <c r="G4" i="6"/>
  <c r="E8" i="6"/>
  <c r="F8" i="6" s="1"/>
  <c r="F6" i="6"/>
  <c r="E7" i="6"/>
  <c r="F7" i="6" s="1"/>
  <c r="F5" i="6"/>
  <c r="F3" i="6"/>
  <c r="F13" i="6"/>
  <c r="F12" i="6"/>
  <c r="H8" i="6" l="1"/>
  <c r="G8" i="6"/>
  <c r="F11" i="6"/>
  <c r="G11" i="6"/>
  <c r="F9" i="6"/>
  <c r="F10" i="6"/>
  <c r="F4" i="6"/>
  <c r="G9" i="6"/>
  <c r="G10" i="6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<sst xmlns="http://schemas.openxmlformats.org/spreadsheetml/2006/main" count="9070" uniqueCount="2116">
  <si>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</si>
  <si>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</si>
  <si>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</si>
  <si>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</si>
  <si>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</si>
  <si>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</si>
  <si>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</si>
  <si>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</si>
  <si>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</si>
  <si>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</si>
  <si>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</si>
  <si>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</si>
  <si>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</si>
  <si>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</si>
  <si>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</si>
  <si>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</si>
  <si>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</si>
  <si>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</si>
  <si>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</si>
  <si>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</si>
  <si>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</si>
  <si>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</si>
  <si>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</si>
  <si>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</si>
  <si>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</si>
  <si>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</si>
  <si>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</si>
  <si>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</si>
  <si>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</si>
  <si>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</si>
  <si>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</si>
  <si>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</si>
  <si>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</si>
  <si>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</si>
  <si>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</si>
  <si>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</si>
  <si>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</si>
  <si>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</si>
  <si>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</si>
  <si>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</si>
  <si>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</si>
  <si>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</si>
  <si>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</si>
  <si>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</si>
  <si>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</si>
  <si>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</si>
  <si>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</si>
  <si>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</si>
  <si>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</si>
  <si>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</si>
  <si>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</si>
  <si>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</si>
  <si>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</si>
  <si>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</si>
  <si>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</si>
  <si>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</si>
  <si>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</si>
  <si>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</si>
  <si>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</si>
  <si>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</si>
  <si>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</si>
  <si>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</si>
  <si>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</si>
  <si>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</si>
  <si>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</si>
  <si>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</si>
  <si>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</si>
  <si>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</si>
  <si>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</si>
  <si>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</si>
  <si>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</si>
  <si>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</si>
  <si>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</si>
  <si>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</si>
  <si>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</si>
  <si>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</si>
  <si>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</si>
  <si>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</si>
  <si>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</si>
  <si>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</si>
  <si>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</si>
  <si>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</si>
  <si>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</si>
  <si>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</si>
  <si>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</si>
  <si>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</si>
  <si>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</si>
  <si>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</si>
  <si>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</si>
  <si>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</si>
  <si>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</si>
  <si>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</si>
  <si>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</si>
  <si>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</si>
  <si>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</si>
  <si>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</si>
  <si>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</si>
  <si>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</si>
  <si>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</si>
  <si>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</si>
  <si>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</si>
  <si>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</si>
  <si>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</si>
  <si>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</si>
  <si>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</si>
  <si>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</si>
  <si>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</si>
  <si>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</si>
  <si>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</si>
  <si>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</si>
  <si>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</si>
  <si>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</si>
  <si>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</si>
  <si>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</si>
  <si>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</si>
  <si>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</si>
  <si>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</si>
  <si>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</si>
  <si>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</si>
  <si>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</si>
  <si>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</si>
  <si>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</si>
  <si>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</si>
  <si>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</si>
  <si>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</si>
  <si>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</si>
  <si>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</si>
  <si>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</si>
  <si>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</si>
  <si>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</si>
  <si>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</si>
  <si>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</si>
  <si>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</si>
  <si>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</si>
  <si>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</si>
  <si>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</si>
  <si>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</si>
  <si>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</si>
  <si>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</si>
  <si>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</si>
  <si>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</si>
  <si>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</si>
  <si>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</si>
  <si>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</si>
  <si>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</si>
  <si>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</si>
  <si>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</si>
  <si>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</si>
  <si>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</si>
  <si>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</si>
  <si>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</si>
  <si>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</si>
  <si>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</si>
  <si>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</si>
  <si>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</si>
  <si>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</si>
  <si>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</si>
  <si>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</si>
  <si>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</si>
  <si>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</si>
  <si>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</si>
  <si>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</si>
  <si>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</si>
  <si>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</si>
  <si>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</si>
  <si>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</si>
  <si>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</si>
  <si>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</si>
  <si>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</si>
  <si>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</si>
  <si>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</si>
  <si>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</si>
  <si>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</si>
  <si>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</si>
  <si>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</si>
  <si>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</si>
  <si>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</si>
  <si>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</si>
  <si>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</si>
  <si>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</si>
  <si>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</si>
  <si>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</si>
  <si>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</si>
  <si>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</si>
  <si>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</si>
  <si>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</si>
  <si>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</si>
  <si>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</si>
  <si>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</si>
  <si>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</si>
  <si>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</si>
  <si>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</si>
  <si>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</si>
  <si>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</si>
  <si>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</si>
  <si>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</si>
  <si>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</si>
  <si>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</si>
  <si>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</si>
  <si>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</si>
  <si>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</si>
  <si>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</si>
  <si>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</si>
  <si>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</si>
  <si>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</si>
  <si>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</si>
  <si>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</si>
  <si>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</si>
  <si>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</si>
  <si>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</si>
  <si>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</si>
  <si>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</si>
  <si>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</si>
  <si>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</si>
  <si>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</si>
  <si>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</si>
  <si>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</si>
  <si>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</si>
  <si>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</si>
  <si>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</si>
  <si>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</si>
  <si>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</si>
  <si>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</si>
  <si>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</si>
  <si>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</si>
  <si>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</si>
  <si>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</si>
  <si>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</si>
  <si>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</si>
  <si>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</si>
  <si>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</si>
  <si>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</si>
  <si>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</si>
  <si>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</si>
  <si>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</si>
  <si>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</si>
  <si>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</si>
  <si>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</si>
  <si>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</si>
  <si>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</si>
  <si>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</si>
  <si>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</si>
  <si>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</si>
  <si>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</si>
  <si>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</si>
  <si>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</si>
  <si>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</si>
  <si>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</si>
  <si>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</si>
  <si>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</si>
  <si>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</si>
  <si>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</si>
  <si>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</si>
  <si>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</si>
  <si>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</si>
  <si>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</si>
  <si>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</si>
  <si>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</si>
  <si>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</si>
  <si>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</si>
  <si>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</si>
  <si>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</si>
  <si>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</si>
  <si>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</si>
  <si>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</si>
  <si>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</si>
  <si>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</si>
  <si>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</si>
  <si>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</si>
  <si>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</si>
  <si>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</si>
  <si>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</si>
  <si>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</si>
  <si>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</si>
  <si>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</si>
  <si>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</si>
  <si>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</si>
  <si>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</si>
  <si>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</si>
  <si>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</si>
  <si>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</si>
  <si>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</si>
  <si>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</si>
  <si>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</si>
  <si>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</si>
  <si>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</si>
  <si>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</si>
  <si>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</si>
  <si>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</si>
  <si>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</si>
  <si>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</si>
  <si>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</si>
  <si>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</si>
  <si>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</si>
  <si>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</si>
  <si>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</si>
  <si>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</si>
  <si>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</si>
  <si>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</si>
  <si>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</si>
  <si>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</si>
  <si>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</si>
  <si>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</si>
  <si>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</si>
  <si>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</si>
  <si>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</si>
  <si>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</si>
  <si>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</si>
  <si>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</si>
  <si>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</si>
  <si>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</si>
  <si>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</si>
  <si>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</si>
  <si>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</si>
  <si>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</si>
  <si>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</si>
  <si>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</si>
  <si>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</si>
  <si>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</si>
  <si>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</si>
  <si>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</si>
  <si>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</si>
  <si>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</si>
  <si>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</si>
  <si>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</si>
  <si>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</si>
  <si>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</si>
  <si>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</si>
  <si>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</si>
  <si>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</si>
  <si>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</si>
  <si>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</si>
  <si>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</si>
  <si>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</si>
  <si>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</si>
  <si>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</si>
  <si>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</si>
  <si>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</si>
  <si>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</si>
  <si>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</si>
  <si>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</si>
  <si>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</si>
  <si>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</si>
  <si>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</si>
  <si>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</si>
  <si>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</si>
  <si>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</si>
  <si>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</si>
  <si>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</si>
  <si>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</si>
  <si>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</si>
  <si>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</si>
  <si>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</si>
  <si>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</si>
  <si>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</si>
  <si>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</si>
  <si>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</si>
  <si>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</si>
  <si>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</si>
  <si>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</si>
  <si>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</si>
  <si>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</si>
  <si>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</si>
  <si>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</si>
  <si>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</si>
  <si>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</si>
  <si>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</si>
  <si>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</si>
  <si>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</si>
  <si>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</si>
  <si>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</si>
  <si>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</si>
  <si>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</si>
  <si>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</si>
  <si>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</si>
  <si>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</si>
  <si>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</si>
  <si>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</si>
  <si>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</si>
  <si>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</si>
  <si>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</si>
  <si>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</si>
  <si>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</si>
  <si>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</si>
  <si>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</si>
  <si>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</si>
  <si>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</si>
  <si>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</si>
  <si>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</si>
  <si>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</si>
  <si>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</si>
  <si>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</si>
  <si>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</si>
  <si>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</si>
  <si>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</si>
  <si>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</si>
  <si>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</si>
  <si>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</si>
  <si>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</si>
  <si>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</si>
  <si>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</si>
  <si>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</si>
  <si>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</si>
  <si>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</si>
  <si>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</si>
  <si>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</si>
  <si>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</si>
  <si>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</si>
  <si>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</si>
  <si>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</si>
  <si>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</si>
  <si>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</si>
  <si>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</si>
  <si>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</si>
  <si>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</si>
  <si>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</si>
  <si>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</si>
  <si>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</si>
  <si>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</si>
  <si>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</si>
  <si>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</si>
  <si>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</si>
  <si>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</si>
  <si>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</si>
  <si>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</si>
  <si>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</si>
  <si>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</si>
  <si>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</si>
  <si>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</si>
  <si>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</si>
  <si>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</si>
  <si>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</si>
  <si>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</si>
  <si>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</si>
  <si>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</si>
  <si>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</si>
  <si>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</si>
  <si>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</si>
  <si>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</si>
  <si>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</si>
  <si>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</si>
  <si>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</si>
  <si>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</si>
  <si>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</si>
  <si>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</si>
  <si>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</si>
  <si>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</si>
  <si>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</si>
  <si>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</si>
  <si>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</si>
  <si>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</si>
  <si>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</si>
  <si>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</si>
  <si>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</si>
  <si>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</si>
  <si>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</si>
  <si>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</si>
  <si>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</si>
  <si>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</si>
  <si>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</si>
  <si>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</si>
  <si>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</si>
  <si>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</si>
  <si>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</si>
  <si>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</si>
  <si>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</si>
  <si>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</si>
  <si>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</si>
  <si>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</si>
  <si>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</si>
  <si>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</si>
  <si>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</si>
  <si>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</si>
  <si>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</si>
  <si>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</si>
  <si>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</si>
  <si>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</si>
  <si>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</si>
  <si>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</si>
  <si>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</si>
  <si>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</si>
  <si>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</si>
  <si>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</si>
  <si>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</si>
  <si>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</si>
  <si>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</si>
  <si>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</si>
  <si>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</si>
  <si>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</si>
  <si>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</si>
  <si>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</si>
  <si>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</si>
  <si>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</si>
  <si>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</si>
  <si>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</si>
  <si>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</si>
  <si>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</si>
  <si>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</si>
  <si>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</si>
  <si>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</si>
  <si>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</si>
  <si>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</si>
  <si>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</si>
  <si>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</si>
  <si>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</si>
  <si>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</si>
  <si>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</si>
  <si>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</si>
  <si>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</si>
  <si>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</si>
  <si>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</si>
  <si>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</si>
  <si>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</si>
  <si>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</si>
  <si>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</si>
  <si>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</si>
  <si>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</si>
  <si>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</si>
  <si>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</si>
  <si>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</si>
  <si>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</si>
  <si>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</si>
  <si>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</si>
  <si>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</si>
  <si>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</si>
  <si>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</si>
  <si>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</si>
  <si>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</si>
  <si>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</si>
  <si>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</si>
  <si>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</si>
  <si>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</si>
  <si>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</si>
  <si>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</si>
  <si>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</si>
  <si>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</si>
  <si>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</si>
  <si>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</si>
  <si>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</si>
  <si>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</si>
  <si>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</si>
  <si>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</si>
  <si>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</si>
  <si>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</si>
  <si>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</si>
  <si>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</si>
  <si>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</si>
  <si>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</si>
  <si>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</si>
  <si>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</si>
  <si>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</si>
  <si>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</si>
  <si>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</si>
  <si>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</si>
  <si>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</si>
  <si>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</si>
  <si>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</si>
  <si>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</si>
  <si>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</si>
  <si>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</si>
  <si>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</si>
  <si>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</si>
  <si>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</si>
  <si>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</si>
  <si>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</si>
  <si>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</si>
  <si>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</si>
  <si>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</si>
  <si>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</si>
  <si>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</si>
  <si>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</si>
  <si>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</si>
  <si>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</si>
  <si>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</si>
  <si>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</si>
  <si>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</si>
  <si>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</si>
  <si>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</si>
  <si>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</si>
  <si>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</si>
  <si>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</si>
  <si>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</si>
  <si>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</si>
  <si>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</si>
  <si>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</si>
  <si>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</si>
  <si>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</si>
  <si>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</si>
  <si>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</si>
  <si>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</si>
  <si>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</si>
  <si>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</si>
  <si>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</si>
  <si>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</si>
  <si>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</si>
  <si>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</si>
  <si>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</si>
  <si>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</si>
  <si>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</si>
  <si>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</si>
  <si>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</si>
  <si>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</si>
  <si>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</si>
  <si>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</si>
  <si>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</si>
  <si>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</si>
  <si>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</si>
  <si>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</si>
  <si>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</si>
  <si>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</si>
  <si>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</si>
  <si>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</si>
  <si>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</si>
  <si>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</si>
  <si>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</si>
  <si>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</si>
  <si>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</si>
  <si>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</si>
  <si>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</si>
  <si>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</si>
  <si>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</si>
  <si>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</si>
  <si>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</si>
  <si>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</si>
  <si>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</si>
  <si>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</si>
  <si>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</si>
  <si>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</si>
  <si>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</si>
  <si>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</si>
  <si>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</si>
  <si>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</si>
  <si>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</si>
  <si>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</si>
  <si>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</si>
  <si>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</si>
  <si>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</si>
  <si>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</si>
  <si>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</si>
  <si>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</si>
  <si>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</si>
  <si>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</si>
  <si>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</si>
  <si>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</si>
  <si>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</si>
  <si>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</si>
  <si>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</si>
  <si>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</si>
  <si>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</si>
  <si>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</si>
  <si>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</si>
  <si>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</si>
  <si>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</si>
  <si>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</si>
  <si>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</si>
  <si>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</si>
  <si>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</si>
  <si>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</si>
  <si>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</si>
  <si>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</si>
  <si>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</si>
  <si>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</si>
  <si>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</si>
  <si>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</si>
  <si>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</si>
  <si>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</si>
  <si>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</si>
  <si>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</si>
  <si>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</si>
  <si>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</si>
  <si>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</si>
  <si>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</si>
  <si>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</si>
  <si>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</si>
  <si>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</si>
  <si>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</si>
  <si>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</si>
  <si>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</si>
  <si>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</si>
  <si>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</si>
  <si>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</si>
  <si>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</si>
  <si>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</si>
  <si>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</si>
  <si>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</si>
  <si>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</si>
  <si>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</si>
  <si>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</si>
  <si>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</si>
  <si>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</si>
  <si>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</si>
  <si>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</si>
  <si>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</si>
  <si>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</si>
  <si>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</si>
  <si>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</si>
  <si>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</si>
  <si>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</si>
  <si>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</si>
  <si>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</si>
  <si>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</si>
  <si>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</si>
  <si>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</si>
  <si>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</si>
  <si>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</si>
  <si>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</si>
  <si>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</si>
  <si>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</si>
  <si>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</si>
  <si>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</si>
  <si>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</si>
  <si>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</si>
  <si>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</si>
  <si>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</si>
  <si>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</si>
  <si>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</si>
  <si>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</si>
  <si>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</si>
  <si>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</si>
  <si>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</si>
  <si>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</si>
  <si>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</si>
  <si>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</si>
  <si>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</si>
  <si>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</si>
  <si>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</si>
  <si>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</si>
  <si>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</si>
  <si>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</si>
  <si>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</si>
  <si>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</si>
  <si>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</si>
  <si>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</si>
  <si>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</si>
  <si>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</si>
  <si>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</si>
  <si>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</si>
  <si>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</si>
  <si>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</si>
  <si>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</si>
  <si>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</si>
  <si>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</si>
  <si>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</si>
  <si>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</si>
  <si>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</si>
  <si>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</si>
  <si>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</si>
  <si>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</si>
  <si>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</si>
  <si>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</si>
  <si>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</si>
  <si>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</si>
  <si>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</si>
  <si>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</si>
  <si>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</si>
  <si>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</si>
  <si>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</si>
  <si>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</si>
  <si>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</si>
  <si>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</si>
  <si>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</si>
  <si>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</si>
  <si>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</si>
  <si>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</si>
  <si>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</si>
  <si>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</si>
  <si>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</si>
  <si>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</si>
  <si>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</si>
  <si>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</si>
  <si>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</si>
  <si>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</si>
  <si>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</si>
  <si>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</si>
  <si>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</si>
  <si>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</si>
  <si>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</si>
  <si>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</si>
  <si>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</si>
  <si>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</si>
  <si>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</si>
  <si>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</si>
  <si>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</si>
  <si>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</si>
  <si>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</si>
  <si>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</si>
  <si>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</si>
  <si>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</si>
  <si>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</si>
  <si>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</si>
  <si>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</si>
  <si>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</si>
  <si>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</si>
  <si>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</si>
  <si>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</si>
  <si>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</si>
  <si>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</si>
  <si>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</si>
  <si>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</si>
  <si>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</si>
  <si>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</si>
  <si>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</si>
  <si>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</si>
  <si>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</si>
  <si>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</si>
  <si>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</si>
  <si>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</si>
  <si>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</si>
  <si>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</si>
  <si>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</si>
  <si>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</si>
  <si>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</si>
  <si>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</si>
  <si>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</si>
  <si>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</si>
  <si>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</si>
  <si>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</si>
  <si>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</si>
  <si>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</si>
  <si>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</si>
  <si>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</si>
  <si>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</si>
  <si>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</si>
  <si>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</si>
  <si>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</si>
  <si>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</si>
  <si>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</si>
  <si>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</si>
  <si>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</si>
  <si>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</si>
  <si>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</si>
  <si>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</si>
  <si>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</si>
  <si>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</si>
  <si>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</si>
  <si>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</si>
  <si>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</si>
  <si>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</si>
  <si>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</si>
  <si>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</si>
  <si>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</si>
  <si>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</si>
  <si>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</si>
  <si>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</si>
  <si>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</si>
  <si>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</si>
  <si>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</si>
  <si>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</si>
  <si>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</si>
  <si>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</si>
  <si>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</si>
  <si>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</si>
  <si>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</si>
  <si>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</si>
  <si>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</si>
  <si>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</si>
  <si>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</si>
  <si>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</si>
  <si>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</si>
  <si>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</si>
  <si>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</si>
  <si>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</si>
  <si>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</si>
  <si>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</si>
  <si>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</si>
  <si>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</si>
  <si>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</si>
  <si>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</si>
  <si>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</si>
  <si>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</si>
  <si>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</si>
  <si>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</si>
  <si>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</si>
  <si>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</si>
  <si>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</si>
  <si>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</si>
  <si>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</si>
  <si>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</si>
  <si>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</si>
  <si>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</si>
  <si>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</si>
  <si>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</si>
  <si>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</si>
  <si>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</si>
  <si>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</si>
  <si>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</si>
  <si>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</si>
  <si>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</si>
  <si>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</si>
  <si>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</si>
  <si>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</si>
  <si>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</si>
  <si>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</si>
  <si>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</si>
  <si>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</si>
  <si>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</si>
  <si>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</si>
  <si>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</si>
  <si>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</si>
  <si>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</si>
  <si>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</si>
  <si>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</si>
  <si>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</si>
  <si>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</si>
  <si>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</si>
  <si>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</si>
  <si>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</si>
  <si>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</si>
  <si>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</si>
  <si>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</si>
  <si>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</si>
  <si>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</si>
  <si>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</si>
  <si>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</si>
  <si>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</si>
  <si>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</si>
  <si>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</si>
  <si>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</si>
  <si>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</si>
  <si>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</si>
  <si>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</si>
  <si>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</si>
  <si>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</si>
  <si>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</si>
  <si>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</si>
  <si>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</si>
  <si>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</si>
  <si>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</si>
  <si>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</si>
  <si>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</si>
  <si>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</si>
  <si>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</si>
  <si>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</si>
  <si>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</si>
  <si>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</si>
  <si>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</si>
  <si>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</si>
  <si>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</si>
  <si>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</si>
  <si>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</si>
  <si>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</si>
  <si>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</si>
  <si>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</si>
  <si>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</si>
  <si>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</si>
  <si>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</si>
  <si>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</si>
  <si>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</si>
  <si>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</si>
  <si>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</si>
  <si>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</si>
  <si>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</si>
  <si>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</si>
  <si>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</si>
  <si>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</si>
  <si>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</si>
  <si>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</si>
  <si>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</si>
  <si>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</si>
  <si>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</si>
  <si>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</si>
  <si>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</si>
  <si>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</si>
  <si>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</si>
  <si>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</si>
  <si>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</si>
  <si>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</si>
  <si>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</si>
  <si>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</si>
  <si>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</si>
  <si>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</si>
  <si>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</si>
  <si>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</si>
  <si>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</si>
  <si>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</si>
  <si>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</si>
  <si>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</si>
  <si>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</si>
  <si>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</si>
  <si>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</si>
  <si>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</si>
  <si>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</si>
  <si>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</si>
  <si>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</si>
  <si>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</si>
  <si>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</si>
  <si>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</si>
  <si>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</si>
  <si>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</si>
  <si>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</si>
  <si>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</si>
  <si>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</si>
  <si>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</si>
  <si>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</si>
  <si>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</si>
  <si>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</si>
  <si>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</si>
  <si>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</si>
  <si>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</si>
  <si>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</si>
  <si>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</si>
  <si>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</si>
  <si>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</si>
  <si>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</si>
  <si>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</si>
  <si>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</si>
  <si>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</si>
  <si>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</si>
  <si>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</si>
  <si>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</si>
  <si>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</si>
  <si>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</si>
  <si>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</si>
  <si>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</si>
  <si>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</si>
  <si>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</si>
  <si>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</si>
  <si>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</si>
  <si>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</si>
  <si>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</si>
  <si>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</si>
  <si>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</si>
  <si>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</si>
  <si>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</si>
  <si>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</si>
  <si>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</si>
  <si>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</si>
  <si>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</si>
  <si>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</si>
  <si>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</si>
  <si>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</si>
  <si>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</si>
  <si>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</si>
  <si>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</si>
  <si>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</si>
  <si>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</si>
  <si>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</si>
  <si>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</si>
  <si>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</si>
  <si>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</si>
  <si>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</si>
  <si>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</si>
  <si>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</si>
  <si>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</si>
  <si>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</si>
  <si>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</si>
  <si>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</si>
  <si>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</si>
  <si>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</si>
  <si>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</si>
  <si>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</si>
  <si>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</si>
  <si>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</si>
  <si>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</si>
  <si>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</si>
  <si>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</si>
  <si>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</si>
  <si>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</si>
  <si>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</si>
  <si>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</si>
  <si>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</si>
  <si>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</si>
  <si>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</si>
  <si>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</si>
  <si>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</si>
  <si>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</si>
  <si>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</si>
  <si>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</si>
  <si>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</si>
  <si>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</si>
  <si>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</si>
  <si>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</si>
  <si>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</si>
  <si>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</si>
  <si>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</si>
  <si>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</si>
  <si>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</si>
  <si>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</si>
  <si>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</si>
  <si>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</si>
  <si>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</si>
  <si>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</si>
  <si>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</si>
  <si>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</si>
  <si>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</si>
  <si>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</si>
  <si>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</si>
  <si>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</si>
  <si>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</si>
  <si>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</si>
  <si>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</si>
  <si>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</si>
  <si>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</si>
  <si>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</si>
  <si>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</si>
  <si>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</si>
  <si>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</si>
  <si>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</si>
  <si>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</si>
  <si>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</si>
  <si>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</si>
  <si>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</si>
  <si>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</si>
  <si>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</si>
  <si>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</si>
  <si>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</si>
  <si>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</si>
  <si>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</si>
  <si>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</si>
  <si>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</si>
  <si>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</si>
  <si>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</si>
  <si>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</si>
  <si>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</si>
  <si>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</si>
  <si>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</si>
  <si>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</si>
  <si>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</si>
  <si>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</si>
  <si>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</si>
  <si>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</si>
  <si>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</si>
  <si>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</si>
  <si>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</si>
  <si>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</si>
  <si>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</si>
  <si>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</si>
  <si>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</si>
  <si>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</si>
  <si>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</si>
  <si>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</si>
  <si>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</si>
  <si>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</si>
  <si>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</si>
  <si>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</si>
  <si>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</si>
  <si>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</si>
  <si>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</si>
  <si>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</si>
  <si>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</si>
  <si>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</si>
  <si>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</si>
  <si>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</si>
  <si>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</si>
  <si>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</si>
  <si>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</si>
  <si>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</si>
  <si>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</si>
  <si>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</si>
  <si>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</si>
  <si>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</si>
  <si>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</si>
  <si>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</si>
  <si>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</si>
  <si>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</si>
  <si>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</si>
  <si>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</si>
  <si>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</si>
  <si>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</si>
  <si>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</si>
  <si>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</si>
  <si>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</si>
  <si>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</si>
  <si>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</si>
  <si>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</si>
  <si>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</si>
  <si>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</si>
  <si>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</si>
  <si>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</si>
  <si>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</si>
  <si>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</si>
  <si>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</si>
  <si>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</si>
  <si>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</si>
  <si>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</si>
  <si>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</si>
  <si>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</si>
  <si>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</si>
  <si>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</si>
  <si>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</si>
  <si>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</si>
  <si>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</si>
  <si>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</si>
  <si>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</si>
  <si>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</si>
  <si>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</si>
  <si>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</si>
  <si>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</si>
  <si>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</si>
  <si>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</si>
  <si>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</si>
  <si>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</si>
  <si>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</si>
  <si>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</si>
  <si>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</si>
  <si>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</si>
  <si>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</si>
  <si>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</si>
  <si>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</si>
  <si>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</si>
  <si>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</si>
  <si>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</si>
  <si>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</si>
  <si>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</si>
  <si>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</si>
  <si>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</si>
  <si>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</si>
  <si>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</si>
  <si>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</si>
  <si>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</si>
  <si>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</si>
  <si>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</si>
  <si>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</si>
  <si>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</si>
  <si>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</si>
  <si>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</si>
  <si>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</si>
  <si>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</si>
  <si>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</si>
  <si>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</si>
  <si>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</si>
  <si>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</si>
  <si>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</si>
  <si>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</si>
  <si>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</si>
  <si>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</si>
  <si>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</si>
  <si>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</si>
  <si>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</si>
  <si>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</si>
  <si>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</si>
  <si>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</si>
  <si>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</si>
  <si>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</si>
  <si>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</si>
  <si>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</si>
  <si>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</si>
  <si>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</si>
  <si>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</si>
  <si>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</si>
  <si>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</si>
  <si>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</si>
  <si>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</si>
  <si>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</si>
  <si>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</si>
  <si>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</si>
  <si>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</si>
  <si>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</si>
  <si>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</si>
  <si>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</si>
  <si>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</si>
  <si>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</si>
  <si>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</si>
  <si>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</si>
  <si>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</si>
  <si>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</si>
  <si>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</si>
  <si>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</si>
  <si>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</si>
  <si>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</si>
  <si>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</si>
  <si>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</si>
  <si>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</si>
  <si>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</si>
  <si>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</si>
  <si>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</si>
  <si>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</si>
  <si>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</si>
  <si>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</si>
  <si>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</si>
  <si>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</si>
  <si>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</si>
  <si>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</si>
  <si>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</si>
  <si>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</si>
  <si>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</si>
  <si>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</si>
  <si>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</si>
  <si>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</si>
  <si>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</si>
  <si>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</si>
  <si>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</si>
  <si>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</si>
  <si>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</si>
  <si>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</si>
  <si>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</si>
  <si>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</si>
  <si>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</si>
  <si>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</si>
  <si>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</si>
  <si>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</si>
  <si>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</si>
  <si>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</si>
  <si>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</si>
  <si>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</si>
  <si>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</si>
  <si>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</si>
  <si>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</si>
  <si>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</si>
  <si>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</si>
  <si>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</si>
  <si>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</si>
  <si>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</si>
  <si>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</si>
  <si>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</si>
  <si>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</si>
  <si>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</si>
  <si>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</si>
  <si>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</si>
  <si>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</si>
  <si>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</si>
  <si>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</si>
  <si>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</si>
  <si>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</si>
  <si>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</si>
  <si>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</si>
  <si>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</si>
  <si>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</si>
  <si>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</si>
  <si>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</si>
  <si>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</si>
  <si>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</si>
  <si>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</si>
  <si>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</si>
  <si>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</si>
  <si>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</si>
  <si>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</si>
  <si>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</si>
  <si>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</si>
  <si>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</si>
  <si>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</si>
  <si>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</si>
  <si>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</si>
  <si>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</si>
  <si>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</si>
  <si>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</si>
  <si>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</si>
  <si>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</si>
  <si>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</si>
  <si>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</si>
  <si>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</si>
  <si>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</si>
  <si>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</si>
  <si>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</si>
  <si>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</si>
  <si>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</si>
  <si>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</si>
  <si>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</si>
  <si>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</si>
  <si>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</si>
  <si>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</si>
  <si>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</si>
  <si>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</si>
  <si>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</si>
  <si>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</si>
  <si>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</si>
  <si>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</si>
  <si>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</si>
  <si>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</si>
  <si>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</si>
  <si>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</si>
  <si>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</si>
  <si>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</si>
  <si>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</si>
  <si>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</si>
  <si>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</si>
  <si>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</si>
  <si>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</si>
  <si>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</si>
  <si>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</si>
  <si>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</si>
  <si>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</si>
  <si>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</si>
  <si>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</si>
  <si>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</si>
  <si>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</si>
  <si>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</si>
  <si>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</si>
  <si>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</si>
  <si>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</si>
  <si>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</si>
  <si>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</si>
  <si>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</si>
  <si>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</si>
  <si>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</si>
  <si>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</si>
  <si>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</si>
  <si>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</si>
  <si>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</si>
  <si>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</si>
  <si>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</si>
  <si>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</si>
  <si>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</si>
  <si>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</si>
  <si>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</si>
  <si>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</si>
  <si>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</si>
  <si>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</si>
  <si>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</si>
  <si>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</si>
  <si>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</si>
  <si>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</si>
  <si>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</si>
  <si>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</si>
  <si>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</si>
  <si>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</si>
  <si>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</si>
  <si>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</si>
  <si>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</si>
  <si>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</si>
  <si>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</si>
  <si>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</si>
  <si>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</si>
  <si>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</si>
  <si>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</si>
  <si>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</si>
  <si>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</si>
  <si>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</si>
  <si>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</si>
  <si>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</si>
  <si>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</si>
  <si>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</si>
  <si>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</si>
  <si>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</si>
  <si>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</si>
  <si>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</si>
  <si>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</si>
  <si>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</si>
  <si>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</si>
  <si>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</si>
  <si>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</si>
  <si>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</si>
  <si>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</si>
  <si>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</si>
  <si>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</si>
  <si>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</si>
  <si>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</si>
  <si>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</si>
  <si>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</si>
  <si>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</si>
  <si>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</si>
  <si>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</si>
  <si>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</si>
  <si>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</si>
  <si>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</si>
  <si>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</si>
  <si>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</si>
  <si>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</si>
  <si>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</si>
  <si>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</si>
  <si>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</si>
  <si>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</si>
  <si>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</si>
  <si>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</si>
  <si>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</si>
  <si>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</si>
  <si>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</si>
  <si>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</si>
  <si>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</si>
  <si>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</si>
  <si>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</si>
  <si>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</si>
  <si>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</si>
  <si>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</si>
  <si>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</si>
  <si>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</si>
  <si>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</si>
  <si>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</si>
  <si>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</si>
  <si>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</si>
  <si>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</si>
  <si>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</si>
  <si>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</si>
  <si>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</si>
  <si>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</si>
  <si>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</si>
  <si>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</si>
  <si>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</si>
  <si>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</si>
  <si>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</si>
  <si>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</si>
  <si>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</si>
  <si>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</si>
  <si>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</si>
  <si>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</si>
  <si>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</si>
  <si>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</si>
  <si>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</si>
  <si>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</si>
  <si>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</si>
  <si>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</si>
  <si>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</si>
  <si>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</si>
  <si>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</si>
  <si>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</si>
  <si>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</si>
  <si>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</si>
  <si>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</si>
  <si>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</si>
  <si>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</si>
  <si>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</si>
  <si>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</si>
  <si>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</si>
  <si>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</si>
  <si>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</si>
  <si>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</si>
  <si>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</si>
  <si>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</si>
  <si>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</si>
  <si>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</si>
  <si>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</si>
  <si>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</si>
  <si>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</si>
  <si>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</si>
  <si>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</si>
  <si>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</si>
  <si>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</si>
  <si>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</si>
  <si>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</si>
  <si>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</si>
  <si>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</si>
  <si>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</si>
  <si>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</si>
  <si>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</si>
  <si>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</si>
  <si>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</si>
  <si>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</si>
  <si>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</si>
  <si>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</si>
  <si>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</si>
  <si>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</si>
  <si>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</si>
  <si>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</si>
  <si>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</si>
  <si>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</si>
  <si>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</si>
  <si>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</si>
  <si>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</si>
  <si>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</si>
  <si>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</si>
  <si>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</si>
  <si>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</si>
  <si>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</si>
  <si>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</si>
  <si>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</si>
  <si>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</si>
  <si>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</si>
  <si>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</si>
  <si>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</si>
  <si>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</si>
  <si>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</si>
  <si>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</si>
  <si>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</si>
  <si>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</si>
  <si>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</si>
  <si>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</si>
  <si>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</si>
  <si>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</si>
  <si>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</si>
  <si>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</si>
  <si>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</si>
  <si>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</si>
  <si>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</si>
  <si>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</si>
  <si>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</si>
  <si>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</si>
  <si>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</si>
  <si>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</si>
  <si>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</si>
  <si>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</si>
  <si>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</si>
  <si>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</si>
  <si>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</si>
  <si>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</si>
  <si>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</si>
  <si>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</si>
  <si>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</si>
  <si>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</si>
  <si>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</si>
  <si>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</si>
  <si>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</si>
  <si>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</si>
  <si>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</si>
  <si>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</si>
  <si>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</si>
  <si>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</si>
  <si>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</si>
  <si>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</si>
  <si>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</si>
  <si>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</si>
  <si>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</si>
  <si>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</si>
  <si>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</si>
  <si>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</si>
  <si>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</si>
  <si>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</si>
  <si>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</si>
  <si>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</si>
  <si>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</si>
  <si>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</si>
  <si>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</si>
  <si>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</si>
  <si>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</si>
  <si>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</si>
  <si>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</si>
  <si>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</si>
  <si>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</si>
  <si>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</si>
  <si>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</si>
  <si>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</si>
  <si>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</si>
  <si>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</si>
  <si>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</si>
  <si>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</si>
  <si>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</si>
  <si>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</si>
  <si>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</si>
  <si>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</si>
  <si>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</si>
  <si>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</si>
  <si>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</si>
  <si>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</si>
  <si>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</si>
  <si>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</si>
  <si>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</si>
  <si>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</si>
  <si>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</si>
  <si>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</si>
  <si>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</si>
  <si>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</si>
  <si>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</si>
  <si>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</si>
  <si>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</si>
  <si>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</si>
  <si>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</si>
  <si>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</si>
  <si>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</si>
  <si>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</si>
  <si>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</si>
  <si>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</si>
  <si>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</si>
  <si>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</si>
  <si>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</si>
  <si>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</si>
  <si>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</si>
  <si>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</si>
  <si>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</si>
  <si>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</si>
  <si>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</si>
  <si>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</si>
  <si>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</si>
  <si>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</si>
  <si>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</si>
  <si>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</si>
  <si>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</si>
  <si>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</si>
  <si>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</si>
  <si>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</si>
  <si>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</si>
  <si>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</si>
  <si>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</si>
  <si>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</si>
  <si>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</si>
  <si>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</si>
  <si>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</si>
  <si>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</si>
  <si>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</si>
  <si>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</si>
  <si>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</si>
  <si>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</si>
  <si>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</si>
  <si>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</si>
  <si>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</si>
  <si>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</si>
  <si>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</si>
  <si>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</si>
  <si>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</si>
  <si>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</si>
  <si>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</si>
  <si>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</si>
  <si>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</si>
  <si>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</si>
  <si>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</si>
  <si>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</si>
  <si>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</si>
  <si>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</si>
  <si>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</si>
  <si>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</si>
  <si>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</si>
  <si>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</si>
  <si>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</si>
  <si>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</si>
  <si>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</si>
  <si>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</si>
  <si>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</si>
  <si>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</si>
  <si>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</si>
  <si>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</si>
  <si>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</si>
  <si>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</si>
  <si>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</si>
  <si>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</si>
  <si>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</si>
  <si>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</si>
  <si>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</si>
  <si>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</si>
  <si>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</si>
  <si>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</si>
  <si>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</si>
  <si>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</si>
  <si>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</si>
  <si>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</si>
  <si>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</si>
  <si>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</si>
  <si>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</si>
  <si>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</si>
  <si>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</si>
  <si>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</si>
  <si>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</si>
  <si>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</si>
  <si>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</si>
  <si>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</si>
  <si>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</si>
  <si>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</si>
  <si>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</si>
  <si>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</si>
  <si>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</si>
  <si>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</si>
  <si>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</si>
  <si>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</si>
  <si>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</si>
  <si>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</si>
  <si>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</si>
  <si>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</si>
  <si>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</si>
  <si>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</si>
  <si>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</si>
  <si>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</si>
  <si>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</si>
  <si>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</si>
  <si>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</si>
  <si>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</si>
  <si>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</si>
  <si>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</si>
  <si>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</si>
  <si>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</si>
  <si>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</si>
  <si>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</si>
  <si>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</si>
  <si>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</si>
  <si>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</si>
  <si>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</si>
  <si>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</si>
  <si>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</si>
  <si>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</si>
  <si>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</si>
  <si>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</si>
  <si>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</si>
  <si>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</si>
  <si>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</si>
  <si>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</si>
  <si>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</si>
  <si>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</si>
  <si>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</si>
  <si>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</si>
  <si>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</si>
  <si>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</si>
  <si>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</si>
  <si>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</si>
  <si>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</si>
  <si>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</si>
  <si>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</si>
  <si>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</si>
  <si>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</si>
  <si>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</si>
  <si>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</si>
  <si>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</si>
  <si>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</si>
  <si>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</si>
  <si>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</si>
  <si>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</si>
  <si>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</si>
  <si>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</si>
  <si>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</si>
  <si>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</si>
  <si>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</si>
  <si>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</si>
  <si>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</si>
  <si>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</si>
  <si>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</si>
  <si>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</si>
  <si>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</si>
  <si>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</si>
  <si>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</si>
  <si>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</si>
  <si>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</si>
  <si>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</si>
  <si>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</si>
  <si>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</si>
  <si>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</si>
  <si>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</si>
  <si>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</si>
  <si>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</si>
  <si>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</si>
  <si>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</si>
  <si>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</si>
  <si>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</si>
  <si>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</si>
  <si>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</si>
  <si>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</si>
  <si>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</si>
  <si>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</si>
  <si>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</si>
  <si>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</si>
  <si>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</si>
  <si>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</si>
  <si>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</si>
  <si>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</si>
  <si>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</si>
  <si>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</si>
  <si>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</si>
  <si>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</si>
  <si>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</si>
  <si>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</si>
  <si>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</si>
  <si>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</si>
  <si>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</si>
  <si>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</si>
  <si>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</si>
  <si>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</si>
  <si>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</si>
  <si>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</si>
  <si>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</si>
  <si>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</si>
  <si>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</si>
  <si>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</si>
  <si>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</si>
  <si>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</si>
  <si>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</si>
  <si>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</si>
  <si>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</si>
  <si>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</si>
  <si>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</si>
  <si>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</si>
  <si>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</si>
  <si>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</si>
  <si>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</si>
  <si>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</si>
  <si>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</si>
  <si>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</si>
  <si>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</si>
  <si>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</si>
  <si>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</si>
  <si>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</si>
  <si>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</si>
  <si>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</si>
  <si>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</si>
  <si>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</si>
  <si>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</si>
  <si>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</si>
  <si>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</si>
  <si>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</si>
  <si>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</si>
  <si>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</si>
  <si>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</si>
  <si>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</si>
  <si>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</si>
  <si>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</si>
  <si>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</si>
  <si>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</si>
  <si>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</si>
  <si>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</si>
  <si>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</si>
  <si>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</si>
  <si>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</si>
  <si>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</si>
  <si>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</si>
  <si>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</si>
  <si>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</si>
  <si>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</si>
  <si>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</si>
  <si>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</si>
  <si>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</si>
  <si>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</si>
  <si>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</si>
  <si>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</si>
  <si>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</si>
  <si>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</si>
  <si>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</si>
  <si>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</si>
  <si>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</si>
  <si>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</si>
  <si>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</si>
  <si>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</si>
  <si>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</si>
  <si>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</si>
  <si>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</si>
  <si>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</si>
  <si>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</si>
  <si>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</si>
  <si>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</si>
  <si>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</si>
  <si>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</si>
  <si>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</si>
  <si>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</si>
  <si>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</si>
  <si>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</si>
  <si>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</si>
  <si>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</si>
  <si>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</si>
  <si>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</si>
  <si>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</si>
  <si>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</si>
  <si>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</si>
  <si>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</si>
  <si>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</si>
  <si>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</si>
  <si>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</si>
  <si>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</si>
  <si>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</si>
  <si>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</si>
  <si>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</si>
  <si>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</si>
  <si>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</si>
  <si>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</si>
  <si>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</si>
  <si>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</si>
  <si>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</si>
  <si>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</si>
  <si>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</si>
  <si>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</si>
  <si>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</si>
  <si>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</si>
  <si>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</si>
  <si>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</si>
  <si>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</si>
  <si>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</si>
  <si>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</si>
  <si>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</si>
  <si>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</si>
  <si>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</si>
  <si>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</si>
  <si>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</si>
  <si>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</si>
  <si>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</si>
  <si>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</si>
  <si>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</si>
  <si>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</si>
  <si>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</si>
  <si>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</si>
  <si>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</si>
  <si>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</si>
  <si>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</si>
  <si>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</si>
  <si>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</si>
  <si>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</si>
  <si>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</si>
  <si>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</si>
  <si>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</si>
  <si>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</si>
  <si>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</si>
  <si>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</si>
  <si>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</si>
  <si>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</si>
  <si>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</si>
  <si>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</si>
  <si>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</si>
  <si>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</si>
  <si>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</si>
  <si>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</si>
  <si>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</si>
  <si>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</si>
  <si>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</si>
  <si>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</si>
  <si>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</si>
  <si>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</si>
  <si>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</si>
  <si>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</si>
  <si>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</si>
  <si>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</si>
  <si>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</si>
  <si>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</si>
  <si>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</si>
  <si>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</si>
  <si>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</si>
  <si>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</si>
  <si>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</si>
  <si>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</si>
  <si>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</si>
  <si>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</si>
  <si>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</si>
  <si>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</si>
  <si>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</si>
  <si>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</si>
  <si>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</si>
  <si>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</si>
  <si>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</si>
  <si>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</si>
  <si>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</si>
  <si>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</si>
  <si>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</si>
  <si>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</si>
  <si>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</si>
  <si>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</si>
  <si>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</si>
  <si>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</si>
  <si>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</si>
  <si>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</si>
  <si>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</si>
  <si>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</si>
  <si>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</si>
  <si>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</si>
  <si>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</si>
  <si>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</si>
  <si>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</si>
  <si>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</si>
  <si>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</si>
  <si>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</si>
  <si>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</si>
  <si>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</si>
  <si>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</si>
  <si>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</si>
  <si>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</si>
  <si>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</si>
  <si>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</si>
  <si>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</si>
  <si>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</si>
  <si>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</si>
  <si>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</si>
  <si>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</si>
  <si>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</si>
  <si>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</si>
  <si>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food/food tucks</t>
  </si>
  <si>
    <t>food</t>
  </si>
  <si>
    <t>food tucks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</si>
  <si>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</si>
  <si>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</si>
  <si>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</si>
  <si>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</si>
  <si>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</si>
  <si>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</si>
  <si>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</si>
  <si>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</si>
  <si>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</si>
  <si>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</si>
  <si>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</si>
  <si>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</si>
  <si>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</si>
  <si>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</si>
  <si>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</si>
  <si>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</si>
  <si>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</si>
  <si>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</si>
  <si>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</si>
  <si>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</si>
  <si>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</si>
  <si>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</si>
  <si>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</si>
  <si>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</si>
  <si>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</si>
  <si>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</si>
  <si>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</si>
  <si>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</si>
  <si>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</si>
  <si>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</si>
  <si>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</si>
  <si>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</si>
  <si>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</si>
  <si>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</si>
  <si>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</si>
  <si>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</si>
  <si>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</si>
  <si>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Parent category</t>
  </si>
  <si>
    <t>Date created converson</t>
  </si>
  <si>
    <t>Date end conversion</t>
  </si>
  <si>
    <t>Goal</t>
  </si>
  <si>
    <t>Number failed</t>
  </si>
  <si>
    <t>Total projects</t>
  </si>
  <si>
    <t>Years (Date created converson)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</si>
  <si>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</si>
  <si>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</si>
  <si>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</si>
  <si>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</si>
  <si>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</si>
  <si>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</si>
  <si>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</si>
  <si>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</si>
  <si>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</si>
  <si>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</si>
  <si>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</si>
  <si>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</si>
  <si>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</si>
  <si>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</si>
  <si>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</si>
  <si>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</si>
  <si>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</si>
  <si>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</si>
  <si>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</si>
  <si>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</si>
  <si>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</si>
  <si>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</si>
  <si>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</si>
  <si>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canceled</t>
  </si>
  <si>
    <t>Percentag successful</t>
  </si>
  <si>
    <t xml:space="preserve">Percentage faild </t>
  </si>
  <si>
    <t>Number successful</t>
  </si>
  <si>
    <t>Percentage canceled</t>
  </si>
  <si>
    <t>Greater then 50000</t>
  </si>
  <si>
    <t>Mean</t>
  </si>
  <si>
    <t>median</t>
  </si>
  <si>
    <t>Unsuccessful Campain</t>
  </si>
  <si>
    <t>Successful campain</t>
  </si>
  <si>
    <t>mini</t>
  </si>
  <si>
    <t>max</t>
  </si>
  <si>
    <t>variance</t>
  </si>
  <si>
    <t>standered devitiation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</si>
</sst>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51565E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42" applyFont="1"/>
    <xf numFmtId="0" fontId="16" fillId="0" borderId="0" xfId="0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7B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644-8222-F120BE5B846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644-8222-F120BE5B846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5-4644-8222-F120BE5B846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5-4644-8222-F120BE5B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028608"/>
        <c:axId val="759032448"/>
      </c:barChart>
      <c:catAx>
        <c:axId val="7590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2448"/>
        <c:crosses val="autoZero"/>
        <c:auto val="1"/>
        <c:lblAlgn val="ctr"/>
        <c:lblOffset val="100"/>
        <c:noMultiLvlLbl val="0"/>
      </c:catAx>
      <c:valAx>
        <c:axId val="759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EEF-A67E-2150D36317A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EEF-A67E-2150D36317A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3-4EEF-A67E-2150D36317A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3-4EEF-A67E-2150D363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75184"/>
        <c:axId val="676276144"/>
      </c:barChart>
      <c:catAx>
        <c:axId val="6762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6144"/>
        <c:crosses val="autoZero"/>
        <c:auto val="1"/>
        <c:lblAlgn val="ctr"/>
        <c:lblOffset val="100"/>
        <c:noMultiLvlLbl val="0"/>
      </c:catAx>
      <c:valAx>
        <c:axId val="6762761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4FFB-8608-B08B9B6AF70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0-4FFB-8608-B08B9B6AF70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0-4FFB-8608-B08B9B6AF70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0-4FFB-8608-B08B9B6A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03824"/>
        <c:axId val="1772801904"/>
      </c:lineChart>
      <c:catAx>
        <c:axId val="17728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1904"/>
        <c:crosses val="autoZero"/>
        <c:auto val="1"/>
        <c:lblAlgn val="ctr"/>
        <c:lblOffset val="100"/>
        <c:noMultiLvlLbl val="0"/>
      </c:catAx>
      <c:valAx>
        <c:axId val="1772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Goals analysis'!$F$1</c:f>
              <c:strCache>
                <c:ptCount val="1"/>
                <c:pt idx="0">
                  <c:v>Percentag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analysis'!$F$2:$F$13</c:f>
              <c:numCache>
                <c:formatCode>0%</c:formatCode>
                <c:ptCount val="12"/>
                <c:pt idx="0">
                  <c:v>0.5625</c:v>
                </c:pt>
                <c:pt idx="1">
                  <c:v>0.82727272727272727</c:v>
                </c:pt>
                <c:pt idx="2">
                  <c:v>0.51666666666666672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0.83333333333333337</c:v>
                </c:pt>
                <c:pt idx="7">
                  <c:v>1</c:v>
                </c:pt>
                <c:pt idx="8">
                  <c:v>0.7</c:v>
                </c:pt>
                <c:pt idx="9">
                  <c:v>0.7857142857142857</c:v>
                </c:pt>
                <c:pt idx="10">
                  <c:v>1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091-A899-26ACFE28DBBC}"/>
            </c:ext>
          </c:extLst>
        </c:ser>
        <c:ser>
          <c:idx val="1"/>
          <c:order val="1"/>
          <c:tx>
            <c:strRef>
              <c:f>' Goals analysis'!$G$1</c:f>
              <c:strCache>
                <c:ptCount val="1"/>
                <c:pt idx="0">
                  <c:v>Percentage faild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analysis'!$G$2:$G$13</c:f>
              <c:numCache>
                <c:formatCode>0%</c:formatCode>
                <c:ptCount val="12"/>
                <c:pt idx="0">
                  <c:v>0.421875</c:v>
                </c:pt>
                <c:pt idx="1">
                  <c:v>0.16363636363636364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</c:v>
                </c:pt>
                <c:pt idx="8">
                  <c:v>0.3</c:v>
                </c:pt>
                <c:pt idx="9">
                  <c:v>0.21428571428571427</c:v>
                </c:pt>
                <c:pt idx="10">
                  <c:v>0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091-A899-26ACFE28DBBC}"/>
            </c:ext>
          </c:extLst>
        </c:ser>
        <c:ser>
          <c:idx val="2"/>
          <c:order val="2"/>
          <c:tx>
            <c:strRef>
              <c:f>' Goals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analysis'!$H$2:$H$13</c:f>
              <c:numCache>
                <c:formatCode>0%</c:formatCode>
                <c:ptCount val="12"/>
                <c:pt idx="0">
                  <c:v>1.5625E-2</c:v>
                </c:pt>
                <c:pt idx="1">
                  <c:v>9.0909090909090905E-3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D-4091-A899-26ACFE2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734848"/>
        <c:axId val="1361736768"/>
      </c:lineChart>
      <c:catAx>
        <c:axId val="1361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6768"/>
        <c:crosses val="autoZero"/>
        <c:auto val="1"/>
        <c:lblAlgn val="ctr"/>
        <c:lblOffset val="100"/>
        <c:noMultiLvlLbl val="0"/>
      </c:catAx>
      <c:valAx>
        <c:axId val="1361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2</xdr:row>
      <xdr:rowOff>44450</xdr:rowOff>
    </xdr:from>
    <xdr:to>
      <xdr:col>13</xdr:col>
      <xdr:colOff>333375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9AB8-1635-75ED-8D74-0399E588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12700</xdr:rowOff>
    </xdr:from>
    <xdr:to>
      <xdr:col>11</xdr:col>
      <xdr:colOff>657225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6CE66-23FD-1008-DA03-ACA64976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171450</xdr:rowOff>
    </xdr:from>
    <xdr:to>
      <xdr:col>10</xdr:col>
      <xdr:colOff>63500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AE2E1-F584-72B9-3620-7D2B156D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14</xdr:row>
      <xdr:rowOff>184150</xdr:rowOff>
    </xdr:from>
    <xdr:to>
      <xdr:col>4</xdr:col>
      <xdr:colOff>355600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97FA-260B-1EDC-8EB3-A9632E6E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6.89555833333" createdVersion="8" refreshedVersion="8" minRefreshableVersion="3" recordCount="1000" xr:uid="{4771EF78-3E80-455C-B605-741176C80DF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 en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 t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id" databaseField="0"/>
    <cacheField name="Months (Date created convers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n v="1448690400"/>
    <x v="0"/>
    <n v="1450159200"/>
    <d v="2015-12-15T06:00:00"/>
    <b v="0"/>
    <b v="0"/>
    <s v="food/food t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58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73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20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27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19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51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66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66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8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40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2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7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28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60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86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77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50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39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0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12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43"/>
    <x v="1"/>
    <n v="222"/>
    <n v="36"/>
    <x v="1"/>
    <s v="USD"/>
    <n v="1309755600"/>
    <x v="42"/>
    <n v="1310533200"/>
    <d v="2011-07-13T05:00:00"/>
    <b v="0"/>
    <b v="0"/>
    <s v="food/food trucks"/>
    <x v="0"/>
    <x v="15"/>
  </r>
  <r>
    <n v="43"/>
    <x v="43"/>
    <s v="Profound explicit paradigm"/>
    <n v="90200"/>
    <n v="167717"/>
    <n v="185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6"/>
  </r>
  <r>
    <n v="44"/>
    <x v="44"/>
    <s v="Visionary real-time groupware"/>
    <n v="1600"/>
    <n v="10541"/>
    <n v="658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47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14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86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89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7"/>
  </r>
  <r>
    <n v="51"/>
    <x v="51"/>
    <s v="Inverse secondary infrastructure"/>
    <n v="158100"/>
    <n v="145243"/>
    <n v="91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89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77"/>
    <x v="1"/>
    <n v="131"/>
    <n v="89.66"/>
    <x v="1"/>
    <s v="USD"/>
    <n v="1532926800"/>
    <x v="55"/>
    <n v="1533358800"/>
    <d v="2018-08-04T05:00:00"/>
    <b v="0"/>
    <b v="0"/>
    <s v="music/jazz"/>
    <x v="1"/>
    <x v="18"/>
  </r>
  <r>
    <n v="56"/>
    <x v="56"/>
    <s v="Horizontal context-sensitive knowledge user"/>
    <n v="8000"/>
    <n v="11493"/>
    <n v="143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92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22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1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97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54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23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0"/>
    <x v="1"/>
    <n v="88"/>
    <n v="105.15"/>
    <x v="1"/>
    <s v="USD"/>
    <n v="1480226400"/>
    <x v="73"/>
    <n v="1480485600"/>
    <d v="2016-11-30T06:00:00"/>
    <b v="0"/>
    <b v="0"/>
    <s v="music/jazz"/>
    <x v="1"/>
    <x v="18"/>
  </r>
  <r>
    <n v="74"/>
    <x v="74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7"/>
  </r>
  <r>
    <n v="75"/>
    <x v="75"/>
    <s v="Multi-layered dynamic protocol"/>
    <n v="9700"/>
    <n v="14606"/>
    <n v="150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46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0"/>
    <x v="1"/>
    <n v="330"/>
    <n v="41.02"/>
    <x v="1"/>
    <s v="USD"/>
    <n v="1523854800"/>
    <x v="78"/>
    <n v="1523941200"/>
    <d v="2018-04-17T05:00:00"/>
    <b v="0"/>
    <b v="0"/>
    <s v="publishing/translations"/>
    <x v="5"/>
    <x v="19"/>
  </r>
  <r>
    <n v="79"/>
    <x v="79"/>
    <s v="Triple-buffered reciprocal project"/>
    <n v="57800"/>
    <n v="40228"/>
    <n v="69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7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67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61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60"/>
    <x v="1"/>
    <n v="113"/>
    <n v="110.76"/>
    <x v="1"/>
    <s v="USD"/>
    <n v="1429160400"/>
    <x v="88"/>
    <n v="1431061200"/>
    <d v="2015-05-08T05:00:00"/>
    <b v="0"/>
    <b v="0"/>
    <s v="publishing/translations"/>
    <x v="5"/>
    <x v="19"/>
  </r>
  <r>
    <n v="89"/>
    <x v="89"/>
    <s v="Monitored scalable knowledgebase"/>
    <n v="3400"/>
    <n v="8588"/>
    <n v="252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78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9"/>
  </r>
  <r>
    <n v="92"/>
    <x v="92"/>
    <s v="Object-based analyzing knowledge user"/>
    <n v="20000"/>
    <n v="51775"/>
    <n v="258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60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03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26"/>
    <x v="1"/>
    <n v="113"/>
    <n v="106.61"/>
    <x v="1"/>
    <s v="USD"/>
    <n v="1435208400"/>
    <x v="48"/>
    <n v="1439874000"/>
    <d v="2015-08-18T05:00:00"/>
    <b v="0"/>
    <b v="0"/>
    <s v="food/food trucks"/>
    <x v="0"/>
    <x v="15"/>
  </r>
  <r>
    <n v="98"/>
    <x v="98"/>
    <s v="Seamless transitional portal"/>
    <n v="97800"/>
    <n v="32951"/>
    <n v="33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96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81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24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44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20"/>
  </r>
  <r>
    <n v="110"/>
    <x v="110"/>
    <s v="Cross-platform solution-oriented process improvement"/>
    <n v="142400"/>
    <n v="21307"/>
    <n v="14"/>
    <x v="0"/>
    <n v="296"/>
    <n v="71.98"/>
    <x v="1"/>
    <s v="USD"/>
    <n v="1536642000"/>
    <x v="109"/>
    <n v="1538283600"/>
    <d v="2018-09-30T05:00:00"/>
    <b v="0"/>
    <b v="0"/>
    <s v="food/food trucks"/>
    <x v="0"/>
    <x v="15"/>
  </r>
  <r>
    <n v="111"/>
    <x v="111"/>
    <s v="Re-engineered user-facing approach"/>
    <n v="61400"/>
    <n v="73653"/>
    <n v="119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6"/>
  </r>
  <r>
    <n v="112"/>
    <x v="112"/>
    <s v="Re-engineered client-driven hub"/>
    <n v="4700"/>
    <n v="12635"/>
    <n v="268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76"/>
    <x v="1"/>
    <n v="131"/>
    <n v="94.94"/>
    <x v="1"/>
    <s v="USD"/>
    <n v="1505192400"/>
    <x v="112"/>
    <n v="1505797200"/>
    <d v="2017-09-19T05:00:00"/>
    <b v="0"/>
    <b v="0"/>
    <s v="food/food trucks"/>
    <x v="0"/>
    <x v="15"/>
  </r>
  <r>
    <n v="114"/>
    <x v="114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73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20"/>
  </r>
  <r>
    <n v="118"/>
    <x v="118"/>
    <s v="Organic next generation protocol"/>
    <n v="5400"/>
    <n v="6351"/>
    <n v="117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4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1"/>
  </r>
  <r>
    <n v="121"/>
    <x v="121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18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67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59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38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15"/>
  </r>
  <r>
    <n v="130"/>
    <x v="130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0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10"/>
    <x v="1"/>
    <n v="159"/>
    <n v="87.96"/>
    <x v="1"/>
    <s v="USD"/>
    <n v="1313125200"/>
    <x v="131"/>
    <n v="1315026000"/>
    <d v="2011-09-03T05:00:00"/>
    <b v="0"/>
    <b v="0"/>
    <s v="music/world music"/>
    <x v="1"/>
    <x v="22"/>
  </r>
  <r>
    <n v="134"/>
    <x v="134"/>
    <s v="Secured executive concept"/>
    <n v="99500"/>
    <n v="89288"/>
    <n v="89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61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1"/>
  </r>
  <r>
    <n v="139"/>
    <x v="139"/>
    <s v="Down-sized empowering protocol"/>
    <n v="92100"/>
    <n v="19246"/>
    <n v="20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1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35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36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19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92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58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3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52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0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49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21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"/>
    <x v="0"/>
    <n v="5"/>
    <n v="104.2"/>
    <x v="1"/>
    <s v="USD"/>
    <n v="1395291600"/>
    <x v="168"/>
    <n v="1397192400"/>
    <d v="2014-04-11T05:00:00"/>
    <b v="0"/>
    <b v="0"/>
    <s v="publishing/translations"/>
    <x v="5"/>
    <x v="19"/>
  </r>
  <r>
    <n v="172"/>
    <x v="172"/>
    <s v="Centralized national firmware"/>
    <n v="800"/>
    <n v="663"/>
    <n v="82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94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74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15"/>
  </r>
  <r>
    <n v="179"/>
    <x v="179"/>
    <s v="Realigned human-resource orchestration"/>
    <n v="44500"/>
    <n v="159185"/>
    <n v="357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61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71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20"/>
  </r>
  <r>
    <n v="186"/>
    <x v="186"/>
    <s v="Grass-roots foreground policy"/>
    <n v="88800"/>
    <n v="28358"/>
    <n v="31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29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23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68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7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19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5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22"/>
    <x v="1"/>
    <n v="126"/>
    <n v="69.17"/>
    <x v="1"/>
    <s v="USD"/>
    <n v="1442206800"/>
    <x v="191"/>
    <n v="1443589200"/>
    <d v="2015-09-30T05:00:00"/>
    <b v="0"/>
    <b v="0"/>
    <s v="music/metal"/>
    <x v="1"/>
    <x v="17"/>
  </r>
  <r>
    <n v="195"/>
    <x v="195"/>
    <s v="Upgradable high-level solution"/>
    <n v="15800"/>
    <n v="57157"/>
    <n v="361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53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8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15"/>
  </r>
  <r>
    <n v="203"/>
    <x v="203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8"/>
  </r>
  <r>
    <n v="205"/>
    <x v="205"/>
    <s v="Focused analyzing circuit"/>
    <n v="1300"/>
    <n v="5614"/>
    <n v="431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38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25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3"/>
  </r>
  <r>
    <n v="211"/>
    <x v="211"/>
    <s v="Customer-focused impactful benchmark"/>
    <n v="104400"/>
    <n v="99100"/>
    <n v="94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51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44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3"/>
  </r>
  <r>
    <n v="218"/>
    <x v="218"/>
    <s v="Adaptive logistical initiative"/>
    <n v="5700"/>
    <n v="12309"/>
    <n v="215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8"/>
    <x v="0"/>
    <n v="2179"/>
    <n v="54.99"/>
    <x v="1"/>
    <s v="USD"/>
    <n v="1340254800"/>
    <x v="216"/>
    <n v="1340427600"/>
    <d v="2012-06-23T05:00:00"/>
    <b v="1"/>
    <b v="0"/>
    <s v="food/food trucks"/>
    <x v="0"/>
    <x v="15"/>
  </r>
  <r>
    <n v="222"/>
    <x v="222"/>
    <s v="Cross-group cohesive circuit"/>
    <n v="4800"/>
    <n v="6623"/>
    <n v="137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3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03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3"/>
  </r>
  <r>
    <n v="225"/>
    <x v="225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66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8"/>
    <x v="1"/>
    <n v="943"/>
    <n v="108.96"/>
    <x v="1"/>
    <s v="USD"/>
    <n v="1431666000"/>
    <x v="222"/>
    <n v="1432184400"/>
    <d v="2015-05-21T05:00:00"/>
    <b v="0"/>
    <b v="0"/>
    <s v="games/mobile games"/>
    <x v="6"/>
    <x v="21"/>
  </r>
  <r>
    <n v="228"/>
    <x v="227"/>
    <s v="Exclusive real-time protocol"/>
    <n v="137900"/>
    <n v="165352"/>
    <n v="119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3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1"/>
  </r>
  <r>
    <n v="230"/>
    <x v="229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76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57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1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0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97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18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1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27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69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25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32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1"/>
  </r>
  <r>
    <n v="249"/>
    <x v="248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9"/>
  </r>
  <r>
    <n v="250"/>
    <x v="249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4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97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7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70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62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76"/>
    <x v="0"/>
    <n v="3182"/>
    <n v="27"/>
    <x v="6"/>
    <s v="EUR"/>
    <n v="1415340000"/>
    <x v="257"/>
    <n v="1418191200"/>
    <d v="2014-12-10T06:00:00"/>
    <b v="0"/>
    <b v="1"/>
    <s v="music/jazz"/>
    <x v="1"/>
    <x v="18"/>
  </r>
  <r>
    <n v="267"/>
    <x v="266"/>
    <s v="Extended eco-centric function"/>
    <n v="61600"/>
    <n v="143910"/>
    <n v="233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80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2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20"/>
  </r>
  <r>
    <n v="270"/>
    <x v="269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41"/>
    <x v="1"/>
    <n v="116"/>
    <n v="81.2"/>
    <x v="1"/>
    <s v="USD"/>
    <n v="1554526800"/>
    <x v="266"/>
    <n v="1555218000"/>
    <d v="2019-04-14T05:00:00"/>
    <b v="0"/>
    <b v="0"/>
    <s v="publishing/translations"/>
    <x v="5"/>
    <x v="19"/>
  </r>
  <r>
    <n v="276"/>
    <x v="275"/>
    <s v="Front-line foreground project"/>
    <n v="5500"/>
    <n v="5324"/>
    <n v="96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25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70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1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20"/>
  </r>
  <r>
    <n v="283"/>
    <x v="282"/>
    <s v="Business-focused dynamic instruction set"/>
    <n v="8100"/>
    <n v="1517"/>
    <n v="18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09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97"/>
    <x v="0"/>
    <n v="137"/>
    <n v="39.97"/>
    <x v="3"/>
    <s v="DKK"/>
    <n v="1331701200"/>
    <x v="278"/>
    <n v="1331787600"/>
    <d v="2012-03-15T05:00:00"/>
    <b v="0"/>
    <b v="1"/>
    <s v="music/metal"/>
    <x v="1"/>
    <x v="17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6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"/>
    <x v="0"/>
    <n v="10"/>
    <n v="71.7"/>
    <x v="1"/>
    <s v="USD"/>
    <n v="1331874000"/>
    <x v="282"/>
    <n v="1333429200"/>
    <d v="2012-04-03T05:00:00"/>
    <b v="0"/>
    <b v="0"/>
    <s v="food/food trucks"/>
    <x v="0"/>
    <x v="15"/>
  </r>
  <r>
    <n v="293"/>
    <x v="292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39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5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54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43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15"/>
  </r>
  <r>
    <n v="300"/>
    <x v="299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4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1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2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94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3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66"/>
    <x v="0"/>
    <n v="108"/>
    <n v="59.27"/>
    <x v="6"/>
    <s v="EUR"/>
    <n v="1574143200"/>
    <x v="303"/>
    <n v="1574229600"/>
    <d v="2019-11-20T06:00:00"/>
    <b v="0"/>
    <b v="1"/>
    <s v="food/food trucks"/>
    <x v="0"/>
    <x v="15"/>
  </r>
  <r>
    <n v="317"/>
    <x v="316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15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38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6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90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8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33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22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84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43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15"/>
  </r>
  <r>
    <n v="332"/>
    <x v="331"/>
    <s v="Optional bandwidth-monitored definition"/>
    <n v="20700"/>
    <n v="41396"/>
    <n v="199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23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86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22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79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4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66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53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41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14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00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71"/>
    <x v="0"/>
    <n v="3483"/>
    <n v="41.01"/>
    <x v="1"/>
    <s v="USD"/>
    <n v="1487224800"/>
    <x v="333"/>
    <n v="1488348000"/>
    <d v="2017-03-01T06:00:00"/>
    <b v="0"/>
    <b v="0"/>
    <s v="food/food trucks"/>
    <x v="0"/>
    <x v="15"/>
  </r>
  <r>
    <n v="349"/>
    <x v="348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8"/>
  </r>
  <r>
    <n v="351"/>
    <x v="350"/>
    <s v="Universal maximized methodology"/>
    <n v="74100"/>
    <n v="94631"/>
    <n v="127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34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10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23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58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36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84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11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8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73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71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18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76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20"/>
  </r>
  <r>
    <n v="370"/>
    <x v="369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67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1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4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13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83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63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15"/>
  </r>
  <r>
    <n v="384"/>
    <x v="383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86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5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28"/>
    <x v="1"/>
    <n v="3059"/>
    <n v="47"/>
    <x v="0"/>
    <s v="CAD"/>
    <n v="1500267600"/>
    <x v="373"/>
    <n v="1500354000"/>
    <d v="2017-07-18T05:00:00"/>
    <b v="0"/>
    <b v="0"/>
    <s v="music/jazz"/>
    <x v="1"/>
    <x v="18"/>
  </r>
  <r>
    <n v="394"/>
    <x v="393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73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17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3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15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89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31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1"/>
  </r>
  <r>
    <n v="411"/>
    <x v="408"/>
    <s v="Down-sized maximized function"/>
    <n v="7800"/>
    <n v="8161"/>
    <n v="104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68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4"/>
    <x v="0"/>
    <n v="5497"/>
    <n v="29"/>
    <x v="1"/>
    <s v="USD"/>
    <n v="1271739600"/>
    <x v="392"/>
    <n v="1272430800"/>
    <d v="2010-04-28T05:00:00"/>
    <b v="0"/>
    <b v="1"/>
    <s v="food/food trucks"/>
    <x v="0"/>
    <x v="15"/>
  </r>
  <r>
    <n v="415"/>
    <x v="412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3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63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10"/>
    <x v="0"/>
    <n v="162"/>
    <n v="97.06"/>
    <x v="1"/>
    <s v="USD"/>
    <n v="1316667600"/>
    <x v="116"/>
    <n v="1316840400"/>
    <d v="2011-09-24T05:00:00"/>
    <b v="0"/>
    <b v="1"/>
    <s v="food/food trucks"/>
    <x v="0"/>
    <x v="15"/>
  </r>
  <r>
    <n v="424"/>
    <x v="420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87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2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12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0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7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82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16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16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8"/>
  </r>
  <r>
    <n v="437"/>
    <x v="433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8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3"/>
  </r>
  <r>
    <n v="440"/>
    <x v="436"/>
    <s v="Networked optimal adapter"/>
    <n v="102500"/>
    <n v="165954"/>
    <n v="161"/>
    <x v="1"/>
    <n v="3131"/>
    <n v="53"/>
    <x v="1"/>
    <s v="USD"/>
    <n v="1498798800"/>
    <x v="417"/>
    <n v="1499662800"/>
    <d v="2017-07-10T05:00:00"/>
    <b v="0"/>
    <b v="0"/>
    <s v="film &amp; video/television"/>
    <x v="4"/>
    <x v="20"/>
  </r>
  <r>
    <n v="441"/>
    <x v="437"/>
    <s v="Automated optimal function"/>
    <n v="7000"/>
    <n v="1744"/>
    <n v="2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98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4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20"/>
  </r>
  <r>
    <n v="448"/>
    <x v="443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22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3"/>
  </r>
  <r>
    <n v="454"/>
    <x v="449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6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7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30"/>
    <x v="0"/>
    <n v="535"/>
    <n v="107.91"/>
    <x v="1"/>
    <s v="USD"/>
    <n v="1359525600"/>
    <x v="385"/>
    <n v="1362808800"/>
    <d v="2013-03-09T06:00:00"/>
    <b v="0"/>
    <b v="0"/>
    <s v="games/mobile games"/>
    <x v="6"/>
    <x v="21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87"/>
    <x v="1"/>
    <n v="80"/>
    <n v="110.36"/>
    <x v="1"/>
    <s v="USD"/>
    <n v="1517032800"/>
    <x v="439"/>
    <n v="1517810400"/>
    <d v="2018-02-05T06:00:00"/>
    <b v="0"/>
    <b v="0"/>
    <s v="publishing/translations"/>
    <x v="5"/>
    <x v="19"/>
  </r>
  <r>
    <n v="466"/>
    <x v="461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40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85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15"/>
  </r>
  <r>
    <n v="472"/>
    <x v="466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20"/>
  </r>
  <r>
    <n v="475"/>
    <x v="469"/>
    <s v="Function-based attitude-oriented groupware"/>
    <n v="7400"/>
    <n v="8432"/>
    <n v="113"/>
    <x v="1"/>
    <n v="211"/>
    <n v="39.96"/>
    <x v="1"/>
    <s v="USD"/>
    <n v="1372136400"/>
    <x v="448"/>
    <n v="1372482000"/>
    <d v="2013-06-29T05:00:00"/>
    <b v="0"/>
    <b v="1"/>
    <s v="publishing/translations"/>
    <x v="5"/>
    <x v="19"/>
  </r>
  <r>
    <n v="476"/>
    <x v="470"/>
    <s v="Optional solution-oriented instruction set"/>
    <n v="191500"/>
    <n v="57122"/>
    <n v="29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3"/>
  </r>
  <r>
    <n v="478"/>
    <x v="472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12"/>
    <x v="1"/>
    <n v="173"/>
    <n v="71.16"/>
    <x v="4"/>
    <s v="GBP"/>
    <n v="1501304400"/>
    <x v="451"/>
    <n v="1501477200"/>
    <d v="2017-07-31T05:00:00"/>
    <b v="0"/>
    <b v="0"/>
    <s v="food/food trucks"/>
    <x v="0"/>
    <x v="15"/>
  </r>
  <r>
    <n v="480"/>
    <x v="474"/>
    <s v="Balanced bifurcated leverage"/>
    <n v="8600"/>
    <n v="8656"/>
    <n v="100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52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15"/>
  </r>
  <r>
    <n v="485"/>
    <x v="479"/>
    <s v="Quality-focused mission-critical structure"/>
    <n v="90600"/>
    <n v="27844"/>
    <n v="30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13"/>
    <x v="0"/>
    <n v="21"/>
    <n v="33.43"/>
    <x v="4"/>
    <s v="GBP"/>
    <n v="1520575200"/>
    <x v="458"/>
    <n v="1521867600"/>
    <d v="2018-03-24T05:00:00"/>
    <b v="0"/>
    <b v="1"/>
    <s v="publishing/translations"/>
    <x v="5"/>
    <x v="19"/>
  </r>
  <r>
    <n v="487"/>
    <x v="481"/>
    <s v="Monitored 24/7 time-frame"/>
    <n v="110300"/>
    <n v="197024"/>
    <n v="178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1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91"/>
    <x v="1"/>
    <n v="144"/>
    <n v="31.92"/>
    <x v="1"/>
    <s v="USD"/>
    <n v="1573970400"/>
    <x v="462"/>
    <n v="1574575200"/>
    <d v="2019-11-24T06:00:00"/>
    <b v="0"/>
    <b v="0"/>
    <s v="journalism/audio"/>
    <x v="8"/>
    <x v="24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15"/>
  </r>
  <r>
    <n v="492"/>
    <x v="486"/>
    <s v="Persevering interactive matrix"/>
    <n v="191000"/>
    <n v="45831"/>
    <n v="23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23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14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0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23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29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13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6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39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70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20"/>
  </r>
  <r>
    <n v="514"/>
    <x v="506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55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42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15"/>
  </r>
  <r>
    <n v="518"/>
    <x v="510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25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45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83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5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99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91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5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02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49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7"/>
    <x v="0"/>
    <n v="1296"/>
    <n v="44.01"/>
    <x v="1"/>
    <s v="USD"/>
    <n v="1379826000"/>
    <x v="502"/>
    <n v="1381208400"/>
    <d v="2013-10-08T05:00:00"/>
    <b v="0"/>
    <b v="0"/>
    <s v="games/mobile games"/>
    <x v="6"/>
    <x v="21"/>
  </r>
  <r>
    <n v="539"/>
    <x v="531"/>
    <s v="Assimilated exuding toolset"/>
    <n v="9800"/>
    <n v="7120"/>
    <n v="72"/>
    <x v="0"/>
    <n v="77"/>
    <n v="92.47"/>
    <x v="1"/>
    <s v="USD"/>
    <n v="1561957200"/>
    <x v="503"/>
    <n v="1562475600"/>
    <d v="2019-07-07T05:00:00"/>
    <b v="0"/>
    <b v="1"/>
    <s v="food/food trucks"/>
    <x v="0"/>
    <x v="15"/>
  </r>
  <r>
    <n v="540"/>
    <x v="532"/>
    <s v="Front-line client-server secured line"/>
    <n v="5300"/>
    <n v="14097"/>
    <n v="265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1"/>
  </r>
  <r>
    <n v="542"/>
    <x v="534"/>
    <s v="Profit-focused exuding moderator"/>
    <n v="77000"/>
    <n v="1930"/>
    <n v="2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76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88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63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70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58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8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43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51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23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39"/>
    <x v="1"/>
    <n v="122"/>
    <n v="102.19"/>
    <x v="1"/>
    <s v="USD"/>
    <n v="1315285200"/>
    <x v="520"/>
    <n v="1315890000"/>
    <d v="2011-09-13T05:00:00"/>
    <b v="0"/>
    <b v="1"/>
    <s v="publishing/translations"/>
    <x v="5"/>
    <x v="19"/>
  </r>
  <r>
    <n v="557"/>
    <x v="548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3"/>
  </r>
  <r>
    <n v="558"/>
    <x v="549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0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69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12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3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04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8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5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11"/>
    <x v="1"/>
    <n v="300"/>
    <n v="24.99"/>
    <x v="1"/>
    <s v="USD"/>
    <n v="1399006800"/>
    <x v="409"/>
    <n v="1399179600"/>
    <d v="2014-05-04T05:00:00"/>
    <b v="0"/>
    <b v="0"/>
    <s v="journalism/audio"/>
    <x v="8"/>
    <x v="24"/>
  </r>
  <r>
    <n v="574"/>
    <x v="565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15"/>
  </r>
  <r>
    <n v="575"/>
    <x v="566"/>
    <s v="Universal zero-defect concept"/>
    <n v="83300"/>
    <n v="52421"/>
    <n v="62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64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18"/>
    <x v="3"/>
    <n v="37"/>
    <n v="41.78"/>
    <x v="1"/>
    <s v="USD"/>
    <n v="1299823200"/>
    <x v="536"/>
    <n v="1302066000"/>
    <d v="2011-04-06T05:00:00"/>
    <b v="0"/>
    <b v="0"/>
    <s v="music/jazz"/>
    <x v="1"/>
    <x v="18"/>
  </r>
  <r>
    <n v="578"/>
    <x v="569"/>
    <s v="Sharable radical toolset"/>
    <n v="96500"/>
    <n v="16168"/>
    <n v="16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3"/>
  </r>
  <r>
    <n v="579"/>
    <x v="570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8"/>
  </r>
  <r>
    <n v="580"/>
    <x v="251"/>
    <s v="Seamless 6thgeneration extranet"/>
    <n v="43800"/>
    <n v="149578"/>
    <n v="341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19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46"/>
    <x v="1"/>
    <n v="136"/>
    <n v="96.07"/>
    <x v="1"/>
    <s v="USD"/>
    <n v="1268888400"/>
    <x v="543"/>
    <n v="1269752400"/>
    <d v="2010-03-28T05:00:00"/>
    <b v="0"/>
    <b v="0"/>
    <s v="publishing/translations"/>
    <x v="5"/>
    <x v="19"/>
  </r>
  <r>
    <n v="586"/>
    <x v="575"/>
    <s v="Robust hybrid budgetary management"/>
    <n v="700"/>
    <n v="6654"/>
    <n v="950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72"/>
    <x v="0"/>
    <n v="156"/>
    <n v="43.92"/>
    <x v="0"/>
    <s v="CAD"/>
    <n v="1547877600"/>
    <x v="35"/>
    <n v="1552366800"/>
    <d v="2019-03-12T05:00:00"/>
    <b v="0"/>
    <b v="1"/>
    <s v="food/food trucks"/>
    <x v="0"/>
    <x v="15"/>
  </r>
  <r>
    <n v="588"/>
    <x v="577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64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6"/>
  </r>
  <r>
    <n v="591"/>
    <x v="580"/>
    <s v="Realigned dedicated system engine"/>
    <n v="600"/>
    <n v="6226"/>
    <n v="1037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2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54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08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99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01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15"/>
  </r>
  <r>
    <n v="601"/>
    <x v="590"/>
    <s v="Inverse neutral structure"/>
    <n v="6300"/>
    <n v="13018"/>
    <n v="206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19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70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15"/>
  </r>
  <r>
    <n v="608"/>
    <x v="597"/>
    <s v="Compatible full-range leverage"/>
    <n v="3900"/>
    <n v="11075"/>
    <n v="283"/>
    <x v="1"/>
    <n v="316"/>
    <n v="35.049999999999997"/>
    <x v="1"/>
    <s v="USD"/>
    <n v="1551852000"/>
    <x v="426"/>
    <n v="1552197600"/>
    <d v="2019-03-10T06:00:00"/>
    <b v="0"/>
    <b v="1"/>
    <s v="music/jazz"/>
    <x v="1"/>
    <x v="18"/>
  </r>
  <r>
    <n v="609"/>
    <x v="598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3"/>
  </r>
  <r>
    <n v="610"/>
    <x v="599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13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89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49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48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19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59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15"/>
  </r>
  <r>
    <n v="628"/>
    <x v="617"/>
    <s v="Intuitive object-oriented task-force"/>
    <n v="1900"/>
    <n v="2884"/>
    <n v="151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64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2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42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78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20"/>
  </r>
  <r>
    <n v="635"/>
    <x v="624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20"/>
  </r>
  <r>
    <n v="636"/>
    <x v="625"/>
    <s v="Stand-alone reciprocal frame"/>
    <n v="197700"/>
    <n v="127591"/>
    <n v="64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6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19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92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88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9"/>
  </r>
  <r>
    <n v="648"/>
    <x v="637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15"/>
  </r>
  <r>
    <n v="649"/>
    <x v="638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8"/>
  </r>
  <r>
    <n v="651"/>
    <x v="640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26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38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7"/>
  </r>
  <r>
    <n v="655"/>
    <x v="644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15"/>
  </r>
  <r>
    <n v="657"/>
    <x v="646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3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1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8"/>
  </r>
  <r>
    <n v="662"/>
    <x v="651"/>
    <s v="Implemented exuding software"/>
    <n v="9100"/>
    <n v="8906"/>
    <n v="97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8"/>
  </r>
  <r>
    <n v="665"/>
    <x v="653"/>
    <s v="Customer-focused impactful extranet"/>
    <n v="5100"/>
    <n v="12219"/>
    <n v="239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4"/>
  </r>
  <r>
    <n v="668"/>
    <x v="656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58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68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55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3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33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2"/>
    <x v="1"/>
    <n v="331"/>
    <n v="36.04"/>
    <x v="1"/>
    <s v="USD"/>
    <n v="1568178000"/>
    <x v="620"/>
    <n v="1568782800"/>
    <d v="2019-09-18T05:00:00"/>
    <b v="0"/>
    <b v="0"/>
    <s v="journalism/audio"/>
    <x v="8"/>
    <x v="24"/>
  </r>
  <r>
    <n v="676"/>
    <x v="663"/>
    <s v="Expanded needs-based orchestration"/>
    <n v="62300"/>
    <n v="118214"/>
    <n v="189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3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17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36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15"/>
  </r>
  <r>
    <n v="680"/>
    <x v="666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1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42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67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91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20"/>
  </r>
  <r>
    <n v="689"/>
    <x v="675"/>
    <s v="Seamless directional capacity"/>
    <n v="7300"/>
    <n v="7348"/>
    <n v="100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26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0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3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33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52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46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11"/>
    <x v="1"/>
    <n v="2038"/>
    <n v="97.02"/>
    <x v="1"/>
    <s v="USD"/>
    <n v="1334984400"/>
    <x v="645"/>
    <n v="1336453200"/>
    <d v="2012-05-08T05:00:00"/>
    <b v="1"/>
    <b v="1"/>
    <s v="publishing/translations"/>
    <x v="5"/>
    <x v="19"/>
  </r>
  <r>
    <n v="704"/>
    <x v="689"/>
    <s v="Seamless clear-thinking artificial intelligence"/>
    <n v="8700"/>
    <n v="10682"/>
    <n v="122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7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58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47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40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61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6"/>
  </r>
  <r>
    <n v="714"/>
    <x v="699"/>
    <s v="Switchable methodical superstructure"/>
    <n v="38500"/>
    <n v="182036"/>
    <n v="472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1"/>
  </r>
  <r>
    <n v="716"/>
    <x v="701"/>
    <s v="Advanced modular moderator"/>
    <n v="2000"/>
    <n v="10353"/>
    <n v="517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7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56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1"/>
  </r>
  <r>
    <n v="726"/>
    <x v="711"/>
    <s v="Realigned web-enabled functionalities"/>
    <n v="54300"/>
    <n v="48227"/>
    <n v="88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17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85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12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1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7"/>
  </r>
  <r>
    <n v="734"/>
    <x v="719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2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5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2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1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28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34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56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66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06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8"/>
  </r>
  <r>
    <n v="763"/>
    <x v="745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3"/>
  </r>
  <r>
    <n v="767"/>
    <x v="749"/>
    <s v="Upgradable attitude-oriented project"/>
    <n v="97200"/>
    <n v="55372"/>
    <n v="56"/>
    <x v="0"/>
    <n v="513"/>
    <n v="107.94"/>
    <x v="1"/>
    <s v="USD"/>
    <n v="1444107600"/>
    <x v="696"/>
    <n v="1447999200"/>
    <d v="2015-11-20T06:00:00"/>
    <b v="0"/>
    <b v="0"/>
    <s v="publishing/translations"/>
    <x v="5"/>
    <x v="19"/>
  </r>
  <r>
    <n v="768"/>
    <x v="750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86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70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90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35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65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87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50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29"/>
    <x v="1"/>
    <n v="207"/>
    <n v="52.88"/>
    <x v="6"/>
    <s v="EUR"/>
    <n v="1522126800"/>
    <x v="630"/>
    <n v="1522731600"/>
    <d v="2018-04-03T05:00:00"/>
    <b v="0"/>
    <b v="1"/>
    <s v="music/jazz"/>
    <x v="1"/>
    <x v="18"/>
  </r>
  <r>
    <n v="787"/>
    <x v="769"/>
    <s v="Progressive coherent secured line"/>
    <n v="61200"/>
    <n v="60994"/>
    <n v="99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30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25"/>
    <x v="0"/>
    <n v="6"/>
    <n v="90"/>
    <x v="1"/>
    <s v="USD"/>
    <n v="1481436000"/>
    <x v="715"/>
    <n v="1482818400"/>
    <d v="2016-12-27T06:00:00"/>
    <b v="0"/>
    <b v="0"/>
    <s v="food/food trucks"/>
    <x v="0"/>
    <x v="15"/>
  </r>
  <r>
    <n v="792"/>
    <x v="774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85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4"/>
    <x v="0"/>
    <n v="78"/>
    <n v="54.81"/>
    <x v="1"/>
    <s v="USD"/>
    <n v="1407474000"/>
    <x v="719"/>
    <n v="1408078800"/>
    <d v="2014-08-15T05:00:00"/>
    <b v="0"/>
    <b v="1"/>
    <s v="games/mobile games"/>
    <x v="6"/>
    <x v="21"/>
  </r>
  <r>
    <n v="797"/>
    <x v="779"/>
    <s v="Optional tangible utilization"/>
    <n v="7600"/>
    <n v="8332"/>
    <n v="109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02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68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50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15"/>
  </r>
  <r>
    <n v="809"/>
    <x v="764"/>
    <s v="Public-key bottom-line algorithm"/>
    <n v="140800"/>
    <n v="88536"/>
    <n v="62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25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68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94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50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00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49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87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66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08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9"/>
  </r>
  <r>
    <n v="833"/>
    <x v="813"/>
    <s v="Expanded asynchronous groupware"/>
    <n v="6800"/>
    <n v="10723"/>
    <n v="157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9"/>
  </r>
  <r>
    <n v="834"/>
    <x v="814"/>
    <s v="Expanded fault-tolerant emulation"/>
    <n v="7300"/>
    <n v="11228"/>
    <n v="153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89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52"/>
    <x v="1"/>
    <n v="1797"/>
    <n v="84.01"/>
    <x v="1"/>
    <s v="USD"/>
    <n v="1301202000"/>
    <x v="643"/>
    <n v="1305867600"/>
    <d v="2011-05-20T05:00:00"/>
    <b v="0"/>
    <b v="0"/>
    <s v="music/jazz"/>
    <x v="1"/>
    <x v="18"/>
  </r>
  <r>
    <n v="838"/>
    <x v="818"/>
    <s v="Vision-oriented high-level extranet"/>
    <n v="6400"/>
    <n v="8890"/>
    <n v="138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42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0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97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08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37"/>
    <x v="1"/>
    <n v="110"/>
    <n v="101.58"/>
    <x v="1"/>
    <s v="USD"/>
    <n v="1515304800"/>
    <x v="759"/>
    <n v="1515564000"/>
    <d v="2018-01-10T06:00:00"/>
    <b v="0"/>
    <b v="0"/>
    <s v="food/food trucks"/>
    <x v="0"/>
    <x v="15"/>
  </r>
  <r>
    <n v="848"/>
    <x v="828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07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13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56"/>
    <x v="1"/>
    <n v="158"/>
    <n v="54.16"/>
    <x v="1"/>
    <s v="USD"/>
    <n v="1335243600"/>
    <x v="767"/>
    <n v="1336712400"/>
    <d v="2012-05-11T05:00:00"/>
    <b v="0"/>
    <b v="0"/>
    <s v="food/food trucks"/>
    <x v="0"/>
    <x v="15"/>
  </r>
  <r>
    <n v="857"/>
    <x v="836"/>
    <s v="Programmable disintermediate matrices"/>
    <n v="5300"/>
    <n v="7413"/>
    <n v="139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15"/>
  </r>
  <r>
    <n v="859"/>
    <x v="838"/>
    <s v="Multi-layered upward-trending groupware"/>
    <n v="7300"/>
    <n v="2594"/>
    <n v="35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51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05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86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20"/>
  </r>
  <r>
    <n v="864"/>
    <x v="843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5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15"/>
  </r>
  <r>
    <n v="868"/>
    <x v="847"/>
    <s v="Front-line web-enabled installation"/>
    <n v="7000"/>
    <n v="12939"/>
    <n v="184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23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89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72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3"/>
  </r>
  <r>
    <n v="873"/>
    <x v="852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6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15"/>
  </r>
  <r>
    <n v="878"/>
    <x v="857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7"/>
  </r>
  <r>
    <n v="879"/>
    <x v="858"/>
    <s v="Stand-alone incremental parallelism"/>
    <n v="1000"/>
    <n v="5438"/>
    <n v="543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8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38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37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84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09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69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15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58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30"/>
    <x v="1"/>
    <n v="182"/>
    <n v="76.02"/>
    <x v="1"/>
    <s v="USD"/>
    <n v="1274418000"/>
    <x v="799"/>
    <n v="1277960400"/>
    <d v="2010-07-01T05:00:00"/>
    <b v="0"/>
    <b v="0"/>
    <s v="publishing/translations"/>
    <x v="5"/>
    <x v="19"/>
  </r>
  <r>
    <n v="893"/>
    <x v="872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88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20"/>
  </r>
  <r>
    <n v="895"/>
    <x v="874"/>
    <s v="Integrated demand-driven info-mediaries"/>
    <n v="159800"/>
    <n v="11108"/>
    <n v="6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15"/>
  </r>
  <r>
    <n v="897"/>
    <x v="876"/>
    <s v="Organized discrete encoding"/>
    <n v="8800"/>
    <n v="2437"/>
    <n v="27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8"/>
  </r>
  <r>
    <n v="900"/>
    <x v="879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6"/>
  </r>
  <r>
    <n v="905"/>
    <x v="884"/>
    <s v="Re-engineered clear-thinking project"/>
    <n v="7900"/>
    <n v="12955"/>
    <n v="163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62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78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19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98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50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55"/>
    <x v="1"/>
    <n v="1866"/>
    <n v="105"/>
    <x v="4"/>
    <s v="GBP"/>
    <n v="1503982800"/>
    <x v="80"/>
    <n v="1504760400"/>
    <d v="2017-09-07T05:00:00"/>
    <b v="0"/>
    <b v="0"/>
    <s v="film &amp; video/television"/>
    <x v="4"/>
    <x v="20"/>
  </r>
  <r>
    <n v="916"/>
    <x v="895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6"/>
  </r>
  <r>
    <n v="919"/>
    <x v="898"/>
    <s v="Extended multimedia firmware"/>
    <n v="35600"/>
    <n v="20915"/>
    <n v="58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82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0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75"/>
    <x v="1"/>
    <n v="2261"/>
    <n v="40"/>
    <x v="1"/>
    <s v="USD"/>
    <n v="1544335200"/>
    <x v="609"/>
    <n v="1545112800"/>
    <d v="2018-12-18T06:00:00"/>
    <b v="0"/>
    <b v="1"/>
    <s v="music/world music"/>
    <x v="1"/>
    <x v="22"/>
  </r>
  <r>
    <n v="923"/>
    <x v="902"/>
    <s v="Sharable discrete definition"/>
    <n v="1700"/>
    <n v="4044"/>
    <n v="237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15"/>
  </r>
  <r>
    <n v="927"/>
    <x v="906"/>
    <s v="Synergistic dynamic utilization"/>
    <n v="7200"/>
    <n v="3301"/>
    <n v="45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72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39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81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49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09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64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59"/>
    <x v="1"/>
    <n v="114"/>
    <n v="104.99"/>
    <x v="1"/>
    <s v="USD"/>
    <n v="1411534800"/>
    <x v="219"/>
    <n v="1414558800"/>
    <d v="2014-10-29T05:00:00"/>
    <b v="0"/>
    <b v="0"/>
    <s v="food/food trucks"/>
    <x v="0"/>
    <x v="15"/>
  </r>
  <r>
    <n v="944"/>
    <x v="921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26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62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96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3"/>
  </r>
  <r>
    <n v="954"/>
    <x v="931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3"/>
  </r>
  <r>
    <n v="957"/>
    <x v="934"/>
    <s v="Profound mission-critical function"/>
    <n v="9800"/>
    <n v="12434"/>
    <n v="126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34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"/>
    <x v="0"/>
    <n v="130"/>
    <n v="51.01"/>
    <x v="1"/>
    <s v="USD"/>
    <n v="1277701200"/>
    <x v="140"/>
    <n v="1280120400"/>
    <d v="2010-07-26T05:00:00"/>
    <b v="0"/>
    <b v="0"/>
    <s v="publishing/translations"/>
    <x v="5"/>
    <x v="19"/>
  </r>
  <r>
    <n v="960"/>
    <x v="937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9"/>
  </r>
  <r>
    <n v="962"/>
    <x v="939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15"/>
  </r>
  <r>
    <n v="963"/>
    <x v="940"/>
    <s v="Ergonomic methodical hub"/>
    <n v="5900"/>
    <n v="4997"/>
    <n v="84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5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2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15"/>
  </r>
  <r>
    <n v="969"/>
    <x v="945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60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27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20"/>
  </r>
  <r>
    <n v="972"/>
    <x v="948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21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73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54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3"/>
    <x v="0"/>
    <n v="67"/>
    <n v="77.27"/>
    <x v="1"/>
    <s v="USD"/>
    <n v="1517983200"/>
    <x v="863"/>
    <n v="1520748000"/>
    <d v="2018-03-11T06:00:00"/>
    <b v="0"/>
    <b v="0"/>
    <s v="food/food trucks"/>
    <x v="0"/>
    <x v="15"/>
  </r>
  <r>
    <n v="978"/>
    <x v="953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4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5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16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6"/>
  </r>
  <r>
    <n v="989"/>
    <x v="964"/>
    <s v="Versatile dedicated migration"/>
    <n v="2400"/>
    <n v="11990"/>
    <n v="499"/>
    <x v="1"/>
    <n v="226"/>
    <n v="53.05"/>
    <x v="1"/>
    <s v="USD"/>
    <n v="1555390800"/>
    <x v="843"/>
    <n v="1555822800"/>
    <d v="2019-04-21T05:00:00"/>
    <b v="0"/>
    <b v="0"/>
    <s v="publishing/translations"/>
    <x v="5"/>
    <x v="19"/>
  </r>
  <r>
    <n v="990"/>
    <x v="965"/>
    <s v="Devolved foreground customer loyalty"/>
    <n v="7800"/>
    <n v="6839"/>
    <n v="87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26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77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9"/>
  </r>
  <r>
    <n v="995"/>
    <x v="969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15"/>
  </r>
  <r>
    <n v="996"/>
    <x v="970"/>
    <s v="Future-proofed upward-trending migration"/>
    <n v="6600"/>
    <n v="4814"/>
    <n v="72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60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56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6"/>
    <x v="3"/>
    <n v="1122"/>
    <n v="55.99"/>
    <x v="1"/>
    <s v="USD"/>
    <n v="1467176400"/>
    <x v="878"/>
    <n v="1467781200"/>
    <d v="2016-07-06T05:00:00"/>
    <b v="0"/>
    <b v="0"/>
    <s v="food/food trucks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2BD2A-D6D8-437A-B671-48D1E9A8FB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E6FA-AC5B-4C79-A0D0-2BA599CFE1F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A46C2-D63A-4C72-9271-9AF3E6D07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BB74-E039-48D7-B97E-101DC6505D0A}">
  <sheetPr codeName="Sheet1"/>
  <dimension ref="A1:F14"/>
  <sheetViews>
    <sheetView workbookViewId="0">
      <selection activeCell="A5" sqref="A5:F5"/>
      <pivotSelection pane="bottomRight" showHeader="1" extendable="1" axis="axisRow" max="10" activeRow="4" previousRow="4" click="1" r:id="rId1">
        <pivotArea dataOnly="0" fieldPosition="0">
          <references count="1">
            <reference field="16" count="1">
              <x v="0"/>
            </reference>
          </references>
        </pivotArea>
      </pivotSelection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2069</v>
      </c>
    </row>
    <row r="3" spans="1:6" x14ac:dyDescent="0.35">
      <c r="A3" s="4" t="s">
        <v>2071</v>
      </c>
      <c r="B3" s="4" t="s">
        <v>2070</v>
      </c>
    </row>
    <row r="4" spans="1:6" x14ac:dyDescent="0.35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2065</v>
      </c>
      <c r="E8">
        <v>4</v>
      </c>
      <c r="F8">
        <v>4</v>
      </c>
    </row>
    <row r="9" spans="1:6" x14ac:dyDescent="0.3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9AB-9439-4287-BD8A-80451DC37B43}">
  <sheetPr codeName="Sheet2"/>
  <dimension ref="A1:F31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5.08203125" bestFit="1" customWidth="1"/>
    <col min="8" max="8" width="10.58203125" bestFit="1" customWidth="1"/>
  </cols>
  <sheetData>
    <row r="1" spans="1:6" x14ac:dyDescent="0.35">
      <c r="A1" s="4" t="s">
        <v>6</v>
      </c>
      <c r="B1" t="s">
        <v>2069</v>
      </c>
    </row>
    <row r="2" spans="1:6" x14ac:dyDescent="0.35">
      <c r="A2" s="4" t="s">
        <v>2072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2066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2056</v>
      </c>
      <c r="B12">
        <v>4</v>
      </c>
      <c r="C12">
        <v>19</v>
      </c>
      <c r="E12">
        <v>22</v>
      </c>
      <c r="F12">
        <v>45</v>
      </c>
    </row>
    <row r="13" spans="1:6" x14ac:dyDescent="0.35">
      <c r="A13" s="5" t="s">
        <v>2034</v>
      </c>
      <c r="C13">
        <v>1</v>
      </c>
      <c r="F13">
        <v>1</v>
      </c>
    </row>
    <row r="14" spans="1:6" x14ac:dyDescent="0.35">
      <c r="A14" s="5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5" t="s">
        <v>2059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5" t="s">
        <v>2058</v>
      </c>
      <c r="C16">
        <v>3</v>
      </c>
      <c r="E16">
        <v>4</v>
      </c>
      <c r="F16">
        <v>7</v>
      </c>
    </row>
    <row r="17" spans="1:6" x14ac:dyDescent="0.35">
      <c r="A17" s="5" t="s">
        <v>2062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5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5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5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5" t="s">
        <v>2057</v>
      </c>
      <c r="C21">
        <v>4</v>
      </c>
      <c r="E21">
        <v>4</v>
      </c>
      <c r="F21">
        <v>8</v>
      </c>
    </row>
    <row r="22" spans="1:6" x14ac:dyDescent="0.35">
      <c r="A22" s="5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5" t="s">
        <v>2064</v>
      </c>
      <c r="C23">
        <v>9</v>
      </c>
      <c r="E23">
        <v>5</v>
      </c>
      <c r="F23">
        <v>14</v>
      </c>
    </row>
    <row r="24" spans="1:6" x14ac:dyDescent="0.35">
      <c r="A24" s="5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5" t="s">
        <v>2061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5" t="s">
        <v>2060</v>
      </c>
      <c r="C26">
        <v>7</v>
      </c>
      <c r="E26">
        <v>14</v>
      </c>
      <c r="F26">
        <v>21</v>
      </c>
    </row>
    <row r="27" spans="1:6" x14ac:dyDescent="0.35">
      <c r="A27" s="5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5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5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5" t="s">
        <v>2063</v>
      </c>
      <c r="E30">
        <v>3</v>
      </c>
      <c r="F30">
        <v>3</v>
      </c>
    </row>
    <row r="31" spans="1:6" x14ac:dyDescent="0.35">
      <c r="A31" s="5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B37E-0B69-429E-9488-0DE6FEFBD41D}">
  <sheetPr codeName="Sheet3"/>
  <dimension ref="A1:F18"/>
  <sheetViews>
    <sheetView workbookViewId="0">
      <selection activeCell="D5" sqref="D5"/>
    </sheetView>
  </sheetViews>
  <sheetFormatPr defaultRowHeight="15.5" x14ac:dyDescent="0.35"/>
  <cols>
    <col min="1" max="1" width="26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1" width="15.08203125" bestFit="1" customWidth="1"/>
    <col min="12" max="12" width="10.58203125" bestFit="1" customWidth="1"/>
    <col min="13" max="21" width="6.4140625" bestFit="1" customWidth="1"/>
    <col min="22" max="22" width="9.33203125" bestFit="1" customWidth="1"/>
    <col min="23" max="32" width="7.9140625" bestFit="1" customWidth="1"/>
    <col min="33" max="33" width="10.83203125" bestFit="1" customWidth="1"/>
    <col min="34" max="35" width="11.5" bestFit="1" customWidth="1"/>
    <col min="36" max="36" width="14.5" bestFit="1" customWidth="1"/>
    <col min="37" max="47" width="7.4140625" bestFit="1" customWidth="1"/>
    <col min="48" max="48" width="10.33203125" bestFit="1" customWidth="1"/>
    <col min="49" max="58" width="13.25" bestFit="1" customWidth="1"/>
    <col min="59" max="59" width="16.25" bestFit="1" customWidth="1"/>
    <col min="60" max="69" width="11.1640625" bestFit="1" customWidth="1"/>
    <col min="70" max="70" width="14.1640625" bestFit="1" customWidth="1"/>
    <col min="71" max="80" width="11.6640625" bestFit="1" customWidth="1"/>
    <col min="81" max="81" width="14.6640625" bestFit="1" customWidth="1"/>
    <col min="93" max="93" width="11.58203125" bestFit="1" customWidth="1"/>
    <col min="94" max="94" width="10.58203125" bestFit="1" customWidth="1"/>
  </cols>
  <sheetData>
    <row r="1" spans="1:6" x14ac:dyDescent="0.35">
      <c r="A1" s="4" t="s">
        <v>2072</v>
      </c>
      <c r="B1" t="s">
        <v>2069</v>
      </c>
    </row>
    <row r="2" spans="1:6" x14ac:dyDescent="0.35">
      <c r="A2" s="4" t="s">
        <v>2078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2079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2080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2081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2082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2083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2084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2087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2090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5"/>
  <sheetViews>
    <sheetView tabSelected="1" topLeftCell="S979" workbookViewId="0">
      <selection activeCell="C1" sqref="C1:T100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33203125" customWidth="1"/>
    <col min="8" max="8" width="13.6640625" customWidth="1"/>
    <col min="9" max="9" width="13" customWidth="1"/>
    <col min="12" max="12" width="11.1640625" bestFit="1" customWidth="1"/>
    <col min="13" max="13" width="14.5" customWidth="1"/>
    <col min="14" max="14" width="14.58203125" customWidth="1"/>
    <col min="15" max="15" width="13.5" customWidth="1"/>
    <col min="18" max="18" width="28" bestFit="1" customWidth="1"/>
    <col min="19" max="19" width="23.75" customWidth="1"/>
    <col min="20" max="20" width="15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2072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ROUNDDOWN(E2/D2*100, 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7">
        <f>L2/86400+DATE(1970,1,1)</f>
        <v>42336.25</v>
      </c>
      <c r="N2">
        <v>1450159200</v>
      </c>
      <c r="O2" s="7">
        <f>N2/86400+DATE(1970,1,1)</f>
        <v>42353.25</v>
      </c>
      <c r="P2" t="b">
        <v>0</v>
      </c>
      <c r="Q2" t="b">
        <v>0</v>
      </c>
      <c r="R2" t="s">
        <v>2032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100</v>
      </c>
      <c r="E3">
        <v>14560</v>
      </c>
      <c r="F3">
        <f t="shared" ref="F3:F66" si="0">ROUNDDOWN(E3/D3*100, 0)</f>
        <v>14560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7">
        <f>L3/86400+DATE(1970,1,1)</f>
        <v>41870.208333333336</v>
      </c>
      <c r="N3">
        <v>1408597200</v>
      </c>
      <c r="O3" s="7">
        <f t="shared" ref="O3:O66" si="1">N3/86400+DATE(1970,1,1)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100</v>
      </c>
      <c r="E4">
        <v>142523</v>
      </c>
      <c r="F4">
        <f t="shared" si="0"/>
        <v>142523</v>
      </c>
      <c r="G4" t="s">
        <v>20</v>
      </c>
      <c r="H4">
        <v>1425</v>
      </c>
      <c r="I4">
        <f t="shared" ref="I4:I67" si="2">ROUND(E4/H4, 2)</f>
        <v>100.02</v>
      </c>
      <c r="J4" t="s">
        <v>26</v>
      </c>
      <c r="K4" t="s">
        <v>27</v>
      </c>
      <c r="L4">
        <v>1384668000</v>
      </c>
      <c r="M4" s="7">
        <f t="shared" ref="M4:M8" si="3">L4/86400+DATE(1970,1,1)</f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100</v>
      </c>
      <c r="E5">
        <v>2477</v>
      </c>
      <c r="F5">
        <f t="shared" si="0"/>
        <v>2477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100</v>
      </c>
      <c r="E6">
        <v>5265</v>
      </c>
      <c r="F6">
        <f t="shared" si="0"/>
        <v>5265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100</v>
      </c>
      <c r="E7">
        <v>13195</v>
      </c>
      <c r="F7">
        <f t="shared" si="0"/>
        <v>13195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100</v>
      </c>
      <c r="E8">
        <v>1090</v>
      </c>
      <c r="F8">
        <f t="shared" si="0"/>
        <v>1090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100</v>
      </c>
      <c r="E9">
        <v>14741</v>
      </c>
      <c r="F9">
        <f t="shared" si="0"/>
        <v>14741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7">
        <f>L9/86400+DATE(1970,1,1)</f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100</v>
      </c>
      <c r="E10">
        <v>21946</v>
      </c>
      <c r="F10">
        <f t="shared" si="0"/>
        <v>21946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7">
        <f>L10/86400+DATE(1970,1,1)</f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100</v>
      </c>
      <c r="E11">
        <v>3208</v>
      </c>
      <c r="F11">
        <f t="shared" si="0"/>
        <v>3208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 s="7">
        <f t="shared" ref="M11:M74" si="4">L11/86400+DATE(1970,1,1)</f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100</v>
      </c>
      <c r="E12">
        <v>13838</v>
      </c>
      <c r="F12">
        <f t="shared" si="0"/>
        <v>13838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4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100</v>
      </c>
      <c r="E13">
        <v>3030</v>
      </c>
      <c r="F13">
        <f t="shared" si="0"/>
        <v>3030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7">
        <f t="shared" si="4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100</v>
      </c>
      <c r="E14">
        <v>5629</v>
      </c>
      <c r="F14">
        <f t="shared" si="0"/>
        <v>5629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100</v>
      </c>
      <c r="E15">
        <v>10295</v>
      </c>
      <c r="F15">
        <f t="shared" si="0"/>
        <v>10295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100</v>
      </c>
      <c r="E16">
        <v>18829</v>
      </c>
      <c r="F16">
        <f t="shared" si="0"/>
        <v>18829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2056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2057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2059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ROUNDDOWN(E67/D67*100, 0)</f>
        <v>236</v>
      </c>
      <c r="G67" t="s">
        <v>20</v>
      </c>
      <c r="H67">
        <v>236</v>
      </c>
      <c r="I67">
        <f t="shared" si="2"/>
        <v>61.04</v>
      </c>
      <c r="J67" t="s">
        <v>21</v>
      </c>
      <c r="K67" t="s">
        <v>22</v>
      </c>
      <c r="L67">
        <v>1296108000</v>
      </c>
      <c r="M67" s="7">
        <f t="shared" si="4"/>
        <v>40570.25</v>
      </c>
      <c r="N67">
        <v>1296712800</v>
      </c>
      <c r="O67" s="7">
        <f t="shared" ref="O67:O130" si="6">N67/86400+DATE(1970,1,1)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 s="7">
        <f t="shared" si="4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7">
        <f t="shared" si="4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7">
        <f t="shared" si="4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7">
        <f t="shared" si="4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7">
        <f t="shared" si="4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7">
        <f t="shared" si="4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7">
        <f t="shared" si="4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7">
        <f t="shared" ref="M75:M138" si="8">L75/86400+DATE(1970,1,1)</f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2059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2060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2060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2060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2056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2061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2056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2057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2056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2061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2062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ROUNDDOWN(E131/D131*100,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7">
        <f t="shared" si="8"/>
        <v>42038.25</v>
      </c>
      <c r="N131">
        <v>1425103200</v>
      </c>
      <c r="O131" s="7">
        <f t="shared" ref="O131:O194" si="10">N131/86400+DATE(1970,1,1)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2056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 s="7">
        <f t="shared" si="8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100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7">
        <f t="shared" si="8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7">
        <f t="shared" si="8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310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7">
        <f t="shared" si="8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89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7">
        <f t="shared" si="8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7">
        <f t="shared" si="8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7">
        <f t="shared" si="8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261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7">
        <f t="shared" ref="M139:M202" si="12">L139/86400+DATE(1970,1,1)</f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7">
        <f t="shared" si="12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20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7">
        <f t="shared" si="12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7">
        <f t="shared" si="12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7">
        <f t="shared" si="12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7">
        <f t="shared" si="12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135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7">
        <f t="shared" si="12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7">
        <f t="shared" si="12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236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7">
        <f t="shared" si="12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7">
        <f t="shared" si="12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7">
        <f t="shared" si="12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7">
        <f t="shared" si="12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219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7">
        <f t="shared" si="12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7">
        <f t="shared" si="12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7">
        <f t="shared" si="12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7">
        <f t="shared" si="12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92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7">
        <f t="shared" si="12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58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7">
        <f t="shared" si="12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7">
        <f t="shared" si="12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73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7">
        <f t="shared" si="12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52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7">
        <f t="shared" si="12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220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7">
        <f t="shared" si="12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7">
        <f t="shared" si="12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7">
        <f t="shared" si="12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7">
        <f t="shared" si="12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149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7">
        <f t="shared" si="12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7">
        <f t="shared" si="12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7">
        <f t="shared" si="12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7">
        <f t="shared" si="12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7">
        <f t="shared" si="12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7">
        <f t="shared" si="12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7">
        <f t="shared" si="12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7">
        <f t="shared" si="12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2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7">
        <f t="shared" si="12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10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7">
        <f t="shared" si="12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2060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82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7">
        <f t="shared" si="12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7">
        <f t="shared" si="12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7">
        <f t="shared" si="12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7">
        <f t="shared" si="12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74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7">
        <f t="shared" si="12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7">
        <f t="shared" si="12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7">
        <f t="shared" si="12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2056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357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7">
        <f t="shared" si="12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7">
        <f t="shared" si="12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61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7">
        <f t="shared" si="12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7">
        <f t="shared" si="12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7">
        <f t="shared" si="12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7">
        <f t="shared" si="12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71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7">
        <f t="shared" si="12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2061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31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7">
        <f t="shared" si="12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229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7">
        <f t="shared" si="12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7">
        <f t="shared" si="12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23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7">
        <f t="shared" si="12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68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7">
        <f t="shared" si="12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37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7">
        <f t="shared" si="12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19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7">
        <f t="shared" si="12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ROUNDDOWN(E195/D195*100, 0)</f>
        <v>45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7">
        <f t="shared" si="12"/>
        <v>43198.208333333328</v>
      </c>
      <c r="N195">
        <v>1523509200</v>
      </c>
      <c r="O195" s="7">
        <f t="shared" ref="O195:O258" si="14">N195/86400+DATE(1970,1,1)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122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 s="7">
        <f t="shared" si="12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361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7">
        <f t="shared" si="12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7">
        <f t="shared" si="12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9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7">
        <f t="shared" si="12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53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7">
        <f t="shared" si="12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7">
        <f t="shared" si="12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7">
        <f t="shared" ref="M203:M266" si="16">L203/86400+DATE(1970,1,1)</f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7">
        <f t="shared" si="16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2056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7">
        <f t="shared" si="16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7">
        <f t="shared" si="16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2059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431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7">
        <f t="shared" si="16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38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7">
        <f t="shared" si="16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425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7">
        <f t="shared" si="16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7">
        <f t="shared" si="16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7">
        <f t="shared" si="16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7">
        <f t="shared" si="16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94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7">
        <f t="shared" si="16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151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7">
        <f t="shared" si="16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7">
        <f t="shared" si="16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7">
        <f t="shared" si="16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3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7">
        <f t="shared" si="16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7">
        <f t="shared" si="16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44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7">
        <f t="shared" si="16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2064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215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7">
        <f t="shared" si="16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7">
        <f t="shared" si="16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7">
        <f t="shared" si="16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7">
        <f t="shared" si="16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2056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7">
        <f t="shared" si="16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93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7">
        <f t="shared" si="16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403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7">
        <f t="shared" si="16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2064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7">
        <f t="shared" si="16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366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7">
        <f t="shared" si="16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168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7">
        <f t="shared" si="16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2062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119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7">
        <f t="shared" si="16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193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7">
        <f t="shared" si="16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2062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7">
        <f t="shared" si="16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76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7">
        <f t="shared" si="16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7">
        <f t="shared" si="16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7">
        <f t="shared" si="16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7">
        <f t="shared" si="16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7">
        <f t="shared" si="16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10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7">
        <f t="shared" si="16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7">
        <f t="shared" si="16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7">
        <f t="shared" si="16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97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7">
        <f t="shared" si="16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418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7">
        <f t="shared" si="16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101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7">
        <f t="shared" si="16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7">
        <f t="shared" si="16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7">
        <f t="shared" si="16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569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7">
        <f t="shared" si="16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7">
        <f t="shared" si="16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325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7">
        <f t="shared" si="16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932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7">
        <f t="shared" si="16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7">
        <f t="shared" si="16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2062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7">
        <f t="shared" si="16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2060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7">
        <f t="shared" si="16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7">
        <f t="shared" si="16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7">
        <f t="shared" si="16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7">
        <f t="shared" si="16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184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7">
        <f t="shared" si="16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7">
        <f t="shared" si="16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7">
        <f t="shared" si="16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ROUNDDOWN(E259/D259*100,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7">
        <f t="shared" si="16"/>
        <v>41338.25</v>
      </c>
      <c r="N259">
        <v>1363669200</v>
      </c>
      <c r="O259" s="7">
        <f t="shared" ref="O259:O322" si="18">N259/86400+DATE(1970,1,1)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 s="7">
        <f t="shared" si="16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597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7">
        <f t="shared" si="16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157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7">
        <f t="shared" si="16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7">
        <f t="shared" si="16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7">
        <f t="shared" si="16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370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7">
        <f t="shared" si="16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7">
        <f t="shared" si="16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7">
        <f t="shared" ref="M267:M330" si="20">L267/86400+DATE(1970,1,1)</f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76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7">
        <f t="shared" si="20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2059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233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7">
        <f t="shared" si="20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180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7">
        <f t="shared" si="20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252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7">
        <f t="shared" si="20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2061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7">
        <f t="shared" si="20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7">
        <f t="shared" si="20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7">
        <f t="shared" si="20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7">
        <f t="shared" si="20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7">
        <f t="shared" si="20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241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7">
        <f t="shared" si="20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2060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96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7">
        <f t="shared" si="20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7">
        <f t="shared" si="20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325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7">
        <f t="shared" si="20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170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7">
        <f t="shared" si="20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7">
        <f t="shared" si="20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91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7">
        <f t="shared" si="20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7">
        <f t="shared" si="20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2061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18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7">
        <f t="shared" si="20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7">
        <f t="shared" si="20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7">
        <f t="shared" si="20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7">
        <f t="shared" si="20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209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7">
        <f t="shared" si="20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97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7">
        <f t="shared" si="20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2058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7">
        <f t="shared" si="20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7">
        <f t="shared" si="20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456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7">
        <f t="shared" si="20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9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7">
        <f t="shared" si="20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2056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7">
        <f t="shared" si="20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1339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7">
        <f t="shared" si="20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35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7">
        <f t="shared" si="20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54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7">
        <f t="shared" si="20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7">
        <f t="shared" si="20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143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7">
        <f t="shared" si="20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7">
        <f t="shared" si="20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2056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7">
        <f t="shared" si="20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1344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7">
        <f t="shared" si="20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31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7">
        <f t="shared" si="20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82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7">
        <f t="shared" si="20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7">
        <f t="shared" si="20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7">
        <f t="shared" si="20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7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7">
        <f t="shared" si="20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7">
        <f t="shared" si="20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7">
        <f t="shared" si="20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7">
        <f t="shared" si="20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7">
        <f t="shared" si="20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7">
        <f t="shared" si="20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7">
        <f t="shared" si="20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7">
        <f t="shared" si="20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294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7">
        <f t="shared" si="20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33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7">
        <f t="shared" si="20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66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7">
        <f t="shared" si="20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2056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7">
        <f t="shared" si="20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15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7">
        <f t="shared" si="20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38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7">
        <f t="shared" si="20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9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7">
        <f t="shared" si="20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ROUNDDOWN(E323/D323*100,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7">
        <f t="shared" si="20"/>
        <v>40634.208333333336</v>
      </c>
      <c r="N323">
        <v>1302325200</v>
      </c>
      <c r="O323" s="7">
        <f t="shared" ref="O323:O386" si="22">N323/86400+DATE(1970,1,1)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166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 s="7">
        <f t="shared" si="20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7">
        <f t="shared" si="20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7">
        <f t="shared" si="20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90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7">
        <f t="shared" si="20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7">
        <f t="shared" si="20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38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7">
        <f t="shared" si="20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133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7">
        <f t="shared" si="20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22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7">
        <f t="shared" ref="M331:M394" si="24">L331/86400+DATE(1970,1,1)</f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184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7">
        <f t="shared" si="24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443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7">
        <f t="shared" si="24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2056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199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7">
        <f t="shared" si="24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7">
        <f t="shared" si="24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186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7">
        <f t="shared" si="24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7">
        <f t="shared" si="24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7">
        <f t="shared" si="24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7">
        <f t="shared" si="24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7">
        <f t="shared" si="24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79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7">
        <f t="shared" si="24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7">
        <f t="shared" si="24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84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7">
        <f t="shared" si="24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7">
        <f t="shared" si="24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53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7">
        <f t="shared" si="24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41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7">
        <f t="shared" si="24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14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7">
        <f t="shared" si="24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7">
        <f t="shared" si="24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1400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7">
        <f t="shared" si="24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71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7">
        <f t="shared" si="24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2056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7">
        <f t="shared" si="24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7">
        <f t="shared" si="24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2059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127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7">
        <f t="shared" si="24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34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7">
        <f t="shared" si="24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410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7">
        <f t="shared" si="24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123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7">
        <f t="shared" si="24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58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7">
        <f t="shared" si="24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36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7">
        <f t="shared" si="24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184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7">
        <f t="shared" si="24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11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7">
        <f t="shared" si="24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298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7">
        <f t="shared" si="24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7">
        <f t="shared" si="24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173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7">
        <f t="shared" si="24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371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7">
        <f t="shared" si="24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7">
        <f t="shared" si="24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7">
        <f t="shared" si="24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7">
        <f t="shared" si="24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7">
        <f t="shared" si="24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18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7">
        <f t="shared" si="24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276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7">
        <f t="shared" si="24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7">
        <f t="shared" si="24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2061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7">
        <f t="shared" si="24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7">
        <f t="shared" si="24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1591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7">
        <f t="shared" si="24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7">
        <f t="shared" si="24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7">
        <f t="shared" si="24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54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7">
        <f t="shared" si="24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7">
        <f t="shared" si="24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7">
        <f t="shared" si="24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13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7">
        <f t="shared" si="24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7">
        <f t="shared" si="24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7">
        <f t="shared" si="24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183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7">
        <f t="shared" si="24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63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7">
        <f t="shared" si="24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7">
        <f t="shared" si="24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2056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7">
        <f t="shared" si="24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ROUNDDOWN(E387/D387*100,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7">
        <f t="shared" si="24"/>
        <v>43553.208333333328</v>
      </c>
      <c r="N387">
        <v>1556600400</v>
      </c>
      <c r="O387" s="7">
        <f t="shared" ref="O387:O450" si="26">N387/86400+DATE(1970,1,1)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 s="7">
        <f t="shared" si="24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7">
        <f t="shared" si="24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7">
        <f t="shared" si="24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7">
        <f t="shared" si="24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186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7">
        <f t="shared" si="24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7">
        <f t="shared" si="24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65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7">
        <f t="shared" si="24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228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7">
        <f t="shared" ref="M395:M458" si="28">L395/86400+DATE(1970,1,1)</f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2059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7">
        <f t="shared" si="28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7">
        <f t="shared" si="28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7">
        <f t="shared" si="28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173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7">
        <f t="shared" si="28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717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7">
        <f t="shared" si="28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63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7">
        <f t="shared" si="28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7">
        <f t="shared" si="28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7">
        <f t="shared" si="28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7">
        <f t="shared" si="28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7">
        <f t="shared" si="28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7">
        <f t="shared" si="28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89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7">
        <f t="shared" si="28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7">
        <f t="shared" si="28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7">
        <f t="shared" si="28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131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7">
        <f t="shared" si="28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7">
        <f t="shared" si="28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7">
        <f t="shared" si="28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2062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104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7">
        <f t="shared" si="28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668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7">
        <f t="shared" si="28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7">
        <f t="shared" si="28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7">
        <f t="shared" si="28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2056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7">
        <f t="shared" si="28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43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7">
        <f t="shared" si="28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7">
        <f t="shared" si="28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7">
        <f t="shared" si="28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7">
        <f t="shared" si="28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7">
        <f t="shared" si="28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7">
        <f t="shared" si="28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7">
        <f t="shared" si="28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10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7">
        <f t="shared" si="28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2056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7">
        <f t="shared" si="28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287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7">
        <f t="shared" si="28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572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7">
        <f t="shared" si="28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112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7">
        <f t="shared" si="28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7">
        <f t="shared" si="28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90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7">
        <f t="shared" si="28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67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7">
        <f t="shared" si="28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7">
        <f t="shared" si="28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7">
        <f t="shared" si="28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7">
        <f t="shared" si="28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16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7">
        <f t="shared" si="28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116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7">
        <f t="shared" si="28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7">
        <f t="shared" si="28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2059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7">
        <f t="shared" si="28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7">
        <f t="shared" si="28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7">
        <f t="shared" si="28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2064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161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7">
        <f t="shared" si="28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2061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24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7">
        <f t="shared" si="28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198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7">
        <f t="shared" si="28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34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7">
        <f t="shared" si="28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7">
        <f t="shared" si="28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7">
        <f t="shared" si="28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7">
        <f t="shared" si="28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7">
        <f t="shared" si="28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2061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7">
        <f t="shared" si="28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ROUNDDOWN(E451/D451*100,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7">
        <f t="shared" si="28"/>
        <v>43530.25</v>
      </c>
      <c r="N451">
        <v>1553317200</v>
      </c>
      <c r="O451" s="7">
        <f t="shared" ref="O451:O514" si="30">N451/86400+DATE(1970,1,1)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 s="7">
        <f t="shared" si="28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122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7">
        <f t="shared" si="28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7">
        <f t="shared" si="28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7">
        <f t="shared" si="28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7">
        <f t="shared" si="28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7">
        <f t="shared" si="28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7">
        <f t="shared" si="28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26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7">
        <f t="shared" ref="M459:M522" si="32">L459/86400+DATE(1970,1,1)</f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7">
        <f t="shared" si="32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7">
        <f t="shared" si="32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171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7">
        <f t="shared" si="32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7">
        <f t="shared" si="32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30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7">
        <f t="shared" si="32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2062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7">
        <f t="shared" si="32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7">
        <f t="shared" si="32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187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7">
        <f t="shared" si="32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2060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7">
        <f t="shared" si="32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7">
        <f t="shared" si="32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40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7">
        <f t="shared" si="32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7">
        <f t="shared" si="32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285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7">
        <f t="shared" si="32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7">
        <f t="shared" si="32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2056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7">
        <f t="shared" si="32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7">
        <f t="shared" si="32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7">
        <f t="shared" si="32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2061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113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7">
        <f t="shared" si="32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2060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29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7">
        <f t="shared" si="32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7">
        <f t="shared" si="32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2064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7">
        <f t="shared" si="32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512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7">
        <f t="shared" si="32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2056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100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7">
        <f t="shared" si="32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7">
        <f t="shared" si="32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7">
        <f t="shared" si="32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52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7">
        <f t="shared" si="32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7">
        <f t="shared" si="32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2056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30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7">
        <f t="shared" si="32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13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7">
        <f t="shared" si="32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2060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178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7">
        <f t="shared" si="32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7">
        <f t="shared" si="32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101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7">
        <f t="shared" si="32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191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7">
        <f t="shared" si="32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7">
        <f t="shared" si="32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2056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23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7">
        <f t="shared" si="32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723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7">
        <f t="shared" si="32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7">
        <f t="shared" si="32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7">
        <f t="shared" si="32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0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7">
        <f t="shared" si="32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7">
        <f t="shared" si="32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23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7">
        <f t="shared" si="32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7">
        <f t="shared" si="32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7">
        <f t="shared" si="32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7">
        <f t="shared" si="32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529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7">
        <f t="shared" si="32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7">
        <f t="shared" si="32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7">
        <f t="shared" si="32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7">
        <f t="shared" si="32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2057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7">
        <f t="shared" si="32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39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7">
        <f t="shared" si="32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7">
        <f t="shared" si="32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70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7">
        <f t="shared" si="32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7">
        <f t="shared" si="32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7">
        <f t="shared" si="32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7">
        <f t="shared" si="32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ROUNDDOWN(E515/D515*100,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7">
        <f t="shared" si="32"/>
        <v>40430.208333333336</v>
      </c>
      <c r="N515">
        <v>1284181200</v>
      </c>
      <c r="O515" s="7">
        <f t="shared" ref="O515:O578" si="34">N515/86400+DATE(1970,1,1)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2061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 s="7">
        <f t="shared" si="32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55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7">
        <f t="shared" si="32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42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7">
        <f t="shared" si="32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7">
        <f t="shared" si="32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2056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7">
        <f t="shared" si="32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101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7">
        <f t="shared" si="32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7">
        <f t="shared" si="32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145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7">
        <f t="shared" ref="M523:M586" si="36">L523/86400+DATE(1970,1,1)</f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7">
        <f t="shared" si="36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7">
        <f t="shared" si="36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7">
        <f t="shared" si="36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7">
        <f t="shared" si="36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155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7">
        <f t="shared" si="36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99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7">
        <f t="shared" si="36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7">
        <f t="shared" si="36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7">
        <f t="shared" si="36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91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7">
        <f t="shared" si="36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95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7">
        <f t="shared" si="36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502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7">
        <f t="shared" si="36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7">
        <f t="shared" si="36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7">
        <f t="shared" si="36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7">
        <f t="shared" si="36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149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7">
        <f t="shared" si="36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7">
        <f t="shared" si="36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37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7">
        <f t="shared" si="36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72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7">
        <f t="shared" si="36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2056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265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7">
        <f t="shared" si="36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7">
        <f t="shared" si="36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2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7">
        <f t="shared" si="36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7">
        <f t="shared" si="36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276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7">
        <f t="shared" si="36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88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7">
        <f t="shared" si="36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163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7">
        <f t="shared" si="36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7">
        <f t="shared" si="36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270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7">
        <f t="shared" si="36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7">
        <f t="shared" si="36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7">
        <f t="shared" si="36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58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7">
        <f t="shared" si="36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98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7">
        <f t="shared" si="36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43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7">
        <f t="shared" si="36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151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7">
        <f t="shared" si="36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7">
        <f t="shared" si="36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239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7">
        <f t="shared" si="36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2060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7">
        <f t="shared" si="36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2064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7">
        <f t="shared" si="36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100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7">
        <f t="shared" si="36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7">
        <f t="shared" si="36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369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7">
        <f t="shared" si="36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12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7">
        <f t="shared" si="36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7">
        <f t="shared" si="36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83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7">
        <f t="shared" si="36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204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7">
        <f t="shared" si="36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7">
        <f t="shared" si="36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7">
        <f t="shared" si="36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7">
        <f t="shared" si="36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7">
        <f t="shared" si="36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305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7">
        <f t="shared" si="36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7">
        <f t="shared" si="36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7">
        <f t="shared" si="36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111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7">
        <f t="shared" si="36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7">
        <f t="shared" si="36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2056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62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7">
        <f t="shared" si="36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64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7">
        <f t="shared" si="36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ROUNDDOWN(E579/D579*100, 0)</f>
        <v>18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7">
        <f t="shared" si="36"/>
        <v>40613.25</v>
      </c>
      <c r="N579">
        <v>1302066000</v>
      </c>
      <c r="O579" s="7">
        <f t="shared" ref="O579:O642" si="38">N579/86400+DATE(1970,1,1)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16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 s="7">
        <f t="shared" si="36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2064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7">
        <f t="shared" si="36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2059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341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7">
        <f t="shared" si="36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7">
        <f t="shared" si="36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7">
        <f t="shared" si="36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7">
        <f t="shared" si="36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119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7">
        <f t="shared" si="36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146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7">
        <f t="shared" ref="M587:M650" si="40">L587/86400+DATE(1970,1,1)</f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2060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950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7">
        <f t="shared" si="40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72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7">
        <f t="shared" si="40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2056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7">
        <f t="shared" si="40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64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7">
        <f t="shared" si="40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7">
        <f t="shared" si="40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2057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7">
        <f t="shared" si="40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12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7">
        <f t="shared" si="40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154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7">
        <f t="shared" si="40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7">
        <f t="shared" si="40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208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7">
        <f t="shared" si="40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99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7">
        <f t="shared" si="40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201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7">
        <f t="shared" si="40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7">
        <f t="shared" si="40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3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7">
        <f t="shared" si="40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7">
        <f t="shared" si="40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2056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206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7">
        <f t="shared" si="40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7">
        <f t="shared" si="40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119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7">
        <f t="shared" si="40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170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7">
        <f t="shared" si="40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7">
        <f t="shared" si="40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7">
        <f t="shared" si="40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7">
        <f t="shared" si="40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2056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283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7">
        <f t="shared" si="40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2059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7">
        <f t="shared" si="40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2064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7">
        <f t="shared" si="40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13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7">
        <f t="shared" si="40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7">
        <f t="shared" si="40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7">
        <f t="shared" si="40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7">
        <f t="shared" si="40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7">
        <f t="shared" si="40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189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7">
        <f t="shared" si="40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249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7">
        <f t="shared" si="40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48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7">
        <f t="shared" si="40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7">
        <f t="shared" si="40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7">
        <f t="shared" si="40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619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7">
        <f t="shared" si="40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7">
        <f t="shared" si="40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159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7">
        <f t="shared" si="40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7">
        <f t="shared" si="40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7">
        <f t="shared" si="40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7">
        <f t="shared" si="40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7">
        <f t="shared" si="40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2056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151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7">
        <f t="shared" si="40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64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7">
        <f t="shared" si="40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62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7">
        <f t="shared" si="40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7">
        <f t="shared" si="40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42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7">
        <f t="shared" si="40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7">
        <f t="shared" si="40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78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7">
        <f t="shared" si="40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2061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7">
        <f t="shared" si="40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2061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64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7">
        <f t="shared" si="40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7">
        <f t="shared" si="40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7">
        <f t="shared" si="40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7">
        <f t="shared" si="40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16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7">
        <f t="shared" si="40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ROUNDDOWN(E643/D643*100, 0)</f>
        <v>119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7">
        <f t="shared" si="40"/>
        <v>42786.25</v>
      </c>
      <c r="N643">
        <v>1489986000</v>
      </c>
      <c r="O643" s="7">
        <f t="shared" ref="O643:O706" si="42">N643/86400+DATE(1970,1,1)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 s="7">
        <f t="shared" si="40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7">
        <f t="shared" si="40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7">
        <f t="shared" si="40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92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7">
        <f t="shared" si="40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88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7">
        <f t="shared" si="40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7">
        <f t="shared" si="40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2060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7">
        <f t="shared" si="40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2056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7">
        <f t="shared" ref="M651:M714" si="44">L651/86400+DATE(1970,1,1)</f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7">
        <f t="shared" si="44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7">
        <f t="shared" si="44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126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7">
        <f t="shared" si="44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2338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7">
        <f t="shared" si="44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7">
        <f t="shared" si="44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7">
        <f t="shared" si="44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7">
        <f t="shared" si="44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2056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7">
        <f t="shared" si="44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2064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7">
        <f t="shared" si="44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7">
        <f t="shared" si="44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81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7">
        <f t="shared" si="44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7">
        <f t="shared" si="44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97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7">
        <f t="shared" si="44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7">
        <f t="shared" si="44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7">
        <f t="shared" si="44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2059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239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7">
        <f t="shared" si="44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7">
        <f t="shared" si="44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7">
        <f t="shared" si="44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7">
        <f t="shared" si="44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7">
        <f t="shared" si="44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468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7">
        <f t="shared" si="44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7">
        <f t="shared" si="44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55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7">
        <f t="shared" si="44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43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7">
        <f t="shared" si="44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7">
        <f t="shared" si="44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122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7">
        <f t="shared" si="44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189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7">
        <f t="shared" si="44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83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7">
        <f t="shared" si="44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7">
        <f t="shared" si="44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1036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7">
        <f t="shared" si="44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2056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7">
        <f t="shared" si="44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7">
        <f t="shared" si="44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7">
        <f t="shared" si="44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7">
        <f t="shared" si="44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542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7">
        <f t="shared" si="44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67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7">
        <f t="shared" si="44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191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7">
        <f t="shared" si="44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7">
        <f t="shared" si="44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7">
        <f t="shared" si="44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2061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100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7">
        <f t="shared" si="44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226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7">
        <f t="shared" si="44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7">
        <f t="shared" si="44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90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7">
        <f t="shared" si="44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63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7">
        <f t="shared" si="44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7">
        <f t="shared" si="44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133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7">
        <f t="shared" si="44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7">
        <f t="shared" si="44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152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7">
        <f t="shared" si="44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446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7">
        <f t="shared" si="44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7">
        <f t="shared" si="44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7">
        <f t="shared" si="44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7">
        <f t="shared" si="44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7">
        <f t="shared" si="44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311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7">
        <f t="shared" si="44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2060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122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7">
        <f t="shared" si="44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ROUNDDOWN(E707/D707*100,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7">
        <f t="shared" si="44"/>
        <v>41619.25</v>
      </c>
      <c r="N707">
        <v>1387087200</v>
      </c>
      <c r="O707" s="7">
        <f t="shared" ref="O707:O770" si="46">N707/86400+DATE(1970,1,1)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127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 s="7">
        <f t="shared" si="44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158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7">
        <f t="shared" si="44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7">
        <f t="shared" si="44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7">
        <f t="shared" si="44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7">
        <f t="shared" si="44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7">
        <f t="shared" si="44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1840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7">
        <f t="shared" si="44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161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7">
        <f t="shared" ref="M715:M778" si="48">L715/86400+DATE(1970,1,1)</f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2057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472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7">
        <f t="shared" si="48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7">
        <f t="shared" si="48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2062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517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7">
        <f t="shared" si="48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247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7">
        <f t="shared" si="48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7">
        <f t="shared" si="48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7">
        <f t="shared" si="48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7">
        <f t="shared" si="48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7">
        <f t="shared" si="48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156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7">
        <f t="shared" si="48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7">
        <f t="shared" si="48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7">
        <f t="shared" si="48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7">
        <f t="shared" si="48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2062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88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7">
        <f t="shared" si="48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7">
        <f t="shared" si="48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17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7">
        <f t="shared" si="48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185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7">
        <f t="shared" si="48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412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7">
        <f t="shared" si="48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7">
        <f t="shared" si="48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7">
        <f t="shared" si="48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7">
        <f t="shared" si="48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2058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7">
        <f t="shared" si="48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7">
        <f t="shared" si="48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32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7">
        <f t="shared" si="48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135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7">
        <f t="shared" si="48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7">
        <f t="shared" si="48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7">
        <f t="shared" si="48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7">
        <f t="shared" si="48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7">
        <f t="shared" si="48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7">
        <f t="shared" si="48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12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7">
        <f t="shared" si="48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7">
        <f t="shared" si="48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7">
        <f t="shared" si="48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212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7">
        <f t="shared" si="48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228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7">
        <f t="shared" si="48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34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7">
        <f t="shared" si="48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7">
        <f t="shared" si="48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7">
        <f t="shared" si="48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7">
        <f t="shared" si="48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7">
        <f t="shared" si="48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256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7">
        <f t="shared" si="48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7">
        <f t="shared" si="48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166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7">
        <f t="shared" si="48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7">
        <f t="shared" si="48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406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7">
        <f t="shared" si="48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7">
        <f t="shared" si="48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7">
        <f t="shared" si="48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7">
        <f t="shared" si="48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7">
        <f t="shared" si="48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7">
        <f t="shared" si="48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2059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7">
        <f t="shared" si="48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7">
        <f t="shared" si="48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7">
        <f t="shared" si="48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7">
        <f t="shared" si="48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7">
        <f t="shared" si="48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2060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7">
        <f t="shared" si="48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ROUNDDOWN(E771/D771*100, 0)</f>
        <v>86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7">
        <f t="shared" si="48"/>
        <v>41501.208333333336</v>
      </c>
      <c r="N771">
        <v>1378789200</v>
      </c>
      <c r="O771" s="7">
        <f t="shared" ref="O771:O834" si="50">N771/86400+DATE(1970,1,1)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270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 s="7">
        <f t="shared" si="48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7">
        <f t="shared" si="48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7">
        <f t="shared" si="48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190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7">
        <f t="shared" si="48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7">
        <f t="shared" si="48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7">
        <f t="shared" si="48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65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7">
        <f t="shared" si="48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7">
        <f t="shared" ref="M779:M842" si="52">L779/86400+DATE(1970,1,1)</f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787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7">
        <f t="shared" si="52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7">
        <f t="shared" si="52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7">
        <f t="shared" si="52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50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7">
        <f t="shared" si="52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7">
        <f t="shared" si="52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7">
        <f t="shared" si="52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7">
        <f t="shared" si="52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7">
        <f t="shared" si="52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729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7">
        <f t="shared" si="52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99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7">
        <f t="shared" si="52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7">
        <f t="shared" si="52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7">
        <f t="shared" si="52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30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7">
        <f t="shared" si="52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25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7">
        <f t="shared" si="52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2056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7">
        <f t="shared" si="52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1185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7">
        <f t="shared" si="52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7">
        <f t="shared" si="52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7">
        <f t="shared" si="52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7">
        <f t="shared" si="52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2062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109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7">
        <f t="shared" si="52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7">
        <f t="shared" si="52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7">
        <f t="shared" si="52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7">
        <f t="shared" si="52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202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7">
        <f t="shared" si="52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7">
        <f t="shared" si="52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7">
        <f t="shared" si="52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268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7">
        <f t="shared" si="52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50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7">
        <f t="shared" si="52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7">
        <f t="shared" si="52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7">
        <f t="shared" si="52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7">
        <f t="shared" si="52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2056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62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7">
        <f t="shared" si="52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7">
        <f t="shared" si="52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7">
        <f t="shared" si="52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225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7">
        <f t="shared" si="52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7">
        <f t="shared" si="52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7">
        <f t="shared" si="52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7">
        <f t="shared" si="52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7">
        <f t="shared" si="52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368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7">
        <f t="shared" si="52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1094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7">
        <f t="shared" si="52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50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7">
        <f t="shared" si="52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800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7">
        <f t="shared" si="52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7">
        <f t="shared" si="52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349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7">
        <f t="shared" si="52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7">
        <f t="shared" si="52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7">
        <f t="shared" si="52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387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7">
        <f t="shared" si="52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7">
        <f t="shared" si="52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7">
        <f t="shared" si="52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7">
        <f t="shared" si="52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7">
        <f t="shared" si="52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7">
        <f t="shared" si="52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108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7">
        <f t="shared" si="52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7">
        <f t="shared" si="52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2060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ROUNDDOWN(E835/D835*100, 0)</f>
        <v>157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7">
        <f t="shared" si="52"/>
        <v>40588.25</v>
      </c>
      <c r="N835">
        <v>1298613600</v>
      </c>
      <c r="O835" s="7">
        <f t="shared" ref="O835:O898" si="54">N835/86400+DATE(1970,1,1)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2060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153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 s="7">
        <f t="shared" si="52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89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7">
        <f t="shared" si="52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7">
        <f t="shared" si="52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852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7">
        <f t="shared" si="52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2059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138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7">
        <f t="shared" si="52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7">
        <f t="shared" si="52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7">
        <f t="shared" si="52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142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7">
        <f t="shared" ref="M843:M906" si="56">L843/86400+DATE(1970,1,1)</f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7">
        <f t="shared" si="56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30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7">
        <f t="shared" si="56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7">
        <f t="shared" si="56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197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7">
        <f t="shared" si="56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508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7">
        <f t="shared" si="56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237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7">
        <f t="shared" si="56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2056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7">
        <f t="shared" si="56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7">
        <f t="shared" si="56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7">
        <f t="shared" si="56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207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7">
        <f t="shared" si="56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7">
        <f t="shared" si="56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7">
        <f t="shared" si="56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113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7">
        <f t="shared" si="56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7">
        <f t="shared" si="56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356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7">
        <f t="shared" si="56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2056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139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7">
        <f t="shared" si="56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7">
        <f t="shared" si="56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2056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7">
        <f t="shared" si="56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251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7">
        <f t="shared" si="56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105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7">
        <f t="shared" si="56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7">
        <f t="shared" si="56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386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7">
        <f t="shared" si="56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2061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7">
        <f t="shared" si="56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185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7">
        <f t="shared" si="56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7">
        <f t="shared" si="56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7">
        <f t="shared" si="56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2056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184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7">
        <f t="shared" si="56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23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7">
        <f t="shared" si="56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89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7">
        <f t="shared" si="56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272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7">
        <f t="shared" si="56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7">
        <f t="shared" si="56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2064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7">
        <f t="shared" si="56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346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7">
        <f t="shared" si="56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7">
        <f t="shared" si="56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7">
        <f t="shared" si="56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7">
        <f t="shared" si="56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2056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7">
        <f t="shared" si="56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2058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543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7">
        <f t="shared" si="56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228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7">
        <f t="shared" si="56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38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7">
        <f t="shared" si="56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7">
        <f t="shared" si="56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237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7">
        <f t="shared" si="56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7">
        <f t="shared" si="56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7">
        <f t="shared" si="56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84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7">
        <f t="shared" si="56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7">
        <f t="shared" si="56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209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7">
        <f t="shared" si="56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169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7">
        <f t="shared" si="56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115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7">
        <f t="shared" si="56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258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7">
        <f t="shared" si="56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230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7">
        <f t="shared" si="56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2060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7">
        <f t="shared" si="56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188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7">
        <f t="shared" si="56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2061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6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7">
        <f t="shared" si="56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7">
        <f t="shared" si="56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2056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ROUNDDOWN(E899/D899*100, 0)</f>
        <v>27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7">
        <f t="shared" si="56"/>
        <v>43583.208333333328</v>
      </c>
      <c r="N899">
        <v>1556600400</v>
      </c>
      <c r="O899" s="7">
        <f t="shared" ref="O899:O962" si="58">N899/86400+DATE(1970,1,1)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 s="7">
        <f t="shared" si="56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7">
        <f t="shared" si="56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7">
        <f t="shared" si="56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7">
        <f t="shared" si="56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7">
        <f t="shared" si="56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1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7">
        <f t="shared" si="56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7">
        <f t="shared" si="56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2057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163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7">
        <f t="shared" ref="M907:M970" si="60">L907/86400+DATE(1970,1,1)</f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162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7">
        <f t="shared" si="60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7">
        <f t="shared" si="60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7">
        <f t="shared" si="60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478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7">
        <f t="shared" si="60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19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7">
        <f t="shared" si="60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198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7">
        <f t="shared" si="60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7">
        <f t="shared" si="60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50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7">
        <f t="shared" si="60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7">
        <f t="shared" si="60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155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7">
        <f t="shared" si="60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2061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7">
        <f t="shared" si="60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7">
        <f t="shared" si="60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7">
        <f t="shared" si="60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2057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58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7">
        <f t="shared" si="60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182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7">
        <f t="shared" si="60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0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7">
        <f t="shared" si="60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175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7">
        <f t="shared" si="60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2063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237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7">
        <f t="shared" si="60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7">
        <f t="shared" si="60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7">
        <f t="shared" si="60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7">
        <f t="shared" si="60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2056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45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7">
        <f t="shared" si="60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7">
        <f t="shared" si="60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7">
        <f t="shared" si="60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7">
        <f t="shared" si="60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72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7">
        <f t="shared" si="60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7">
        <f t="shared" si="60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239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7">
        <f t="shared" si="60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181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7">
        <f t="shared" si="60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7">
        <f t="shared" si="60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1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7">
        <f t="shared" si="60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49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7">
        <f t="shared" si="60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109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7">
        <f t="shared" si="60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7">
        <f t="shared" si="60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7">
        <f t="shared" si="60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7">
        <f t="shared" si="60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64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7">
        <f t="shared" si="60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159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7">
        <f t="shared" si="60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2056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7">
        <f t="shared" si="60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7">
        <f t="shared" si="60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9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7">
        <f t="shared" si="60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26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7">
        <f t="shared" si="60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62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7">
        <f t="shared" si="60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7">
        <f t="shared" si="60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7">
        <f t="shared" si="60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1096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7">
        <f t="shared" si="60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7">
        <f t="shared" si="60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7">
        <f t="shared" si="60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2064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7">
        <f t="shared" si="60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7">
        <f t="shared" si="60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7">
        <f t="shared" si="60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2064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7">
        <f t="shared" si="60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734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7">
        <f t="shared" si="60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4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7">
        <f t="shared" si="60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2060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7">
        <f t="shared" si="60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ROUNDDOWN(E963/D963*100,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7">
        <f t="shared" si="60"/>
        <v>40591.25</v>
      </c>
      <c r="N963">
        <v>1298268000</v>
      </c>
      <c r="O963" s="7">
        <f t="shared" ref="O963:O1001" si="62">N963/86400+DATE(1970,1,1)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2060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 s="7">
        <f t="shared" si="60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2056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84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7">
        <f t="shared" si="60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355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7">
        <f t="shared" si="60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7">
        <f t="shared" si="60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7">
        <f t="shared" si="60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7">
        <f t="shared" si="60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2063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7">
        <f t="shared" si="60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2056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7">
        <f t="shared" ref="M971:M1001" si="64">L971/86400+DATE(1970,1,1)</f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60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7">
        <f t="shared" si="64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27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7">
        <f t="shared" si="64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2061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7">
        <f t="shared" si="64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21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7">
        <f t="shared" si="64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373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7">
        <f t="shared" si="64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154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7">
        <f t="shared" si="64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7">
        <f t="shared" si="64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73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7">
        <f t="shared" si="64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2056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7">
        <f t="shared" si="64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7">
        <f t="shared" si="64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7">
        <f t="shared" si="64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7">
        <f t="shared" si="64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84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7">
        <f t="shared" si="64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145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7">
        <f t="shared" si="64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7">
        <f t="shared" si="64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7">
        <f t="shared" si="64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7">
        <f t="shared" si="64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216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7">
        <f t="shared" si="64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7">
        <f t="shared" si="64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2057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499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7">
        <f t="shared" si="64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2060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87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7">
        <f t="shared" si="64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7">
        <f t="shared" si="64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426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7">
        <f t="shared" si="64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77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7">
        <f t="shared" si="64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7">
        <f t="shared" si="64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2060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7">
        <f t="shared" si="64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2056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72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7">
        <f t="shared" si="64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60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7">
        <f t="shared" si="64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56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7">
        <f t="shared" si="64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56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7">
        <f t="shared" si="64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2056</v>
      </c>
    </row>
    <row r="1002" spans="1:20" x14ac:dyDescent="0.35">
      <c r="M1002" s="6"/>
    </row>
    <row r="1003" spans="1:20" x14ac:dyDescent="0.35">
      <c r="M1003" s="6"/>
    </row>
    <row r="1004" spans="1:20" x14ac:dyDescent="0.35">
      <c r="M1004" s="6"/>
    </row>
    <row r="1005" spans="1:20" x14ac:dyDescent="0.35">
      <c r="M1005" s="6"/>
    </row>
  </sheetData>
  <autoFilter ref="A1:T1001" xr:uid="{00000000-0001-0000-0000-000000000000}">
    <filterColumn colId="6">
      <filters>
        <filter val="failed"/>
      </filters>
    </filterColumn>
  </autoFilter>
  <conditionalFormatting sqref="E1">
    <cfRule type="containsText" dxfId="16" priority="4" operator="containsText" text="live">
      <formula>NOT(ISERROR(SEARCH("live",E1)))</formula>
    </cfRule>
    <cfRule type="containsText" dxfId="15" priority="5" operator="containsText" text="live">
      <formula>NOT(ISERROR(SEARCH("live",E1)))</formula>
    </cfRule>
  </conditionalFormatting>
  <conditionalFormatting sqref="F2:F1001">
    <cfRule type="colorScale" priority="1">
      <colorScale>
        <cfvo type="num" val="0"/>
        <cfvo type="num" val="550"/>
        <cfvo type="num" val="1150"/>
        <color rgb="FFC00000"/>
        <color rgb="FFFFEB84"/>
        <color rgb="FF63BE7B"/>
      </colorScale>
    </cfRule>
    <cfRule type="colorScale" priority="2">
      <colorScale>
        <cfvo type="num" val="0"/>
        <cfvo type="num" val="550"/>
        <cfvo type="num" val="1100"/>
        <color rgb="FFC00000"/>
        <color rgb="FFF7B38D"/>
        <color rgb="FF63BE7B"/>
      </colorScale>
    </cfRule>
  </conditionalFormatting>
  <conditionalFormatting sqref="G1:G1002">
    <cfRule type="containsText" dxfId="14" priority="6" operator="containsText" text="canceled">
      <formula>NOT(ISERROR(SEARCH("canceled",G1)))</formula>
    </cfRule>
    <cfRule type="containsText" dxfId="13" priority="7" operator="containsText" text="failed">
      <formula>NOT(ISERROR(SEARCH("failed",G1)))</formula>
    </cfRule>
    <cfRule type="containsText" dxfId="12" priority="8" operator="containsText" text="faild">
      <formula>NOT(ISERROR(SEARCH("faild",G1)))</formula>
    </cfRule>
    <cfRule type="containsText" dxfId="11" priority="9" operator="containsText" text="successful">
      <formula>NOT(ISERROR(SEARCH("successful",G1)))</formula>
    </cfRule>
  </conditionalFormatting>
  <conditionalFormatting sqref="G2:G1005">
    <cfRule type="containsText" dxfId="10" priority="3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6358-7AAB-47CC-A10E-26D02B24666C}">
  <sheetPr codeName="Sheet5"/>
  <dimension ref="A1:H13"/>
  <sheetViews>
    <sheetView topLeftCell="A2" workbookViewId="0">
      <selection activeCell="G22" sqref="G22"/>
    </sheetView>
  </sheetViews>
  <sheetFormatPr defaultRowHeight="15.5" x14ac:dyDescent="0.35"/>
  <cols>
    <col min="1" max="1" width="25.9140625" customWidth="1"/>
    <col min="2" max="2" width="20.1640625" customWidth="1"/>
    <col min="3" max="3" width="17.9140625" customWidth="1"/>
    <col min="4" max="4" width="20.1640625" customWidth="1"/>
    <col min="5" max="5" width="15.6640625" customWidth="1"/>
    <col min="6" max="6" width="18.33203125" customWidth="1"/>
    <col min="7" max="7" width="17.5" customWidth="1"/>
    <col min="8" max="8" width="18.5" customWidth="1"/>
  </cols>
  <sheetData>
    <row r="1" spans="1:8" x14ac:dyDescent="0.35">
      <c r="A1" t="s">
        <v>2075</v>
      </c>
      <c r="B1" t="s">
        <v>2105</v>
      </c>
      <c r="C1" t="s">
        <v>2076</v>
      </c>
      <c r="D1" t="s">
        <v>2102</v>
      </c>
      <c r="E1" t="s">
        <v>2077</v>
      </c>
      <c r="F1" t="s">
        <v>2103</v>
      </c>
      <c r="G1" t="s">
        <v>2104</v>
      </c>
      <c r="H1" t="s">
        <v>2106</v>
      </c>
    </row>
    <row r="2" spans="1:8" x14ac:dyDescent="0.35">
      <c r="A2" t="s">
        <v>2091</v>
      </c>
      <c r="B2">
        <f>COUNTIFS(crowdfunding!D:D,"&lt;1000",crowdfunding!G:G,"successful")</f>
        <v>36</v>
      </c>
      <c r="C2">
        <f>COUNTIFS(crowdfunding!D:D,"&lt;1000",crowdfunding!G:G,"failed")</f>
        <v>27</v>
      </c>
      <c r="D2">
        <f>COUNTIFS(crowdfunding!D:D,"&lt;1000",crowdfunding!G:G,"canceled")</f>
        <v>1</v>
      </c>
      <c r="E2">
        <f>SUM(B2,C2,D2)</f>
        <v>64</v>
      </c>
      <c r="F2" s="8">
        <f>B2/E2</f>
        <v>0.5625</v>
      </c>
      <c r="G2" s="8">
        <f>C2/E2</f>
        <v>0.421875</v>
      </c>
      <c r="H2" s="8">
        <f>D2/E2</f>
        <v>1.5625E-2</v>
      </c>
    </row>
    <row r="3" spans="1:8" x14ac:dyDescent="0.35">
      <c r="A3" t="s">
        <v>2092</v>
      </c>
      <c r="B3">
        <f>COUNTIFS(crowdfunding!D:D,"&gt;1000",crowdfunding!D:D,"&lt;5000",crowdfunding!G:G,"successful")</f>
        <v>182</v>
      </c>
      <c r="C3">
        <f>COUNTIFS(crowdfunding!D:D,"&gt;1000",crowdfunding!D:D,"&lt;5000",crowdfunding!G:G,"failed")</f>
        <v>36</v>
      </c>
      <c r="D3">
        <f>COUNTIFS(crowdfunding!D:D,"&gt;1000",crowdfunding!D:D,"&lt;5000",crowdfunding!G:G,"canceled")</f>
        <v>2</v>
      </c>
      <c r="E3">
        <f t="shared" ref="E3:E13" si="0">SUM(B3,C3,D3)</f>
        <v>220</v>
      </c>
      <c r="F3" s="8">
        <f t="shared" ref="F3:F13" si="1">B3/E3</f>
        <v>0.82727272727272727</v>
      </c>
      <c r="G3" s="8">
        <f t="shared" ref="G3:G13" si="2">C3/E3</f>
        <v>0.16363636363636364</v>
      </c>
      <c r="H3" s="8">
        <f t="shared" ref="H3:H13" si="3">D3/E3</f>
        <v>9.0909090909090905E-3</v>
      </c>
    </row>
    <row r="4" spans="1:8" x14ac:dyDescent="0.35">
      <c r="A4" t="s">
        <v>2093</v>
      </c>
      <c r="B4">
        <f>COUNTIFS(crowdfunding!D:D,"&gt;5000",crowdfunding!D:D,"&lt;10000",crowdfunding!G:G,"successful")</f>
        <v>155</v>
      </c>
      <c r="C4">
        <f>COUNTIFS(crowdfunding!D:D,"&gt;5000",crowdfunding!D:D,"&lt;10000",crowdfunding!G:G,"failed")</f>
        <v>120</v>
      </c>
      <c r="D4">
        <f>COUNTIFS(crowdfunding!D:D,"&gt;5000",crowdfunding!D:D,"&lt;10000",crowdfunding!G:G,"canceled")</f>
        <v>25</v>
      </c>
      <c r="E4">
        <f t="shared" si="0"/>
        <v>300</v>
      </c>
      <c r="F4" s="8">
        <f t="shared" si="1"/>
        <v>0.51666666666666672</v>
      </c>
      <c r="G4" s="8">
        <f t="shared" si="2"/>
        <v>0.4</v>
      </c>
      <c r="H4" s="8">
        <f t="shared" si="3"/>
        <v>8.3333333333333329E-2</v>
      </c>
    </row>
    <row r="5" spans="1:8" x14ac:dyDescent="0.35">
      <c r="A5" t="s">
        <v>2094</v>
      </c>
      <c r="B5">
        <f>COUNTIFS(crowdfunding!D:D,"&gt;10000",crowdfunding!D:D,"&lt;15000",crowdfunding!G:G,"successful")</f>
        <v>2</v>
      </c>
      <c r="C5">
        <f>COUNTIFS(crowdfunding!D:D,"&gt;10000",crowdfunding!D:D,"&lt;15000",crowdfunding!G:G,"failed")</f>
        <v>0</v>
      </c>
      <c r="D5">
        <f>COUNTIFS(crowdfunding!D:D,"&gt;10000",crowdfunding!D:D,"&lt;15000",crowdfunding!G:G,"canceled")</f>
        <v>0</v>
      </c>
      <c r="E5">
        <f t="shared" si="0"/>
        <v>2</v>
      </c>
      <c r="F5" s="8">
        <f t="shared" si="1"/>
        <v>1</v>
      </c>
      <c r="G5" s="8">
        <f t="shared" si="2"/>
        <v>0</v>
      </c>
      <c r="H5" s="8">
        <f t="shared" si="3"/>
        <v>0</v>
      </c>
    </row>
    <row r="6" spans="1:8" x14ac:dyDescent="0.35">
      <c r="A6" t="s">
        <v>2095</v>
      </c>
      <c r="B6">
        <f>COUNTIFS(crowdfunding!D:D,"&gt;15000",crowdfunding!D:D,"&lt;20000",crowdfunding!G:G,"successful")</f>
        <v>10</v>
      </c>
      <c r="C6">
        <f>COUNTIFS(crowdfunding!D:D,"&gt;15000",crowdfunding!D:D,"&lt;20000",crowdfunding!G:G,"failed")</f>
        <v>0</v>
      </c>
      <c r="D6">
        <f>COUNTIFS(crowdfunding!D:D,"&gt;15000",crowdfunding!D:D,"&lt;20000",crowdfunding!G:G,"canceled")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5">
      <c r="A7" t="s">
        <v>2096</v>
      </c>
      <c r="B7">
        <f>COUNTIFS(crowdfunding!D:D,"&gt;20000",crowdfunding!D:D,"&lt;25000",crowdfunding!G:G,"successful")</f>
        <v>5</v>
      </c>
      <c r="C7">
        <f>COUNTIFS(crowdfunding!D:D,"&gt;20000",crowdfunding!D:D,"&lt;25000",crowdfunding!G:G,"failed")</f>
        <v>0</v>
      </c>
      <c r="D7">
        <f>COUNTIFS(crowdfunding!D:D,"&gt;20000",crowdfunding!D:D,"&lt;25000",crowdfunding!G:G,"canceled")</f>
        <v>0</v>
      </c>
      <c r="E7">
        <f t="shared" si="0"/>
        <v>5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5">
      <c r="A8" t="s">
        <v>2097</v>
      </c>
      <c r="B8">
        <f>COUNTIFS(crowdfunding!D:D,"&gt;25000",crowdfunding!D:D,"&lt;30000",crowdfunding!G:G,"successful")</f>
        <v>10</v>
      </c>
      <c r="C8">
        <f>COUNTIFS(crowdfunding!D:D,"&gt;25000",crowdfunding!D:D,"&lt;30000",crowdfunding!G:G,"failed")</f>
        <v>2</v>
      </c>
      <c r="D8">
        <f>COUNTIFS(crowdfunding!D:D,"&gt;25000",crowdfunding!D:D,"&lt;30000",crowdfunding!G:G,"canceled")</f>
        <v>0</v>
      </c>
      <c r="E8">
        <f t="shared" si="0"/>
        <v>12</v>
      </c>
      <c r="F8" s="8">
        <f t="shared" si="1"/>
        <v>0.83333333333333337</v>
      </c>
      <c r="G8" s="8">
        <f t="shared" si="2"/>
        <v>0.16666666666666666</v>
      </c>
      <c r="H8" s="8">
        <f t="shared" si="3"/>
        <v>0</v>
      </c>
    </row>
    <row r="9" spans="1:8" x14ac:dyDescent="0.35">
      <c r="A9" t="s">
        <v>2098</v>
      </c>
      <c r="B9">
        <f>COUNTIFS(crowdfunding!D:D,"&gt;30000",crowdfunding!D:D,"&lt;35000",crowdfunding!G:G,"successful")</f>
        <v>7</v>
      </c>
      <c r="C9">
        <f>COUNTIFS(crowdfunding!D:D,"&gt;30000",crowdfunding!D:D,"&lt;35000",crowdfunding!G:G,"failed")</f>
        <v>0</v>
      </c>
      <c r="D9">
        <f>COUNTIFS(crowdfunding!D:D,"&gt;30000",crowdfunding!D:D,"&lt;35000",crowdfunding!G:G,"canceled")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5">
      <c r="A10" t="s">
        <v>2099</v>
      </c>
      <c r="B10">
        <f>COUNTIFS(crowdfunding!D:D,"&gt;35000",crowdfunding!D:D,"&lt;40000",crowdfunding!G:G,"successful")</f>
        <v>7</v>
      </c>
      <c r="C10">
        <f>COUNTIFS(crowdfunding!D:D,"&gt;35000",crowdfunding!D:D,"&lt;40000",crowdfunding!G:G,"failed")</f>
        <v>3</v>
      </c>
      <c r="D10">
        <f>COUNTIFS(crowdfunding!D:D,"&gt;35000",crowdfunding!D:D,40000,crowdfunding!G:G,"canceled")</f>
        <v>0</v>
      </c>
      <c r="E10">
        <f t="shared" si="0"/>
        <v>10</v>
      </c>
      <c r="F10" s="8">
        <f t="shared" si="1"/>
        <v>0.7</v>
      </c>
      <c r="G10" s="8">
        <f t="shared" si="2"/>
        <v>0.3</v>
      </c>
      <c r="H10" s="8">
        <f t="shared" si="3"/>
        <v>0</v>
      </c>
    </row>
    <row r="11" spans="1:8" x14ac:dyDescent="0.35">
      <c r="A11" t="s">
        <v>2100</v>
      </c>
      <c r="B11">
        <f>COUNTIFS(crowdfunding!D:D,"&gt;40000",crowdfunding!D:D,"&lt;45000",crowdfunding!G:G,"successful")</f>
        <v>11</v>
      </c>
      <c r="C11">
        <f>COUNTIFS(crowdfunding!D:D,"&gt;40000",crowdfunding!D:D,"&lt;45000",crowdfunding!G:G,"failed")</f>
        <v>3</v>
      </c>
      <c r="D11">
        <f>COUNTIFS(crowdfunding!D:D,"&gt;40000",crowdfunding!D:D,"&lt;45000",crowdfunding!G:G,"canceled")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5">
      <c r="A12" t="s">
        <v>2101</v>
      </c>
      <c r="B12">
        <f>COUNTIFS(crowdfunding!D:D,"&gt;45000",crowdfunding!D:D,"&lt;50000",crowdfunding!G:G,"successful")</f>
        <v>8</v>
      </c>
      <c r="C12">
        <f>COUNTIFS(crowdfunding!D:D,"&gt;45000",crowdfunding!D:D,50000,crowdfunding!G:G,"failed")</f>
        <v>0</v>
      </c>
      <c r="D12">
        <f>COUNTIFS(crowdfunding!D:D,"&gt;45000",crowdfunding!D:D,"&lt;50000",crowdfunding!G:G,"canceled")</f>
        <v>0</v>
      </c>
      <c r="E12">
        <f t="shared" si="0"/>
        <v>8</v>
      </c>
      <c r="F12" s="8">
        <f t="shared" si="1"/>
        <v>1</v>
      </c>
      <c r="G12" s="8">
        <f t="shared" si="2"/>
        <v>0</v>
      </c>
      <c r="H12" s="8">
        <f t="shared" si="3"/>
        <v>0</v>
      </c>
    </row>
    <row r="13" spans="1:8" x14ac:dyDescent="0.35">
      <c r="A13" t="s">
        <v>2107</v>
      </c>
      <c r="B13">
        <f>COUNTIFS(crowdfunding!D:D,"&gt;50000",crowdfunding!G:G,"successful")</f>
        <v>113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304</v>
      </c>
      <c r="F13" s="8">
        <f t="shared" si="1"/>
        <v>0.37171052631578949</v>
      </c>
      <c r="G13" s="8">
        <f t="shared" si="2"/>
        <v>0.53618421052631582</v>
      </c>
      <c r="H13" s="8">
        <f t="shared" si="3"/>
        <v>9.2105263157894732E-2</v>
      </c>
    </row>
  </sheetData>
  <autoFilter ref="A1:H1" xr:uid="{47DA6358-7AAB-47CC-A10E-26D02B24666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011-12AB-4181-A739-0B959A486B76}">
  <sheetPr codeName="Sheet6"/>
  <dimension ref="A1:J566"/>
  <sheetViews>
    <sheetView workbookViewId="0">
      <selection activeCell="I9" sqref="I9"/>
    </sheetView>
  </sheetViews>
  <sheetFormatPr defaultRowHeight="15.5" x14ac:dyDescent="0.35"/>
  <cols>
    <col min="1" max="1" width="20.6640625" customWidth="1"/>
    <col min="2" max="2" width="13" customWidth="1"/>
    <col min="6" max="6" width="18.4140625" customWidth="1"/>
  </cols>
  <sheetData>
    <row r="1" spans="1:10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10" x14ac:dyDescent="0.35">
      <c r="A2" t="s">
        <v>20</v>
      </c>
      <c r="B2">
        <v>158</v>
      </c>
      <c r="C2" t="s">
        <v>14</v>
      </c>
      <c r="D2">
        <v>0</v>
      </c>
      <c r="F2" s="9" t="s">
        <v>2111</v>
      </c>
      <c r="H2" s="9" t="s">
        <v>2110</v>
      </c>
      <c r="I2" s="9"/>
      <c r="J2" s="9"/>
    </row>
    <row r="3" spans="1:10" x14ac:dyDescent="0.35">
      <c r="A3" t="s">
        <v>20</v>
      </c>
      <c r="B3">
        <v>1425</v>
      </c>
      <c r="C3" t="s">
        <v>14</v>
      </c>
      <c r="D3">
        <v>24</v>
      </c>
      <c r="F3" t="s">
        <v>2108</v>
      </c>
      <c r="G3">
        <f>AVERAGE(B2:B566)</f>
        <v>851.14690265486729</v>
      </c>
      <c r="H3" t="s">
        <v>2108</v>
      </c>
      <c r="I3">
        <f>AVERAGE(D2:D365)</f>
        <v>585.61538461538464</v>
      </c>
    </row>
    <row r="4" spans="1:10" x14ac:dyDescent="0.35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MEDIAN(B2,B566)</f>
        <v>1100.5</v>
      </c>
      <c r="H4" t="s">
        <v>2109</v>
      </c>
      <c r="I4">
        <f>MEDIAN(D2,D365)</f>
        <v>187</v>
      </c>
    </row>
    <row r="5" spans="1:10" x14ac:dyDescent="0.35">
      <c r="A5" t="s">
        <v>20</v>
      </c>
      <c r="B5">
        <v>227</v>
      </c>
      <c r="C5" t="s">
        <v>14</v>
      </c>
      <c r="D5">
        <v>18</v>
      </c>
      <c r="F5" t="s">
        <v>2112</v>
      </c>
      <c r="G5">
        <f>MIN(B2,B566)</f>
        <v>158</v>
      </c>
      <c r="H5" t="s">
        <v>2112</v>
      </c>
      <c r="I5">
        <f>MIN(D2,D365)</f>
        <v>0</v>
      </c>
    </row>
    <row r="6" spans="1:10" x14ac:dyDescent="0.35">
      <c r="A6" t="s">
        <v>20</v>
      </c>
      <c r="B6">
        <v>220</v>
      </c>
      <c r="C6" t="s">
        <v>14</v>
      </c>
      <c r="D6">
        <v>44</v>
      </c>
      <c r="F6" t="s">
        <v>2113</v>
      </c>
      <c r="G6">
        <f>MAX(B2,B566)</f>
        <v>2043</v>
      </c>
      <c r="H6" t="s">
        <v>2113</v>
      </c>
      <c r="I6">
        <f>MAX(D2,D365)</f>
        <v>374</v>
      </c>
    </row>
    <row r="7" spans="1:10" x14ac:dyDescent="0.35">
      <c r="A7" t="s">
        <v>20</v>
      </c>
      <c r="B7">
        <v>98</v>
      </c>
      <c r="C7" t="s">
        <v>14</v>
      </c>
      <c r="D7">
        <v>27</v>
      </c>
      <c r="F7" t="s">
        <v>2114</v>
      </c>
      <c r="G7">
        <f>VAR(B2,B566)</f>
        <v>1776612.5</v>
      </c>
      <c r="H7" t="s">
        <v>2114</v>
      </c>
      <c r="I7">
        <f>VAR(D2,D365)</f>
        <v>69938</v>
      </c>
    </row>
    <row r="8" spans="1:10" x14ac:dyDescent="0.35">
      <c r="A8" t="s">
        <v>20</v>
      </c>
      <c r="B8">
        <v>100</v>
      </c>
      <c r="C8" t="s">
        <v>14</v>
      </c>
      <c r="D8">
        <v>55</v>
      </c>
      <c r="F8" t="s">
        <v>2115</v>
      </c>
      <c r="G8" s="10">
        <f>STDEV(B2,B566)</f>
        <v>1332.896282536642</v>
      </c>
      <c r="H8" t="s">
        <v>2115</v>
      </c>
      <c r="I8" s="10">
        <f>STDEV(D2,D365)</f>
        <v>264.45793616376875</v>
      </c>
    </row>
    <row r="9" spans="1:10" x14ac:dyDescent="0.35">
      <c r="A9" t="s">
        <v>20</v>
      </c>
      <c r="B9">
        <v>1249</v>
      </c>
      <c r="C9" t="s">
        <v>14</v>
      </c>
      <c r="D9">
        <v>200</v>
      </c>
    </row>
    <row r="10" spans="1:10" x14ac:dyDescent="0.35">
      <c r="A10" t="s">
        <v>20</v>
      </c>
      <c r="B10">
        <v>1396</v>
      </c>
      <c r="C10" t="s">
        <v>14</v>
      </c>
      <c r="D10">
        <v>452</v>
      </c>
    </row>
    <row r="11" spans="1:10" x14ac:dyDescent="0.35">
      <c r="A11" t="s">
        <v>20</v>
      </c>
      <c r="B11">
        <v>890</v>
      </c>
      <c r="C11" t="s">
        <v>14</v>
      </c>
      <c r="D11">
        <v>674</v>
      </c>
    </row>
    <row r="12" spans="1:10" x14ac:dyDescent="0.35">
      <c r="A12" t="s">
        <v>20</v>
      </c>
      <c r="B12">
        <v>142</v>
      </c>
      <c r="C12" t="s">
        <v>14</v>
      </c>
      <c r="D12">
        <v>558</v>
      </c>
    </row>
    <row r="13" spans="1:10" x14ac:dyDescent="0.35">
      <c r="A13" t="s">
        <v>20</v>
      </c>
      <c r="B13">
        <v>2673</v>
      </c>
      <c r="C13" t="s">
        <v>14</v>
      </c>
      <c r="D13">
        <v>15</v>
      </c>
    </row>
    <row r="14" spans="1:10" x14ac:dyDescent="0.35">
      <c r="A14" t="s">
        <v>20</v>
      </c>
      <c r="B14">
        <v>163</v>
      </c>
      <c r="C14" t="s">
        <v>14</v>
      </c>
      <c r="D14">
        <v>2307</v>
      </c>
    </row>
    <row r="15" spans="1:10" x14ac:dyDescent="0.35">
      <c r="A15" t="s">
        <v>20</v>
      </c>
      <c r="B15">
        <v>2220</v>
      </c>
      <c r="C15" t="s">
        <v>14</v>
      </c>
      <c r="D15">
        <v>88</v>
      </c>
    </row>
    <row r="16" spans="1:10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7">
    <cfRule type="containsText" dxfId="9" priority="7" operator="containsText" text="canceled">
      <formula>NOT(ISERROR(SEARCH("canceled",A1)))</formula>
    </cfRule>
    <cfRule type="containsText" dxfId="8" priority="8" operator="containsText" text="failed">
      <formula>NOT(ISERROR(SEARCH("failed",A1)))</formula>
    </cfRule>
    <cfRule type="containsText" dxfId="7" priority="9" operator="containsText" text="faild">
      <formula>NOT(ISERROR(SEARCH("faild",A1)))</formula>
    </cfRule>
    <cfRule type="containsText" dxfId="6" priority="10" operator="containsText" text="successful">
      <formula>NOT(ISERROR(SEARCH("successful",A1)))</formula>
    </cfRule>
  </conditionalFormatting>
  <conditionalFormatting sqref="A2:A570">
    <cfRule type="containsText" dxfId="5" priority="6" operator="containsText" text="live">
      <formula>NOT(ISERROR(SEARCH("live",A2)))</formula>
    </cfRule>
  </conditionalFormatting>
  <conditionalFormatting sqref="C1:C366">
    <cfRule type="containsText" dxfId="4" priority="2" operator="containsText" text="canceled">
      <formula>NOT(ISERROR(SEARCH("canceled",C1)))</formula>
    </cfRule>
    <cfRule type="containsText" dxfId="3" priority="3" operator="containsText" text="failed">
      <formula>NOT(ISERROR(SEARCH("failed",C1)))</formula>
    </cfRule>
    <cfRule type="containsText" dxfId="2" priority="4" operator="containsText" text="faild">
      <formula>NOT(ISERROR(SEARCH("faild",C1)))</formula>
    </cfRule>
    <cfRule type="containsText" dxfId="1" priority="5" operator="containsText" text="successful">
      <formula>NOT(ISERROR(SEARCH("successful",C1)))</formula>
    </cfRule>
  </conditionalFormatting>
  <conditionalFormatting sqref="C2:C369"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 Goals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Navdeep Grewal</cp:lastModifiedBy>
  <dcterms:created xsi:type="dcterms:W3CDTF">2021-09-29T18:52:28Z</dcterms:created>
  <dcterms:modified xsi:type="dcterms:W3CDTF">2024-09-08T13:05:56Z</dcterms:modified>
</cp:coreProperties>
</file>