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nguru.naveen\Documents\"/>
    </mc:Choice>
  </mc:AlternateContent>
  <xr:revisionPtr revIDLastSave="0" documentId="13_ncr:1_{51DE5C76-C66A-48B6-9CE7-06031EFB16E8}" xr6:coauthVersionLast="47" xr6:coauthVersionMax="47" xr10:uidLastSave="{00000000-0000-0000-0000-000000000000}"/>
  <bookViews>
    <workbookView xWindow="-110" yWindow="490" windowWidth="19420" windowHeight="10420" xr2:uid="{239F5D48-E4E3-F645-BABA-08DD8A1E159A}"/>
  </bookViews>
  <sheets>
    <sheet name="INCOME TAX CAL" sheetId="1" r:id="rId1"/>
    <sheet name="My Investments" sheetId="4" r:id="rId2"/>
    <sheet name="HRA CALCULATION" sheetId="3" r:id="rId3"/>
    <sheet name="my tax sheet FY21-2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3" i="1" l="1"/>
  <c r="D11" i="1"/>
  <c r="B20" i="5"/>
  <c r="B18" i="5"/>
  <c r="C33" i="1"/>
  <c r="G26" i="5"/>
  <c r="I7" i="5"/>
  <c r="H17" i="5"/>
  <c r="G20" i="5"/>
  <c r="H15" i="5"/>
  <c r="H16" i="5"/>
  <c r="I10" i="5"/>
  <c r="I8" i="5"/>
  <c r="I6" i="5"/>
  <c r="I5" i="5"/>
  <c r="H7" i="5"/>
  <c r="H5" i="5"/>
  <c r="H6" i="5"/>
  <c r="D18" i="4"/>
  <c r="D15" i="4"/>
  <c r="K26" i="4"/>
  <c r="C15" i="4"/>
  <c r="C10" i="4"/>
  <c r="G29" i="5" l="1"/>
  <c r="C3" i="4" l="1"/>
  <c r="C2" i="4"/>
  <c r="D47" i="1" l="1"/>
  <c r="D51" i="1"/>
  <c r="D53" i="1"/>
  <c r="Q13" i="1"/>
  <c r="R21" i="1" s="1"/>
  <c r="S21" i="1" s="1"/>
  <c r="C7" i="3"/>
  <c r="G14" i="3" s="1"/>
  <c r="C6" i="3"/>
  <c r="G10" i="3" s="1"/>
  <c r="C5" i="3"/>
  <c r="G12" i="3" s="1"/>
  <c r="H15" i="1"/>
  <c r="D42" i="1"/>
  <c r="D37" i="1"/>
  <c r="C27" i="1"/>
  <c r="D31" i="1" s="1"/>
  <c r="D35" i="1"/>
  <c r="D49" i="1"/>
  <c r="D45" i="1"/>
  <c r="L22" i="1"/>
  <c r="M27" i="1" s="1"/>
  <c r="N27" i="1" s="1"/>
  <c r="R15" i="1" l="1"/>
  <c r="S15" i="1" s="1"/>
  <c r="R17" i="1"/>
  <c r="S17" i="1" s="1"/>
  <c r="R18" i="1"/>
  <c r="S18" i="1" s="1"/>
  <c r="R19" i="1"/>
  <c r="S19" i="1" s="1"/>
  <c r="R20" i="1"/>
  <c r="S20" i="1" s="1"/>
  <c r="R16" i="1"/>
  <c r="S16" i="1" s="1"/>
  <c r="G17" i="3"/>
  <c r="M25" i="1"/>
  <c r="N25" i="1" s="1"/>
  <c r="M24" i="1"/>
  <c r="N24" i="1" s="1"/>
  <c r="M26" i="1"/>
  <c r="N26" i="1" s="1"/>
  <c r="D33" i="1" l="1"/>
  <c r="D55" i="1" s="1"/>
  <c r="D57" i="1" s="1"/>
  <c r="S22" i="1"/>
  <c r="S30" i="1" s="1"/>
  <c r="S31" i="1" s="1"/>
  <c r="S33" i="1" s="1"/>
  <c r="N28" i="1"/>
  <c r="H13" i="1" l="1"/>
  <c r="L13" i="1"/>
  <c r="M18" i="1" s="1"/>
  <c r="N18" i="1" s="1"/>
  <c r="M17" i="1" l="1"/>
  <c r="N17" i="1" s="1"/>
  <c r="M15" i="1"/>
  <c r="N15" i="1" s="1"/>
  <c r="M16" i="1"/>
  <c r="N16" i="1" s="1"/>
  <c r="N19" i="1" l="1"/>
  <c r="N30" i="1" s="1"/>
  <c r="N31" i="1" s="1"/>
  <c r="N33" i="1" s="1"/>
</calcChain>
</file>

<file path=xl/sharedStrings.xml><?xml version="1.0" encoding="utf-8"?>
<sst xmlns="http://schemas.openxmlformats.org/spreadsheetml/2006/main" count="218" uniqueCount="188">
  <si>
    <t>UNDER SECTION 80</t>
  </si>
  <si>
    <t>DEDUCTIONS</t>
  </si>
  <si>
    <t>NAME</t>
  </si>
  <si>
    <t>AGE</t>
  </si>
  <si>
    <t>1. HEALTH INSURANCE FOR SELF</t>
  </si>
  <si>
    <t>2. HEALTH INSURANCE FOR PARENTS</t>
  </si>
  <si>
    <t>LIFE INSURANCE PREMIUM</t>
  </si>
  <si>
    <t>UNIT LINKED INSURANCE</t>
  </si>
  <si>
    <t>ELSS</t>
  </si>
  <si>
    <t>CHILDREN'S TUTION FEES</t>
  </si>
  <si>
    <t>PPF</t>
  </si>
  <si>
    <t>CONTRIBUTION TO SSY</t>
  </si>
  <si>
    <t>TAX SAVING FD</t>
  </si>
  <si>
    <t>NSC</t>
  </si>
  <si>
    <t>PRINCIPAL ON HOME LOAN</t>
  </si>
  <si>
    <t>EPF / NPS</t>
  </si>
  <si>
    <t>SEC 80E INTEREST ON EDUCATION LOAN      (E)</t>
  </si>
  <si>
    <t>NPS 80CCD(1B)                                                    (C)</t>
  </si>
  <si>
    <t>SECTION 80GG HRA                                            (D)</t>
  </si>
  <si>
    <t>SECTION 24B HOME LOAN INTEREST              (H)</t>
  </si>
  <si>
    <t>TOTAL DEDUCTION UNDER 80D                       (G)</t>
  </si>
  <si>
    <t>GROSS TOTAL                                                     (B)</t>
  </si>
  <si>
    <t>TAX PAYABLE AS PER OLD REGIME</t>
  </si>
  <si>
    <t>TAX PAYABLE AS PER NEW REGIME</t>
  </si>
  <si>
    <t>YEARS</t>
  </si>
  <si>
    <t>Monthly</t>
  </si>
  <si>
    <t>Annually</t>
  </si>
  <si>
    <t>Basic + DA</t>
  </si>
  <si>
    <t>HRA</t>
  </si>
  <si>
    <t>Rent</t>
  </si>
  <si>
    <t>Actual HRA Received</t>
  </si>
  <si>
    <t>Basic + DA (1. 50% in Metro,2. 40% in Non Metro)</t>
  </si>
  <si>
    <r>
      <t xml:space="preserve">Actual Rent Paid   </t>
    </r>
    <r>
      <rPr>
        <sz val="36"/>
        <color theme="0"/>
        <rFont val="Animales Fantastic"/>
      </rPr>
      <t xml:space="preserve"> -     </t>
    </r>
    <r>
      <rPr>
        <sz val="22"/>
        <color theme="0"/>
        <rFont val="Animales Fantastic"/>
      </rPr>
      <t>10%   of Basic+DA</t>
    </r>
  </si>
  <si>
    <t>Exemption</t>
  </si>
  <si>
    <t>1 to 250000</t>
  </si>
  <si>
    <t>250001 to 500000</t>
  </si>
  <si>
    <t>500001 to 1000000</t>
  </si>
  <si>
    <t>above 1000000</t>
  </si>
  <si>
    <t>TOTAL TAXABLE INCOME</t>
  </si>
  <si>
    <t>TAX SLABS</t>
  </si>
  <si>
    <t>RATE</t>
  </si>
  <si>
    <t>SLAB VALUE</t>
  </si>
  <si>
    <t>TAX</t>
  </si>
  <si>
    <t>TAX CALCULATION FOR AGE BLOW 60YEARS</t>
  </si>
  <si>
    <t>TAX CALCULATION FOR AGE ABOVE 60 AND BELOW 80YEARS</t>
  </si>
  <si>
    <t>TAX CALCULATION AS PER OLD TAX REGIME</t>
  </si>
  <si>
    <t>500001 to 750000</t>
  </si>
  <si>
    <t>750001 to 1000000</t>
  </si>
  <si>
    <t>1000001 to 1250000</t>
  </si>
  <si>
    <t>1250001 to 1500000</t>
  </si>
  <si>
    <t>Above 1500000</t>
  </si>
  <si>
    <t>TOTAL ANNUAL INCOME</t>
  </si>
  <si>
    <t>GROSS TAX PAYABLE</t>
  </si>
  <si>
    <t>EDUCATION CESS 4%</t>
  </si>
  <si>
    <t>GROSS TAX PAYABLE UNDER OLD REGIME</t>
  </si>
  <si>
    <t>NET TOATAL TAXA PAYABLE UNDER OLD REGIME</t>
  </si>
  <si>
    <t>Disclaimer: The calculator is for the age lesser than 80Yrs &amp; it is to give the approximate tax payable value which will help you in analysing things accordingly. So please consider this as only for learning purpose only</t>
  </si>
  <si>
    <t>SECTION 80D                                                       (G)</t>
  </si>
  <si>
    <t>TOTAL ANNUAL INCOME                                    (A)</t>
  </si>
  <si>
    <t>UNDER SECTION 80C                                          (B)</t>
  </si>
  <si>
    <t>SEC 80EEA INTEREST ON HOME LOAN            (F)</t>
  </si>
  <si>
    <t>SECTION 80EEB INTEREST ON EV                     (I)</t>
  </si>
  <si>
    <t>STANDARD DEDUCTION                                      (J)</t>
  </si>
  <si>
    <t>LTA  SECTION 10(5)                                              (K)</t>
  </si>
  <si>
    <t>OTHERS                                                                 (L)</t>
  </si>
  <si>
    <t>TOTAL DEDUCTIONS (M) (B+C+D+E+F+G+H+I+J+K+L)</t>
  </si>
  <si>
    <t>NET TAXABLE INCOME                                   (A-M)</t>
  </si>
  <si>
    <t>PARENT'S AGE</t>
  </si>
  <si>
    <t>NET DEDUCTIONS UNDER SEC 80C          (B+C)</t>
  </si>
  <si>
    <t>Note: Please Click on the yellow colored cells only to feed the details</t>
  </si>
  <si>
    <t>https://www.youtube.com/channel/UChBT5TlUeG68PKvJSg6MkqQ</t>
  </si>
  <si>
    <t>TO IMPROVE YOUR FINANCIAL KNOWLEDGE FOLLOW US @</t>
  </si>
  <si>
    <t>THIS PRODUCT BELONGS TO</t>
  </si>
  <si>
    <t>LETS STAY IN TOUCH @</t>
  </si>
  <si>
    <t>INSTAGRAM</t>
  </si>
  <si>
    <t xml:space="preserve">TWITTER </t>
  </si>
  <si>
    <t>FACEBOOK</t>
  </si>
  <si>
    <t>TELEGRAM</t>
  </si>
  <si>
    <t>https://www.instagram.com/moneypurseadv/</t>
  </si>
  <si>
    <t>https://twitter.com/moneypurseadv</t>
  </si>
  <si>
    <t>https://www.facebook.com/moneypurseadv</t>
  </si>
  <si>
    <r>
      <t xml:space="preserve">To </t>
    </r>
    <r>
      <rPr>
        <sz val="24"/>
        <color rgb="FFFFFF00"/>
        <rFont val="Calibri (Body)"/>
      </rPr>
      <t>Support 'Money Purse Channel'</t>
    </r>
    <r>
      <rPr>
        <sz val="24"/>
        <color theme="0"/>
        <rFont val="Calibri"/>
        <family val="2"/>
        <scheme val="minor"/>
      </rPr>
      <t xml:space="preserve"> you can </t>
    </r>
    <r>
      <rPr>
        <b/>
        <sz val="24"/>
        <color rgb="FFFFFF00"/>
        <rFont val="Calibri (Body)"/>
      </rPr>
      <t>open your "DEMAT ACCOUNT"</t>
    </r>
    <r>
      <rPr>
        <sz val="24"/>
        <color theme="0"/>
        <rFont val="Calibri"/>
        <family val="2"/>
        <scheme val="minor"/>
      </rPr>
      <t xml:space="preserve"> with below brokers</t>
    </r>
  </si>
  <si>
    <t>ZERODHA</t>
  </si>
  <si>
    <t>UPSTOX</t>
  </si>
  <si>
    <t>ANGEL BROAKING</t>
  </si>
  <si>
    <t xml:space="preserve">http://tinyurl.com/y3r42a2x </t>
  </si>
  <si>
    <t>https://zerodha.com/open-account?c=ZM...</t>
  </si>
  <si>
    <t>https://tinyurl.com/y8sbw9w8</t>
  </si>
  <si>
    <t>Naveen Ponguru</t>
  </si>
  <si>
    <t>Max Term Plan</t>
  </si>
  <si>
    <t>HDFC Click2Invest</t>
  </si>
  <si>
    <t>Annual</t>
  </si>
  <si>
    <t>Invst Type</t>
  </si>
  <si>
    <t>80DD</t>
  </si>
  <si>
    <t>EPF</t>
  </si>
  <si>
    <t>LIC</t>
  </si>
  <si>
    <t>ULIP(HDFC INVT &amp; Term Life)</t>
  </si>
  <si>
    <t>Year</t>
  </si>
  <si>
    <t>NPS (Corporate)</t>
  </si>
  <si>
    <t>FY22-23   --&gt; 80C</t>
  </si>
  <si>
    <t>Income from ATG (01-04-2021 to 05-04-2021)</t>
  </si>
  <si>
    <t>Salary Components(Breakup)</t>
  </si>
  <si>
    <t>Perquisite Breakup</t>
  </si>
  <si>
    <t>Sl. No</t>
  </si>
  <si>
    <t>Description</t>
  </si>
  <si>
    <t>Amount</t>
  </si>
  <si>
    <t>COVID Allowance</t>
  </si>
  <si>
    <t>House Rent Allowance</t>
  </si>
  <si>
    <t xml:space="preserve">Basic Salary </t>
  </si>
  <si>
    <t xml:space="preserve">Special Allowance </t>
  </si>
  <si>
    <t>Bonus</t>
  </si>
  <si>
    <t xml:space="preserve">KEY PERFORMANCE BONUS </t>
  </si>
  <si>
    <t xml:space="preserve">LEAVE ENCASHMENT </t>
  </si>
  <si>
    <t>SHIFT ALLOWANCE</t>
  </si>
  <si>
    <t xml:space="preserve">NationalPensionScheme </t>
  </si>
  <si>
    <t>Superannuation</t>
  </si>
  <si>
    <t xml:space="preserve">TaxablePerkNpsPfSuperann </t>
  </si>
  <si>
    <t>Previous employer income</t>
  </si>
  <si>
    <t>Exemptions u/s Section 10</t>
  </si>
  <si>
    <t xml:space="preserve">Gross salary </t>
  </si>
  <si>
    <t xml:space="preserve">A </t>
  </si>
  <si>
    <t>O</t>
  </si>
  <si>
    <t>B</t>
  </si>
  <si>
    <t>C</t>
  </si>
  <si>
    <t>S</t>
  </si>
  <si>
    <t>P</t>
  </si>
  <si>
    <t>R</t>
  </si>
  <si>
    <t xml:space="preserve">D1 </t>
  </si>
  <si>
    <t xml:space="preserve">D2 </t>
  </si>
  <si>
    <t>D</t>
  </si>
  <si>
    <t xml:space="preserve">E </t>
  </si>
  <si>
    <t>F</t>
  </si>
  <si>
    <t xml:space="preserve">G </t>
  </si>
  <si>
    <t>Gross taxable income (A - B + C - D - E -F)</t>
  </si>
  <si>
    <t>Total exemptions Section 10 (Total B)</t>
  </si>
  <si>
    <t xml:space="preserve"> Other Income</t>
  </si>
  <si>
    <t>Profession tax</t>
  </si>
  <si>
    <t>Profession tax previous employer</t>
  </si>
  <si>
    <t xml:space="preserve"> Total Profession tax(Subject to max. 2500) </t>
  </si>
  <si>
    <t xml:space="preserve">Standard Deduction </t>
  </si>
  <si>
    <t xml:space="preserve"> Interest on Housing Loan</t>
  </si>
  <si>
    <t>Deductions under Chapter VI A</t>
  </si>
  <si>
    <t xml:space="preserve">H </t>
  </si>
  <si>
    <t>Total</t>
  </si>
  <si>
    <t xml:space="preserve">Deduction 80CCD(2) Employer </t>
  </si>
  <si>
    <t xml:space="preserve">Section 80 C </t>
  </si>
  <si>
    <t xml:space="preserve">NPS 80CCD1(B) Employee </t>
  </si>
  <si>
    <t>I</t>
  </si>
  <si>
    <t>J</t>
  </si>
  <si>
    <t>K</t>
  </si>
  <si>
    <t>L</t>
  </si>
  <si>
    <t>M</t>
  </si>
  <si>
    <t>N</t>
  </si>
  <si>
    <t>Q</t>
  </si>
  <si>
    <t>Tax on Total Income after Rebate Sec87A</t>
  </si>
  <si>
    <t xml:space="preserve">Net taxable income (G-H) </t>
  </si>
  <si>
    <t>Tax on total income</t>
  </si>
  <si>
    <t xml:space="preserve">Rebate Sec 87A </t>
  </si>
  <si>
    <t>Surcharge</t>
  </si>
  <si>
    <t xml:space="preserve">N Education cess </t>
  </si>
  <si>
    <t>O Total tax payable (L+M+N)</t>
  </si>
  <si>
    <t>P Tax deducted till Current Month</t>
  </si>
  <si>
    <t xml:space="preserve">Q TDS previous employer </t>
  </si>
  <si>
    <t xml:space="preserve">R Balance tax payable (O-P-Q) </t>
  </si>
  <si>
    <t>S Monthly payable tax</t>
  </si>
  <si>
    <t>Gross Salary</t>
  </si>
  <si>
    <t>Professional Tax</t>
  </si>
  <si>
    <t>Standard Deduction</t>
  </si>
  <si>
    <t> Income chargeable under the head salaries (G - H)</t>
  </si>
  <si>
    <t>PF</t>
  </si>
  <si>
    <t>80DD 80% &gt;</t>
  </si>
  <si>
    <t>80% &lt;</t>
  </si>
  <si>
    <t>80C excemption</t>
  </si>
  <si>
    <t>Total Deductions</t>
  </si>
  <si>
    <t>80CCD(2)-employer</t>
  </si>
  <si>
    <t>80CCD(1)</t>
  </si>
  <si>
    <t>8 Months</t>
  </si>
  <si>
    <t>Basic Sal</t>
  </si>
  <si>
    <t>HRA received</t>
  </si>
  <si>
    <t>12 Months</t>
  </si>
  <si>
    <t>40% of Basic</t>
  </si>
  <si>
    <t>company given to employee</t>
  </si>
  <si>
    <t>rent paid by employee</t>
  </si>
  <si>
    <t>Rent Paid by Employee</t>
  </si>
  <si>
    <t>HRA received from Employer</t>
  </si>
  <si>
    <t>ULIP</t>
  </si>
  <si>
    <t>Tax Deduction so FAR</t>
  </si>
  <si>
    <t>HRA+CORP_NPS+Ptax+80DDB+80DDB (80% 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</si>
</sst>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#,##0.00"/>
  </numFmts>
  <fonts count="25">
    <font>
      <sz val="12"/>
      <color theme="1"/>
      <name val="Calibri"/>
      <family val="2"/>
      <scheme val="minor"/>
    </font>
    <font>
      <sz val="36"/>
      <color theme="1"/>
      <name val="Arial Bold"/>
    </font>
    <font>
      <b/>
      <sz val="36"/>
      <color theme="1"/>
      <name val="Arial Bold"/>
    </font>
    <font>
      <sz val="26"/>
      <color theme="1"/>
      <name val="Animales Fantastic"/>
    </font>
    <font>
      <sz val="26"/>
      <color theme="0"/>
      <name val="Animales Fantastic"/>
    </font>
    <font>
      <sz val="22"/>
      <color theme="0"/>
      <name val="Animales Fantastic"/>
    </font>
    <font>
      <sz val="22"/>
      <color theme="1"/>
      <name val="Animales Fantastic"/>
    </font>
    <font>
      <sz val="36"/>
      <color theme="0"/>
      <name val="Animales Fantastic"/>
    </font>
    <font>
      <sz val="22"/>
      <color theme="1"/>
      <name val="Arial Bold"/>
    </font>
    <font>
      <sz val="32"/>
      <color theme="1"/>
      <name val="Arial Bold"/>
    </font>
    <font>
      <sz val="36"/>
      <color theme="0"/>
      <name val="Arial Bold"/>
    </font>
    <font>
      <u/>
      <sz val="12"/>
      <color theme="10"/>
      <name val="Calibri"/>
      <family val="2"/>
      <scheme val="minor"/>
    </font>
    <font>
      <u/>
      <sz val="24"/>
      <color theme="10"/>
      <name val="Calibri"/>
      <family val="2"/>
      <scheme val="minor"/>
    </font>
    <font>
      <sz val="24"/>
      <color theme="1"/>
      <name val="Arial Bold"/>
    </font>
    <font>
      <sz val="32"/>
      <color theme="0"/>
      <name val="Arial Bold"/>
    </font>
    <font>
      <u/>
      <sz val="36"/>
      <color theme="10"/>
      <name val="Calibri"/>
      <family val="2"/>
      <scheme val="minor"/>
    </font>
    <font>
      <sz val="24"/>
      <color theme="0"/>
      <name val="Calibri"/>
      <family val="2"/>
      <scheme val="minor"/>
    </font>
    <font>
      <sz val="24"/>
      <color rgb="FFFFFF00"/>
      <name val="Calibri (Body)"/>
    </font>
    <font>
      <b/>
      <sz val="24"/>
      <color rgb="FFFFFF00"/>
      <name val="Calibri (Body)"/>
    </font>
    <font>
      <b/>
      <sz val="36"/>
      <color theme="0"/>
      <name val="Calibri"/>
      <family val="2"/>
      <scheme val="minor"/>
    </font>
    <font>
      <u/>
      <sz val="26"/>
      <color theme="10"/>
      <name val="Calibri"/>
      <family val="2"/>
      <scheme val="minor"/>
    </font>
    <font>
      <u/>
      <sz val="19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6"/>
      <color rgb="FF002E57"/>
      <name val="Verdana"/>
      <family val="2"/>
    </font>
    <font>
      <sz val="6"/>
      <color rgb="FF002E57"/>
      <name val="Verdan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198"/>
        <bgColor indexed="64"/>
      </patternFill>
    </fill>
    <fill>
      <patternFill patternType="solid">
        <fgColor rgb="FF87FAA4"/>
        <bgColor indexed="64"/>
      </patternFill>
    </fill>
    <fill>
      <patternFill patternType="solid">
        <fgColor rgb="FF38F0FF"/>
        <bgColor indexed="64"/>
      </patternFill>
    </fill>
    <fill>
      <patternFill patternType="solid">
        <fgColor rgb="FF77D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DE298"/>
        <bgColor indexed="64"/>
      </patternFill>
    </fill>
    <fill>
      <patternFill patternType="solid">
        <fgColor rgb="FF68F1FB"/>
        <bgColor indexed="64"/>
      </patternFill>
    </fill>
    <fill>
      <patternFill patternType="solid">
        <fgColor rgb="FF77D9FA"/>
        <bgColor indexed="64"/>
      </patternFill>
    </fill>
    <fill>
      <patternFill patternType="solid">
        <fgColor rgb="FF9411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3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FFA3A4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BEFCFF"/>
        <bgColor indexed="64"/>
      </patternFill>
    </fill>
    <fill>
      <patternFill patternType="solid">
        <fgColor rgb="FFD982FA"/>
        <bgColor indexed="64"/>
      </patternFill>
    </fill>
    <fill>
      <patternFill patternType="solid">
        <fgColor rgb="FFFDE398"/>
        <bgColor indexed="64"/>
      </patternFill>
    </fill>
    <fill>
      <patternFill patternType="solid">
        <fgColor rgb="FFF17D78"/>
        <bgColor indexed="64"/>
      </patternFill>
    </fill>
    <fill>
      <patternFill patternType="solid">
        <fgColor rgb="FFD4F878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BEFCFD"/>
        <bgColor indexed="64"/>
      </patternFill>
    </fill>
    <fill>
      <patternFill patternType="solid">
        <fgColor rgb="FFF3933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1">
    <border>
      <left/>
      <right/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/>
      <bottom/>
      <diagonal/>
    </border>
    <border>
      <left/>
      <right/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 style="thick">
        <color theme="1"/>
      </right>
      <top/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/>
      <top/>
      <bottom style="thin">
        <color rgb="FF00B0F0"/>
      </bottom>
      <diagonal/>
    </border>
    <border>
      <left style="thin">
        <color rgb="FF00B0F0"/>
      </left>
      <right style="medium">
        <color rgb="FF002060"/>
      </right>
      <top style="thin">
        <color rgb="FF00B0F0"/>
      </top>
      <bottom style="thin">
        <color rgb="FF00B0F0"/>
      </bottom>
      <diagonal/>
    </border>
    <border>
      <left style="medium">
        <color rgb="FF00206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/>
      <top/>
      <bottom/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/>
      <bottom style="medium">
        <color rgb="FF002060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2060"/>
      </right>
      <top/>
      <bottom/>
      <diagonal/>
    </border>
    <border>
      <left/>
      <right/>
      <top style="thin">
        <color rgb="FF00B0F0"/>
      </top>
      <bottom/>
      <diagonal/>
    </border>
    <border>
      <left style="medium">
        <color rgb="FF002060"/>
      </left>
      <right/>
      <top/>
      <bottom/>
      <diagonal/>
    </border>
    <border>
      <left/>
      <right style="medium">
        <color rgb="FF002060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rgb="FF002060"/>
      </left>
      <right/>
      <top/>
      <bottom style="thick">
        <color rgb="FF002060"/>
      </bottom>
      <diagonal/>
    </border>
    <border>
      <left/>
      <right style="thick">
        <color rgb="FF002060"/>
      </right>
      <top/>
      <bottom style="thick">
        <color rgb="FF002060"/>
      </bottom>
      <diagonal/>
    </border>
    <border>
      <left style="thick">
        <color indexed="64"/>
      </left>
      <right style="thick">
        <color indexed="64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ck">
        <color rgb="FF002060"/>
      </left>
      <right/>
      <top style="thick">
        <color rgb="FF002060"/>
      </top>
      <bottom style="thick">
        <color rgb="FF002060"/>
      </bottom>
      <diagonal/>
    </border>
    <border>
      <left/>
      <right style="thick">
        <color rgb="FF002060"/>
      </right>
      <top style="thick">
        <color rgb="FF002060"/>
      </top>
      <bottom style="thick">
        <color rgb="FF002060"/>
      </bottom>
      <diagonal/>
    </border>
    <border>
      <left/>
      <right style="thick">
        <color theme="1"/>
      </right>
      <top style="thick">
        <color theme="0"/>
      </top>
      <bottom/>
      <diagonal/>
    </border>
    <border>
      <left/>
      <right style="thick">
        <color theme="1"/>
      </right>
      <top/>
      <bottom style="thick">
        <color theme="0"/>
      </bottom>
      <diagonal/>
    </border>
    <border>
      <left/>
      <right style="thick">
        <color rgb="FF002060"/>
      </right>
      <top style="thick">
        <color rgb="FF002060"/>
      </top>
      <bottom/>
      <diagonal/>
    </border>
    <border>
      <left/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/>
      <bottom/>
      <diagonal/>
    </border>
    <border>
      <left style="thick">
        <color rgb="FF002060"/>
      </left>
      <right/>
      <top style="thick">
        <color rgb="FF002060"/>
      </top>
      <bottom/>
      <diagonal/>
    </border>
    <border>
      <left style="thick">
        <color rgb="FF002060"/>
      </left>
      <right style="thick">
        <color rgb="FF002060"/>
      </right>
      <top style="thick">
        <color rgb="FF002060"/>
      </top>
      <bottom style="thick">
        <color theme="0"/>
      </bottom>
      <diagonal/>
    </border>
    <border>
      <left style="thick">
        <color rgb="FF002060"/>
      </left>
      <right style="thick">
        <color rgb="FF002060"/>
      </right>
      <top style="thick">
        <color theme="0"/>
      </top>
      <bottom style="thick">
        <color theme="0"/>
      </bottom>
      <diagonal/>
    </border>
    <border>
      <left style="thick">
        <color rgb="FF002060"/>
      </left>
      <right style="thick">
        <color rgb="FF002060"/>
      </right>
      <top style="thick">
        <color theme="0"/>
      </top>
      <bottom style="thick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19">
    <xf numFmtId="0" fontId="0" fillId="0" borderId="0" xfId="0"/>
    <xf numFmtId="0" fontId="0" fillId="2" borderId="0" xfId="0" applyFill="1"/>
    <xf numFmtId="0" fontId="0" fillId="2" borderId="14" xfId="0" applyFill="1" applyBorder="1"/>
    <xf numFmtId="0" fontId="3" fillId="2" borderId="0" xfId="0" applyFont="1" applyFill="1" applyAlignment="1">
      <alignment horizontal="center"/>
    </xf>
    <xf numFmtId="0" fontId="0" fillId="2" borderId="17" xfId="0" applyFill="1" applyBorder="1"/>
    <xf numFmtId="0" fontId="3" fillId="5" borderId="19" xfId="0" applyFont="1" applyFill="1" applyBorder="1" applyAlignment="1" applyProtection="1">
      <alignment horizontal="center"/>
      <protection locked="0"/>
    </xf>
    <xf numFmtId="0" fontId="3" fillId="5" borderId="18" xfId="0" applyFont="1" applyFill="1" applyBorder="1" applyAlignment="1" applyProtection="1">
      <alignment horizontal="center"/>
      <protection locked="0"/>
    </xf>
    <xf numFmtId="0" fontId="6" fillId="2" borderId="17" xfId="0" applyFont="1" applyFill="1" applyBorder="1"/>
    <xf numFmtId="0" fontId="6" fillId="2" borderId="0" xfId="0" applyFont="1" applyFill="1"/>
    <xf numFmtId="0" fontId="3" fillId="2" borderId="0" xfId="0" applyFont="1" applyFill="1"/>
    <xf numFmtId="0" fontId="6" fillId="2" borderId="21" xfId="0" applyFont="1" applyFill="1" applyBorder="1"/>
    <xf numFmtId="0" fontId="6" fillId="2" borderId="22" xfId="0" applyFont="1" applyFill="1" applyBorder="1"/>
    <xf numFmtId="0" fontId="6" fillId="2" borderId="23" xfId="0" applyFont="1" applyFill="1" applyBorder="1"/>
    <xf numFmtId="0" fontId="3" fillId="2" borderId="23" xfId="0" applyFont="1" applyFill="1" applyBorder="1"/>
    <xf numFmtId="0" fontId="1" fillId="0" borderId="0" xfId="0" applyFont="1" applyProtection="1">
      <protection locked="0"/>
    </xf>
    <xf numFmtId="1" fontId="1" fillId="5" borderId="2" xfId="0" applyNumberFormat="1" applyFont="1" applyFill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1" fillId="0" borderId="8" xfId="0" applyFont="1" applyBorder="1" applyProtection="1">
      <protection locked="0"/>
    </xf>
    <xf numFmtId="164" fontId="1" fillId="5" borderId="1" xfId="0" applyNumberFormat="1" applyFont="1" applyFill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3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1" fillId="23" borderId="28" xfId="0" applyFont="1" applyFill="1" applyBorder="1" applyProtection="1">
      <protection locked="0"/>
    </xf>
    <xf numFmtId="0" fontId="1" fillId="23" borderId="29" xfId="0" applyFont="1" applyFill="1" applyBorder="1" applyProtection="1">
      <protection locked="0"/>
    </xf>
    <xf numFmtId="0" fontId="1" fillId="29" borderId="28" xfId="0" applyFont="1" applyFill="1" applyBorder="1" applyProtection="1">
      <protection locked="0"/>
    </xf>
    <xf numFmtId="0" fontId="1" fillId="0" borderId="37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2" fillId="0" borderId="0" xfId="0" applyFont="1" applyProtection="1">
      <protection locked="0"/>
    </xf>
    <xf numFmtId="164" fontId="1" fillId="5" borderId="3" xfId="0" applyNumberFormat="1" applyFont="1" applyFill="1" applyBorder="1" applyProtection="1">
      <protection locked="0"/>
    </xf>
    <xf numFmtId="164" fontId="1" fillId="5" borderId="4" xfId="0" applyNumberFormat="1" applyFont="1" applyFill="1" applyBorder="1" applyProtection="1">
      <protection locked="0"/>
    </xf>
    <xf numFmtId="0" fontId="1" fillId="29" borderId="29" xfId="0" applyFont="1" applyFill="1" applyBorder="1" applyProtection="1">
      <protection locked="0"/>
    </xf>
    <xf numFmtId="0" fontId="1" fillId="0" borderId="32" xfId="0" applyFont="1" applyBorder="1" applyProtection="1">
      <protection locked="0"/>
    </xf>
    <xf numFmtId="9" fontId="1" fillId="0" borderId="0" xfId="0" applyNumberFormat="1" applyFont="1" applyProtection="1">
      <protection locked="0"/>
    </xf>
    <xf numFmtId="164" fontId="1" fillId="0" borderId="3" xfId="0" applyNumberFormat="1" applyFont="1" applyBorder="1" applyProtection="1">
      <protection locked="0"/>
    </xf>
    <xf numFmtId="0" fontId="1" fillId="0" borderId="35" xfId="0" applyFont="1" applyBorder="1" applyProtection="1">
      <protection locked="0"/>
    </xf>
    <xf numFmtId="0" fontId="1" fillId="0" borderId="0" xfId="0" applyFont="1" applyBorder="1" applyProtection="1">
      <protection locked="0"/>
    </xf>
    <xf numFmtId="164" fontId="1" fillId="0" borderId="0" xfId="0" applyNumberFormat="1" applyFont="1" applyProtection="1">
      <protection locked="0"/>
    </xf>
    <xf numFmtId="164" fontId="1" fillId="0" borderId="8" xfId="0" applyNumberFormat="1" applyFont="1" applyBorder="1" applyProtection="1">
      <protection locked="0"/>
    </xf>
    <xf numFmtId="164" fontId="1" fillId="0" borderId="12" xfId="0" applyNumberFormat="1" applyFont="1" applyBorder="1" applyProtection="1">
      <protection locked="0"/>
    </xf>
    <xf numFmtId="0" fontId="1" fillId="0" borderId="2" xfId="0" applyFont="1" applyBorder="1" applyProtection="1">
      <protection locked="0"/>
    </xf>
    <xf numFmtId="164" fontId="1" fillId="0" borderId="5" xfId="0" applyNumberFormat="1" applyFont="1" applyBorder="1" applyProtection="1">
      <protection locked="0"/>
    </xf>
    <xf numFmtId="164" fontId="1" fillId="5" borderId="10" xfId="0" applyNumberFormat="1" applyFont="1" applyFill="1" applyBorder="1" applyProtection="1">
      <protection locked="0"/>
    </xf>
    <xf numFmtId="0" fontId="1" fillId="11" borderId="3" xfId="0" applyFont="1" applyFill="1" applyBorder="1" applyProtection="1">
      <protection hidden="1"/>
    </xf>
    <xf numFmtId="164" fontId="1" fillId="15" borderId="3" xfId="0" applyNumberFormat="1" applyFont="1" applyFill="1" applyBorder="1" applyProtection="1">
      <protection hidden="1"/>
    </xf>
    <xf numFmtId="164" fontId="1" fillId="15" borderId="1" xfId="0" applyNumberFormat="1" applyFont="1" applyFill="1" applyBorder="1" applyProtection="1">
      <protection hidden="1"/>
    </xf>
    <xf numFmtId="164" fontId="1" fillId="7" borderId="1" xfId="0" applyNumberFormat="1" applyFont="1" applyFill="1" applyBorder="1" applyProtection="1">
      <protection hidden="1"/>
    </xf>
    <xf numFmtId="164" fontId="10" fillId="19" borderId="3" xfId="0" applyNumberFormat="1" applyFont="1" applyFill="1" applyBorder="1" applyProtection="1">
      <protection hidden="1"/>
    </xf>
    <xf numFmtId="164" fontId="1" fillId="23" borderId="3" xfId="0" applyNumberFormat="1" applyFont="1" applyFill="1" applyBorder="1" applyProtection="1">
      <protection hidden="1"/>
    </xf>
    <xf numFmtId="164" fontId="1" fillId="0" borderId="26" xfId="0" applyNumberFormat="1" applyFont="1" applyBorder="1" applyProtection="1">
      <protection hidden="1"/>
    </xf>
    <xf numFmtId="164" fontId="1" fillId="0" borderId="27" xfId="0" applyNumberFormat="1" applyFont="1" applyBorder="1" applyProtection="1">
      <protection hidden="1"/>
    </xf>
    <xf numFmtId="164" fontId="1" fillId="23" borderId="26" xfId="0" applyNumberFormat="1" applyFont="1" applyFill="1" applyBorder="1" applyProtection="1">
      <protection hidden="1"/>
    </xf>
    <xf numFmtId="164" fontId="1" fillId="29" borderId="26" xfId="0" applyNumberFormat="1" applyFont="1" applyFill="1" applyBorder="1" applyProtection="1">
      <protection hidden="1"/>
    </xf>
    <xf numFmtId="164" fontId="1" fillId="29" borderId="32" xfId="0" applyNumberFormat="1" applyFont="1" applyFill="1" applyBorder="1" applyProtection="1">
      <protection hidden="1"/>
    </xf>
    <xf numFmtId="164" fontId="1" fillId="35" borderId="26" xfId="0" applyNumberFormat="1" applyFont="1" applyFill="1" applyBorder="1" applyProtection="1">
      <protection hidden="1"/>
    </xf>
    <xf numFmtId="164" fontId="1" fillId="29" borderId="27" xfId="0" applyNumberFormat="1" applyFont="1" applyFill="1" applyBorder="1" applyProtection="1">
      <protection hidden="1"/>
    </xf>
    <xf numFmtId="164" fontId="1" fillId="0" borderId="35" xfId="0" applyNumberFormat="1" applyFont="1" applyBorder="1" applyProtection="1">
      <protection hidden="1"/>
    </xf>
    <xf numFmtId="164" fontId="1" fillId="0" borderId="29" xfId="0" applyNumberFormat="1" applyFont="1" applyBorder="1" applyProtection="1">
      <protection hidden="1"/>
    </xf>
    <xf numFmtId="164" fontId="1" fillId="0" borderId="32" xfId="0" applyNumberFormat="1" applyFont="1" applyBorder="1" applyProtection="1">
      <protection hidden="1"/>
    </xf>
    <xf numFmtId="164" fontId="1" fillId="0" borderId="38" xfId="0" applyNumberFormat="1" applyFont="1" applyBorder="1" applyProtection="1">
      <protection hidden="1"/>
    </xf>
    <xf numFmtId="9" fontId="1" fillId="0" borderId="26" xfId="0" applyNumberFormat="1" applyFont="1" applyBorder="1" applyAlignment="1" applyProtection="1">
      <alignment horizontal="center"/>
      <protection hidden="1"/>
    </xf>
    <xf numFmtId="9" fontId="1" fillId="0" borderId="27" xfId="0" applyNumberFormat="1" applyFont="1" applyBorder="1" applyAlignment="1" applyProtection="1">
      <alignment horizontal="center"/>
      <protection hidden="1"/>
    </xf>
    <xf numFmtId="9" fontId="1" fillId="0" borderId="28" xfId="0" applyNumberFormat="1" applyFont="1" applyBorder="1" applyAlignment="1" applyProtection="1">
      <alignment horizontal="center"/>
      <protection hidden="1"/>
    </xf>
    <xf numFmtId="9" fontId="1" fillId="0" borderId="29" xfId="0" applyNumberFormat="1" applyFont="1" applyBorder="1" applyAlignment="1" applyProtection="1">
      <alignment horizontal="center"/>
      <protection hidden="1"/>
    </xf>
    <xf numFmtId="9" fontId="1" fillId="0" borderId="38" xfId="0" applyNumberFormat="1" applyFont="1" applyBorder="1" applyAlignment="1" applyProtection="1">
      <alignment horizontal="center"/>
      <protection hidden="1"/>
    </xf>
    <xf numFmtId="9" fontId="1" fillId="0" borderId="39" xfId="0" applyNumberFormat="1" applyFont="1" applyBorder="1" applyAlignment="1" applyProtection="1">
      <alignment horizontal="center"/>
      <protection hidden="1"/>
    </xf>
    <xf numFmtId="164" fontId="1" fillId="23" borderId="27" xfId="0" applyNumberFormat="1" applyFont="1" applyFill="1" applyBorder="1" applyAlignment="1" applyProtection="1">
      <alignment horizontal="center"/>
      <protection hidden="1"/>
    </xf>
    <xf numFmtId="164" fontId="1" fillId="29" borderId="27" xfId="0" applyNumberFormat="1" applyFont="1" applyFill="1" applyBorder="1" applyAlignment="1" applyProtection="1">
      <alignment horizontal="center"/>
      <protection hidden="1"/>
    </xf>
    <xf numFmtId="0" fontId="8" fillId="0" borderId="0" xfId="0" applyFont="1" applyProtection="1">
      <protection locked="0"/>
    </xf>
    <xf numFmtId="0" fontId="1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protection locked="0"/>
    </xf>
    <xf numFmtId="0" fontId="1" fillId="0" borderId="44" xfId="0" applyFont="1" applyBorder="1" applyProtection="1">
      <protection locked="0"/>
    </xf>
    <xf numFmtId="0" fontId="1" fillId="0" borderId="47" xfId="0" applyFont="1" applyBorder="1" applyProtection="1">
      <protection locked="0"/>
    </xf>
    <xf numFmtId="0" fontId="1" fillId="0" borderId="48" xfId="0" applyFont="1" applyBorder="1" applyProtection="1">
      <protection locked="0"/>
    </xf>
    <xf numFmtId="0" fontId="10" fillId="2" borderId="43" xfId="0" applyFont="1" applyFill="1" applyBorder="1" applyProtection="1">
      <protection locked="0"/>
    </xf>
    <xf numFmtId="0" fontId="1" fillId="25" borderId="1" xfId="0" applyFont="1" applyFill="1" applyBorder="1" applyProtection="1">
      <protection hidden="1"/>
    </xf>
    <xf numFmtId="0" fontId="1" fillId="22" borderId="1" xfId="0" applyFont="1" applyFill="1" applyBorder="1" applyProtection="1">
      <protection hidden="1"/>
    </xf>
    <xf numFmtId="0" fontId="10" fillId="3" borderId="38" xfId="0" applyFont="1" applyFill="1" applyBorder="1" applyProtection="1">
      <protection hidden="1"/>
    </xf>
    <xf numFmtId="0" fontId="10" fillId="3" borderId="42" xfId="0" applyFont="1" applyFill="1" applyBorder="1" applyProtection="1">
      <protection hidden="1"/>
    </xf>
    <xf numFmtId="0" fontId="1" fillId="16" borderId="26" xfId="0" applyFont="1" applyFill="1" applyBorder="1" applyProtection="1">
      <protection hidden="1"/>
    </xf>
    <xf numFmtId="0" fontId="1" fillId="31" borderId="26" xfId="0" applyFont="1" applyFill="1" applyBorder="1" applyProtection="1">
      <protection hidden="1"/>
    </xf>
    <xf numFmtId="0" fontId="1" fillId="31" borderId="26" xfId="0" applyFont="1" applyFill="1" applyBorder="1" applyAlignment="1" applyProtection="1">
      <alignment horizontal="center"/>
      <protection hidden="1"/>
    </xf>
    <xf numFmtId="0" fontId="1" fillId="26" borderId="26" xfId="0" applyFont="1" applyFill="1" applyBorder="1" applyProtection="1">
      <protection hidden="1"/>
    </xf>
    <xf numFmtId="0" fontId="1" fillId="21" borderId="27" xfId="0" applyFont="1" applyFill="1" applyBorder="1" applyProtection="1">
      <protection hidden="1"/>
    </xf>
    <xf numFmtId="0" fontId="1" fillId="21" borderId="28" xfId="0" applyFont="1" applyFill="1" applyBorder="1" applyProtection="1">
      <protection hidden="1"/>
    </xf>
    <xf numFmtId="0" fontId="1" fillId="21" borderId="29" xfId="0" applyFont="1" applyFill="1" applyBorder="1" applyProtection="1">
      <protection hidden="1"/>
    </xf>
    <xf numFmtId="0" fontId="1" fillId="28" borderId="29" xfId="0" applyFont="1" applyFill="1" applyBorder="1" applyProtection="1">
      <protection hidden="1"/>
    </xf>
    <xf numFmtId="0" fontId="1" fillId="31" borderId="29" xfId="0" applyFont="1" applyFill="1" applyBorder="1" applyProtection="1">
      <protection hidden="1"/>
    </xf>
    <xf numFmtId="0" fontId="1" fillId="0" borderId="28" xfId="0" applyFont="1" applyBorder="1" applyProtection="1">
      <protection hidden="1"/>
    </xf>
    <xf numFmtId="0" fontId="1" fillId="0" borderId="27" xfId="0" applyFont="1" applyBorder="1" applyProtection="1">
      <protection hidden="1"/>
    </xf>
    <xf numFmtId="0" fontId="1" fillId="0" borderId="26" xfId="0" applyFont="1" applyBorder="1" applyProtection="1">
      <protection hidden="1"/>
    </xf>
    <xf numFmtId="0" fontId="1" fillId="34" borderId="33" xfId="0" applyFont="1" applyFill="1" applyBorder="1" applyProtection="1">
      <protection hidden="1"/>
    </xf>
    <xf numFmtId="0" fontId="1" fillId="34" borderId="34" xfId="0" applyFont="1" applyFill="1" applyBorder="1" applyProtection="1">
      <protection hidden="1"/>
    </xf>
    <xf numFmtId="0" fontId="1" fillId="34" borderId="29" xfId="0" applyFont="1" applyFill="1" applyBorder="1" applyProtection="1">
      <protection hidden="1"/>
    </xf>
    <xf numFmtId="0" fontId="1" fillId="34" borderId="27" xfId="0" applyFont="1" applyFill="1" applyBorder="1" applyProtection="1">
      <protection hidden="1"/>
    </xf>
    <xf numFmtId="0" fontId="1" fillId="34" borderId="28" xfId="0" applyFont="1" applyFill="1" applyBorder="1" applyProtection="1">
      <protection hidden="1"/>
    </xf>
    <xf numFmtId="0" fontId="1" fillId="33" borderId="28" xfId="0" applyFont="1" applyFill="1" applyBorder="1" applyProtection="1">
      <protection hidden="1"/>
    </xf>
    <xf numFmtId="0" fontId="1" fillId="33" borderId="27" xfId="0" applyFont="1" applyFill="1" applyBorder="1" applyProtection="1">
      <protection hidden="1"/>
    </xf>
    <xf numFmtId="0" fontId="1" fillId="33" borderId="29" xfId="0" applyFont="1" applyFill="1" applyBorder="1" applyProtection="1">
      <protection hidden="1"/>
    </xf>
    <xf numFmtId="0" fontId="1" fillId="32" borderId="26" xfId="0" applyFont="1" applyFill="1" applyBorder="1" applyProtection="1">
      <protection hidden="1"/>
    </xf>
    <xf numFmtId="0" fontId="1" fillId="32" borderId="27" xfId="0" applyFont="1" applyFill="1" applyBorder="1" applyProtection="1">
      <protection hidden="1"/>
    </xf>
    <xf numFmtId="0" fontId="1" fillId="32" borderId="38" xfId="0" applyFont="1" applyFill="1" applyBorder="1" applyProtection="1">
      <protection hidden="1"/>
    </xf>
    <xf numFmtId="0" fontId="1" fillId="32" borderId="31" xfId="0" applyFont="1" applyFill="1" applyBorder="1" applyProtection="1">
      <protection hidden="1"/>
    </xf>
    <xf numFmtId="0" fontId="1" fillId="0" borderId="0" xfId="0" applyFont="1" applyProtection="1">
      <protection hidden="1"/>
    </xf>
    <xf numFmtId="0" fontId="1" fillId="11" borderId="1" xfId="0" applyFont="1" applyFill="1" applyBorder="1" applyProtection="1">
      <protection hidden="1"/>
    </xf>
    <xf numFmtId="0" fontId="1" fillId="9" borderId="1" xfId="0" applyFont="1" applyFill="1" applyBorder="1" applyProtection="1">
      <protection hidden="1"/>
    </xf>
    <xf numFmtId="0" fontId="1" fillId="24" borderId="1" xfId="0" applyFont="1" applyFill="1" applyBorder="1" applyProtection="1">
      <protection hidden="1"/>
    </xf>
    <xf numFmtId="0" fontId="1" fillId="13" borderId="5" xfId="0" applyFont="1" applyFill="1" applyBorder="1" applyProtection="1">
      <protection hidden="1"/>
    </xf>
    <xf numFmtId="164" fontId="1" fillId="17" borderId="3" xfId="0" applyNumberFormat="1" applyFont="1" applyFill="1" applyBorder="1" applyProtection="1">
      <protection hidden="1"/>
    </xf>
    <xf numFmtId="0" fontId="1" fillId="14" borderId="2" xfId="0" applyFont="1" applyFill="1" applyBorder="1" applyProtection="1">
      <protection hidden="1"/>
    </xf>
    <xf numFmtId="0" fontId="1" fillId="18" borderId="5" xfId="0" applyFont="1" applyFill="1" applyBorder="1" applyProtection="1">
      <protection hidden="1"/>
    </xf>
    <xf numFmtId="0" fontId="1" fillId="18" borderId="3" xfId="0" applyFont="1" applyFill="1" applyBorder="1" applyProtection="1">
      <protection hidden="1"/>
    </xf>
    <xf numFmtId="0" fontId="1" fillId="20" borderId="2" xfId="0" applyFont="1" applyFill="1" applyBorder="1" applyProtection="1">
      <protection hidden="1"/>
    </xf>
    <xf numFmtId="0" fontId="1" fillId="20" borderId="5" xfId="0" applyFont="1" applyFill="1" applyBorder="1" applyProtection="1">
      <protection hidden="1"/>
    </xf>
    <xf numFmtId="0" fontId="1" fillId="20" borderId="12" xfId="0" applyFont="1" applyFill="1" applyBorder="1" applyProtection="1">
      <protection hidden="1"/>
    </xf>
    <xf numFmtId="0" fontId="1" fillId="9" borderId="6" xfId="0" applyFont="1" applyFill="1" applyBorder="1" applyProtection="1">
      <protection hidden="1"/>
    </xf>
    <xf numFmtId="0" fontId="1" fillId="9" borderId="3" xfId="0" applyFont="1" applyFill="1" applyBorder="1" applyProtection="1">
      <protection hidden="1"/>
    </xf>
    <xf numFmtId="0" fontId="1" fillId="9" borderId="2" xfId="0" applyFont="1" applyFill="1" applyBorder="1" applyProtection="1">
      <protection hidden="1"/>
    </xf>
    <xf numFmtId="0" fontId="1" fillId="11" borderId="9" xfId="0" applyFont="1" applyFill="1" applyBorder="1" applyProtection="1">
      <protection hidden="1"/>
    </xf>
    <xf numFmtId="0" fontId="1" fillId="9" borderId="4" xfId="0" applyFont="1" applyFill="1" applyBorder="1" applyProtection="1">
      <protection hidden="1"/>
    </xf>
    <xf numFmtId="0" fontId="1" fillId="18" borderId="1" xfId="0" applyFont="1" applyFill="1" applyBorder="1" applyProtection="1">
      <protection hidden="1"/>
    </xf>
    <xf numFmtId="0" fontId="1" fillId="12" borderId="1" xfId="0" applyFont="1" applyFill="1" applyBorder="1" applyProtection="1">
      <protection hidden="1"/>
    </xf>
    <xf numFmtId="0" fontId="1" fillId="12" borderId="2" xfId="0" applyFont="1" applyFill="1" applyBorder="1" applyProtection="1">
      <protection hidden="1"/>
    </xf>
    <xf numFmtId="164" fontId="1" fillId="12" borderId="3" xfId="0" applyNumberFormat="1" applyFont="1" applyFill="1" applyBorder="1" applyProtection="1">
      <protection hidden="1"/>
    </xf>
    <xf numFmtId="0" fontId="1" fillId="9" borderId="11" xfId="0" applyFont="1" applyFill="1" applyBorder="1" applyProtection="1">
      <protection hidden="1"/>
    </xf>
    <xf numFmtId="0" fontId="1" fillId="9" borderId="13" xfId="0" applyFont="1" applyFill="1" applyBorder="1" applyProtection="1">
      <protection hidden="1"/>
    </xf>
    <xf numFmtId="0" fontId="1" fillId="9" borderId="12" xfId="0" applyFont="1" applyFill="1" applyBorder="1" applyProtection="1">
      <protection hidden="1"/>
    </xf>
    <xf numFmtId="0" fontId="1" fillId="16" borderId="2" xfId="0" applyFont="1" applyFill="1" applyBorder="1" applyProtection="1">
      <protection hidden="1"/>
    </xf>
    <xf numFmtId="0" fontId="1" fillId="16" borderId="1" xfId="0" applyFont="1" applyFill="1" applyBorder="1" applyProtection="1">
      <protection hidden="1"/>
    </xf>
    <xf numFmtId="164" fontId="1" fillId="9" borderId="3" xfId="0" applyNumberFormat="1" applyFont="1" applyFill="1" applyBorder="1" applyProtection="1">
      <protection hidden="1"/>
    </xf>
    <xf numFmtId="0" fontId="1" fillId="13" borderId="2" xfId="0" applyFont="1" applyFill="1" applyBorder="1" applyProtection="1">
      <protection hidden="1"/>
    </xf>
    <xf numFmtId="0" fontId="1" fillId="13" borderId="3" xfId="0" applyFont="1" applyFill="1" applyBorder="1" applyProtection="1">
      <protection hidden="1"/>
    </xf>
    <xf numFmtId="0" fontId="4" fillId="3" borderId="15" xfId="0" applyFont="1" applyFill="1" applyBorder="1" applyAlignment="1" applyProtection="1">
      <alignment horizontal="center"/>
      <protection hidden="1"/>
    </xf>
    <xf numFmtId="0" fontId="4" fillId="3" borderId="16" xfId="0" applyFont="1" applyFill="1" applyBorder="1" applyAlignment="1" applyProtection="1">
      <alignment horizontal="center"/>
      <protection hidden="1"/>
    </xf>
    <xf numFmtId="0" fontId="3" fillId="2" borderId="19" xfId="0" applyFont="1" applyFill="1" applyBorder="1" applyAlignment="1" applyProtection="1">
      <alignment horizontal="center"/>
      <protection hidden="1"/>
    </xf>
    <xf numFmtId="0" fontId="3" fillId="2" borderId="18" xfId="0" applyFont="1" applyFill="1" applyBorder="1" applyAlignment="1" applyProtection="1">
      <alignment horizontal="center"/>
      <protection hidden="1"/>
    </xf>
    <xf numFmtId="0" fontId="3" fillId="4" borderId="18" xfId="0" applyFont="1" applyFill="1" applyBorder="1" applyAlignment="1" applyProtection="1">
      <alignment horizontal="center"/>
      <protection hidden="1"/>
    </xf>
    <xf numFmtId="0" fontId="3" fillId="6" borderId="18" xfId="0" applyFont="1" applyFill="1" applyBorder="1" applyAlignment="1" applyProtection="1">
      <alignment horizontal="center"/>
      <protection hidden="1"/>
    </xf>
    <xf numFmtId="0" fontId="3" fillId="7" borderId="18" xfId="0" applyFont="1" applyFill="1" applyBorder="1" applyAlignment="1" applyProtection="1">
      <alignment horizontal="center"/>
      <protection hidden="1"/>
    </xf>
    <xf numFmtId="0" fontId="5" fillId="3" borderId="20" xfId="0" applyFont="1" applyFill="1" applyBorder="1" applyProtection="1">
      <protection hidden="1"/>
    </xf>
    <xf numFmtId="0" fontId="5" fillId="3" borderId="21" xfId="0" applyFont="1" applyFill="1" applyBorder="1" applyProtection="1">
      <protection hidden="1"/>
    </xf>
    <xf numFmtId="0" fontId="5" fillId="3" borderId="14" xfId="0" applyFont="1" applyFill="1" applyBorder="1" applyProtection="1">
      <protection hidden="1"/>
    </xf>
    <xf numFmtId="0" fontId="5" fillId="3" borderId="0" xfId="0" applyFont="1" applyFill="1" applyProtection="1">
      <protection hidden="1"/>
    </xf>
    <xf numFmtId="164" fontId="3" fillId="6" borderId="18" xfId="0" applyNumberFormat="1" applyFont="1" applyFill="1" applyBorder="1" applyProtection="1">
      <protection hidden="1"/>
    </xf>
    <xf numFmtId="164" fontId="3" fillId="4" borderId="18" xfId="0" applyNumberFormat="1" applyFont="1" applyFill="1" applyBorder="1" applyProtection="1">
      <protection hidden="1"/>
    </xf>
    <xf numFmtId="164" fontId="3" fillId="7" borderId="18" xfId="0" applyNumberFormat="1" applyFont="1" applyFill="1" applyBorder="1" applyProtection="1">
      <protection hidden="1"/>
    </xf>
    <xf numFmtId="164" fontId="3" fillId="8" borderId="18" xfId="0" applyNumberFormat="1" applyFont="1" applyFill="1" applyBorder="1" applyProtection="1">
      <protection hidden="1"/>
    </xf>
    <xf numFmtId="0" fontId="1" fillId="0" borderId="51" xfId="0" applyFont="1" applyBorder="1" applyProtection="1">
      <protection locked="0"/>
    </xf>
    <xf numFmtId="0" fontId="19" fillId="10" borderId="53" xfId="0" applyFont="1" applyFill="1" applyBorder="1" applyProtection="1">
      <protection hidden="1"/>
    </xf>
    <xf numFmtId="0" fontId="19" fillId="10" borderId="54" xfId="0" applyFont="1" applyFill="1" applyBorder="1" applyProtection="1">
      <protection hidden="1"/>
    </xf>
    <xf numFmtId="0" fontId="19" fillId="10" borderId="55" xfId="0" applyFont="1" applyFill="1" applyBorder="1" applyProtection="1">
      <protection hidden="1"/>
    </xf>
    <xf numFmtId="0" fontId="0" fillId="0" borderId="56" xfId="0" applyBorder="1"/>
    <xf numFmtId="0" fontId="22" fillId="5" borderId="56" xfId="0" applyFont="1" applyFill="1" applyBorder="1"/>
    <xf numFmtId="0" fontId="0" fillId="0" borderId="56" xfId="0" applyBorder="1" applyAlignment="1">
      <alignment vertical="center"/>
    </xf>
    <xf numFmtId="0" fontId="0" fillId="8" borderId="0" xfId="0" applyFill="1"/>
    <xf numFmtId="4" fontId="0" fillId="0" borderId="56" xfId="0" applyNumberFormat="1" applyBorder="1"/>
    <xf numFmtId="0" fontId="22" fillId="0" borderId="56" xfId="0" applyFont="1" applyBorder="1" applyAlignment="1"/>
    <xf numFmtId="4" fontId="0" fillId="0" borderId="56" xfId="0" applyNumberFormat="1" applyFill="1" applyBorder="1"/>
    <xf numFmtId="0" fontId="22" fillId="0" borderId="0" xfId="0" applyFont="1"/>
    <xf numFmtId="0" fontId="24" fillId="0" borderId="0" xfId="0" applyFont="1"/>
    <xf numFmtId="0" fontId="23" fillId="0" borderId="57" xfId="0" applyFont="1" applyBorder="1" applyAlignment="1">
      <alignment horizontal="right" vertical="center" wrapText="1"/>
    </xf>
    <xf numFmtId="0" fontId="23" fillId="0" borderId="58" xfId="0" applyFont="1" applyBorder="1" applyAlignment="1">
      <alignment vertical="center" wrapText="1"/>
    </xf>
    <xf numFmtId="0" fontId="0" fillId="0" borderId="0" xfId="0" applyBorder="1"/>
    <xf numFmtId="0" fontId="22" fillId="0" borderId="56" xfId="0" applyFont="1" applyBorder="1"/>
    <xf numFmtId="0" fontId="0" fillId="0" borderId="60" xfId="0" applyFill="1" applyBorder="1"/>
    <xf numFmtId="0" fontId="1" fillId="22" borderId="27" xfId="0" applyFont="1" applyFill="1" applyBorder="1" applyAlignment="1" applyProtection="1">
      <alignment horizontal="center"/>
      <protection hidden="1"/>
    </xf>
    <xf numFmtId="0" fontId="1" fillId="22" borderId="28" xfId="0" applyFont="1" applyFill="1" applyBorder="1" applyAlignment="1" applyProtection="1">
      <alignment horizontal="center"/>
      <protection hidden="1"/>
    </xf>
    <xf numFmtId="0" fontId="1" fillId="22" borderId="29" xfId="0" applyFont="1" applyFill="1" applyBorder="1" applyAlignment="1" applyProtection="1">
      <alignment horizontal="center"/>
      <protection hidden="1"/>
    </xf>
    <xf numFmtId="164" fontId="1" fillId="29" borderId="28" xfId="0" applyNumberFormat="1" applyFont="1" applyFill="1" applyBorder="1" applyAlignment="1" applyProtection="1">
      <alignment horizontal="center"/>
      <protection hidden="1"/>
    </xf>
    <xf numFmtId="0" fontId="15" fillId="0" borderId="27" xfId="1" applyFont="1" applyBorder="1" applyAlignment="1" applyProtection="1">
      <alignment horizontal="center"/>
      <protection hidden="1"/>
    </xf>
    <xf numFmtId="0" fontId="1" fillId="0" borderId="28" xfId="0" applyFont="1" applyBorder="1" applyAlignment="1" applyProtection="1">
      <alignment horizontal="center"/>
      <protection hidden="1"/>
    </xf>
    <xf numFmtId="0" fontId="1" fillId="0" borderId="29" xfId="0" applyFont="1" applyBorder="1" applyAlignment="1" applyProtection="1">
      <alignment horizontal="center"/>
      <protection hidden="1"/>
    </xf>
    <xf numFmtId="0" fontId="1" fillId="2" borderId="32" xfId="0" applyFont="1" applyFill="1" applyBorder="1" applyAlignment="1" applyProtection="1">
      <alignment horizontal="center"/>
      <protection locked="0"/>
    </xf>
    <xf numFmtId="0" fontId="1" fillId="2" borderId="38" xfId="0" applyFont="1" applyFill="1" applyBorder="1" applyAlignment="1" applyProtection="1">
      <alignment horizontal="center"/>
      <protection locked="0"/>
    </xf>
    <xf numFmtId="0" fontId="1" fillId="2" borderId="31" xfId="0" applyFont="1" applyFill="1" applyBorder="1" applyAlignment="1" applyProtection="1">
      <alignment horizontal="center"/>
      <protection locked="0"/>
    </xf>
    <xf numFmtId="0" fontId="16" fillId="3" borderId="52" xfId="0" applyFont="1" applyFill="1" applyBorder="1" applyAlignment="1" applyProtection="1">
      <alignment horizontal="center" vertical="center"/>
      <protection hidden="1"/>
    </xf>
    <xf numFmtId="0" fontId="16" fillId="3" borderId="49" xfId="0" applyFont="1" applyFill="1" applyBorder="1" applyAlignment="1" applyProtection="1">
      <alignment horizontal="center" vertical="center"/>
      <protection hidden="1"/>
    </xf>
    <xf numFmtId="0" fontId="16" fillId="3" borderId="40" xfId="0" applyFont="1" applyFill="1" applyBorder="1" applyAlignment="1" applyProtection="1">
      <alignment horizontal="center" vertical="center"/>
      <protection hidden="1"/>
    </xf>
    <xf numFmtId="0" fontId="16" fillId="3" borderId="41" xfId="0" applyFont="1" applyFill="1" applyBorder="1" applyAlignment="1" applyProtection="1">
      <alignment horizontal="center" vertical="center"/>
      <protection hidden="1"/>
    </xf>
    <xf numFmtId="0" fontId="21" fillId="0" borderId="45" xfId="1" applyFont="1" applyBorder="1" applyAlignment="1">
      <alignment horizontal="center"/>
    </xf>
    <xf numFmtId="0" fontId="21" fillId="0" borderId="46" xfId="1" applyFont="1" applyBorder="1" applyAlignment="1">
      <alignment horizontal="center"/>
    </xf>
    <xf numFmtId="0" fontId="20" fillId="0" borderId="45" xfId="1" applyFont="1" applyBorder="1" applyAlignment="1">
      <alignment horizontal="center"/>
    </xf>
    <xf numFmtId="0" fontId="20" fillId="0" borderId="46" xfId="1" applyFont="1" applyBorder="1" applyAlignment="1">
      <alignment horizontal="center"/>
    </xf>
    <xf numFmtId="0" fontId="20" fillId="0" borderId="50" xfId="1" applyFont="1" applyBorder="1" applyAlignment="1">
      <alignment horizontal="center"/>
    </xf>
    <xf numFmtId="0" fontId="1" fillId="25" borderId="27" xfId="0" applyFont="1" applyFill="1" applyBorder="1" applyAlignment="1" applyProtection="1">
      <alignment horizontal="center"/>
      <protection hidden="1"/>
    </xf>
    <xf numFmtId="0" fontId="1" fillId="25" borderId="28" xfId="0" applyFont="1" applyFill="1" applyBorder="1" applyAlignment="1" applyProtection="1">
      <alignment horizontal="center"/>
      <protection hidden="1"/>
    </xf>
    <xf numFmtId="0" fontId="1" fillId="25" borderId="29" xfId="0" applyFont="1" applyFill="1" applyBorder="1" applyAlignment="1" applyProtection="1">
      <alignment horizontal="center"/>
      <protection hidden="1"/>
    </xf>
    <xf numFmtId="0" fontId="1" fillId="21" borderId="27" xfId="0" applyFont="1" applyFill="1" applyBorder="1" applyAlignment="1" applyProtection="1">
      <alignment horizontal="left"/>
      <protection hidden="1"/>
    </xf>
    <xf numFmtId="0" fontId="1" fillId="21" borderId="28" xfId="0" applyFont="1" applyFill="1" applyBorder="1" applyAlignment="1" applyProtection="1">
      <alignment horizontal="left"/>
      <protection hidden="1"/>
    </xf>
    <xf numFmtId="0" fontId="1" fillId="21" borderId="29" xfId="0" applyFont="1" applyFill="1" applyBorder="1" applyAlignment="1" applyProtection="1">
      <alignment horizontal="left"/>
      <protection hidden="1"/>
    </xf>
    <xf numFmtId="0" fontId="1" fillId="30" borderId="27" xfId="0" applyFont="1" applyFill="1" applyBorder="1" applyAlignment="1" applyProtection="1">
      <alignment horizontal="left"/>
      <protection hidden="1"/>
    </xf>
    <xf numFmtId="0" fontId="1" fillId="30" borderId="28" xfId="0" applyFont="1" applyFill="1" applyBorder="1" applyAlignment="1" applyProtection="1">
      <alignment horizontal="left"/>
      <protection hidden="1"/>
    </xf>
    <xf numFmtId="0" fontId="1" fillId="30" borderId="29" xfId="0" applyFont="1" applyFill="1" applyBorder="1" applyAlignment="1" applyProtection="1">
      <alignment horizontal="left"/>
      <protection hidden="1"/>
    </xf>
    <xf numFmtId="0" fontId="1" fillId="33" borderId="27" xfId="0" applyFont="1" applyFill="1" applyBorder="1" applyAlignment="1" applyProtection="1">
      <alignment horizontal="left"/>
      <protection hidden="1"/>
    </xf>
    <xf numFmtId="0" fontId="1" fillId="33" borderId="28" xfId="0" applyFont="1" applyFill="1" applyBorder="1" applyAlignment="1" applyProtection="1">
      <alignment horizontal="left"/>
      <protection hidden="1"/>
    </xf>
    <xf numFmtId="0" fontId="1" fillId="33" borderId="29" xfId="0" applyFont="1" applyFill="1" applyBorder="1" applyAlignment="1" applyProtection="1">
      <alignment horizontal="left"/>
      <protection hidden="1"/>
    </xf>
    <xf numFmtId="0" fontId="1" fillId="27" borderId="27" xfId="0" applyFont="1" applyFill="1" applyBorder="1" applyAlignment="1" applyProtection="1">
      <alignment horizontal="left"/>
      <protection hidden="1"/>
    </xf>
    <xf numFmtId="0" fontId="1" fillId="27" borderId="28" xfId="0" applyFont="1" applyFill="1" applyBorder="1" applyAlignment="1" applyProtection="1">
      <alignment horizontal="left"/>
      <protection hidden="1"/>
    </xf>
    <xf numFmtId="0" fontId="1" fillId="27" borderId="29" xfId="0" applyFont="1" applyFill="1" applyBorder="1" applyAlignment="1" applyProtection="1">
      <alignment horizontal="left"/>
      <protection hidden="1"/>
    </xf>
    <xf numFmtId="0" fontId="1" fillId="5" borderId="0" xfId="0" applyFont="1" applyFill="1" applyAlignment="1" applyProtection="1">
      <alignment horizontal="center"/>
      <protection hidden="1"/>
    </xf>
    <xf numFmtId="0" fontId="14" fillId="3" borderId="27" xfId="0" applyFont="1" applyFill="1" applyBorder="1" applyAlignment="1" applyProtection="1">
      <alignment horizontal="left"/>
      <protection hidden="1"/>
    </xf>
    <xf numFmtId="0" fontId="14" fillId="3" borderId="29" xfId="0" applyFont="1" applyFill="1" applyBorder="1" applyAlignment="1" applyProtection="1">
      <alignment horizontal="left"/>
      <protection hidden="1"/>
    </xf>
    <xf numFmtId="0" fontId="12" fillId="0" borderId="27" xfId="1" applyFont="1" applyBorder="1" applyAlignment="1" applyProtection="1">
      <alignment horizontal="center" vertical="center"/>
      <protection hidden="1"/>
    </xf>
    <xf numFmtId="0" fontId="13" fillId="0" borderId="28" xfId="0" applyFont="1" applyBorder="1" applyAlignment="1" applyProtection="1">
      <alignment horizontal="center" vertical="center"/>
      <protection hidden="1"/>
    </xf>
    <xf numFmtId="0" fontId="13" fillId="0" borderId="29" xfId="0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left"/>
      <protection hidden="1"/>
    </xf>
    <xf numFmtId="0" fontId="1" fillId="21" borderId="27" xfId="0" applyFont="1" applyFill="1" applyBorder="1" applyAlignment="1" applyProtection="1">
      <alignment horizontal="center"/>
      <protection hidden="1"/>
    </xf>
    <xf numFmtId="0" fontId="1" fillId="21" borderId="28" xfId="0" applyFont="1" applyFill="1" applyBorder="1" applyAlignment="1" applyProtection="1">
      <alignment horizontal="center"/>
      <protection hidden="1"/>
    </xf>
    <xf numFmtId="0" fontId="1" fillId="21" borderId="29" xfId="0" applyFont="1" applyFill="1" applyBorder="1" applyAlignment="1" applyProtection="1">
      <alignment horizontal="center"/>
      <protection hidden="1"/>
    </xf>
    <xf numFmtId="0" fontId="1" fillId="5" borderId="2" xfId="0" applyNumberFormat="1" applyFont="1" applyFill="1" applyBorder="1" applyAlignment="1" applyProtection="1">
      <alignment horizontal="center"/>
      <protection locked="0"/>
    </xf>
    <xf numFmtId="0" fontId="1" fillId="5" borderId="3" xfId="0" applyNumberFormat="1" applyFont="1" applyFill="1" applyBorder="1" applyAlignment="1" applyProtection="1">
      <alignment horizontal="center"/>
      <protection locked="0"/>
    </xf>
    <xf numFmtId="0" fontId="0" fillId="0" borderId="56" xfId="0" applyBorder="1" applyAlignment="1">
      <alignment horizontal="center"/>
    </xf>
    <xf numFmtId="0" fontId="4" fillId="3" borderId="24" xfId="0" applyFont="1" applyFill="1" applyBorder="1" applyAlignment="1" applyProtection="1">
      <alignment horizontal="center"/>
      <protection hidden="1"/>
    </xf>
    <xf numFmtId="0" fontId="4" fillId="3" borderId="0" xfId="0" applyFont="1" applyFill="1" applyAlignment="1" applyProtection="1">
      <alignment horizontal="center"/>
      <protection hidden="1"/>
    </xf>
    <xf numFmtId="0" fontId="4" fillId="3" borderId="25" xfId="0" applyFont="1" applyFill="1" applyBorder="1" applyAlignment="1" applyProtection="1">
      <alignment horizontal="center"/>
      <protection hidden="1"/>
    </xf>
    <xf numFmtId="0" fontId="0" fillId="0" borderId="59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982FA"/>
      <color rgb="FFF3933D"/>
      <color rgb="FFFDE398"/>
      <color rgb="FFF17D78"/>
      <color rgb="FFBEFCFD"/>
      <color rgb="FFD6D6D6"/>
      <color rgb="FFD4F878"/>
      <color rgb="FFFF9300"/>
      <color rgb="FFD883FF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6756401</xdr:colOff>
      <xdr:row>1</xdr:row>
      <xdr:rowOff>25400</xdr:rowOff>
    </xdr:from>
    <xdr:to>
      <xdr:col>7</xdr:col>
      <xdr:colOff>1087161</xdr:colOff>
      <xdr:row>4</xdr:row>
      <xdr:rowOff>537274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C6C862-1F7C-FC49-953E-3F36501EE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01801" y="25400"/>
          <a:ext cx="3119160" cy="22644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3420165</xdr:colOff>
      <xdr:row>0</xdr:row>
      <xdr:rowOff>1</xdr:rowOff>
    </xdr:from>
    <xdr:to>
      <xdr:col>9</xdr:col>
      <xdr:colOff>233456</xdr:colOff>
      <xdr:row>6</xdr:row>
      <xdr:rowOff>3369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AA5778-B9DF-3943-BF66-A0BD9DECE7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2825" r="205" b="6149"/>
        <a:stretch/>
      </xdr:blipFill>
      <xdr:spPr>
        <a:xfrm>
          <a:off x="14140459" y="1"/>
          <a:ext cx="2024026" cy="1903714"/>
        </a:xfrm>
        <a:prstGeom prst="rect">
          <a:avLst/>
        </a:prstGeom>
      </xdr:spPr>
    </xdr:pic>
    <xdr:clientData/>
  </xdr:twoCellAnchor>
  <xdr:twoCellAnchor>
    <xdr:from>
      <xdr:col>6</xdr:col>
      <xdr:colOff>1854200</xdr:colOff>
      <xdr:row>6</xdr:row>
      <xdr:rowOff>304800</xdr:rowOff>
    </xdr:from>
    <xdr:to>
      <xdr:col>8</xdr:col>
      <xdr:colOff>292100</xdr:colOff>
      <xdr:row>7</xdr:row>
      <xdr:rowOff>88900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D9B35D9-C14B-DF40-B1FB-E0B36C583BBD}"/>
            </a:ext>
          </a:extLst>
        </xdr:cNvPr>
        <xdr:cNvSpPr/>
      </xdr:nvSpPr>
      <xdr:spPr>
        <a:xfrm>
          <a:off x="12573000" y="2247900"/>
          <a:ext cx="2832100" cy="2286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1003300</xdr:colOff>
      <xdr:row>6</xdr:row>
      <xdr:rowOff>393700</xdr:rowOff>
    </xdr:from>
    <xdr:to>
      <xdr:col>5</xdr:col>
      <xdr:colOff>2032000</xdr:colOff>
      <xdr:row>8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A642433-3411-E24F-8D2E-9D53D2233B1B}"/>
            </a:ext>
          </a:extLst>
        </xdr:cNvPr>
        <xdr:cNvSpPr/>
      </xdr:nvSpPr>
      <xdr:spPr>
        <a:xfrm>
          <a:off x="10718800" y="2336800"/>
          <a:ext cx="0" cy="2540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12700</xdr:colOff>
      <xdr:row>6</xdr:row>
      <xdr:rowOff>304800</xdr:rowOff>
    </xdr:from>
    <xdr:to>
      <xdr:col>10</xdr:col>
      <xdr:colOff>355600</xdr:colOff>
      <xdr:row>7</xdr:row>
      <xdr:rowOff>88900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5B86E9A-491A-364E-B6E4-7B72AB7A6F26}"/>
            </a:ext>
          </a:extLst>
        </xdr:cNvPr>
        <xdr:cNvSpPr/>
      </xdr:nvSpPr>
      <xdr:spPr>
        <a:xfrm>
          <a:off x="15951200" y="2247900"/>
          <a:ext cx="1168400" cy="2286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6</xdr:col>
      <xdr:colOff>3280709</xdr:colOff>
      <xdr:row>5</xdr:row>
      <xdr:rowOff>390339</xdr:rowOff>
    </xdr:from>
    <xdr:to>
      <xdr:col>9</xdr:col>
      <xdr:colOff>535268</xdr:colOff>
      <xdr:row>8</xdr:row>
      <xdr:rowOff>18782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372BB02-40D6-E942-BFD0-AE3439B15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003" y="1865780"/>
          <a:ext cx="2465294" cy="6930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twitter.com/moneypurseadv" TargetMode="External"/><Relationship Id="rId7" Type="http://schemas.openxmlformats.org/officeDocument/2006/relationships/hyperlink" Target="https://www.youtube.com/redirect?event=video_description&amp;redir_token=QUFFLUhqblNOd0VaX0ZGSjl6LVVkWEg0T3l6Q0NNYVJmUXxBQ3Jtc0treUlkekQwbkR5Y0hUY1d4WEpoaVRJeU9vNFFzRlp5YTRjQ3lVaVl6aG80bm0wdkRiV2tBQU5lMXVjN0Qycm01ckRSdm02RmNHYjVxazdMaDZwbllIcVBPOF9HUV9paUpMaDliTkthUGpEU0gtNS1Wbw%3D%3D&amp;q=https%3A%2F%2Ftinyurl.com%2Fy8sbw9w8&amp;v=Hd--myyer3A" TargetMode="External"/><Relationship Id="rId2" Type="http://schemas.openxmlformats.org/officeDocument/2006/relationships/hyperlink" Target="https://www.instagram.com/moneypurseadv/" TargetMode="External"/><Relationship Id="rId1" Type="http://schemas.openxmlformats.org/officeDocument/2006/relationships/hyperlink" Target="https://www.youtube.com/channel/UChBT5TlUeG68PKvJSg6MkqQ" TargetMode="External"/><Relationship Id="rId6" Type="http://schemas.openxmlformats.org/officeDocument/2006/relationships/hyperlink" Target="https://www.youtube.com/redirect?event=video_description&amp;redir_token=QUFFLUhqbGZhaGV4OGQ2UUdDODY1RU5YOTBwd0xfNTR1QXxBQ3Jtc0trSjVxSVlCNlVNMkhwUGE5OTRLVG1SZzl3TWpiZ3FaVXFSUlMwbXp3LW9vZ0V4N3FCay02T0UwV3dKTW1ZZlRhcmZwMDNURmlMYVFTa2tZd003cW5vQXNvT1Nzdkd6UTdTZWsxRVFhaDNJdDBaMFBYSQ%3D%3D&amp;q=https%3A%2F%2Fzerodha.com%2Fopen-account%3Fc%3DZMPIBU&amp;v=Hd--myyer3A" TargetMode="External"/><Relationship Id="rId5" Type="http://schemas.openxmlformats.org/officeDocument/2006/relationships/hyperlink" Target="https://www.youtube.com/redirect?event=video_description&amp;redir_token=QUFFLUhqa21tNUkzbUozdVA5M0F0SU93WGNoOTVIdlFuZ3xBQ3Jtc0trZnYwVzR6WUpkSk81RDR4bGtKbVJIVDBwdkxRbEY4bFRsdWJaeXRWZnB0RzRBNHphYkR4cHg4QlZvd09CVHRzRThvOTNhQWNtbENJeExPUGNRX1h6MGptUW91RnRZMXVQMzlnNjhGam5nTUw1azZrdw%3D%3D&amp;q=http%3A%2F%2Ftinyurl.com%2Fy3r42a2x&amp;v=Hd--myyer3A" TargetMode="External"/><Relationship Id="rId4" Type="http://schemas.openxmlformats.org/officeDocument/2006/relationships/hyperlink" Target="https://www.facebook.com/moneypursead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20283-13A3-194E-9A72-0F9C41D3602A}">
  <dimension ref="A5:T61"/>
  <sheetViews>
    <sheetView showGridLines="0" tabSelected="1" topLeftCell="D4" zoomScale="25" zoomScaleNormal="25" workbookViewId="0">
      <selection activeCell="N19" sqref="N19"/>
    </sheetView>
  </sheetViews>
  <sheetFormatPr defaultColWidth="10.75" defaultRowHeight="45"/>
  <cols>
    <col min="1" max="1" width="10.75" style="14"/>
    <col min="2" max="2" width="143.5" style="14" bestFit="1" customWidth="1"/>
    <col min="3" max="3" width="53.5" style="14" customWidth="1"/>
    <col min="4" max="4" width="51.25" style="14" customWidth="1"/>
    <col min="5" max="5" width="5.5" style="14" customWidth="1"/>
    <col min="6" max="6" width="1.5" style="14" customWidth="1"/>
    <col min="7" max="7" width="115.25" style="14" bestFit="1" customWidth="1"/>
    <col min="8" max="8" width="46.08203125" style="14" customWidth="1"/>
    <col min="9" max="9" width="13.25" style="14" customWidth="1"/>
    <col min="10" max="10" width="19.75" style="14" bestFit="1" customWidth="1"/>
    <col min="11" max="11" width="82.83203125" style="14" bestFit="1" customWidth="1"/>
    <col min="12" max="12" width="42.75" style="14" bestFit="1" customWidth="1"/>
    <col min="13" max="13" width="39.5" style="14" bestFit="1" customWidth="1"/>
    <col min="14" max="14" width="39.75" style="14" customWidth="1"/>
    <col min="15" max="15" width="10.75" style="14"/>
    <col min="16" max="16" width="79.5" style="14" bestFit="1" customWidth="1"/>
    <col min="17" max="17" width="31.25" style="14" customWidth="1"/>
    <col min="18" max="18" width="39.75" style="14" customWidth="1"/>
    <col min="19" max="19" width="50.25" style="14" customWidth="1"/>
    <col min="20" max="21" width="10.75" style="14"/>
    <col min="22" max="22" width="14.75" style="14" bestFit="1" customWidth="1"/>
    <col min="23" max="23" width="29.08203125" style="14" customWidth="1"/>
    <col min="24" max="24" width="10.75" style="14"/>
    <col min="25" max="25" width="19.75" style="14" bestFit="1" customWidth="1"/>
    <col min="26" max="26" width="23.5" style="14" bestFit="1" customWidth="1"/>
    <col min="27" max="16384" width="10.75" style="14"/>
  </cols>
  <sheetData>
    <row r="5" spans="1:20">
      <c r="G5" s="106" t="s">
        <v>72</v>
      </c>
    </row>
    <row r="6" spans="1:20" ht="45.5" thickBot="1"/>
    <row r="7" spans="1:20" ht="46" thickTop="1" thickBot="1">
      <c r="B7" s="107" t="s">
        <v>2</v>
      </c>
      <c r="C7" s="212" t="s">
        <v>88</v>
      </c>
      <c r="D7" s="213"/>
      <c r="G7" s="203" t="s">
        <v>71</v>
      </c>
      <c r="H7" s="204"/>
      <c r="I7" s="205" t="s">
        <v>70</v>
      </c>
      <c r="J7" s="206"/>
      <c r="K7" s="207"/>
      <c r="L7" s="71"/>
      <c r="M7" s="71"/>
    </row>
    <row r="8" spans="1:20" ht="46" thickTop="1" thickBot="1">
      <c r="B8" s="108" t="s">
        <v>3</v>
      </c>
      <c r="C8" s="15">
        <v>29</v>
      </c>
      <c r="D8" s="46" t="s">
        <v>24</v>
      </c>
      <c r="I8" s="72"/>
    </row>
    <row r="9" spans="1:20" ht="46" thickTop="1" thickBot="1">
      <c r="B9" s="109" t="s">
        <v>67</v>
      </c>
      <c r="C9" s="15">
        <v>60</v>
      </c>
      <c r="D9" s="46" t="s">
        <v>24</v>
      </c>
    </row>
    <row r="10" spans="1:20" ht="46" thickTop="1" thickBot="1">
      <c r="A10" s="16"/>
      <c r="C10" s="17"/>
      <c r="D10" s="18"/>
    </row>
    <row r="11" spans="1:20" ht="46" thickTop="1" thickBot="1">
      <c r="A11" s="16"/>
      <c r="B11" s="110" t="s">
        <v>58</v>
      </c>
      <c r="C11" s="111"/>
      <c r="D11" s="19">
        <f>1534639+833922</f>
        <v>2368561</v>
      </c>
      <c r="K11" s="209" t="s">
        <v>45</v>
      </c>
      <c r="L11" s="210"/>
      <c r="M11" s="210"/>
      <c r="N11" s="211"/>
      <c r="P11" s="168" t="s">
        <v>45</v>
      </c>
      <c r="Q11" s="169"/>
      <c r="R11" s="169"/>
      <c r="S11" s="170"/>
    </row>
    <row r="12" spans="1:20" ht="46" thickTop="1" thickBot="1">
      <c r="A12" s="16"/>
      <c r="D12" s="20"/>
      <c r="K12" s="187" t="s">
        <v>43</v>
      </c>
      <c r="L12" s="188"/>
      <c r="M12" s="188"/>
      <c r="N12" s="189"/>
      <c r="O12" s="21"/>
      <c r="P12" s="22"/>
      <c r="Q12" s="23"/>
      <c r="R12" s="23"/>
      <c r="S12" s="24"/>
    </row>
    <row r="13" spans="1:20" ht="46" thickTop="1" thickBot="1">
      <c r="B13" s="112" t="s">
        <v>1</v>
      </c>
      <c r="C13" s="113"/>
      <c r="D13" s="114"/>
      <c r="G13" s="78" t="s">
        <v>22</v>
      </c>
      <c r="H13" s="51">
        <f>IF(C8&lt;60,IF(D57&lt;=500000,0,IF(D57&lt;=1000000,(1.04*(12500+(D57-500000)*0.2)),(1.04*(112500+(D57-1000000)*0.3)))),IF(D57&lt;=500000,0,IF(D57&lt;=1000000,(1.04*(10500+(D57-500000)*0.2)),(1.04*(110000+(D57-1000000)*0.3)))))</f>
        <v>326335.152</v>
      </c>
      <c r="J13" s="25"/>
      <c r="K13" s="82" t="s">
        <v>38</v>
      </c>
      <c r="L13" s="69">
        <f>IF(C8&lt;60,D57,0)</f>
        <v>1670946</v>
      </c>
      <c r="M13" s="26"/>
      <c r="N13" s="27"/>
      <c r="O13" s="21"/>
      <c r="P13" s="93" t="s">
        <v>51</v>
      </c>
      <c r="Q13" s="171">
        <f>D11</f>
        <v>2368561</v>
      </c>
      <c r="R13" s="171"/>
      <c r="S13" s="28"/>
      <c r="T13" s="29"/>
    </row>
    <row r="14" spans="1:20" ht="46" thickTop="1" thickBot="1">
      <c r="A14" s="16"/>
      <c r="C14" s="17"/>
      <c r="D14" s="30"/>
      <c r="H14" s="31"/>
      <c r="K14" s="83" t="s">
        <v>39</v>
      </c>
      <c r="L14" s="84" t="s">
        <v>40</v>
      </c>
      <c r="M14" s="84" t="s">
        <v>41</v>
      </c>
      <c r="N14" s="84" t="s">
        <v>42</v>
      </c>
      <c r="P14" s="83" t="s">
        <v>39</v>
      </c>
      <c r="Q14" s="84" t="s">
        <v>40</v>
      </c>
      <c r="R14" s="84" t="s">
        <v>41</v>
      </c>
      <c r="S14" s="84" t="s">
        <v>42</v>
      </c>
    </row>
    <row r="15" spans="1:20" ht="46" thickTop="1" thickBot="1">
      <c r="B15" s="115" t="s">
        <v>0</v>
      </c>
      <c r="C15" s="116"/>
      <c r="D15" s="117"/>
      <c r="G15" s="79" t="s">
        <v>23</v>
      </c>
      <c r="H15" s="51">
        <f>IF(D11&lt;=500000,0,IF(D11&lt;=750000,(1.04*(25000+(D11-500000)*0.1)),IF(D11&lt;=1000000,(1.04*(37500+(D11-750000)*0.15)),IF(D11&lt;=1250000,(1.04*(75000+(D11-1000000)*0.2)),IF(D11&lt;=1500000,(1.04*(125000+(D11-1250000)*0.25)),(1.04*(187500+(D11-1500000)*0.3)))))))</f>
        <v>465991.03200000001</v>
      </c>
      <c r="K15" s="85" t="s">
        <v>34</v>
      </c>
      <c r="L15" s="63">
        <v>0</v>
      </c>
      <c r="M15" s="52">
        <f>IF(L13&gt;250000,250000,L13)</f>
        <v>250000</v>
      </c>
      <c r="N15" s="52">
        <f>M15*L15</f>
        <v>0</v>
      </c>
      <c r="P15" s="102" t="s">
        <v>34</v>
      </c>
      <c r="Q15" s="66">
        <v>0</v>
      </c>
      <c r="R15" s="52">
        <f>IF(Q13&gt;250000,250000,Q13)</f>
        <v>250000</v>
      </c>
      <c r="S15" s="52">
        <f>R15*Q15</f>
        <v>0</v>
      </c>
    </row>
    <row r="16" spans="1:20" ht="46" thickTop="1" thickBot="1">
      <c r="B16" s="118" t="s">
        <v>59</v>
      </c>
      <c r="C16" s="119"/>
      <c r="D16" s="16"/>
      <c r="K16" s="85" t="s">
        <v>35</v>
      </c>
      <c r="L16" s="64">
        <v>0.05</v>
      </c>
      <c r="M16" s="53">
        <f>IF(L13&lt;=250000,0,IF(L13&gt;500000,250000,L13-250000))</f>
        <v>250000</v>
      </c>
      <c r="N16" s="52">
        <f>M16*L16</f>
        <v>12500</v>
      </c>
      <c r="P16" s="102" t="s">
        <v>35</v>
      </c>
      <c r="Q16" s="66">
        <v>0.05</v>
      </c>
      <c r="R16" s="60">
        <f>IF(Q13&lt;=250000,0,IF(Q13&gt;500000,250000,Q13-250000))</f>
        <v>250000</v>
      </c>
      <c r="S16" s="52">
        <f t="shared" ref="S16:S21" si="0">R16*Q16</f>
        <v>12500</v>
      </c>
    </row>
    <row r="17" spans="1:20" ht="46" thickTop="1" thickBot="1">
      <c r="B17" s="107" t="s">
        <v>6</v>
      </c>
      <c r="C17" s="32">
        <v>37206</v>
      </c>
      <c r="D17" s="16"/>
      <c r="K17" s="85" t="s">
        <v>36</v>
      </c>
      <c r="L17" s="63">
        <v>0.2</v>
      </c>
      <c r="M17" s="52">
        <f>IF(L13&lt;=500000,0,IF(L13&gt;1000000,500000,L13-500000))</f>
        <v>500000</v>
      </c>
      <c r="N17" s="52">
        <f>M17*L17</f>
        <v>100000</v>
      </c>
      <c r="O17" s="21"/>
      <c r="P17" s="103" t="s">
        <v>46</v>
      </c>
      <c r="Q17" s="67">
        <v>0.1</v>
      </c>
      <c r="R17" s="62">
        <f>IF(Q13&lt;=500000,0,IF(Q13&gt;750000,250000,Q13-500000))</f>
        <v>250000</v>
      </c>
      <c r="S17" s="61">
        <f t="shared" si="0"/>
        <v>25000</v>
      </c>
    </row>
    <row r="18" spans="1:20" ht="46" thickTop="1" thickBot="1">
      <c r="B18" s="120" t="s">
        <v>7</v>
      </c>
      <c r="C18" s="19">
        <v>41294</v>
      </c>
      <c r="D18" s="16"/>
      <c r="K18" s="85" t="s">
        <v>37</v>
      </c>
      <c r="L18" s="63">
        <v>0.3</v>
      </c>
      <c r="M18" s="52">
        <f>IF(L13&lt;=1000000,0,L13-1000000)</f>
        <v>670946</v>
      </c>
      <c r="N18" s="52">
        <f>M18*L18</f>
        <v>201283.8</v>
      </c>
      <c r="P18" s="104" t="s">
        <v>47</v>
      </c>
      <c r="Q18" s="66">
        <v>0.15</v>
      </c>
      <c r="R18" s="52">
        <f>IF(Q13&lt;=750000,0,IF(Q13&gt;1000000,250000,Q13-750000))</f>
        <v>250000</v>
      </c>
      <c r="S18" s="60">
        <f t="shared" si="0"/>
        <v>37500</v>
      </c>
    </row>
    <row r="19" spans="1:20" ht="46" thickTop="1" thickBot="1">
      <c r="B19" s="121" t="s">
        <v>8</v>
      </c>
      <c r="C19" s="19">
        <v>0</v>
      </c>
      <c r="D19" s="16"/>
      <c r="G19" s="178" t="s">
        <v>81</v>
      </c>
      <c r="H19" s="179"/>
      <c r="K19" s="86" t="s">
        <v>52</v>
      </c>
      <c r="L19" s="87"/>
      <c r="M19" s="88"/>
      <c r="N19" s="54">
        <f>N15+N16+N17+N18</f>
        <v>313783.8</v>
      </c>
      <c r="P19" s="105" t="s">
        <v>48</v>
      </c>
      <c r="Q19" s="63">
        <v>0.2</v>
      </c>
      <c r="R19" s="60">
        <f>IF(Q13&lt;=1000000,0,IF(Q13&gt;1250000,250000,Q13-1000000))</f>
        <v>250000</v>
      </c>
      <c r="S19" s="60">
        <f t="shared" si="0"/>
        <v>50000</v>
      </c>
    </row>
    <row r="20" spans="1:20" ht="46" thickTop="1" thickBot="1">
      <c r="B20" s="108" t="s">
        <v>9</v>
      </c>
      <c r="C20" s="19">
        <v>0</v>
      </c>
      <c r="D20" s="16"/>
      <c r="G20" s="180"/>
      <c r="H20" s="181"/>
      <c r="I20" s="73"/>
      <c r="J20" s="25"/>
      <c r="N20" s="24"/>
      <c r="P20" s="103" t="s">
        <v>49</v>
      </c>
      <c r="Q20" s="63">
        <v>0.25</v>
      </c>
      <c r="R20" s="60">
        <f>IF(Q13&lt;=1250000,0,IF(Q13&gt;1500000,250000,Q13-1250000))</f>
        <v>250000</v>
      </c>
      <c r="S20" s="60">
        <f t="shared" si="0"/>
        <v>62500</v>
      </c>
    </row>
    <row r="21" spans="1:20" ht="46" thickTop="1" thickBot="1">
      <c r="B21" s="107" t="s">
        <v>15</v>
      </c>
      <c r="C21" s="33">
        <v>79277</v>
      </c>
      <c r="D21" s="16"/>
      <c r="H21" s="150"/>
      <c r="I21" s="74"/>
      <c r="J21" s="75"/>
      <c r="K21" s="188" t="s">
        <v>44</v>
      </c>
      <c r="L21" s="188"/>
      <c r="M21" s="188"/>
      <c r="N21" s="189"/>
      <c r="O21" s="21"/>
      <c r="P21" s="102" t="s">
        <v>50</v>
      </c>
      <c r="Q21" s="68">
        <v>0.3</v>
      </c>
      <c r="R21" s="59">
        <f>IF(Q13&lt;=1500000,0,Q13-1500000)</f>
        <v>868561</v>
      </c>
      <c r="S21" s="59">
        <f t="shared" si="0"/>
        <v>260568.3</v>
      </c>
    </row>
    <row r="22" spans="1:20" ht="47" thickTop="1" thickBot="1">
      <c r="B22" s="122" t="s">
        <v>10</v>
      </c>
      <c r="C22" s="19">
        <v>0</v>
      </c>
      <c r="D22" s="16"/>
      <c r="G22" s="151" t="s">
        <v>82</v>
      </c>
      <c r="H22" s="182" t="s">
        <v>86</v>
      </c>
      <c r="I22" s="183"/>
      <c r="J22" s="16"/>
      <c r="K22" s="89" t="s">
        <v>38</v>
      </c>
      <c r="L22" s="70">
        <f>IF(C8&gt;=60,D57,0)</f>
        <v>0</v>
      </c>
      <c r="M22" s="28"/>
      <c r="N22" s="34"/>
      <c r="O22" s="21"/>
      <c r="P22" s="100" t="s">
        <v>52</v>
      </c>
      <c r="Q22" s="99"/>
      <c r="R22" s="101"/>
      <c r="S22" s="55">
        <f>S15+S16+S17+S18+S19+S20+S21</f>
        <v>448068.3</v>
      </c>
    </row>
    <row r="23" spans="1:20" ht="47" thickTop="1" thickBot="1">
      <c r="B23" s="107" t="s">
        <v>11</v>
      </c>
      <c r="C23" s="33">
        <v>0</v>
      </c>
      <c r="D23" s="16"/>
      <c r="G23" s="152" t="s">
        <v>83</v>
      </c>
      <c r="H23" s="186" t="s">
        <v>87</v>
      </c>
      <c r="I23" s="185"/>
      <c r="J23" s="16"/>
      <c r="K23" s="90" t="s">
        <v>39</v>
      </c>
      <c r="L23" s="84" t="s">
        <v>40</v>
      </c>
      <c r="M23" s="84" t="s">
        <v>41</v>
      </c>
      <c r="N23" s="84" t="s">
        <v>42</v>
      </c>
      <c r="O23" s="21"/>
      <c r="S23" s="35"/>
    </row>
    <row r="24" spans="1:20" ht="47" thickTop="1" thickBot="1">
      <c r="B24" s="122" t="s">
        <v>12</v>
      </c>
      <c r="C24" s="19">
        <v>0</v>
      </c>
      <c r="D24" s="16"/>
      <c r="G24" s="153" t="s">
        <v>84</v>
      </c>
      <c r="H24" s="184" t="s">
        <v>85</v>
      </c>
      <c r="I24" s="185"/>
      <c r="J24" s="76"/>
      <c r="K24" s="91" t="s">
        <v>34</v>
      </c>
      <c r="L24" s="64">
        <v>0</v>
      </c>
      <c r="M24" s="53">
        <f>IF(L22&gt;300000,300000,L22)</f>
        <v>0</v>
      </c>
      <c r="N24" s="52">
        <f>M24*L24</f>
        <v>0</v>
      </c>
      <c r="O24" s="21"/>
      <c r="S24" s="25"/>
    </row>
    <row r="25" spans="1:20" ht="46" thickTop="1" thickBot="1">
      <c r="B25" s="107" t="s">
        <v>13</v>
      </c>
      <c r="C25" s="33">
        <v>0</v>
      </c>
      <c r="D25" s="16"/>
      <c r="G25" s="36"/>
      <c r="K25" s="92" t="s">
        <v>35</v>
      </c>
      <c r="L25" s="63">
        <v>0.05</v>
      </c>
      <c r="M25" s="52">
        <f>IF(L22&lt;=250000,0,IF(L22&gt;500000,200000,L22-300000))</f>
        <v>0</v>
      </c>
      <c r="N25" s="52">
        <f>M25*L25</f>
        <v>0</v>
      </c>
      <c r="O25" s="21"/>
      <c r="S25" s="25"/>
    </row>
    <row r="26" spans="1:20" ht="46" thickTop="1" thickBot="1">
      <c r="B26" s="108" t="s">
        <v>14</v>
      </c>
      <c r="C26" s="32"/>
      <c r="D26" s="16"/>
      <c r="G26" s="36"/>
      <c r="K26" s="92" t="s">
        <v>36</v>
      </c>
      <c r="L26" s="63">
        <v>0.2</v>
      </c>
      <c r="M26" s="52">
        <f>IF(L22&lt;=500000,0,IF(L22&gt;1000000,500000,L22-500000))</f>
        <v>0</v>
      </c>
      <c r="N26" s="52">
        <f>M26*L26</f>
        <v>0</v>
      </c>
      <c r="O26" s="21"/>
      <c r="S26" s="25"/>
    </row>
    <row r="27" spans="1:20" ht="46" thickTop="1" thickBot="1">
      <c r="B27" s="123" t="s">
        <v>21</v>
      </c>
      <c r="C27" s="47">
        <f>IF(SUM(C17:C26)&lt;=150000,SUM(C17:C26),150000)</f>
        <v>150000</v>
      </c>
      <c r="D27" s="16"/>
      <c r="G27" s="36"/>
      <c r="K27" s="93" t="s">
        <v>37</v>
      </c>
      <c r="L27" s="65">
        <v>0.3</v>
      </c>
      <c r="M27" s="52">
        <f>IF(L22&lt;=1000000,0,L22-1000000)</f>
        <v>0</v>
      </c>
      <c r="N27" s="52">
        <f>M27*L27</f>
        <v>0</v>
      </c>
      <c r="O27" s="21"/>
      <c r="S27" s="25"/>
    </row>
    <row r="28" spans="1:20" ht="46" thickTop="1" thickBot="1">
      <c r="A28" s="16"/>
      <c r="C28" s="37"/>
      <c r="D28" s="16"/>
      <c r="G28" s="36"/>
      <c r="K28" s="92" t="s">
        <v>52</v>
      </c>
      <c r="L28" s="23"/>
      <c r="M28" s="24"/>
      <c r="N28" s="55">
        <f>N24+N25+N26+N27</f>
        <v>0</v>
      </c>
      <c r="O28" s="21"/>
      <c r="S28" s="25"/>
    </row>
    <row r="29" spans="1:20" ht="46" thickTop="1" thickBot="1">
      <c r="B29" s="124" t="s">
        <v>17</v>
      </c>
      <c r="C29" s="19">
        <v>0</v>
      </c>
      <c r="D29" s="16"/>
      <c r="G29" s="36"/>
      <c r="J29" s="25"/>
      <c r="N29" s="24"/>
      <c r="O29" s="21"/>
      <c r="S29" s="38"/>
    </row>
    <row r="30" spans="1:20" ht="46" thickTop="1" thickBot="1">
      <c r="A30" s="16"/>
      <c r="C30" s="37"/>
      <c r="D30" s="16"/>
      <c r="G30" s="36"/>
      <c r="J30" s="39"/>
      <c r="K30" s="190" t="s">
        <v>54</v>
      </c>
      <c r="L30" s="191"/>
      <c r="M30" s="192"/>
      <c r="N30" s="56">
        <f>IF(C8&lt;60,IF(N19&lt;=12500,0,N19),IF(N28&lt;=10000,0,N28))</f>
        <v>313783.8</v>
      </c>
      <c r="P30" s="196" t="s">
        <v>54</v>
      </c>
      <c r="Q30" s="197"/>
      <c r="R30" s="198"/>
      <c r="S30" s="55">
        <f>S22</f>
        <v>448068.3</v>
      </c>
    </row>
    <row r="31" spans="1:20" ht="46" thickTop="1" thickBot="1">
      <c r="A31" s="16"/>
      <c r="B31" s="125" t="s">
        <v>68</v>
      </c>
      <c r="C31" s="126"/>
      <c r="D31" s="48">
        <f>C27+IF(C29&lt;=50000,C29,50000)</f>
        <v>150000</v>
      </c>
      <c r="G31" s="36"/>
      <c r="K31" s="94" t="s">
        <v>53</v>
      </c>
      <c r="L31" s="95"/>
      <c r="M31" s="96"/>
      <c r="N31" s="57">
        <f>N30*4%</f>
        <v>12551.351999999999</v>
      </c>
      <c r="P31" s="97" t="s">
        <v>53</v>
      </c>
      <c r="Q31" s="98"/>
      <c r="R31" s="96"/>
      <c r="S31" s="57">
        <f>S30*4%</f>
        <v>17922.732</v>
      </c>
    </row>
    <row r="32" spans="1:20" ht="46" thickTop="1" thickBot="1">
      <c r="A32" s="16"/>
      <c r="D32" s="30"/>
      <c r="J32" s="25"/>
      <c r="N32" s="24"/>
      <c r="O32" s="21"/>
      <c r="S32" s="23"/>
      <c r="T32" s="29"/>
    </row>
    <row r="33" spans="1:20" ht="46" thickTop="1" thickBot="1">
      <c r="B33" s="108" t="s">
        <v>18</v>
      </c>
      <c r="C33" s="32">
        <f>'HRA CALCULATION'!G18</f>
        <v>0</v>
      </c>
      <c r="D33" s="48">
        <f>C33</f>
        <v>0</v>
      </c>
      <c r="J33" s="25"/>
      <c r="K33" s="193" t="s">
        <v>55</v>
      </c>
      <c r="L33" s="194"/>
      <c r="M33" s="195"/>
      <c r="N33" s="55">
        <f>N30+N31</f>
        <v>326335.152</v>
      </c>
      <c r="O33" s="21"/>
      <c r="P33" s="199" t="s">
        <v>55</v>
      </c>
      <c r="Q33" s="200"/>
      <c r="R33" s="201"/>
      <c r="S33" s="58">
        <f>S30+S31</f>
        <v>465991.03200000001</v>
      </c>
      <c r="T33" s="29"/>
    </row>
    <row r="34" spans="1:20" ht="46" thickTop="1" thickBot="1">
      <c r="A34" s="16"/>
      <c r="C34" s="40"/>
      <c r="D34" s="41"/>
    </row>
    <row r="35" spans="1:20" ht="46" thickTop="1" thickBot="1">
      <c r="B35" s="108" t="s">
        <v>16</v>
      </c>
      <c r="C35" s="19">
        <v>0</v>
      </c>
      <c r="D35" s="47">
        <f>C35</f>
        <v>0</v>
      </c>
    </row>
    <row r="36" spans="1:20" ht="46" thickTop="1" thickBot="1">
      <c r="A36" s="16"/>
      <c r="C36" s="40"/>
      <c r="D36" s="42"/>
      <c r="G36" s="80" t="s">
        <v>73</v>
      </c>
    </row>
    <row r="37" spans="1:20" ht="47" thickTop="1" thickBot="1">
      <c r="A37" s="16"/>
      <c r="B37" s="108" t="s">
        <v>60</v>
      </c>
      <c r="C37" s="19">
        <v>0</v>
      </c>
      <c r="D37" s="48">
        <f>IF(C37&lt;150000,C37,150000)</f>
        <v>0</v>
      </c>
      <c r="G37" s="81" t="s">
        <v>74</v>
      </c>
      <c r="H37" s="172" t="s">
        <v>78</v>
      </c>
      <c r="I37" s="173"/>
      <c r="J37" s="173"/>
      <c r="K37" s="174"/>
    </row>
    <row r="38" spans="1:20" ht="47" thickTop="1" thickBot="1">
      <c r="A38" s="16"/>
      <c r="B38" s="43"/>
      <c r="C38" s="44"/>
      <c r="D38" s="37"/>
      <c r="G38" s="81" t="s">
        <v>75</v>
      </c>
      <c r="H38" s="172" t="s">
        <v>79</v>
      </c>
      <c r="I38" s="173"/>
      <c r="J38" s="173"/>
      <c r="K38" s="174"/>
    </row>
    <row r="39" spans="1:20" ht="47" thickTop="1" thickBot="1">
      <c r="B39" s="127" t="s">
        <v>57</v>
      </c>
      <c r="C39" s="128"/>
      <c r="D39" s="129"/>
      <c r="G39" s="81" t="s">
        <v>76</v>
      </c>
      <c r="H39" s="172" t="s">
        <v>80</v>
      </c>
      <c r="I39" s="173"/>
      <c r="J39" s="173"/>
      <c r="K39" s="174"/>
    </row>
    <row r="40" spans="1:20" ht="46" thickTop="1" thickBot="1">
      <c r="B40" s="130" t="s">
        <v>4</v>
      </c>
      <c r="C40" s="19">
        <v>0</v>
      </c>
      <c r="D40" s="16"/>
      <c r="G40" s="77" t="s">
        <v>77</v>
      </c>
      <c r="H40" s="175"/>
      <c r="I40" s="176"/>
      <c r="J40" s="176"/>
      <c r="K40" s="177"/>
      <c r="L40" s="39"/>
    </row>
    <row r="41" spans="1:20" ht="46" thickTop="1" thickBot="1">
      <c r="B41" s="131" t="s">
        <v>5</v>
      </c>
      <c r="C41" s="45">
        <v>0</v>
      </c>
      <c r="D41" s="20"/>
      <c r="H41" s="39"/>
    </row>
    <row r="42" spans="1:20" ht="46" thickTop="1" thickBot="1">
      <c r="B42" s="120" t="s">
        <v>20</v>
      </c>
      <c r="C42" s="132"/>
      <c r="D42" s="49">
        <f>IF(C8&lt;60,IF(C40&lt;=25000,C40,25000),IF(C8&gt;=60,IF(C40&lt;=50000,C40,50000)))+IF(C9&lt;60,IF(C41&lt;=25000,C41,25000),IF(C9&gt;=60,IF(C41&lt;=50000,C41,50000)))</f>
        <v>0</v>
      </c>
    </row>
    <row r="43" spans="1:20" ht="45.5" thickTop="1">
      <c r="A43" s="16"/>
      <c r="D43" s="18"/>
    </row>
    <row r="44" spans="1:20" ht="45.5" thickBot="1">
      <c r="A44" s="16"/>
      <c r="D44" s="16"/>
    </row>
    <row r="45" spans="1:20" ht="46" thickTop="1" thickBot="1">
      <c r="A45" s="16"/>
      <c r="B45" s="119" t="s">
        <v>19</v>
      </c>
      <c r="C45" s="19">
        <v>0</v>
      </c>
      <c r="D45" s="48">
        <f>IF(C45&lt;200000,C45,200000)</f>
        <v>0</v>
      </c>
    </row>
    <row r="46" spans="1:20" ht="46" thickTop="1" thickBot="1">
      <c r="A46" s="16"/>
      <c r="D46" s="20"/>
    </row>
    <row r="47" spans="1:20" ht="46" thickTop="1" thickBot="1">
      <c r="A47" s="16"/>
      <c r="B47" s="119" t="s">
        <v>61</v>
      </c>
      <c r="C47" s="19">
        <v>0</v>
      </c>
      <c r="D47" s="48">
        <f>IF(C47&lt;150000,C47,150000)</f>
        <v>0</v>
      </c>
    </row>
    <row r="48" spans="1:20" ht="46" thickTop="1" thickBot="1">
      <c r="A48" s="16"/>
      <c r="D48" s="20"/>
    </row>
    <row r="49" spans="1:9" ht="46" thickTop="1" thickBot="1">
      <c r="A49" s="16"/>
      <c r="B49" s="108" t="s">
        <v>62</v>
      </c>
      <c r="C49" s="19">
        <v>50000</v>
      </c>
      <c r="D49" s="48">
        <f>IF(C49&lt;50000,C49,50000)</f>
        <v>50000</v>
      </c>
    </row>
    <row r="50" spans="1:9" ht="46" thickTop="1" thickBot="1">
      <c r="A50" s="16"/>
      <c r="D50" s="16"/>
    </row>
    <row r="51" spans="1:9" ht="46" thickTop="1" thickBot="1">
      <c r="A51" s="16"/>
      <c r="B51" s="108" t="s">
        <v>63</v>
      </c>
      <c r="C51" s="19"/>
      <c r="D51" s="48">
        <f>C51</f>
        <v>0</v>
      </c>
    </row>
    <row r="52" spans="1:9" ht="46" thickTop="1" thickBot="1">
      <c r="A52" s="16"/>
      <c r="D52" s="30"/>
    </row>
    <row r="53" spans="1:9" ht="46" thickTop="1" thickBot="1">
      <c r="A53" s="16"/>
      <c r="B53" s="108" t="s">
        <v>64</v>
      </c>
      <c r="C53" s="19">
        <f>205965+25600+2500+125000+75000+63550</f>
        <v>497615</v>
      </c>
      <c r="D53" s="48">
        <f>C53</f>
        <v>497615</v>
      </c>
      <c r="G53" s="14" t="s">
        <v>187</v>
      </c>
    </row>
    <row r="54" spans="1:9" ht="46" thickTop="1" thickBot="1">
      <c r="A54" s="16"/>
      <c r="D54" s="16"/>
    </row>
    <row r="55" spans="1:9" ht="46" thickTop="1" thickBot="1">
      <c r="A55" s="16"/>
      <c r="B55" s="133" t="s">
        <v>65</v>
      </c>
      <c r="C55" s="134"/>
      <c r="D55" s="48">
        <f>D31+D33+D35+D37+D42+D45+D47+D49+D51+D53</f>
        <v>697615</v>
      </c>
    </row>
    <row r="56" spans="1:9" ht="46" thickTop="1" thickBot="1">
      <c r="A56" s="16"/>
      <c r="D56" s="16"/>
    </row>
    <row r="57" spans="1:9" ht="46" thickTop="1" thickBot="1">
      <c r="A57" s="16"/>
      <c r="B57" s="133" t="s">
        <v>66</v>
      </c>
      <c r="C57" s="134"/>
      <c r="D57" s="50">
        <f>D11-D55</f>
        <v>1670946</v>
      </c>
    </row>
    <row r="58" spans="1:9" ht="45.5" thickTop="1"/>
    <row r="60" spans="1:9" ht="35.15" customHeight="1">
      <c r="B60" s="208" t="s">
        <v>56</v>
      </c>
      <c r="C60" s="208"/>
      <c r="D60" s="208"/>
      <c r="E60" s="208"/>
      <c r="F60" s="208"/>
      <c r="G60" s="208"/>
      <c r="H60" s="208"/>
      <c r="I60" s="208"/>
    </row>
    <row r="61" spans="1:9">
      <c r="B61" s="202" t="s">
        <v>69</v>
      </c>
      <c r="C61" s="202"/>
    </row>
  </sheetData>
  <sheetProtection algorithmName="SHA-512" hashValue="fKoSLMvj+QaKB/DiNwBCPFD2EPYvZa847/NSm5x+xJyTQas0m+T/6IvYRdEJV0SGaol4WAT0XteTD5kbIiVvqQ==" saltValue="a4o8rOhe++VcVMKszgCOBw==" spinCount="100000" sheet="1" objects="1" scenarios="1"/>
  <mergeCells count="22">
    <mergeCell ref="B61:C61"/>
    <mergeCell ref="G7:H7"/>
    <mergeCell ref="I7:K7"/>
    <mergeCell ref="H37:K37"/>
    <mergeCell ref="B60:I60"/>
    <mergeCell ref="K11:N11"/>
    <mergeCell ref="C7:D7"/>
    <mergeCell ref="P11:S11"/>
    <mergeCell ref="Q13:R13"/>
    <mergeCell ref="H38:K38"/>
    <mergeCell ref="H40:K40"/>
    <mergeCell ref="H39:K39"/>
    <mergeCell ref="G19:H20"/>
    <mergeCell ref="H22:I22"/>
    <mergeCell ref="H24:I24"/>
    <mergeCell ref="H23:I23"/>
    <mergeCell ref="K12:N12"/>
    <mergeCell ref="K30:M30"/>
    <mergeCell ref="K33:M33"/>
    <mergeCell ref="P30:R30"/>
    <mergeCell ref="P33:R33"/>
    <mergeCell ref="K21:N21"/>
  </mergeCells>
  <hyperlinks>
    <hyperlink ref="I7" r:id="rId1" xr:uid="{7099EA9C-061A-1447-AF09-8386B411FD6F}"/>
    <hyperlink ref="H37" r:id="rId2" xr:uid="{7040CD8D-7A6A-2845-A591-CD0E6C38B56F}"/>
    <hyperlink ref="H38" r:id="rId3" xr:uid="{6BC56A41-47B8-2046-94CE-B135957E8696}"/>
    <hyperlink ref="H39" r:id="rId4" xr:uid="{A2A23DFA-752E-B14D-8668-162FA74CD646}"/>
    <hyperlink ref="H24" r:id="rId5" display="https://www.youtube.com/redirect?event=video_description&amp;redir_token=QUFFLUhqa21tNUkzbUozdVA5M0F0SU93WGNoOTVIdlFuZ3xBQ3Jtc0trZnYwVzR6WUpkSk81RDR4bGtKbVJIVDBwdkxRbEY4bFRsdWJaeXRWZnB0RzRBNHphYkR4cHg4QlZvd09CVHRzRThvOTNhQWNtbENJeExPUGNRX1h6MGptUW91RnRZMXVQMzlnNjhGam5nTUw1azZrdw%3D%3D&amp;q=http%3A%2F%2Ftinyurl.com%2Fy3r42a2x&amp;v=Hd--myyer3A" xr:uid="{5E4D947C-6A95-6A4F-A899-E5F67E2AD50B}"/>
    <hyperlink ref="H22" r:id="rId6" display="https://www.youtube.com/redirect?event=video_description&amp;redir_token=QUFFLUhqbGZhaGV4OGQ2UUdDODY1RU5YOTBwd0xfNTR1QXxBQ3Jtc0trSjVxSVlCNlVNMkhwUGE5OTRLVG1SZzl3TWpiZ3FaVXFSUlMwbXp3LW9vZ0V4N3FCay02T0UwV3dKTW1ZZlRhcmZwMDNURmlMYVFTa2tZd003cW5vQXNvT1Nzdkd6UTdTZWsxRVFhaDNJdDBaMFBYSQ%3D%3D&amp;q=https%3A%2F%2Fzerodha.com%2Fopen-account%3Fc%3DZMPIBU&amp;v=Hd--myyer3A" xr:uid="{030FB06A-A234-EC4E-A0E5-2AEE4BD4A1F8}"/>
    <hyperlink ref="H23" r:id="rId7" display="https://www.youtube.com/redirect?event=video_description&amp;redir_token=QUFFLUhqblNOd0VaX0ZGSjl6LVVkWEg0T3l6Q0NNYVJmUXxBQ3Jtc0treUlkekQwbkR5Y0hUY1d4WEpoaVRJeU9vNFFzRlp5YTRjQ3lVaVl6aG80bm0wdkRiV2tBQU5lMXVjN0Qycm01ckRSdm02RmNHYjVxazdMaDZwbllIcVBPOF9HUV9paUpMaDliTkthUGpEU0gtNS1Wbw%3D%3D&amp;q=https%3A%2F%2Ftinyurl.com%2Fy8sbw9w8&amp;v=Hd--myyer3A" xr:uid="{324466DA-693E-9246-A325-ACDA4694939E}"/>
  </hyperlinks>
  <pageMargins left="0.7" right="0.7" top="0.75" bottom="0.75" header="0.3" footer="0.3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2E499-D32F-498E-B9A5-AECCD9182945}">
  <dimension ref="A1:L44"/>
  <sheetViews>
    <sheetView topLeftCell="A13" workbookViewId="0">
      <selection activeCell="K17" sqref="K17"/>
    </sheetView>
  </sheetViews>
  <sheetFormatPr defaultRowHeight="15.5"/>
  <cols>
    <col min="1" max="1" width="19.33203125" customWidth="1"/>
    <col min="2" max="2" width="7.83203125" bestFit="1" customWidth="1"/>
    <col min="3" max="3" width="6.75" bestFit="1" customWidth="1"/>
    <col min="7" max="7" width="14.33203125" customWidth="1"/>
    <col min="9" max="9" width="5.5" bestFit="1" customWidth="1"/>
    <col min="10" max="10" width="36.33203125" bestFit="1" customWidth="1"/>
    <col min="11" max="11" width="9.75" bestFit="1" customWidth="1"/>
    <col min="12" max="12" width="15.25" customWidth="1"/>
  </cols>
  <sheetData>
    <row r="1" spans="1:12">
      <c r="A1" s="155" t="s">
        <v>92</v>
      </c>
      <c r="B1" s="155" t="s">
        <v>25</v>
      </c>
      <c r="C1" s="155" t="s">
        <v>91</v>
      </c>
      <c r="G1" s="157" t="s">
        <v>99</v>
      </c>
      <c r="I1" s="214" t="s">
        <v>100</v>
      </c>
      <c r="J1" s="214"/>
      <c r="K1" s="214"/>
      <c r="L1" s="214"/>
    </row>
    <row r="2" spans="1:12">
      <c r="A2" s="154" t="s">
        <v>89</v>
      </c>
      <c r="B2" s="154">
        <v>1437.5</v>
      </c>
      <c r="C2" s="154">
        <f>12*B2</f>
        <v>17250</v>
      </c>
      <c r="G2">
        <v>17250</v>
      </c>
      <c r="I2" s="154" t="s">
        <v>103</v>
      </c>
      <c r="J2" s="154" t="s">
        <v>104</v>
      </c>
      <c r="K2" s="154" t="s">
        <v>105</v>
      </c>
      <c r="L2" s="154"/>
    </row>
    <row r="3" spans="1:12">
      <c r="A3" s="154" t="s">
        <v>90</v>
      </c>
      <c r="B3" s="154">
        <v>2000</v>
      </c>
      <c r="C3" s="154">
        <f>12*B3</f>
        <v>24000</v>
      </c>
      <c r="G3">
        <v>24000</v>
      </c>
      <c r="I3" s="154"/>
      <c r="J3" s="154" t="s">
        <v>101</v>
      </c>
      <c r="K3" s="154"/>
      <c r="L3" s="154"/>
    </row>
    <row r="4" spans="1:12">
      <c r="A4" s="154"/>
      <c r="B4" s="154"/>
      <c r="C4" s="154"/>
      <c r="G4" s="156">
        <v>122880</v>
      </c>
      <c r="I4" s="154"/>
      <c r="J4" s="154" t="s">
        <v>106</v>
      </c>
      <c r="K4" s="158">
        <v>14677</v>
      </c>
      <c r="L4" s="154"/>
    </row>
    <row r="5" spans="1:12">
      <c r="A5" s="154"/>
      <c r="B5" s="154"/>
      <c r="C5" s="154"/>
      <c r="G5">
        <v>102402</v>
      </c>
      <c r="I5" s="154"/>
      <c r="J5" s="154" t="s">
        <v>108</v>
      </c>
      <c r="K5" s="158">
        <v>308939</v>
      </c>
      <c r="L5" s="154"/>
    </row>
    <row r="6" spans="1:12">
      <c r="A6" s="154" t="s">
        <v>93</v>
      </c>
      <c r="B6" s="154"/>
      <c r="C6" s="154">
        <v>125000</v>
      </c>
      <c r="I6" s="154"/>
      <c r="J6" s="154" t="s">
        <v>107</v>
      </c>
      <c r="K6" s="158">
        <v>154469</v>
      </c>
      <c r="L6" s="154"/>
    </row>
    <row r="7" spans="1:12">
      <c r="A7" s="154" t="s">
        <v>93</v>
      </c>
      <c r="B7" s="154"/>
      <c r="C7" s="154">
        <v>120941</v>
      </c>
      <c r="I7" s="154"/>
      <c r="J7" s="154" t="s">
        <v>109</v>
      </c>
      <c r="K7" s="158">
        <v>106302</v>
      </c>
      <c r="L7" s="154"/>
    </row>
    <row r="8" spans="1:12">
      <c r="I8" s="154"/>
      <c r="J8" s="154" t="s">
        <v>110</v>
      </c>
      <c r="K8" s="158">
        <v>25736</v>
      </c>
      <c r="L8" s="154"/>
    </row>
    <row r="9" spans="1:12">
      <c r="A9" s="154"/>
      <c r="B9" s="154"/>
      <c r="C9" s="154"/>
      <c r="D9" s="154" t="s">
        <v>97</v>
      </c>
      <c r="E9" s="154">
        <v>12</v>
      </c>
      <c r="I9" s="154"/>
      <c r="J9" s="154" t="s">
        <v>111</v>
      </c>
      <c r="K9" s="158">
        <v>128001</v>
      </c>
      <c r="L9" s="154"/>
    </row>
    <row r="10" spans="1:12">
      <c r="A10" s="154" t="s">
        <v>94</v>
      </c>
      <c r="B10" s="156">
        <v>10240</v>
      </c>
      <c r="C10" s="156">
        <f>E9*B10</f>
        <v>122880</v>
      </c>
      <c r="D10" s="154"/>
      <c r="E10" s="154"/>
      <c r="I10" s="154"/>
      <c r="J10" s="154" t="s">
        <v>112</v>
      </c>
      <c r="K10" s="158">
        <v>78048</v>
      </c>
      <c r="L10" s="154"/>
    </row>
    <row r="11" spans="1:12">
      <c r="A11" s="154"/>
      <c r="B11" s="156"/>
      <c r="C11" s="156"/>
      <c r="D11" s="154"/>
      <c r="E11" s="154"/>
      <c r="I11" s="154"/>
      <c r="J11" s="154" t="s">
        <v>113</v>
      </c>
      <c r="K11" s="158">
        <v>17750</v>
      </c>
      <c r="L11" s="154"/>
    </row>
    <row r="12" spans="1:12">
      <c r="A12" s="156" t="s">
        <v>95</v>
      </c>
      <c r="B12" s="156">
        <v>37206</v>
      </c>
      <c r="C12" s="154"/>
      <c r="D12" s="154"/>
      <c r="E12" s="154"/>
      <c r="I12" s="154"/>
      <c r="J12" s="159" t="s">
        <v>102</v>
      </c>
      <c r="K12" s="159"/>
      <c r="L12" s="154"/>
    </row>
    <row r="13" spans="1:12">
      <c r="A13" s="156" t="s">
        <v>96</v>
      </c>
      <c r="B13" s="156">
        <v>41249</v>
      </c>
      <c r="C13" s="154"/>
      <c r="D13" s="154"/>
      <c r="E13" s="154"/>
      <c r="I13" s="154"/>
      <c r="J13" s="154" t="s">
        <v>114</v>
      </c>
      <c r="K13" s="158">
        <v>30894</v>
      </c>
      <c r="L13" s="154"/>
    </row>
    <row r="14" spans="1:12">
      <c r="A14" s="156"/>
      <c r="B14" s="156"/>
      <c r="C14" s="154"/>
      <c r="D14" s="154"/>
      <c r="E14" s="154"/>
      <c r="I14" s="154"/>
      <c r="J14" s="154" t="s">
        <v>115</v>
      </c>
      <c r="K14" s="158">
        <v>0</v>
      </c>
      <c r="L14" s="154"/>
    </row>
    <row r="15" spans="1:12">
      <c r="A15" s="156" t="s">
        <v>98</v>
      </c>
      <c r="B15" s="156">
        <v>8533.5</v>
      </c>
      <c r="C15" s="154">
        <f>B15*E9</f>
        <v>102402</v>
      </c>
      <c r="D15" s="156">
        <f>10%*D13</f>
        <v>0</v>
      </c>
      <c r="E15" s="154"/>
      <c r="I15" s="154"/>
      <c r="J15" s="154" t="s">
        <v>116</v>
      </c>
      <c r="K15" s="158">
        <v>0</v>
      </c>
      <c r="L15" s="154"/>
    </row>
    <row r="16" spans="1:12">
      <c r="I16" s="154"/>
      <c r="J16" s="154" t="s">
        <v>117</v>
      </c>
      <c r="K16" s="158">
        <v>0</v>
      </c>
      <c r="L16" s="154"/>
    </row>
    <row r="17" spans="2:12">
      <c r="B17" s="156">
        <v>37206</v>
      </c>
      <c r="I17" s="154" t="s">
        <v>120</v>
      </c>
      <c r="J17" s="154" t="s">
        <v>119</v>
      </c>
      <c r="K17" s="158">
        <v>833922</v>
      </c>
      <c r="L17" s="154"/>
    </row>
    <row r="18" spans="2:12">
      <c r="B18" s="156">
        <v>41249</v>
      </c>
      <c r="D18">
        <f>B15*3</f>
        <v>25600.5</v>
      </c>
      <c r="I18" s="154" t="s">
        <v>122</v>
      </c>
      <c r="J18" s="154" t="s">
        <v>118</v>
      </c>
      <c r="K18" s="154"/>
      <c r="L18" s="154"/>
    </row>
    <row r="19" spans="2:12">
      <c r="I19" s="154"/>
      <c r="J19" s="154" t="s">
        <v>134</v>
      </c>
      <c r="K19" s="158">
        <v>0</v>
      </c>
      <c r="L19" s="154"/>
    </row>
    <row r="20" spans="2:12">
      <c r="I20" s="154" t="s">
        <v>123</v>
      </c>
      <c r="J20" s="154" t="s">
        <v>135</v>
      </c>
      <c r="K20" s="158">
        <v>0</v>
      </c>
      <c r="L20" s="154"/>
    </row>
    <row r="21" spans="2:12">
      <c r="B21" t="s">
        <v>28</v>
      </c>
      <c r="I21" s="154" t="s">
        <v>127</v>
      </c>
      <c r="J21" s="154" t="s">
        <v>136</v>
      </c>
      <c r="K21" s="158">
        <v>1000</v>
      </c>
      <c r="L21" s="154"/>
    </row>
    <row r="22" spans="2:12">
      <c r="I22" s="154" t="s">
        <v>128</v>
      </c>
      <c r="J22" s="154" t="s">
        <v>137</v>
      </c>
      <c r="K22" s="158">
        <v>0</v>
      </c>
      <c r="L22" s="154"/>
    </row>
    <row r="23" spans="2:12">
      <c r="I23" s="154" t="s">
        <v>129</v>
      </c>
      <c r="J23" s="154" t="s">
        <v>138</v>
      </c>
      <c r="K23" s="158">
        <v>1000</v>
      </c>
      <c r="L23" s="154"/>
    </row>
    <row r="24" spans="2:12">
      <c r="I24" s="154" t="s">
        <v>130</v>
      </c>
      <c r="J24" s="154" t="s">
        <v>139</v>
      </c>
      <c r="K24" s="158">
        <v>50000</v>
      </c>
      <c r="L24" s="154"/>
    </row>
    <row r="25" spans="2:12">
      <c r="I25" s="154" t="s">
        <v>131</v>
      </c>
      <c r="J25" s="154" t="s">
        <v>140</v>
      </c>
      <c r="K25" s="158">
        <v>0</v>
      </c>
      <c r="L25" s="154"/>
    </row>
    <row r="26" spans="2:12">
      <c r="I26" s="154" t="s">
        <v>132</v>
      </c>
      <c r="J26" s="154" t="s">
        <v>133</v>
      </c>
      <c r="K26" s="158">
        <f>K17-K19+K20-K21-K24-K25</f>
        <v>782922</v>
      </c>
      <c r="L26" s="154"/>
    </row>
    <row r="27" spans="2:12">
      <c r="I27" s="154"/>
      <c r="J27" s="154" t="s">
        <v>141</v>
      </c>
      <c r="K27" s="154"/>
      <c r="L27" s="154"/>
    </row>
    <row r="28" spans="2:12">
      <c r="I28" s="158"/>
      <c r="J28" s="154" t="s">
        <v>145</v>
      </c>
      <c r="K28" s="158">
        <v>9000</v>
      </c>
      <c r="L28" s="154"/>
    </row>
    <row r="29" spans="2:12">
      <c r="I29" s="154"/>
      <c r="J29" s="154" t="s">
        <v>146</v>
      </c>
      <c r="K29" s="160">
        <v>0</v>
      </c>
      <c r="L29" s="154"/>
    </row>
    <row r="30" spans="2:12">
      <c r="I30" s="154"/>
      <c r="J30" s="154" t="s">
        <v>144</v>
      </c>
      <c r="K30" s="158">
        <v>30894</v>
      </c>
      <c r="L30" s="154"/>
    </row>
    <row r="31" spans="2:12">
      <c r="I31" s="154" t="s">
        <v>142</v>
      </c>
      <c r="J31" s="154" t="s">
        <v>143</v>
      </c>
      <c r="K31" s="158">
        <v>39894</v>
      </c>
      <c r="L31" s="154"/>
    </row>
    <row r="32" spans="2:12">
      <c r="I32" s="154" t="s">
        <v>147</v>
      </c>
      <c r="J32" s="154" t="s">
        <v>155</v>
      </c>
      <c r="K32" s="158">
        <v>743030</v>
      </c>
      <c r="L32" s="154"/>
    </row>
    <row r="33" spans="9:12">
      <c r="I33" s="154" t="s">
        <v>148</v>
      </c>
      <c r="J33" s="154" t="s">
        <v>156</v>
      </c>
      <c r="K33" s="158">
        <v>61106</v>
      </c>
      <c r="L33" s="154"/>
    </row>
    <row r="34" spans="9:12">
      <c r="I34" s="154" t="s">
        <v>149</v>
      </c>
      <c r="J34" s="154" t="s">
        <v>157</v>
      </c>
      <c r="K34" s="160">
        <v>0</v>
      </c>
      <c r="L34" s="154"/>
    </row>
    <row r="35" spans="9:12">
      <c r="I35" s="154" t="s">
        <v>150</v>
      </c>
      <c r="J35" s="154" t="s">
        <v>154</v>
      </c>
      <c r="K35" s="160">
        <v>61106</v>
      </c>
      <c r="L35" s="154"/>
    </row>
    <row r="36" spans="9:12">
      <c r="I36" s="154"/>
      <c r="J36" s="154"/>
      <c r="K36" s="154"/>
      <c r="L36" s="154"/>
    </row>
    <row r="37" spans="9:12">
      <c r="I37" s="154"/>
      <c r="J37" s="158"/>
      <c r="K37" s="154"/>
      <c r="L37" s="154"/>
    </row>
    <row r="38" spans="9:12">
      <c r="I38" s="154" t="s">
        <v>151</v>
      </c>
      <c r="J38" s="154" t="s">
        <v>158</v>
      </c>
      <c r="K38" s="154">
        <v>0</v>
      </c>
      <c r="L38" s="154"/>
    </row>
    <row r="39" spans="9:12">
      <c r="I39" s="154" t="s">
        <v>152</v>
      </c>
      <c r="J39" s="154" t="s">
        <v>159</v>
      </c>
      <c r="K39" s="158">
        <v>2444</v>
      </c>
      <c r="L39" s="154"/>
    </row>
    <row r="40" spans="9:12">
      <c r="I40" s="154" t="s">
        <v>121</v>
      </c>
      <c r="J40" s="154" t="s">
        <v>160</v>
      </c>
      <c r="K40" s="158">
        <v>63550</v>
      </c>
      <c r="L40" s="154"/>
    </row>
    <row r="41" spans="9:12">
      <c r="I41" s="154" t="s">
        <v>125</v>
      </c>
      <c r="J41" s="154" t="s">
        <v>161</v>
      </c>
      <c r="K41" s="158">
        <v>63550</v>
      </c>
      <c r="L41" s="154"/>
    </row>
    <row r="42" spans="9:12">
      <c r="I42" s="154" t="s">
        <v>153</v>
      </c>
      <c r="J42" s="154" t="s">
        <v>162</v>
      </c>
      <c r="K42" s="158">
        <v>0</v>
      </c>
      <c r="L42" s="154"/>
    </row>
    <row r="43" spans="9:12">
      <c r="I43" s="154" t="s">
        <v>126</v>
      </c>
      <c r="J43" s="154" t="s">
        <v>163</v>
      </c>
      <c r="K43" s="158">
        <v>0</v>
      </c>
      <c r="L43" s="154"/>
    </row>
    <row r="44" spans="9:12">
      <c r="I44" s="154" t="s">
        <v>124</v>
      </c>
      <c r="J44" s="154" t="s">
        <v>164</v>
      </c>
      <c r="K44" s="158">
        <v>0</v>
      </c>
      <c r="L44" s="154"/>
    </row>
  </sheetData>
  <mergeCells count="1">
    <mergeCell ref="I1:L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2A4FB-796D-2941-9AB2-98E362E7CD91}">
  <dimension ref="A3:G17"/>
  <sheetViews>
    <sheetView topLeftCell="A7" zoomScale="70" zoomScaleNormal="70" workbookViewId="0">
      <selection activeCell="F14" sqref="F14"/>
    </sheetView>
  </sheetViews>
  <sheetFormatPr defaultColWidth="10.75" defaultRowHeight="15.5"/>
  <cols>
    <col min="1" max="1" width="43" style="1" bestFit="1" customWidth="1"/>
    <col min="2" max="2" width="35" style="1" customWidth="1"/>
    <col min="3" max="3" width="32.75" style="1" bestFit="1" customWidth="1"/>
    <col min="4" max="5" width="10.75" style="1"/>
    <col min="6" max="6" width="8.33203125" style="1" customWidth="1"/>
    <col min="7" max="7" width="46.83203125" style="1" customWidth="1"/>
    <col min="8" max="16384" width="10.75" style="1"/>
  </cols>
  <sheetData>
    <row r="3" spans="1:7">
      <c r="B3" s="2"/>
    </row>
    <row r="4" spans="1:7" ht="33" thickBot="1">
      <c r="A4" s="3"/>
      <c r="B4" s="135" t="s">
        <v>25</v>
      </c>
      <c r="C4" s="136" t="s">
        <v>26</v>
      </c>
      <c r="D4" s="4"/>
    </row>
    <row r="5" spans="1:7" ht="33" thickBot="1">
      <c r="A5" s="139" t="s">
        <v>27</v>
      </c>
      <c r="B5" s="5">
        <v>85333</v>
      </c>
      <c r="C5" s="137">
        <f>B5*12</f>
        <v>1023996</v>
      </c>
    </row>
    <row r="6" spans="1:7" ht="33" thickBot="1">
      <c r="A6" s="140" t="s">
        <v>28</v>
      </c>
      <c r="B6" s="6"/>
      <c r="C6" s="138">
        <f t="shared" ref="C6:C7" si="0">B6*12</f>
        <v>0</v>
      </c>
    </row>
    <row r="7" spans="1:7" ht="33" thickBot="1">
      <c r="A7" s="141" t="s">
        <v>29</v>
      </c>
      <c r="B7" s="6">
        <v>34000</v>
      </c>
      <c r="C7" s="138">
        <f t="shared" si="0"/>
        <v>408000</v>
      </c>
    </row>
    <row r="9" spans="1:7" ht="16" thickBot="1">
      <c r="A9" s="2"/>
      <c r="C9" s="2"/>
    </row>
    <row r="10" spans="1:7" ht="33" thickBot="1">
      <c r="A10" s="142" t="s">
        <v>30</v>
      </c>
      <c r="B10" s="143"/>
      <c r="C10" s="144"/>
      <c r="D10" s="7"/>
      <c r="E10" s="8"/>
      <c r="F10" s="9"/>
      <c r="G10" s="146">
        <f>C6</f>
        <v>0</v>
      </c>
    </row>
    <row r="11" spans="1:7" ht="33" thickBot="1">
      <c r="A11" s="8"/>
      <c r="B11" s="10"/>
      <c r="C11" s="10"/>
      <c r="D11" s="8"/>
      <c r="E11" s="8"/>
      <c r="F11" s="9"/>
      <c r="G11" s="9"/>
    </row>
    <row r="12" spans="1:7" ht="33" thickBot="1">
      <c r="A12" s="142" t="s">
        <v>31</v>
      </c>
      <c r="B12" s="145"/>
      <c r="C12" s="143"/>
      <c r="D12" s="11"/>
      <c r="E12" s="6">
        <v>2</v>
      </c>
      <c r="G12" s="147">
        <f>IF(E12=1,C5*50%,IF(E12=2,C5*40%))</f>
        <v>409598.4</v>
      </c>
    </row>
    <row r="13" spans="1:7" ht="33" thickBot="1">
      <c r="A13" s="10"/>
      <c r="B13" s="12"/>
      <c r="C13" s="10"/>
      <c r="D13" s="8"/>
      <c r="E13" s="8"/>
      <c r="F13" s="9"/>
      <c r="G13" s="9"/>
    </row>
    <row r="14" spans="1:7" ht="45" thickBot="1">
      <c r="A14" s="145" t="s">
        <v>32</v>
      </c>
      <c r="B14" s="143"/>
      <c r="C14" s="145"/>
      <c r="D14" s="7"/>
      <c r="E14" s="8"/>
      <c r="F14" s="9"/>
      <c r="G14" s="148">
        <f>C7-(C5*10%)</f>
        <v>305600.40000000002</v>
      </c>
    </row>
    <row r="15" spans="1:7" ht="32.5">
      <c r="A15" s="13"/>
      <c r="B15" s="9"/>
      <c r="C15" s="13"/>
      <c r="D15" s="9"/>
      <c r="E15" s="9"/>
      <c r="F15" s="9"/>
      <c r="G15" s="9"/>
    </row>
    <row r="16" spans="1:7" ht="33" thickBot="1">
      <c r="A16" s="9"/>
      <c r="B16" s="9"/>
      <c r="C16" s="9"/>
      <c r="D16" s="9"/>
      <c r="E16" s="9"/>
      <c r="F16" s="9"/>
      <c r="G16" s="9"/>
    </row>
    <row r="17" spans="1:7" ht="33" thickBot="1">
      <c r="A17" s="9"/>
      <c r="B17" s="9"/>
      <c r="C17" s="9"/>
      <c r="D17" s="215" t="s">
        <v>33</v>
      </c>
      <c r="E17" s="216"/>
      <c r="F17" s="217"/>
      <c r="G17" s="149">
        <f>SMALL(G10:G14,1)</f>
        <v>0</v>
      </c>
    </row>
  </sheetData>
  <sheetProtection algorithmName="SHA-512" hashValue="AG+YRGNWkNghgUv0i2MnQiA9M9NQr1VPJ4XqfflATfLvXs7KSxynUollHg5LCfi32OagZ1RIL6B3jMt8SdcUJg==" saltValue="E4rEXG99RlKB10PSUyaTKw==" spinCount="100000" sheet="1" objects="1" scenarios="1"/>
  <mergeCells count="1">
    <mergeCell ref="D17:F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356A7-C555-43A1-BDDE-BE0C36A3FADE}">
  <dimension ref="A1:J29"/>
  <sheetViews>
    <sheetView workbookViewId="0">
      <selection activeCell="C2" sqref="C2"/>
    </sheetView>
  </sheetViews>
  <sheetFormatPr defaultRowHeight="15.5"/>
  <cols>
    <col min="1" max="1" width="18.58203125" bestFit="1" customWidth="1"/>
    <col min="2" max="2" width="11.25" bestFit="1" customWidth="1"/>
    <col min="3" max="3" width="9.75" bestFit="1" customWidth="1"/>
    <col min="6" max="6" width="24.6640625" customWidth="1"/>
    <col min="7" max="7" width="18.6640625" bestFit="1" customWidth="1"/>
  </cols>
  <sheetData>
    <row r="1" spans="1:10" ht="16" thickBot="1">
      <c r="F1" s="164" t="s">
        <v>168</v>
      </c>
      <c r="G1" s="163">
        <v>1277103</v>
      </c>
    </row>
    <row r="2" spans="1:10">
      <c r="A2" s="154" t="s">
        <v>165</v>
      </c>
      <c r="B2" s="158">
        <v>1534639</v>
      </c>
      <c r="C2" s="158">
        <v>833922</v>
      </c>
    </row>
    <row r="3" spans="1:10">
      <c r="A3" s="154"/>
      <c r="B3" s="154"/>
      <c r="C3" s="154"/>
    </row>
    <row r="4" spans="1:10">
      <c r="A4" s="154" t="s">
        <v>28</v>
      </c>
      <c r="B4" s="161">
        <v>205936</v>
      </c>
      <c r="C4" s="154"/>
      <c r="H4" t="s">
        <v>176</v>
      </c>
      <c r="I4" t="s">
        <v>179</v>
      </c>
    </row>
    <row r="5" spans="1:10">
      <c r="A5" s="154" t="s">
        <v>166</v>
      </c>
      <c r="B5" s="162">
        <v>1600</v>
      </c>
      <c r="C5" s="154">
        <v>1000</v>
      </c>
      <c r="F5" t="s">
        <v>28</v>
      </c>
      <c r="G5">
        <v>34000</v>
      </c>
      <c r="H5">
        <f>G5*(LEFT($H$4,1))</f>
        <v>272000</v>
      </c>
      <c r="I5">
        <f>G5*(LEFT($I$4,2))</f>
        <v>408000</v>
      </c>
      <c r="J5" t="s">
        <v>182</v>
      </c>
    </row>
    <row r="6" spans="1:10">
      <c r="A6" s="154" t="s">
        <v>167</v>
      </c>
      <c r="B6" s="154">
        <v>50000</v>
      </c>
      <c r="C6" s="154"/>
      <c r="F6" t="s">
        <v>177</v>
      </c>
      <c r="G6">
        <v>85333</v>
      </c>
      <c r="H6">
        <f>G6*(LEFT($H$4,1))</f>
        <v>682664</v>
      </c>
      <c r="I6">
        <f t="shared" ref="I6" si="0">G6*(LEFT($I$4,2))</f>
        <v>1023996</v>
      </c>
    </row>
    <row r="7" spans="1:10">
      <c r="A7" s="154"/>
      <c r="B7" s="158"/>
      <c r="C7" s="154"/>
      <c r="F7" s="161" t="s">
        <v>178</v>
      </c>
      <c r="G7" s="161">
        <v>42667</v>
      </c>
      <c r="H7" s="161">
        <f>G7*(LEFT($H$4,1))</f>
        <v>341336</v>
      </c>
      <c r="I7" s="161">
        <f>G7*(LEFT($I$4,2))</f>
        <v>512004</v>
      </c>
      <c r="J7" t="s">
        <v>181</v>
      </c>
    </row>
    <row r="8" spans="1:10">
      <c r="A8" s="154"/>
      <c r="B8" s="158"/>
      <c r="C8" s="154"/>
      <c r="F8" t="s">
        <v>180</v>
      </c>
      <c r="I8">
        <f>40%*I6</f>
        <v>409598.4</v>
      </c>
    </row>
    <row r="9" spans="1:10">
      <c r="A9" s="154" t="s">
        <v>169</v>
      </c>
      <c r="B9" s="154">
        <v>79277</v>
      </c>
      <c r="C9" s="154"/>
      <c r="D9" s="218">
        <v>150000</v>
      </c>
    </row>
    <row r="10" spans="1:10">
      <c r="A10" s="167" t="s">
        <v>95</v>
      </c>
      <c r="B10" s="156">
        <v>37206</v>
      </c>
      <c r="C10" s="154"/>
      <c r="D10" s="218"/>
      <c r="I10">
        <f>I5-(10%*I6)</f>
        <v>305600.40000000002</v>
      </c>
    </row>
    <row r="11" spans="1:10">
      <c r="A11" s="167" t="s">
        <v>185</v>
      </c>
      <c r="B11" s="156">
        <v>41249</v>
      </c>
      <c r="C11" s="154"/>
      <c r="D11" s="218"/>
    </row>
    <row r="12" spans="1:10">
      <c r="A12" s="165" t="s">
        <v>172</v>
      </c>
      <c r="B12" s="156">
        <v>150000</v>
      </c>
      <c r="C12" s="154"/>
    </row>
    <row r="13" spans="1:10">
      <c r="A13" s="162" t="s">
        <v>170</v>
      </c>
      <c r="B13" s="154">
        <v>125000</v>
      </c>
      <c r="C13" s="154"/>
    </row>
    <row r="14" spans="1:10">
      <c r="A14" s="154" t="s">
        <v>171</v>
      </c>
      <c r="B14" s="154">
        <v>75000</v>
      </c>
      <c r="C14" s="154"/>
      <c r="G14" t="s">
        <v>25</v>
      </c>
      <c r="H14">
        <v>12</v>
      </c>
    </row>
    <row r="15" spans="1:10">
      <c r="A15" s="154" t="s">
        <v>174</v>
      </c>
      <c r="B15" s="154">
        <v>25600</v>
      </c>
      <c r="C15" s="154"/>
      <c r="F15" t="s">
        <v>183</v>
      </c>
      <c r="G15">
        <v>20000</v>
      </c>
      <c r="H15">
        <f t="shared" ref="H15:H16" si="1">G15*$H$14</f>
        <v>240000</v>
      </c>
    </row>
    <row r="16" spans="1:10">
      <c r="A16" s="166" t="s">
        <v>175</v>
      </c>
      <c r="B16" s="166">
        <v>50000</v>
      </c>
      <c r="C16" s="154"/>
      <c r="F16" t="s">
        <v>184</v>
      </c>
      <c r="G16">
        <v>20000</v>
      </c>
      <c r="H16">
        <f t="shared" si="1"/>
        <v>240000</v>
      </c>
    </row>
    <row r="17" spans="1:8">
      <c r="A17" s="154"/>
      <c r="B17" s="154"/>
      <c r="C17" s="154"/>
      <c r="F17" t="s">
        <v>177</v>
      </c>
      <c r="G17">
        <v>40000</v>
      </c>
      <c r="H17">
        <f>G17*$H$14</f>
        <v>480000</v>
      </c>
    </row>
    <row r="18" spans="1:8">
      <c r="A18" s="154" t="s">
        <v>173</v>
      </c>
      <c r="B18" s="154">
        <f>SUM(B12:B16,B4,B5,B6)</f>
        <v>683136</v>
      </c>
      <c r="C18" s="154"/>
    </row>
    <row r="19" spans="1:8">
      <c r="A19" s="154"/>
      <c r="B19" s="154"/>
      <c r="C19" s="154"/>
    </row>
    <row r="20" spans="1:8">
      <c r="A20" s="154"/>
      <c r="B20" s="158">
        <f>B2-B18</f>
        <v>851503</v>
      </c>
      <c r="C20" s="154"/>
      <c r="G20">
        <f>H15-(10%*H17)</f>
        <v>192000</v>
      </c>
    </row>
    <row r="21" spans="1:8">
      <c r="A21" s="154"/>
      <c r="B21" s="154"/>
      <c r="C21" s="154"/>
    </row>
    <row r="22" spans="1:8">
      <c r="A22" s="154"/>
      <c r="B22" s="154"/>
      <c r="C22" s="154"/>
    </row>
    <row r="23" spans="1:8">
      <c r="A23" s="154" t="s">
        <v>186</v>
      </c>
      <c r="B23" s="154"/>
      <c r="C23" s="154"/>
    </row>
    <row r="24" spans="1:8" ht="33" thickBot="1">
      <c r="G24" s="137">
        <v>1023996</v>
      </c>
    </row>
    <row r="26" spans="1:8">
      <c r="G26">
        <f>40%*G24</f>
        <v>409598.4</v>
      </c>
    </row>
    <row r="29" spans="1:8">
      <c r="F29">
        <v>6667</v>
      </c>
      <c r="G29">
        <f>12*F29</f>
        <v>80004</v>
      </c>
    </row>
  </sheetData>
  <mergeCells count="1">
    <mergeCell ref="D9:D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 TAX CAL</vt:lpstr>
      <vt:lpstr>My Investments</vt:lpstr>
      <vt:lpstr>HRA CALCULATION</vt:lpstr>
      <vt:lpstr>my tax sheet FY21-22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Ponguru Naveen</cp:lastModifiedBy>
  <dcterms:created xsi:type="dcterms:W3CDTF">2020-11-22T13:25:26Z</dcterms:created>
  <dcterms:modified xsi:type="dcterms:W3CDTF">2022-01-08T17:45:34Z</dcterms:modified>
</cp:coreProperties>
</file>