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OneDrive - Mphasis\Personal\Personal\Mphasis\"/>
    </mc:Choice>
  </mc:AlternateContent>
  <xr:revisionPtr revIDLastSave="0" documentId="13_ncr:1_{77F93CBA-3524-4E3A-87D5-64156421E2E0}" xr6:coauthVersionLast="47" xr6:coauthVersionMax="47" xr10:uidLastSave="{00000000-0000-0000-0000-000000000000}"/>
  <bookViews>
    <workbookView xWindow="-120" yWindow="-120" windowWidth="20730" windowHeight="11160" xr2:uid="{239F5D48-E4E3-F645-BABA-08DD8A1E159A}"/>
  </bookViews>
  <sheets>
    <sheet name="INCOME TAX CAL" sheetId="1" r:id="rId1"/>
    <sheet name="My Investments" sheetId="4" r:id="rId2"/>
    <sheet name="HRA CALCULATION" sheetId="3" r:id="rId3"/>
    <sheet name="my tax sheet FY21-22" sheetId="5" r:id="rId4"/>
    <sheet name="Calc shee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6" l="1"/>
  <c r="F22" i="6"/>
  <c r="J8" i="6"/>
  <c r="H30" i="6"/>
  <c r="H27" i="6"/>
  <c r="H26" i="6"/>
  <c r="G27" i="6"/>
  <c r="G26" i="6"/>
  <c r="C53" i="1"/>
  <c r="I15" i="6"/>
  <c r="H23" i="6"/>
  <c r="M22" i="6"/>
  <c r="M18" i="6"/>
  <c r="F2" i="6" l="1"/>
  <c r="F5" i="6"/>
  <c r="F18" i="6" s="1"/>
  <c r="F20" i="6" s="1"/>
  <c r="F14" i="6"/>
  <c r="F13" i="6"/>
  <c r="F4" i="6"/>
  <c r="F16" i="6"/>
  <c r="F15" i="6"/>
  <c r="B20" i="6"/>
  <c r="B18" i="6"/>
  <c r="B18" i="5"/>
  <c r="B20" i="5" s="1"/>
  <c r="C37" i="4"/>
  <c r="C32" i="4"/>
  <c r="G26" i="5"/>
  <c r="I7" i="5"/>
  <c r="H17" i="5"/>
  <c r="G20" i="5"/>
  <c r="H15" i="5"/>
  <c r="H16" i="5"/>
  <c r="I10" i="5"/>
  <c r="I8" i="5"/>
  <c r="I6" i="5"/>
  <c r="I5" i="5"/>
  <c r="H7" i="5"/>
  <c r="H5" i="5"/>
  <c r="H6" i="5"/>
  <c r="D18" i="4"/>
  <c r="D15" i="4"/>
  <c r="K26" i="4"/>
  <c r="C15" i="4"/>
  <c r="C10" i="4"/>
  <c r="G29" i="5" l="1"/>
  <c r="C3" i="4" l="1"/>
  <c r="C2" i="4"/>
  <c r="D47" i="1" l="1"/>
  <c r="D51" i="1"/>
  <c r="D53" i="1"/>
  <c r="Q13" i="1"/>
  <c r="R21" i="1" s="1"/>
  <c r="S21" i="1" s="1"/>
  <c r="C7" i="3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G14" i="3" l="1"/>
  <c r="R15" i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C33" i="1" s="1"/>
  <c r="D33" i="1" l="1"/>
  <c r="D55" i="1" s="1"/>
  <c r="D57" i="1" s="1"/>
  <c r="L22" i="1" s="1"/>
  <c r="S22" i="1"/>
  <c r="S30" i="1" s="1"/>
  <c r="S31" i="1" s="1"/>
  <c r="S33" i="1" s="1"/>
  <c r="M27" i="1" l="1"/>
  <c r="N27" i="1" s="1"/>
  <c r="M25" i="1"/>
  <c r="N25" i="1" s="1"/>
  <c r="M24" i="1"/>
  <c r="N24" i="1" s="1"/>
  <c r="M26" i="1"/>
  <c r="N26" i="1" s="1"/>
  <c r="H13" i="1"/>
  <c r="L13" i="1"/>
  <c r="M18" i="1" s="1"/>
  <c r="N18" i="1" s="1"/>
  <c r="N28" i="1" l="1"/>
  <c r="C28" i="4"/>
  <c r="C30" i="4" s="1"/>
  <c r="M17" i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<sst xmlns="http://schemas.openxmlformats.org/spreadsheetml/2006/main" count="256" uniqueCount="215">
  <si>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</si>
  <si>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</si>
  <si>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</si>
  <si>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</si>
  <si>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</si>
  <si>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</si>
  <si>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</si>
  <si>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</si>
  <si>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</si>
  <si>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</si>
  <si>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</si>
  <si>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</si>
  <si>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</si>
  <si>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</si>
  <si>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</si>
  <si>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</si>
  <si>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</si>
  <si>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</si>
  <si>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</si>
  <si>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</si>
  <si>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</si>
  <si>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</si>
  <si>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</si>
  <si>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</si>
  <si>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</si>
  <si>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</si>
  <si>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</si>
  <si>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</si>
  <si>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</si>
  <si>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</si>
  <si>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</si>
  <si>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</si>
  <si>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</si>
  <si>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</si>
  <si>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</si>
  <si>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</si>
  <si>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</si>
  <si>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</si>
  <si>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</si>
  <si>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</si>
  <si>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</si>
  <si>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</si>
  <si>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</si>
  <si>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</si>
  <si>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</si>
  <si>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</si>
  <si>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</si>
  <si>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</si>
  <si>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</si>
  <si>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</si>
  <si>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</si>
  <si>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</si>
  <si>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</si>
  <si>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</si>
  <si>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</si>
  <si>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</si>
  <si>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</si>
  <si>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</si>
  <si>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</si>
  <si>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</si>
  <si>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</si>
  <si>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</si>
  <si>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</si>
  <si>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</si>
  <si>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</si>
  <si>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</si>
  <si>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</si>
  <si>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</si>
  <si>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</si>
  <si>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</si>
  <si>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</si>
  <si>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</si>
  <si>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</si>
  <si>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</si>
  <si>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</si>
  <si>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</si>
  <si>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</si>
  <si>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</si>
  <si>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</si>
  <si>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</si>
  <si>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</si>
  <si>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</si>
  <si>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</si>
  <si>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</si>
  <si>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</si>
  <si>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</si>
  <si>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</si>
  <si>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</si>
  <si>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</si>
  <si>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</si>
  <si>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</si>
  <si>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</si>
  <si>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</si>
  <si>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</si>
  <si>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</si>
  <si>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</si>
  <si>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</si>
  <si>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</si>
  <si>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</si>
  <si>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</si>
  <si>
    <t>Income from ATG (01-04-2021 to 05-04-2021)</t>
  </si>
  <si>
    <t>Salary Components(Breakup)</t>
  </si>
  <si>
    <t>Perquisite Breakup</t>
  </si>
  <si>
    <t>Sl. No</t>
  </si>
  <si>
    <t>Description</t>
  </si>
  <si>
    <t>Amount</t>
  </si>
  <si>
    <t>COVID Allowance</t>
  </si>
  <si>
    <t>House Rent Allowance</t>
  </si>
  <si>
    <t xml:space="preserve">Basic Salary </t>
  </si>
  <si>
    <t xml:space="preserve">Special Allowance </t>
  </si>
  <si>
    <t>Bonus</t>
  </si>
  <si>
    <t xml:space="preserve">KEY PERFORMANCE BONUS </t>
  </si>
  <si>
    <t xml:space="preserve">LEAVE ENCASHMENT </t>
  </si>
  <si>
    <t>SHIFT ALLOWANCE</t>
  </si>
  <si>
    <t xml:space="preserve">NationalPensionScheme </t>
  </si>
  <si>
    <t>Superannuation</t>
  </si>
  <si>
    <t xml:space="preserve">TaxablePerkNpsPfSuperann </t>
  </si>
  <si>
    <t>Previous employer income</t>
  </si>
  <si>
    <t>Exemptions u/s Section 10</t>
  </si>
  <si>
    <t xml:space="preserve">Gross salary </t>
  </si>
  <si>
    <t xml:space="preserve">A </t>
  </si>
  <si>
    <t>O</t>
  </si>
  <si>
    <t>B</t>
  </si>
  <si>
    <t>C</t>
  </si>
  <si>
    <t>S</t>
  </si>
  <si>
    <t>P</t>
  </si>
  <si>
    <t>R</t>
  </si>
  <si>
    <t xml:space="preserve">D1 </t>
  </si>
  <si>
    <t xml:space="preserve">D2 </t>
  </si>
  <si>
    <t>D</t>
  </si>
  <si>
    <t xml:space="preserve">E </t>
  </si>
  <si>
    <t>F</t>
  </si>
  <si>
    <t xml:space="preserve">G </t>
  </si>
  <si>
    <t>Gross taxable income (A - B + C - D - E -F)</t>
  </si>
  <si>
    <t>Total exemptions Section 10 (Total B)</t>
  </si>
  <si>
    <t xml:space="preserve"> Other Income</t>
  </si>
  <si>
    <t>Profession tax</t>
  </si>
  <si>
    <t>Profession tax previous employer</t>
  </si>
  <si>
    <t xml:space="preserve"> Total Profession tax(Subject to max. 2500) </t>
  </si>
  <si>
    <t xml:space="preserve">Standard Deduction </t>
  </si>
  <si>
    <t xml:space="preserve"> Interest on Housing Loan</t>
  </si>
  <si>
    <t>Deductions under Chapter VI A</t>
  </si>
  <si>
    <t xml:space="preserve">H </t>
  </si>
  <si>
    <t>Total</t>
  </si>
  <si>
    <t xml:space="preserve">Deduction 80CCD(2) Employer </t>
  </si>
  <si>
    <t xml:space="preserve">Section 80 C </t>
  </si>
  <si>
    <t xml:space="preserve">NPS 80CCD1(B) Employee </t>
  </si>
  <si>
    <t>I</t>
  </si>
  <si>
    <t>J</t>
  </si>
  <si>
    <t>K</t>
  </si>
  <si>
    <t>L</t>
  </si>
  <si>
    <t>M</t>
  </si>
  <si>
    <t>N</t>
  </si>
  <si>
    <t>Q</t>
  </si>
  <si>
    <t>Tax on Total Income after Rebate Sec87A</t>
  </si>
  <si>
    <t xml:space="preserve">Net taxable income (G-H) </t>
  </si>
  <si>
    <t>Tax on total income</t>
  </si>
  <si>
    <t xml:space="preserve">Rebate Sec 87A </t>
  </si>
  <si>
    <t>Surcharge</t>
  </si>
  <si>
    <t xml:space="preserve">N Education cess </t>
  </si>
  <si>
    <t>O Total tax payable (L+M+N)</t>
  </si>
  <si>
    <t>P Tax deducted till Current Month</t>
  </si>
  <si>
    <t xml:space="preserve">Q TDS previous employer </t>
  </si>
  <si>
    <t xml:space="preserve">R Balance tax payable (O-P-Q) </t>
  </si>
  <si>
    <t>S Monthly payable tax</t>
  </si>
  <si>
    <t>Gross Salary</t>
  </si>
  <si>
    <t>Professional Tax</t>
  </si>
  <si>
    <t>Standard Deduction</t>
  </si>
  <si>
    <t> Income chargeable under the head salaries (G - H)</t>
  </si>
  <si>
    <t>PF</t>
  </si>
  <si>
    <t>80DD 80% &gt;</t>
  </si>
  <si>
    <t>80% &lt;</t>
  </si>
  <si>
    <t>80C excemption</t>
  </si>
  <si>
    <t>Total Deductions</t>
  </si>
  <si>
    <t>80CCD(2)-employer</t>
  </si>
  <si>
    <t>80CCD(1)</t>
  </si>
  <si>
    <t>8 Months</t>
  </si>
  <si>
    <t>Basic Sal</t>
  </si>
  <si>
    <t>HRA received</t>
  </si>
  <si>
    <t>12 Months</t>
  </si>
  <si>
    <t>40% of Basic</t>
  </si>
  <si>
    <t>company given to employee</t>
  </si>
  <si>
    <t>rent paid by employee</t>
  </si>
  <si>
    <t>Rent Paid by Employee</t>
  </si>
  <si>
    <t>HRA received from Employer</t>
  </si>
  <si>
    <t>ULIP</t>
  </si>
  <si>
    <t>Donation to charities Min 100000</t>
  </si>
  <si>
    <t>Chapter 4</t>
  </si>
  <si>
    <t>HDFC</t>
  </si>
  <si>
    <t>Axis Bank</t>
  </si>
  <si>
    <t>ICICI</t>
  </si>
  <si>
    <t>Kotak</t>
  </si>
  <si>
    <t>Bank Sav. Interest</t>
  </si>
  <si>
    <t>Total Int. Rec</t>
  </si>
  <si>
    <t>Divedent Received</t>
  </si>
  <si>
    <t>JUBILANT INGREVIA LIMITED (MRTJ03201C</t>
  </si>
  <si>
    <t>OIL INDIA</t>
  </si>
  <si>
    <t>RAILTEL</t>
  </si>
  <si>
    <t>ITC</t>
  </si>
  <si>
    <t>Subex</t>
  </si>
  <si>
    <t>MANALI PETROCHEMICALS</t>
  </si>
  <si>
    <t>ADANI PORTS</t>
  </si>
  <si>
    <t>SONA BLW</t>
  </si>
  <si>
    <t>JSW STEEL</t>
  </si>
  <si>
    <t>LAURUS LABS LIMITED</t>
  </si>
  <si>
    <t>THE FEDERAL BANK</t>
  </si>
  <si>
    <t>Divedent</t>
  </si>
  <si>
    <t>SBI</t>
  </si>
  <si>
    <t>Gain</t>
  </si>
  <si>
    <t>LTA</t>
  </si>
  <si>
    <t>Basic Pay</t>
  </si>
  <si>
    <t>HRA Received</t>
  </si>
  <si>
    <t>Ammends</t>
  </si>
  <si>
    <t>Tax Paid</t>
  </si>
  <si>
    <t>Create Tax Calculator According to Salaried Employees and The Investors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</si>
</sst>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6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2E57"/>
      <name val="Verdana"/>
      <family val="2"/>
    </font>
    <font>
      <sz val="6"/>
      <color rgb="FF002E57"/>
      <name val="Verdana"/>
      <family val="2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0" fillId="0" borderId="56" xfId="0" applyBorder="1" applyAlignment="1">
      <alignment vertical="center"/>
    </xf>
    <xf numFmtId="4" fontId="0" fillId="0" borderId="56" xfId="0" applyNumberFormat="1" applyBorder="1"/>
    <xf numFmtId="0" fontId="22" fillId="0" borderId="56" xfId="0" applyFont="1" applyBorder="1" applyAlignment="1"/>
    <xf numFmtId="4" fontId="0" fillId="0" borderId="56" xfId="0" applyNumberFormat="1" applyFill="1" applyBorder="1"/>
    <xf numFmtId="0" fontId="22" fillId="0" borderId="0" xfId="0" applyFont="1"/>
    <xf numFmtId="0" fontId="24" fillId="0" borderId="0" xfId="0" applyFont="1"/>
    <xf numFmtId="0" fontId="23" fillId="0" borderId="57" xfId="0" applyFont="1" applyBorder="1" applyAlignment="1">
      <alignment horizontal="right" vertical="center" wrapText="1"/>
    </xf>
    <xf numFmtId="0" fontId="23" fillId="0" borderId="58" xfId="0" applyFont="1" applyBorder="1" applyAlignment="1">
      <alignment vertical="center" wrapText="1"/>
    </xf>
    <xf numFmtId="0" fontId="0" fillId="0" borderId="0" xfId="0" applyBorder="1"/>
    <xf numFmtId="0" fontId="22" fillId="0" borderId="56" xfId="0" applyFont="1" applyBorder="1"/>
    <xf numFmtId="0" fontId="0" fillId="0" borderId="60" xfId="0" applyFill="1" applyBorder="1"/>
    <xf numFmtId="0" fontId="23" fillId="0" borderId="0" xfId="0" applyFont="1"/>
    <xf numFmtId="0" fontId="0" fillId="36" borderId="0" xfId="0" applyFill="1" applyAlignment="1">
      <alignment horizontal="left"/>
    </xf>
    <xf numFmtId="0" fontId="0" fillId="36" borderId="56" xfId="0" applyFill="1" applyBorder="1" applyAlignment="1">
      <alignment horizontal="left" vertical="center"/>
    </xf>
    <xf numFmtId="0" fontId="0" fillId="0" borderId="56" xfId="0" applyFill="1" applyBorder="1"/>
    <xf numFmtId="0" fontId="24" fillId="0" borderId="56" xfId="0" applyFont="1" applyBorder="1"/>
    <xf numFmtId="0" fontId="25" fillId="0" borderId="56" xfId="0" applyFont="1" applyBorder="1"/>
    <xf numFmtId="0" fontId="0" fillId="2" borderId="56" xfId="0" applyFill="1" applyBorder="1" applyAlignment="1"/>
    <xf numFmtId="0" fontId="22" fillId="0" borderId="60" xfId="0" applyFont="1" applyFill="1" applyBorder="1"/>
    <xf numFmtId="0" fontId="0" fillId="5" borderId="56" xfId="0" applyFill="1" applyBorder="1"/>
    <xf numFmtId="3" fontId="0" fillId="0" borderId="0" xfId="0" applyNumberFormat="1"/>
    <xf numFmtId="0" fontId="0" fillId="5" borderId="0" xfId="0" applyFill="1"/>
    <xf numFmtId="0" fontId="25" fillId="0" borderId="0" xfId="0" applyFont="1"/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0" fillId="0" borderId="56" xfId="0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0" fillId="0" borderId="59" xfId="0" applyBorder="1" applyAlignment="1">
      <alignment horizont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topLeftCell="H7" zoomScale="25" zoomScaleNormal="25" workbookViewId="0">
      <selection activeCell="C9" sqref="C9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125" style="14" customWidth="1"/>
    <col min="9" max="9" width="13.25" style="14" customWidth="1"/>
    <col min="10" max="10" width="19.75" style="14" bestFit="1" customWidth="1"/>
    <col min="11" max="11" width="82.87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75" thickBot="1"/>
    <row r="7" spans="1:20" ht="46.5" thickTop="1" thickBot="1">
      <c r="B7" s="107" t="s">
        <v>2</v>
      </c>
      <c r="C7" s="223" t="s">
        <v>88</v>
      </c>
      <c r="D7" s="224"/>
      <c r="G7" s="214" t="s">
        <v>71</v>
      </c>
      <c r="H7" s="215"/>
      <c r="I7" s="216" t="s">
        <v>70</v>
      </c>
      <c r="J7" s="217"/>
      <c r="K7" s="218"/>
      <c r="L7" s="71"/>
      <c r="M7" s="71"/>
    </row>
    <row r="8" spans="1:20" ht="46.5" thickTop="1" thickBot="1">
      <c r="B8" s="108" t="s">
        <v>3</v>
      </c>
      <c r="C8" s="15">
        <v>60</v>
      </c>
      <c r="D8" s="46" t="s">
        <v>24</v>
      </c>
      <c r="I8" s="72"/>
    </row>
    <row r="9" spans="1:20" ht="46.5" thickTop="1" thickBot="1">
      <c r="B9" s="109" t="s">
        <v>67</v>
      </c>
      <c r="C9" s="15">
        <v>60</v>
      </c>
      <c r="D9" s="46" t="s">
        <v>24</v>
      </c>
    </row>
    <row r="10" spans="1:20" ht="46.5" thickTop="1" thickBot="1">
      <c r="A10" s="16"/>
      <c r="C10" s="17"/>
      <c r="D10" s="18"/>
    </row>
    <row r="11" spans="1:20" ht="46.5" thickTop="1" thickBot="1">
      <c r="A11" s="16"/>
      <c r="B11" s="110" t="s">
        <v>58</v>
      </c>
      <c r="C11" s="111"/>
      <c r="D11" s="19">
        <v>2150000</v>
      </c>
      <c r="K11" s="220" t="s">
        <v>45</v>
      </c>
      <c r="L11" s="221"/>
      <c r="M11" s="221"/>
      <c r="N11" s="222"/>
      <c r="P11" s="179" t="s">
        <v>45</v>
      </c>
      <c r="Q11" s="180"/>
      <c r="R11" s="180"/>
      <c r="S11" s="181"/>
    </row>
    <row r="12" spans="1:20" ht="46.5" thickTop="1" thickBot="1">
      <c r="A12" s="16"/>
      <c r="D12" s="20"/>
      <c r="K12" s="198" t="s">
        <v>43</v>
      </c>
      <c r="L12" s="199"/>
      <c r="M12" s="199"/>
      <c r="N12" s="200"/>
      <c r="O12" s="21"/>
      <c r="P12" s="22"/>
      <c r="Q12" s="23"/>
      <c r="R12" s="23"/>
      <c r="S12" s="24"/>
    </row>
    <row r="13" spans="1:20" ht="46.5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130611.52</v>
      </c>
      <c r="J13" s="25"/>
      <c r="K13" s="82" t="s">
        <v>38</v>
      </c>
      <c r="L13" s="69">
        <f>IF(C8&lt;60,D57,0)</f>
        <v>0</v>
      </c>
      <c r="M13" s="26"/>
      <c r="N13" s="27"/>
      <c r="O13" s="21"/>
      <c r="P13" s="93" t="s">
        <v>51</v>
      </c>
      <c r="Q13" s="182">
        <f>D11</f>
        <v>2150000</v>
      </c>
      <c r="R13" s="182"/>
      <c r="S13" s="28"/>
      <c r="T13" s="29"/>
    </row>
    <row r="14" spans="1:20" ht="46.5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.5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397800</v>
      </c>
      <c r="K15" s="85" t="s">
        <v>34</v>
      </c>
      <c r="L15" s="63">
        <v>0</v>
      </c>
      <c r="M15" s="52">
        <f>IF(L13&gt;250000,250000,L13)</f>
        <v>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.5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0</v>
      </c>
      <c r="N16" s="52">
        <f>M16*L16</f>
        <v>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.5" thickTop="1" thickBot="1">
      <c r="B17" s="107" t="s">
        <v>6</v>
      </c>
      <c r="C17" s="32">
        <v>17250</v>
      </c>
      <c r="D17" s="16"/>
      <c r="K17" s="85" t="s">
        <v>36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.5" thickTop="1" thickBot="1">
      <c r="B18" s="120" t="s">
        <v>7</v>
      </c>
      <c r="C18" s="19">
        <v>24000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.5" thickTop="1" thickBot="1">
      <c r="B19" s="121" t="s">
        <v>8</v>
      </c>
      <c r="C19" s="19">
        <v>0</v>
      </c>
      <c r="D19" s="16"/>
      <c r="G19" s="189" t="s">
        <v>81</v>
      </c>
      <c r="H19" s="190"/>
      <c r="K19" s="86" t="s">
        <v>52</v>
      </c>
      <c r="L19" s="87"/>
      <c r="M19" s="88"/>
      <c r="N19" s="54">
        <f>N15+N16+N17+N18</f>
        <v>0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.5" thickTop="1" thickBot="1">
      <c r="B20" s="108" t="s">
        <v>9</v>
      </c>
      <c r="C20" s="19">
        <v>0</v>
      </c>
      <c r="D20" s="16"/>
      <c r="G20" s="191"/>
      <c r="H20" s="192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250000</v>
      </c>
      <c r="S20" s="60">
        <f t="shared" si="0"/>
        <v>62500</v>
      </c>
    </row>
    <row r="21" spans="1:20" ht="46.5" thickTop="1" thickBot="1">
      <c r="B21" s="107" t="s">
        <v>15</v>
      </c>
      <c r="C21" s="33">
        <v>0</v>
      </c>
      <c r="D21" s="16"/>
      <c r="H21" s="150"/>
      <c r="I21" s="74"/>
      <c r="J21" s="75"/>
      <c r="K21" s="199" t="s">
        <v>44</v>
      </c>
      <c r="L21" s="199"/>
      <c r="M21" s="199"/>
      <c r="N21" s="200"/>
      <c r="O21" s="21"/>
      <c r="P21" s="102" t="s">
        <v>50</v>
      </c>
      <c r="Q21" s="68">
        <v>0.3</v>
      </c>
      <c r="R21" s="59">
        <f>IF(Q13&lt;=1500000,0,Q13-1500000)</f>
        <v>650000</v>
      </c>
      <c r="S21" s="59">
        <f t="shared" si="0"/>
        <v>195000</v>
      </c>
    </row>
    <row r="22" spans="1:20" ht="48" thickTop="1" thickBot="1">
      <c r="B22" s="122" t="s">
        <v>10</v>
      </c>
      <c r="C22" s="33">
        <v>122880</v>
      </c>
      <c r="D22" s="16"/>
      <c r="G22" s="151" t="s">
        <v>82</v>
      </c>
      <c r="H22" s="193" t="s">
        <v>86</v>
      </c>
      <c r="I22" s="194"/>
      <c r="J22" s="16"/>
      <c r="K22" s="89" t="s">
        <v>38</v>
      </c>
      <c r="L22" s="70">
        <f>IF(C8&gt;=60,D57,0)</f>
        <v>1051960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382500</v>
      </c>
    </row>
    <row r="23" spans="1:20" ht="48" thickTop="1" thickBot="1">
      <c r="B23" s="107" t="s">
        <v>11</v>
      </c>
      <c r="C23" s="33">
        <v>0</v>
      </c>
      <c r="D23" s="16"/>
      <c r="G23" s="152" t="s">
        <v>83</v>
      </c>
      <c r="H23" s="197" t="s">
        <v>87</v>
      </c>
      <c r="I23" s="196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8" thickTop="1" thickBot="1">
      <c r="B24" s="122" t="s">
        <v>12</v>
      </c>
      <c r="C24" s="19">
        <v>0</v>
      </c>
      <c r="D24" s="16"/>
      <c r="G24" s="153" t="s">
        <v>84</v>
      </c>
      <c r="H24" s="195" t="s">
        <v>85</v>
      </c>
      <c r="I24" s="196"/>
      <c r="J24" s="76"/>
      <c r="K24" s="91" t="s">
        <v>34</v>
      </c>
      <c r="L24" s="64">
        <v>0</v>
      </c>
      <c r="M24" s="53">
        <f>IF(L22&gt;300000,300000,L22)</f>
        <v>300000</v>
      </c>
      <c r="N24" s="52">
        <f>M24*L24</f>
        <v>0</v>
      </c>
      <c r="O24" s="21"/>
      <c r="S24" s="25"/>
    </row>
    <row r="25" spans="1:20" ht="46.5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200000</v>
      </c>
      <c r="N25" s="52">
        <f>M25*L25</f>
        <v>10000</v>
      </c>
      <c r="O25" s="21"/>
      <c r="S25" s="25"/>
    </row>
    <row r="26" spans="1:20" ht="46.5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500000</v>
      </c>
      <c r="N26" s="52">
        <f>M26*L26</f>
        <v>100000</v>
      </c>
      <c r="O26" s="21"/>
      <c r="S26" s="25"/>
    </row>
    <row r="27" spans="1:20" ht="46.5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51960</v>
      </c>
      <c r="N27" s="52">
        <f>M27*L27</f>
        <v>15588</v>
      </c>
      <c r="O27" s="21"/>
      <c r="S27" s="25"/>
    </row>
    <row r="28" spans="1:20" ht="46.5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125588</v>
      </c>
      <c r="O28" s="21"/>
      <c r="S28" s="25"/>
    </row>
    <row r="29" spans="1:20" ht="46.5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6.5" thickTop="1" thickBot="1">
      <c r="A30" s="16"/>
      <c r="C30" s="37"/>
      <c r="D30" s="16"/>
      <c r="G30" s="36"/>
      <c r="J30" s="39"/>
      <c r="K30" s="201" t="s">
        <v>54</v>
      </c>
      <c r="L30" s="202"/>
      <c r="M30" s="203"/>
      <c r="N30" s="56">
        <f>IF(C8&lt;60,IF(N19&lt;=12500,0,N19),IF(N28&lt;=10000,0,N28))</f>
        <v>125588</v>
      </c>
      <c r="P30" s="207" t="s">
        <v>54</v>
      </c>
      <c r="Q30" s="208"/>
      <c r="R30" s="209"/>
      <c r="S30" s="55">
        <f>S22</f>
        <v>382500</v>
      </c>
    </row>
    <row r="31" spans="1:20" ht="46.5" thickTop="1" thickBot="1">
      <c r="A31" s="16"/>
      <c r="B31" s="125" t="s">
        <v>68</v>
      </c>
      <c r="C31" s="126"/>
      <c r="D31" s="48">
        <f>C27+IF(C29&lt;=50000,C29,50000)</f>
        <v>200000</v>
      </c>
      <c r="G31" s="36"/>
      <c r="K31" s="94" t="s">
        <v>53</v>
      </c>
      <c r="L31" s="95"/>
      <c r="M31" s="96"/>
      <c r="N31" s="57">
        <f>N30*4%</f>
        <v>5023.5200000000004</v>
      </c>
      <c r="P31" s="97" t="s">
        <v>53</v>
      </c>
      <c r="Q31" s="98"/>
      <c r="R31" s="96"/>
      <c r="S31" s="57">
        <f>S30*4%</f>
        <v>15300</v>
      </c>
    </row>
    <row r="32" spans="1:20" ht="46.5" thickTop="1" thickBot="1">
      <c r="A32" s="16"/>
      <c r="D32" s="30"/>
      <c r="J32" s="25"/>
      <c r="N32" s="24"/>
      <c r="O32" s="21"/>
      <c r="S32" s="23"/>
      <c r="T32" s="29"/>
    </row>
    <row r="33" spans="1:20" ht="46.5" thickTop="1" thickBot="1">
      <c r="B33" s="108" t="s">
        <v>18</v>
      </c>
      <c r="C33" s="32">
        <f>'HRA CALCULATION'!G17</f>
        <v>263040</v>
      </c>
      <c r="D33" s="48">
        <f>C33</f>
        <v>263040</v>
      </c>
      <c r="J33" s="25"/>
      <c r="K33" s="204" t="s">
        <v>55</v>
      </c>
      <c r="L33" s="205"/>
      <c r="M33" s="206"/>
      <c r="N33" s="55">
        <f>N30+N31</f>
        <v>130611.52</v>
      </c>
      <c r="O33" s="21"/>
      <c r="P33" s="210" t="s">
        <v>55</v>
      </c>
      <c r="Q33" s="211"/>
      <c r="R33" s="212"/>
      <c r="S33" s="58">
        <f>S30+S31</f>
        <v>397800</v>
      </c>
      <c r="T33" s="29"/>
    </row>
    <row r="34" spans="1:20" ht="46.5" thickTop="1" thickBot="1">
      <c r="A34" s="16"/>
      <c r="C34" s="40"/>
      <c r="D34" s="41"/>
    </row>
    <row r="35" spans="1:20" ht="46.5" thickTop="1" thickBot="1">
      <c r="B35" s="108" t="s">
        <v>16</v>
      </c>
      <c r="C35" s="19">
        <v>0</v>
      </c>
      <c r="D35" s="47">
        <f>C35</f>
        <v>0</v>
      </c>
    </row>
    <row r="36" spans="1:20" ht="46.5" thickTop="1" thickBot="1">
      <c r="A36" s="16"/>
      <c r="C36" s="40"/>
      <c r="D36" s="42"/>
      <c r="G36" s="80" t="s">
        <v>73</v>
      </c>
    </row>
    <row r="37" spans="1:20" ht="48" thickTop="1" thickBot="1">
      <c r="A37" s="16"/>
      <c r="B37" s="108" t="s">
        <v>60</v>
      </c>
      <c r="C37" s="19">
        <v>250000</v>
      </c>
      <c r="D37" s="48">
        <f>IF(C37&lt;150000,C37,150000)</f>
        <v>150000</v>
      </c>
      <c r="G37" s="81" t="s">
        <v>74</v>
      </c>
      <c r="H37" s="183" t="s">
        <v>78</v>
      </c>
      <c r="I37" s="184"/>
      <c r="J37" s="184"/>
      <c r="K37" s="185"/>
    </row>
    <row r="38" spans="1:20" ht="48" thickTop="1" thickBot="1">
      <c r="A38" s="16"/>
      <c r="B38" s="43"/>
      <c r="C38" s="44"/>
      <c r="D38" s="37"/>
      <c r="G38" s="81" t="s">
        <v>75</v>
      </c>
      <c r="H38" s="183" t="s">
        <v>79</v>
      </c>
      <c r="I38" s="184"/>
      <c r="J38" s="184"/>
      <c r="K38" s="185"/>
    </row>
    <row r="39" spans="1:20" ht="48" thickTop="1" thickBot="1">
      <c r="B39" s="127" t="s">
        <v>57</v>
      </c>
      <c r="C39" s="128"/>
      <c r="D39" s="129"/>
      <c r="G39" s="81" t="s">
        <v>76</v>
      </c>
      <c r="H39" s="183" t="s">
        <v>80</v>
      </c>
      <c r="I39" s="184"/>
      <c r="J39" s="184"/>
      <c r="K39" s="185"/>
    </row>
    <row r="40" spans="1:20" ht="46.5" thickTop="1" thickBot="1">
      <c r="B40" s="130" t="s">
        <v>4</v>
      </c>
      <c r="C40" s="19">
        <v>25000</v>
      </c>
      <c r="D40" s="16"/>
      <c r="G40" s="77" t="s">
        <v>77</v>
      </c>
      <c r="H40" s="186"/>
      <c r="I40" s="187"/>
      <c r="J40" s="187"/>
      <c r="K40" s="188"/>
      <c r="L40" s="39"/>
    </row>
    <row r="41" spans="1:20" ht="46.5" thickTop="1" thickBot="1">
      <c r="B41" s="131" t="s">
        <v>5</v>
      </c>
      <c r="C41" s="45">
        <v>54000</v>
      </c>
      <c r="D41" s="20"/>
      <c r="H41" s="39"/>
    </row>
    <row r="42" spans="1:20" ht="46.5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75000</v>
      </c>
    </row>
    <row r="43" spans="1:20" ht="45.75" thickTop="1">
      <c r="A43" s="16"/>
      <c r="D43" s="18"/>
    </row>
    <row r="44" spans="1:20" ht="45.75" thickBot="1">
      <c r="A44" s="16"/>
      <c r="D44" s="16"/>
    </row>
    <row r="45" spans="1:20" ht="46.5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.5" thickTop="1" thickBot="1">
      <c r="A46" s="16"/>
      <c r="D46" s="20"/>
    </row>
    <row r="47" spans="1:20" ht="46.5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.5" thickTop="1" thickBot="1">
      <c r="A48" s="16"/>
      <c r="D48" s="20"/>
    </row>
    <row r="49" spans="1:9" ht="46.5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.5" thickTop="1" thickBot="1">
      <c r="A50" s="16"/>
      <c r="D50" s="16"/>
    </row>
    <row r="51" spans="1:9" ht="46.5" thickTop="1" thickBot="1">
      <c r="A51" s="16"/>
      <c r="B51" s="108" t="s">
        <v>63</v>
      </c>
      <c r="C51" s="19">
        <v>60000</v>
      </c>
      <c r="D51" s="48">
        <f>C51</f>
        <v>60000</v>
      </c>
    </row>
    <row r="52" spans="1:9" ht="46.5" thickTop="1" thickBot="1">
      <c r="A52" s="16"/>
      <c r="D52" s="30"/>
    </row>
    <row r="53" spans="1:9" ht="46.5" thickTop="1" thickBot="1">
      <c r="A53" s="16"/>
      <c r="B53" s="108" t="s">
        <v>64</v>
      </c>
      <c r="C53" s="19">
        <f>125000+75000+100000</f>
        <v>300000</v>
      </c>
      <c r="D53" s="48">
        <f>C53</f>
        <v>300000</v>
      </c>
      <c r="G53" s="14" t="s">
        <v>186</v>
      </c>
    </row>
    <row r="54" spans="1:9" ht="46.5" thickTop="1" thickBot="1">
      <c r="A54" s="16"/>
      <c r="D54" s="16"/>
    </row>
    <row r="55" spans="1:9" ht="46.5" thickTop="1" thickBot="1">
      <c r="A55" s="16"/>
      <c r="B55" s="133" t="s">
        <v>65</v>
      </c>
      <c r="C55" s="134"/>
      <c r="D55" s="48">
        <f>D31+D33+D35+D37+D42+D45+D47+D49+D51+D53</f>
        <v>1098040</v>
      </c>
    </row>
    <row r="56" spans="1:9" ht="46.5" thickTop="1" thickBot="1">
      <c r="A56" s="16"/>
      <c r="D56" s="16"/>
    </row>
    <row r="57" spans="1:9" ht="46.5" thickTop="1" thickBot="1">
      <c r="A57" s="16"/>
      <c r="B57" s="133" t="s">
        <v>66</v>
      </c>
      <c r="C57" s="134"/>
      <c r="D57" s="50">
        <f>D11-D55</f>
        <v>1051960</v>
      </c>
    </row>
    <row r="58" spans="1:9" ht="45.75" thickTop="1"/>
    <row r="60" spans="1:9" ht="35.1" customHeight="1">
      <c r="B60" s="219" t="s">
        <v>56</v>
      </c>
      <c r="C60" s="219"/>
      <c r="D60" s="219"/>
      <c r="E60" s="219"/>
      <c r="F60" s="219"/>
      <c r="G60" s="219"/>
      <c r="H60" s="219"/>
      <c r="I60" s="219"/>
    </row>
    <row r="61" spans="1:9">
      <c r="B61" s="213" t="s">
        <v>69</v>
      </c>
      <c r="C61" s="213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L44"/>
  <sheetViews>
    <sheetView topLeftCell="A22" workbookViewId="0">
      <selection activeCell="C31" sqref="C31"/>
    </sheetView>
  </sheetViews>
  <sheetFormatPr defaultRowHeight="15.75"/>
  <cols>
    <col min="1" max="1" width="19.375" customWidth="1"/>
    <col min="2" max="2" width="7.875" bestFit="1" customWidth="1"/>
    <col min="3" max="3" width="6.75" bestFit="1" customWidth="1"/>
    <col min="7" max="7" width="17.875" style="168" customWidth="1"/>
    <col min="9" max="9" width="5.5" bestFit="1" customWidth="1"/>
    <col min="10" max="10" width="36.375" bestFit="1" customWidth="1"/>
    <col min="11" max="11" width="9.75" bestFit="1" customWidth="1"/>
    <col min="12" max="12" width="15.25" customWidth="1"/>
  </cols>
  <sheetData>
    <row r="1" spans="1:12">
      <c r="A1" s="155" t="s">
        <v>92</v>
      </c>
      <c r="B1" s="155" t="s">
        <v>25</v>
      </c>
      <c r="C1" s="155" t="s">
        <v>91</v>
      </c>
      <c r="G1" s="168" t="s">
        <v>99</v>
      </c>
      <c r="I1" s="225" t="s">
        <v>100</v>
      </c>
      <c r="J1" s="225"/>
      <c r="K1" s="225"/>
      <c r="L1" s="225"/>
    </row>
    <row r="2" spans="1:12">
      <c r="A2" s="154" t="s">
        <v>89</v>
      </c>
      <c r="B2" s="154">
        <v>1437.5</v>
      </c>
      <c r="C2" s="154">
        <f>12*B2</f>
        <v>17250</v>
      </c>
      <c r="G2" s="168">
        <v>17250</v>
      </c>
      <c r="I2" s="154" t="s">
        <v>103</v>
      </c>
      <c r="J2" s="154" t="s">
        <v>104</v>
      </c>
      <c r="K2" s="154" t="s">
        <v>105</v>
      </c>
      <c r="L2" s="154"/>
    </row>
    <row r="3" spans="1:12">
      <c r="A3" s="154" t="s">
        <v>90</v>
      </c>
      <c r="B3" s="154">
        <v>2000</v>
      </c>
      <c r="C3" s="154">
        <f>12*B3</f>
        <v>24000</v>
      </c>
      <c r="G3" s="168">
        <v>24000</v>
      </c>
      <c r="I3" s="154"/>
      <c r="J3" s="154" t="s">
        <v>101</v>
      </c>
      <c r="K3" s="154"/>
      <c r="L3" s="154"/>
    </row>
    <row r="4" spans="1:12">
      <c r="A4" s="154"/>
      <c r="B4" s="154"/>
      <c r="C4" s="167">
        <v>122880</v>
      </c>
      <c r="G4" s="169">
        <v>122880</v>
      </c>
      <c r="I4" s="154"/>
      <c r="J4" s="154" t="s">
        <v>106</v>
      </c>
      <c r="K4" s="157">
        <v>14677</v>
      </c>
      <c r="L4" s="154"/>
    </row>
    <row r="5" spans="1:12">
      <c r="A5" s="154"/>
      <c r="B5" s="154"/>
      <c r="C5" s="154"/>
      <c r="G5" s="168">
        <v>102402</v>
      </c>
      <c r="I5" s="154"/>
      <c r="J5" s="154" t="s">
        <v>108</v>
      </c>
      <c r="K5" s="157">
        <v>308939</v>
      </c>
      <c r="L5" s="154"/>
    </row>
    <row r="6" spans="1:12">
      <c r="A6" s="154" t="s">
        <v>93</v>
      </c>
      <c r="B6" s="154"/>
      <c r="C6" s="154">
        <v>125000</v>
      </c>
      <c r="I6" s="154"/>
      <c r="J6" s="154" t="s">
        <v>107</v>
      </c>
      <c r="K6" s="157">
        <v>154469</v>
      </c>
      <c r="L6" s="154"/>
    </row>
    <row r="7" spans="1:12">
      <c r="A7" s="154" t="s">
        <v>93</v>
      </c>
      <c r="B7" s="154"/>
      <c r="C7" s="154">
        <v>120941</v>
      </c>
      <c r="I7" s="154"/>
      <c r="J7" s="154" t="s">
        <v>109</v>
      </c>
      <c r="K7" s="157">
        <v>106302</v>
      </c>
      <c r="L7" s="154"/>
    </row>
    <row r="8" spans="1:12">
      <c r="I8" s="154"/>
      <c r="J8" s="154" t="s">
        <v>110</v>
      </c>
      <c r="K8" s="157">
        <v>25736</v>
      </c>
      <c r="L8" s="154"/>
    </row>
    <row r="9" spans="1:12">
      <c r="A9" s="154"/>
      <c r="B9" s="154"/>
      <c r="C9" s="154"/>
      <c r="D9" s="154" t="s">
        <v>97</v>
      </c>
      <c r="E9" s="154">
        <v>12</v>
      </c>
      <c r="I9" s="154"/>
      <c r="J9" s="154" t="s">
        <v>111</v>
      </c>
      <c r="K9" s="157">
        <v>128001</v>
      </c>
      <c r="L9" s="154"/>
    </row>
    <row r="10" spans="1:12">
      <c r="A10" s="154" t="s">
        <v>94</v>
      </c>
      <c r="B10" s="156">
        <v>10240</v>
      </c>
      <c r="C10" s="156">
        <f>E9*B10</f>
        <v>122880</v>
      </c>
      <c r="D10" s="154"/>
      <c r="E10" s="154"/>
      <c r="I10" s="154"/>
      <c r="J10" s="154" t="s">
        <v>112</v>
      </c>
      <c r="K10" s="157">
        <v>78048</v>
      </c>
      <c r="L10" s="154"/>
    </row>
    <row r="11" spans="1:12">
      <c r="A11" s="154"/>
      <c r="B11" s="156"/>
      <c r="C11" s="156"/>
      <c r="D11" s="154"/>
      <c r="E11" s="154"/>
      <c r="I11" s="154"/>
      <c r="J11" s="154" t="s">
        <v>113</v>
      </c>
      <c r="K11" s="157">
        <v>17750</v>
      </c>
      <c r="L11" s="154"/>
    </row>
    <row r="12" spans="1:12">
      <c r="A12" s="156" t="s">
        <v>95</v>
      </c>
      <c r="B12" s="156">
        <v>37206</v>
      </c>
      <c r="C12" s="154"/>
      <c r="D12" s="154"/>
      <c r="E12" s="154"/>
      <c r="I12" s="154"/>
      <c r="J12" s="158" t="s">
        <v>102</v>
      </c>
      <c r="K12" s="158"/>
      <c r="L12" s="154"/>
    </row>
    <row r="13" spans="1:12">
      <c r="A13" s="156" t="s">
        <v>96</v>
      </c>
      <c r="B13" s="156">
        <v>41249</v>
      </c>
      <c r="C13" s="154"/>
      <c r="D13" s="154"/>
      <c r="E13" s="154"/>
      <c r="I13" s="154"/>
      <c r="J13" s="154" t="s">
        <v>114</v>
      </c>
      <c r="K13" s="157">
        <v>30894</v>
      </c>
      <c r="L13" s="154"/>
    </row>
    <row r="14" spans="1:12">
      <c r="A14" s="156"/>
      <c r="B14" s="156"/>
      <c r="C14" s="154"/>
      <c r="D14" s="154"/>
      <c r="E14" s="154"/>
      <c r="I14" s="154"/>
      <c r="J14" s="154" t="s">
        <v>115</v>
      </c>
      <c r="K14" s="157">
        <v>0</v>
      </c>
      <c r="L14" s="154"/>
    </row>
    <row r="15" spans="1:12">
      <c r="A15" s="156" t="s">
        <v>98</v>
      </c>
      <c r="B15" s="156">
        <v>8533.5</v>
      </c>
      <c r="C15" s="154">
        <f>B15*E9</f>
        <v>102402</v>
      </c>
      <c r="D15" s="156">
        <f>10%*D13</f>
        <v>0</v>
      </c>
      <c r="E15" s="154"/>
      <c r="I15" s="154"/>
      <c r="J15" s="154" t="s">
        <v>116</v>
      </c>
      <c r="K15" s="157">
        <v>0</v>
      </c>
      <c r="L15" s="154"/>
    </row>
    <row r="16" spans="1:12">
      <c r="I16" s="154"/>
      <c r="J16" s="154" t="s">
        <v>117</v>
      </c>
      <c r="K16" s="157">
        <v>0</v>
      </c>
      <c r="L16" s="154"/>
    </row>
    <row r="17" spans="2:12">
      <c r="B17" s="156">
        <v>37206</v>
      </c>
      <c r="I17" s="154" t="s">
        <v>120</v>
      </c>
      <c r="J17" s="154" t="s">
        <v>119</v>
      </c>
      <c r="K17" s="157">
        <v>833922</v>
      </c>
      <c r="L17" s="154"/>
    </row>
    <row r="18" spans="2:12">
      <c r="B18" s="156">
        <v>41249</v>
      </c>
      <c r="D18">
        <f>B15*3</f>
        <v>25600.5</v>
      </c>
      <c r="I18" s="154" t="s">
        <v>122</v>
      </c>
      <c r="J18" s="154" t="s">
        <v>118</v>
      </c>
      <c r="K18" s="154"/>
      <c r="L18" s="154"/>
    </row>
    <row r="19" spans="2:12">
      <c r="I19" s="154"/>
      <c r="J19" s="154" t="s">
        <v>134</v>
      </c>
      <c r="K19" s="157">
        <v>0</v>
      </c>
      <c r="L19" s="154"/>
    </row>
    <row r="20" spans="2:12">
      <c r="I20" s="154" t="s">
        <v>123</v>
      </c>
      <c r="J20" s="154" t="s">
        <v>135</v>
      </c>
      <c r="K20" s="157">
        <v>0</v>
      </c>
      <c r="L20" s="154"/>
    </row>
    <row r="21" spans="2:12">
      <c r="B21" t="s">
        <v>28</v>
      </c>
      <c r="I21" s="154" t="s">
        <v>127</v>
      </c>
      <c r="J21" s="154" t="s">
        <v>136</v>
      </c>
      <c r="K21" s="157">
        <v>1000</v>
      </c>
      <c r="L21" s="154"/>
    </row>
    <row r="22" spans="2:12">
      <c r="I22" s="154" t="s">
        <v>128</v>
      </c>
      <c r="J22" s="154" t="s">
        <v>137</v>
      </c>
      <c r="K22" s="157">
        <v>0</v>
      </c>
      <c r="L22" s="154"/>
    </row>
    <row r="23" spans="2:12">
      <c r="I23" s="154" t="s">
        <v>129</v>
      </c>
      <c r="J23" s="154" t="s">
        <v>138</v>
      </c>
      <c r="K23" s="157">
        <v>1000</v>
      </c>
      <c r="L23" s="154"/>
    </row>
    <row r="24" spans="2:12">
      <c r="I24" s="154" t="s">
        <v>130</v>
      </c>
      <c r="J24" s="154" t="s">
        <v>139</v>
      </c>
      <c r="K24" s="157">
        <v>50000</v>
      </c>
      <c r="L24" s="154"/>
    </row>
    <row r="25" spans="2:12">
      <c r="I25" s="154" t="s">
        <v>131</v>
      </c>
      <c r="J25" s="154" t="s">
        <v>140</v>
      </c>
      <c r="K25" s="157">
        <v>0</v>
      </c>
      <c r="L25" s="154"/>
    </row>
    <row r="26" spans="2:12">
      <c r="I26" s="154" t="s">
        <v>132</v>
      </c>
      <c r="J26" s="154" t="s">
        <v>133</v>
      </c>
      <c r="K26" s="157">
        <f>K17-K19+K20-K21-K24-K25</f>
        <v>782922</v>
      </c>
      <c r="L26" s="154"/>
    </row>
    <row r="27" spans="2:12">
      <c r="I27" s="154"/>
      <c r="J27" s="154" t="s">
        <v>141</v>
      </c>
      <c r="K27" s="154"/>
      <c r="L27" s="154"/>
    </row>
    <row r="28" spans="2:12">
      <c r="C28">
        <f>'INCOME TAX CAL'!H13</f>
        <v>130611.52</v>
      </c>
      <c r="I28" s="157"/>
      <c r="J28" s="154" t="s">
        <v>145</v>
      </c>
      <c r="K28" s="157">
        <v>9000</v>
      </c>
      <c r="L28" s="154"/>
    </row>
    <row r="29" spans="2:12">
      <c r="I29" s="154"/>
      <c r="J29" s="154" t="s">
        <v>146</v>
      </c>
      <c r="K29" s="159">
        <v>0</v>
      </c>
      <c r="L29" s="154"/>
    </row>
    <row r="30" spans="2:12">
      <c r="C30">
        <f>C28/12</f>
        <v>10884.293333333333</v>
      </c>
      <c r="I30" s="154"/>
      <c r="J30" s="154" t="s">
        <v>144</v>
      </c>
      <c r="K30" s="157">
        <v>30894</v>
      </c>
      <c r="L30" s="154"/>
    </row>
    <row r="31" spans="2:12">
      <c r="I31" s="154" t="s">
        <v>142</v>
      </c>
      <c r="J31" s="154" t="s">
        <v>143</v>
      </c>
      <c r="K31" s="157">
        <v>39894</v>
      </c>
      <c r="L31" s="154"/>
    </row>
    <row r="32" spans="2:12">
      <c r="C32">
        <f>10240*12</f>
        <v>122880</v>
      </c>
      <c r="I32" s="154" t="s">
        <v>147</v>
      </c>
      <c r="J32" s="154" t="s">
        <v>155</v>
      </c>
      <c r="K32" s="157">
        <v>743030</v>
      </c>
      <c r="L32" s="154"/>
    </row>
    <row r="33" spans="3:12">
      <c r="I33" s="154" t="s">
        <v>148</v>
      </c>
      <c r="J33" s="154" t="s">
        <v>156</v>
      </c>
      <c r="K33" s="157">
        <v>61106</v>
      </c>
      <c r="L33" s="154"/>
    </row>
    <row r="34" spans="3:12">
      <c r="I34" s="154" t="s">
        <v>149</v>
      </c>
      <c r="J34" s="154" t="s">
        <v>157</v>
      </c>
      <c r="K34" s="159">
        <v>0</v>
      </c>
      <c r="L34" s="154"/>
    </row>
    <row r="35" spans="3:12">
      <c r="C35">
        <v>54904</v>
      </c>
      <c r="I35" s="154" t="s">
        <v>150</v>
      </c>
      <c r="J35" s="154" t="s">
        <v>154</v>
      </c>
      <c r="K35" s="159">
        <v>61106</v>
      </c>
      <c r="L35" s="154"/>
    </row>
    <row r="36" spans="3:12">
      <c r="I36" s="154"/>
      <c r="J36" s="154"/>
      <c r="K36" s="154"/>
      <c r="L36" s="154"/>
    </row>
    <row r="37" spans="3:12">
      <c r="C37">
        <f>C35/6</f>
        <v>9150.6666666666661</v>
      </c>
      <c r="I37" s="154"/>
      <c r="J37" s="157"/>
      <c r="K37" s="154"/>
      <c r="L37" s="154"/>
    </row>
    <row r="38" spans="3:12">
      <c r="I38" s="154" t="s">
        <v>151</v>
      </c>
      <c r="J38" s="154" t="s">
        <v>158</v>
      </c>
      <c r="K38" s="154">
        <v>0</v>
      </c>
      <c r="L38" s="154"/>
    </row>
    <row r="39" spans="3:12">
      <c r="I39" s="154" t="s">
        <v>152</v>
      </c>
      <c r="J39" s="154" t="s">
        <v>159</v>
      </c>
      <c r="K39" s="157">
        <v>2444</v>
      </c>
      <c r="L39" s="154"/>
    </row>
    <row r="40" spans="3:12">
      <c r="I40" s="154" t="s">
        <v>121</v>
      </c>
      <c r="J40" s="154" t="s">
        <v>160</v>
      </c>
      <c r="K40" s="157">
        <v>63550</v>
      </c>
      <c r="L40" s="154"/>
    </row>
    <row r="41" spans="3:12">
      <c r="I41" s="154" t="s">
        <v>125</v>
      </c>
      <c r="J41" s="154" t="s">
        <v>161</v>
      </c>
      <c r="K41" s="157">
        <v>63550</v>
      </c>
      <c r="L41" s="154"/>
    </row>
    <row r="42" spans="3:12">
      <c r="I42" s="154" t="s">
        <v>153</v>
      </c>
      <c r="J42" s="154" t="s">
        <v>162</v>
      </c>
      <c r="K42" s="157">
        <v>0</v>
      </c>
      <c r="L42" s="154"/>
    </row>
    <row r="43" spans="3:12">
      <c r="I43" s="154" t="s">
        <v>126</v>
      </c>
      <c r="J43" s="154" t="s">
        <v>163</v>
      </c>
      <c r="K43" s="157">
        <v>0</v>
      </c>
      <c r="L43" s="154"/>
    </row>
    <row r="44" spans="3:12">
      <c r="I44" s="154" t="s">
        <v>124</v>
      </c>
      <c r="J44" s="154" t="s">
        <v>164</v>
      </c>
      <c r="K44" s="157">
        <v>0</v>
      </c>
      <c r="L44" s="154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4" zoomScale="70" zoomScaleNormal="70" workbookViewId="0">
      <selection activeCell="B7" sqref="B7"/>
    </sheetView>
  </sheetViews>
  <sheetFormatPr defaultColWidth="10.75" defaultRowHeight="15.7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75" style="1" customWidth="1"/>
    <col min="7" max="7" width="46.875" style="1" customWidth="1"/>
    <col min="8" max="16384" width="10.75" style="1"/>
  </cols>
  <sheetData>
    <row r="3" spans="1:7">
      <c r="B3" s="2"/>
    </row>
    <row r="4" spans="1:7" ht="33.75" thickBot="1">
      <c r="A4" s="3"/>
      <c r="B4" s="135" t="s">
        <v>25</v>
      </c>
      <c r="C4" s="136" t="s">
        <v>26</v>
      </c>
      <c r="D4" s="4"/>
    </row>
    <row r="5" spans="1:7" ht="33.75" thickBot="1">
      <c r="A5" s="139" t="s">
        <v>27</v>
      </c>
      <c r="B5" s="5">
        <v>80800</v>
      </c>
      <c r="C5" s="137">
        <f>B5*12</f>
        <v>969600</v>
      </c>
    </row>
    <row r="6" spans="1:7" ht="33.75" thickBot="1">
      <c r="A6" s="140" t="s">
        <v>28</v>
      </c>
      <c r="B6" s="6">
        <v>40400</v>
      </c>
      <c r="C6" s="138">
        <f t="shared" ref="C6:C7" si="0">B6*12</f>
        <v>484800</v>
      </c>
    </row>
    <row r="7" spans="1:7" ht="33.75" thickBot="1">
      <c r="A7" s="141" t="s">
        <v>29</v>
      </c>
      <c r="B7" s="6">
        <v>30000</v>
      </c>
      <c r="C7" s="138">
        <f t="shared" si="0"/>
        <v>360000</v>
      </c>
    </row>
    <row r="9" spans="1:7" ht="16.5" thickBot="1">
      <c r="A9" s="2"/>
      <c r="C9" s="2"/>
    </row>
    <row r="10" spans="1:7" ht="33.75" thickBot="1">
      <c r="A10" s="142" t="s">
        <v>30</v>
      </c>
      <c r="B10" s="143"/>
      <c r="C10" s="144"/>
      <c r="D10" s="7"/>
      <c r="E10" s="8"/>
      <c r="F10" s="9"/>
      <c r="G10" s="146">
        <f>C6</f>
        <v>484800</v>
      </c>
    </row>
    <row r="11" spans="1:7" ht="33.75" thickBot="1">
      <c r="A11" s="8"/>
      <c r="B11" s="10"/>
      <c r="C11" s="10"/>
      <c r="D11" s="8"/>
      <c r="E11" s="8"/>
      <c r="F11" s="9"/>
      <c r="G11" s="9"/>
    </row>
    <row r="12" spans="1:7" ht="33.75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387840</v>
      </c>
    </row>
    <row r="13" spans="1:7" ht="33.75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263040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3.75" thickBot="1">
      <c r="A16" s="9"/>
      <c r="B16" s="9"/>
      <c r="C16" s="9"/>
      <c r="D16" s="9"/>
      <c r="E16" s="9"/>
      <c r="F16" s="9"/>
      <c r="G16" s="9"/>
    </row>
    <row r="17" spans="1:7" ht="33.75" thickBot="1">
      <c r="A17" s="9"/>
      <c r="B17" s="9"/>
      <c r="C17" s="9"/>
      <c r="D17" s="226" t="s">
        <v>33</v>
      </c>
      <c r="E17" s="227"/>
      <c r="F17" s="228"/>
      <c r="G17" s="149">
        <f>SMALL(G10:G14,1)</f>
        <v>263040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A1:J29"/>
  <sheetViews>
    <sheetView workbookViewId="0">
      <selection activeCell="A2" sqref="A2:A18"/>
    </sheetView>
  </sheetViews>
  <sheetFormatPr defaultRowHeight="15.75"/>
  <cols>
    <col min="1" max="1" width="19.75" customWidth="1"/>
    <col min="2" max="2" width="20.125" customWidth="1"/>
    <col min="3" max="3" width="17.375" customWidth="1"/>
    <col min="6" max="6" width="24.625" customWidth="1"/>
    <col min="7" max="7" width="12.75" customWidth="1"/>
  </cols>
  <sheetData>
    <row r="1" spans="1:10" ht="17.25" thickBot="1">
      <c r="F1" s="163" t="s">
        <v>168</v>
      </c>
      <c r="G1" s="162">
        <v>1277103</v>
      </c>
    </row>
    <row r="2" spans="1:10">
      <c r="A2" s="154" t="s">
        <v>165</v>
      </c>
      <c r="B2" s="157">
        <v>1534639</v>
      </c>
      <c r="C2" s="157">
        <v>833922</v>
      </c>
    </row>
    <row r="3" spans="1:10">
      <c r="A3" s="154"/>
      <c r="B3" s="154"/>
      <c r="C3" s="154"/>
    </row>
    <row r="4" spans="1:10">
      <c r="A4" s="154" t="s">
        <v>28</v>
      </c>
      <c r="B4" s="160">
        <v>205936</v>
      </c>
      <c r="C4" s="154"/>
      <c r="H4" t="s">
        <v>176</v>
      </c>
      <c r="I4" t="s">
        <v>179</v>
      </c>
    </row>
    <row r="5" spans="1:10">
      <c r="A5" s="154" t="s">
        <v>166</v>
      </c>
      <c r="B5" s="161">
        <v>1600</v>
      </c>
      <c r="C5" s="154">
        <v>1000</v>
      </c>
      <c r="F5" t="s">
        <v>28</v>
      </c>
      <c r="G5">
        <v>34000</v>
      </c>
      <c r="H5">
        <f>G5*(LEFT($H$4,1))</f>
        <v>272000</v>
      </c>
      <c r="I5">
        <f>G5*(LEFT($I$4,2))</f>
        <v>408000</v>
      </c>
      <c r="J5" t="s">
        <v>182</v>
      </c>
    </row>
    <row r="6" spans="1:10">
      <c r="A6" s="154" t="s">
        <v>167</v>
      </c>
      <c r="B6" s="154">
        <v>50000</v>
      </c>
      <c r="C6" s="154"/>
      <c r="F6" t="s">
        <v>177</v>
      </c>
      <c r="G6">
        <v>85333</v>
      </c>
      <c r="H6">
        <f>G6*(LEFT($H$4,1))</f>
        <v>682664</v>
      </c>
      <c r="I6">
        <f t="shared" ref="I6" si="0">G6*(LEFT($I$4,2))</f>
        <v>1023996</v>
      </c>
    </row>
    <row r="7" spans="1:10">
      <c r="A7" s="154"/>
      <c r="B7" s="157"/>
      <c r="C7" s="154"/>
      <c r="F7" s="160" t="s">
        <v>178</v>
      </c>
      <c r="G7" s="160">
        <v>42667</v>
      </c>
      <c r="H7" s="160">
        <f>G7*(LEFT($H$4,1))</f>
        <v>341336</v>
      </c>
      <c r="I7" s="160">
        <f>G7*(LEFT($I$4,2))</f>
        <v>512004</v>
      </c>
      <c r="J7" t="s">
        <v>181</v>
      </c>
    </row>
    <row r="8" spans="1:10">
      <c r="A8" s="154"/>
      <c r="B8" s="157"/>
      <c r="C8" s="154"/>
      <c r="F8" t="s">
        <v>180</v>
      </c>
      <c r="I8">
        <f>40%*I6</f>
        <v>409598.4</v>
      </c>
    </row>
    <row r="9" spans="1:10">
      <c r="A9" s="154" t="s">
        <v>169</v>
      </c>
      <c r="B9" s="154">
        <v>79277</v>
      </c>
      <c r="C9" s="154"/>
      <c r="D9" s="229">
        <v>150000</v>
      </c>
    </row>
    <row r="10" spans="1:10">
      <c r="A10" s="166" t="s">
        <v>95</v>
      </c>
      <c r="B10" s="156">
        <v>37206</v>
      </c>
      <c r="C10" s="154"/>
      <c r="D10" s="229"/>
      <c r="I10">
        <f>I5-(10%*I6)</f>
        <v>305600.40000000002</v>
      </c>
    </row>
    <row r="11" spans="1:10">
      <c r="A11" s="166" t="s">
        <v>185</v>
      </c>
      <c r="B11" s="156">
        <v>41249</v>
      </c>
      <c r="C11" s="154"/>
      <c r="D11" s="229"/>
    </row>
    <row r="12" spans="1:10">
      <c r="A12" s="164" t="s">
        <v>172</v>
      </c>
      <c r="B12" s="156">
        <v>150000</v>
      </c>
      <c r="C12" s="154"/>
    </row>
    <row r="13" spans="1:10">
      <c r="A13" s="161" t="s">
        <v>170</v>
      </c>
      <c r="B13" s="154">
        <v>125000</v>
      </c>
      <c r="C13" s="154"/>
    </row>
    <row r="14" spans="1:10">
      <c r="A14" s="154" t="s">
        <v>171</v>
      </c>
      <c r="B14" s="154">
        <v>75000</v>
      </c>
      <c r="C14" s="154"/>
      <c r="G14" t="s">
        <v>25</v>
      </c>
      <c r="H14">
        <v>12</v>
      </c>
    </row>
    <row r="15" spans="1:10">
      <c r="A15" s="154" t="s">
        <v>174</v>
      </c>
      <c r="B15" s="154">
        <v>25600</v>
      </c>
      <c r="C15" s="154"/>
      <c r="F15" t="s">
        <v>183</v>
      </c>
      <c r="G15">
        <v>20000</v>
      </c>
      <c r="H15">
        <f t="shared" ref="H15:H16" si="1">G15*$H$14</f>
        <v>240000</v>
      </c>
    </row>
    <row r="16" spans="1:10">
      <c r="A16" s="165" t="s">
        <v>175</v>
      </c>
      <c r="B16" s="165">
        <v>50000</v>
      </c>
      <c r="C16" s="154"/>
      <c r="F16" t="s">
        <v>184</v>
      </c>
      <c r="G16">
        <v>20000</v>
      </c>
      <c r="H16">
        <f t="shared" si="1"/>
        <v>240000</v>
      </c>
    </row>
    <row r="17" spans="1:8">
      <c r="A17" s="154"/>
      <c r="B17" s="154"/>
      <c r="C17" s="154"/>
      <c r="F17" t="s">
        <v>177</v>
      </c>
      <c r="G17">
        <v>40000</v>
      </c>
      <c r="H17">
        <f>G17*$H$14</f>
        <v>480000</v>
      </c>
    </row>
    <row r="18" spans="1:8">
      <c r="A18" s="154" t="s">
        <v>173</v>
      </c>
      <c r="B18" s="154">
        <f>SUM(B12:B16,B4,B5,B6)</f>
        <v>683136</v>
      </c>
      <c r="C18" s="154"/>
    </row>
    <row r="19" spans="1:8">
      <c r="A19" s="154"/>
      <c r="B19" s="154"/>
      <c r="C19" s="154"/>
    </row>
    <row r="20" spans="1:8">
      <c r="A20" s="154"/>
      <c r="B20" s="157">
        <f>B2-B18</f>
        <v>851503</v>
      </c>
      <c r="C20" s="154"/>
      <c r="G20">
        <f>H15-(10%*H17)</f>
        <v>192000</v>
      </c>
    </row>
    <row r="21" spans="1:8">
      <c r="A21" s="154"/>
      <c r="B21" s="154"/>
      <c r="C21" s="154"/>
    </row>
    <row r="22" spans="1:8">
      <c r="A22" s="154"/>
      <c r="B22" s="154"/>
      <c r="C22" s="154"/>
    </row>
    <row r="23" spans="1:8">
      <c r="A23" s="154"/>
      <c r="B23" s="154"/>
      <c r="C23" s="154"/>
    </row>
    <row r="24" spans="1:8" ht="33.75" thickBot="1">
      <c r="G24" s="137">
        <v>1023996</v>
      </c>
    </row>
    <row r="26" spans="1:8">
      <c r="G26">
        <f>40%*G24</f>
        <v>409598.4</v>
      </c>
    </row>
    <row r="29" spans="1:8">
      <c r="F29">
        <v>6667</v>
      </c>
      <c r="G29">
        <f>12*F29</f>
        <v>80004</v>
      </c>
    </row>
  </sheetData>
  <mergeCells count="1">
    <mergeCell ref="D9:D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BEE8-3A59-470B-82AC-52981712FF2D}">
  <dimension ref="A1:N33"/>
  <sheetViews>
    <sheetView topLeftCell="A16" workbookViewId="0">
      <selection activeCell="C34" sqref="C34"/>
    </sheetView>
  </sheetViews>
  <sheetFormatPr defaultRowHeight="15.75"/>
  <cols>
    <col min="1" max="1" width="16.875" bestFit="1" customWidth="1"/>
    <col min="2" max="2" width="14" customWidth="1"/>
    <col min="3" max="3" width="8.75" bestFit="1" customWidth="1"/>
    <col min="4" max="4" width="20.625" customWidth="1"/>
    <col min="9" max="9" width="12.125" bestFit="1" customWidth="1"/>
    <col min="10" max="10" width="12.5" customWidth="1"/>
    <col min="12" max="12" width="36.625" bestFit="1" customWidth="1"/>
  </cols>
  <sheetData>
    <row r="1" spans="1:14">
      <c r="G1" s="177" t="s">
        <v>212</v>
      </c>
    </row>
    <row r="2" spans="1:14">
      <c r="A2" s="165" t="s">
        <v>165</v>
      </c>
      <c r="B2" s="165">
        <v>1571695</v>
      </c>
      <c r="C2" s="165"/>
      <c r="D2" s="165">
        <v>833922</v>
      </c>
      <c r="E2" s="160"/>
      <c r="F2" s="160">
        <f>SUM(B2,D2)</f>
        <v>2405617</v>
      </c>
      <c r="I2" s="232" t="s">
        <v>192</v>
      </c>
      <c r="J2" s="232"/>
      <c r="L2" s="225" t="s">
        <v>194</v>
      </c>
      <c r="M2" s="225"/>
      <c r="N2" s="225"/>
    </row>
    <row r="3" spans="1:14">
      <c r="A3" s="154"/>
      <c r="B3" s="154"/>
      <c r="C3" s="154"/>
      <c r="D3" s="154"/>
      <c r="I3" s="154" t="s">
        <v>188</v>
      </c>
      <c r="J3" s="154">
        <v>1599</v>
      </c>
      <c r="L3" s="154" t="s">
        <v>195</v>
      </c>
      <c r="M3" s="154">
        <v>499</v>
      </c>
      <c r="N3" s="154"/>
    </row>
    <row r="4" spans="1:14">
      <c r="A4" s="175" t="s">
        <v>28</v>
      </c>
      <c r="B4" s="175">
        <v>205936</v>
      </c>
      <c r="C4" s="175"/>
      <c r="D4" s="175"/>
      <c r="E4" s="177"/>
      <c r="F4" s="177">
        <f>SUM(B4,D4)</f>
        <v>205936</v>
      </c>
      <c r="G4" s="178">
        <v>263040</v>
      </c>
      <c r="I4" s="154" t="s">
        <v>189</v>
      </c>
      <c r="J4" s="154">
        <v>437</v>
      </c>
      <c r="L4" s="154" t="s">
        <v>196</v>
      </c>
      <c r="M4" s="154">
        <v>55</v>
      </c>
      <c r="N4" s="154"/>
    </row>
    <row r="5" spans="1:14">
      <c r="A5" s="154" t="s">
        <v>166</v>
      </c>
      <c r="B5" s="154">
        <v>1600</v>
      </c>
      <c r="C5" s="154"/>
      <c r="D5" s="154">
        <v>1000</v>
      </c>
      <c r="F5">
        <f>SUM(B5,D5)-200</f>
        <v>2400</v>
      </c>
      <c r="I5" s="154" t="s">
        <v>190</v>
      </c>
      <c r="J5" s="154">
        <v>351</v>
      </c>
      <c r="L5" s="154" t="s">
        <v>197</v>
      </c>
      <c r="M5" s="154">
        <v>693</v>
      </c>
      <c r="N5" s="154"/>
    </row>
    <row r="6" spans="1:14">
      <c r="A6" s="154" t="s">
        <v>167</v>
      </c>
      <c r="B6" s="154">
        <v>50000</v>
      </c>
      <c r="C6" s="154"/>
      <c r="D6" s="154">
        <v>50000</v>
      </c>
      <c r="F6">
        <v>50000</v>
      </c>
      <c r="I6" s="154" t="s">
        <v>191</v>
      </c>
      <c r="J6" s="154"/>
      <c r="L6" s="154" t="s">
        <v>199</v>
      </c>
      <c r="M6" s="154">
        <v>126</v>
      </c>
      <c r="N6" s="154"/>
    </row>
    <row r="7" spans="1:14">
      <c r="A7" s="154" t="s">
        <v>209</v>
      </c>
      <c r="B7" s="175">
        <v>41288</v>
      </c>
      <c r="C7" s="154"/>
      <c r="D7" s="154"/>
      <c r="F7" s="178">
        <v>41288</v>
      </c>
      <c r="G7" s="178">
        <v>41288</v>
      </c>
      <c r="I7" s="154" t="s">
        <v>207</v>
      </c>
      <c r="J7" s="154">
        <v>44</v>
      </c>
      <c r="L7" s="154" t="s">
        <v>198</v>
      </c>
      <c r="M7" s="154">
        <v>385</v>
      </c>
      <c r="N7" s="154"/>
    </row>
    <row r="8" spans="1:14">
      <c r="A8" s="154"/>
      <c r="B8" s="154"/>
      <c r="C8" s="154"/>
      <c r="D8" s="154"/>
      <c r="I8" s="174" t="s">
        <v>193</v>
      </c>
      <c r="J8" s="160">
        <f>SUM(J3:J7)</f>
        <v>2431</v>
      </c>
      <c r="L8" s="154" t="s">
        <v>200</v>
      </c>
      <c r="M8" s="154">
        <v>105</v>
      </c>
      <c r="N8" s="154"/>
    </row>
    <row r="9" spans="1:14">
      <c r="A9" s="154"/>
      <c r="B9" s="154"/>
      <c r="C9" s="154"/>
      <c r="D9" s="154"/>
      <c r="L9" s="154" t="s">
        <v>201</v>
      </c>
      <c r="M9" s="154">
        <v>100</v>
      </c>
      <c r="N9" s="154"/>
    </row>
    <row r="10" spans="1:14">
      <c r="A10" s="170"/>
      <c r="B10" s="154"/>
      <c r="C10" s="154"/>
      <c r="D10" s="154"/>
      <c r="L10" s="166" t="s">
        <v>202</v>
      </c>
      <c r="M10" s="166">
        <v>92</v>
      </c>
    </row>
    <row r="11" spans="1:14">
      <c r="A11" s="170"/>
      <c r="B11" s="154"/>
      <c r="C11" s="154"/>
      <c r="D11" s="154"/>
      <c r="L11" s="154" t="s">
        <v>196</v>
      </c>
      <c r="M11" s="166">
        <v>54</v>
      </c>
    </row>
    <row r="12" spans="1:14">
      <c r="A12" s="154" t="s">
        <v>172</v>
      </c>
      <c r="B12" s="154">
        <v>150000</v>
      </c>
      <c r="C12" s="154"/>
      <c r="D12" s="172">
        <v>9000</v>
      </c>
      <c r="F12">
        <v>150000</v>
      </c>
      <c r="L12" s="166" t="s">
        <v>203</v>
      </c>
      <c r="M12" s="166">
        <v>33</v>
      </c>
    </row>
    <row r="13" spans="1:14">
      <c r="A13" s="171" t="s">
        <v>170</v>
      </c>
      <c r="B13" s="154">
        <v>125000</v>
      </c>
      <c r="C13" s="230" t="s">
        <v>187</v>
      </c>
      <c r="D13" s="154"/>
      <c r="F13">
        <f>B13</f>
        <v>125000</v>
      </c>
      <c r="L13" s="166" t="s">
        <v>204</v>
      </c>
      <c r="M13" s="166">
        <v>16</v>
      </c>
    </row>
    <row r="14" spans="1:14">
      <c r="A14" s="154" t="s">
        <v>171</v>
      </c>
      <c r="B14" s="154">
        <v>75000</v>
      </c>
      <c r="C14" s="231"/>
      <c r="D14" s="154"/>
      <c r="F14">
        <f>B14</f>
        <v>75000</v>
      </c>
      <c r="L14" s="166" t="s">
        <v>205</v>
      </c>
      <c r="M14" s="166">
        <v>14</v>
      </c>
    </row>
    <row r="15" spans="1:14">
      <c r="A15" s="154" t="s">
        <v>174</v>
      </c>
      <c r="B15" s="154">
        <v>25599</v>
      </c>
      <c r="C15" s="173"/>
      <c r="D15" s="154">
        <v>30894</v>
      </c>
      <c r="F15">
        <f>SUM(B15,D15)</f>
        <v>56493</v>
      </c>
      <c r="I15">
        <f>300000/12</f>
        <v>25000</v>
      </c>
    </row>
    <row r="16" spans="1:14">
      <c r="A16" s="165" t="s">
        <v>175</v>
      </c>
      <c r="B16" s="154">
        <v>50000</v>
      </c>
      <c r="C16" s="154"/>
      <c r="D16" s="154"/>
      <c r="F16">
        <f>B16</f>
        <v>50000</v>
      </c>
    </row>
    <row r="17" spans="1:13">
      <c r="A17" s="154"/>
      <c r="B17" s="154"/>
      <c r="C17" s="154"/>
      <c r="D17" s="154"/>
    </row>
    <row r="18" spans="1:13">
      <c r="A18" s="165" t="s">
        <v>173</v>
      </c>
      <c r="B18" s="165">
        <f>SUM(B4:B16)</f>
        <v>724423</v>
      </c>
      <c r="C18" s="165"/>
      <c r="D18" s="165"/>
      <c r="E18" s="160"/>
      <c r="F18" s="160">
        <f>SUM(F4:F16)</f>
        <v>756117</v>
      </c>
      <c r="L18" s="160" t="s">
        <v>206</v>
      </c>
      <c r="M18" s="160">
        <f>SUM(M3:M14)</f>
        <v>2172</v>
      </c>
    </row>
    <row r="20" spans="1:13">
      <c r="B20">
        <f>B2-B18</f>
        <v>847272</v>
      </c>
      <c r="F20">
        <f>F2-F18</f>
        <v>1649500</v>
      </c>
      <c r="L20" t="s">
        <v>208</v>
      </c>
      <c r="M20">
        <v>6901</v>
      </c>
    </row>
    <row r="21" spans="1:13">
      <c r="J21">
        <v>90213</v>
      </c>
      <c r="M21">
        <v>232</v>
      </c>
    </row>
    <row r="22" spans="1:13">
      <c r="A22" t="s">
        <v>213</v>
      </c>
      <c r="B22">
        <v>93822</v>
      </c>
      <c r="D22">
        <v>63550</v>
      </c>
      <c r="F22">
        <f>SUM(B22,D22)</f>
        <v>157372</v>
      </c>
      <c r="J22">
        <v>63550</v>
      </c>
      <c r="L22" s="160"/>
      <c r="M22" s="160">
        <f>SUM(M20,M21)</f>
        <v>7133</v>
      </c>
    </row>
    <row r="23" spans="1:13">
      <c r="H23">
        <f>34000*6</f>
        <v>204000</v>
      </c>
    </row>
    <row r="25" spans="1:13">
      <c r="K25">
        <v>48400</v>
      </c>
    </row>
    <row r="26" spans="1:13">
      <c r="D26" t="s">
        <v>210</v>
      </c>
      <c r="E26" s="176">
        <v>308939</v>
      </c>
      <c r="F26">
        <v>660643</v>
      </c>
      <c r="G26" s="176">
        <f>SUM(E26,F26)</f>
        <v>969582</v>
      </c>
      <c r="H26">
        <f>G26/12</f>
        <v>80798.5</v>
      </c>
      <c r="K26">
        <v>1936</v>
      </c>
    </row>
    <row r="27" spans="1:13">
      <c r="D27" t="s">
        <v>211</v>
      </c>
      <c r="E27" s="176">
        <v>154469</v>
      </c>
      <c r="F27">
        <v>330325</v>
      </c>
      <c r="G27" s="176">
        <f>E27+F27</f>
        <v>484794</v>
      </c>
      <c r="H27">
        <f>G27/12</f>
        <v>40399.5</v>
      </c>
      <c r="K27">
        <v>2353</v>
      </c>
    </row>
    <row r="29" spans="1:13">
      <c r="K29">
        <f>(SUM(K25:K27)-52710)</f>
        <v>-21</v>
      </c>
    </row>
    <row r="30" spans="1:13">
      <c r="H30">
        <f>'HRA CALCULATION'!G17-F4</f>
        <v>57104</v>
      </c>
    </row>
    <row r="33" spans="3:3">
      <c r="C33" t="s">
        <v>214</v>
      </c>
    </row>
  </sheetData>
  <mergeCells count="3">
    <mergeCell ref="C13:C14"/>
    <mergeCell ref="I2:J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TAX CAL</vt:lpstr>
      <vt:lpstr>My Investments</vt:lpstr>
      <vt:lpstr>HRA CALCULATION</vt:lpstr>
      <vt:lpstr>my tax sheet FY21-22</vt:lpstr>
      <vt:lpstr>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 Ponguru</cp:lastModifiedBy>
  <dcterms:created xsi:type="dcterms:W3CDTF">2020-11-22T13:25:26Z</dcterms:created>
  <dcterms:modified xsi:type="dcterms:W3CDTF">2022-07-25T15:36:46Z</dcterms:modified>
</cp:coreProperties>
</file>