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<sst xmlns="http://schemas.openxmlformats.org/spreadsheetml/2006/main" count="40" uniqueCount="23">
  <si>
    <t>Models</t>
  </si>
  <si>
    <t>prompt</t>
  </si>
  <si>
    <t>Correct Prompts</t>
  </si>
  <si>
    <t>Error Prompts</t>
  </si>
  <si>
    <t>Object Errors</t>
  </si>
  <si>
    <t>Color Errors</t>
  </si>
  <si>
    <t>Spatial Relation Errors</t>
  </si>
  <si>
    <t>Correct_rate</t>
  </si>
  <si>
    <t>Object Error Rates</t>
  </si>
  <si>
    <t>Color Error Rates</t>
  </si>
  <si>
    <t>Spatial Relation Error Rates</t>
  </si>
  <si>
    <t>Midjourney1</t>
  </si>
  <si>
    <t>Midjourney2</t>
  </si>
  <si>
    <t>Midjourney3</t>
  </si>
  <si>
    <t>Midjourney4</t>
  </si>
  <si>
    <t>dalle3</t>
  </si>
  <si>
    <t>sd1_0</t>
  </si>
  <si>
    <t>sd1_4</t>
  </si>
  <si>
    <t>sd1_5</t>
  </si>
  <si>
    <t>Midjourney</t>
  </si>
  <si>
    <t>Object Error Rate</t>
  </si>
  <si>
    <t>Color Error Rate</t>
  </si>
  <si>
    <t>Spatial Relation Error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</si>
</sst>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6.0"/>
      <color rgb="FF000000"/>
      <name val="Calibri"/>
    </font>
    <font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wrapText="0"/>
    </xf>
    <xf borderId="0" fillId="0" fontId="2" numFmtId="10" xfId="0" applyFont="1" applyNumberFormat="1"/>
    <xf borderId="0" fillId="0" fontId="2" numFmtId="0" xfId="0" applyFont="1"/>
    <xf borderId="0" fillId="0" fontId="3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Related Prompts Distribution of different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Sheet1!$A$2:$A$10</c:f>
            </c:strRef>
          </c:cat>
          <c:val>
            <c:numRef>
              <c:f>Sheet1!$C$2:$C$10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Sheet1!$A$2:$A$10</c:f>
            </c:strRef>
          </c:cat>
          <c:val>
            <c:numRef>
              <c:f>Sheet1!$D$2:$D$10</c:f>
              <c:numCache/>
            </c:numRef>
          </c:val>
        </c:ser>
        <c:axId val="849618040"/>
        <c:axId val="1163255560"/>
      </c:barChart>
      <c:catAx>
        <c:axId val="84961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255560"/>
      </c:catAx>
      <c:valAx>
        <c:axId val="1163255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618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Unrelated Prompts Distribution of different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Sheet1!$A$25:$A$33</c:f>
            </c:strRef>
          </c:cat>
          <c:val>
            <c:numRef>
              <c:f>Sheet1!$B$25:$B$33</c:f>
              <c:numCache/>
            </c:numRef>
          </c:val>
        </c:ser>
        <c:ser>
          <c:idx val="1"/>
          <c:order val="1"/>
          <c:tx>
            <c:v>Correct Prompts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Sheet1!$A$25:$A$33</c:f>
            </c:strRef>
          </c:cat>
          <c:val>
            <c:numRef>
              <c:f>Sheet1!$C$25:$C$33</c:f>
              <c:numCache/>
            </c:numRef>
          </c:val>
        </c:ser>
        <c:ser>
          <c:idx val="2"/>
          <c:order val="2"/>
          <c:tx>
            <c:v>Error Prompts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Sheet1!$A$25:$A$33</c:f>
            </c:strRef>
          </c:cat>
          <c:val>
            <c:numRef>
              <c:f>Sheet1!$D$25:$D$33</c:f>
              <c:numCache/>
            </c:numRef>
          </c:val>
        </c:ser>
        <c:axId val="751574543"/>
        <c:axId val="965296005"/>
      </c:barChart>
      <c:catAx>
        <c:axId val="75157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296005"/>
      </c:catAx>
      <c:valAx>
        <c:axId val="965296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574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Related Prompt Matching Rate of Different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Sheet1!$H$6:$H$10</c:f>
              <c:numCache/>
            </c:numRef>
          </c:val>
        </c:ser>
        <c:axId val="2090841346"/>
        <c:axId val="432729168"/>
      </c:barChart>
      <c:catAx>
        <c:axId val="209084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729168"/>
      </c:catAx>
      <c:valAx>
        <c:axId val="43272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Correct_rate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841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Unrelated Prompt Matching Rate of Different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Sheet1!$A$29:$A$33</c:f>
            </c:strRef>
          </c:cat>
          <c:val>
            <c:numRef>
              <c:f>Sheet1!$H$29:$H$33</c:f>
              <c:numCache/>
            </c:numRef>
          </c:val>
        </c:ser>
        <c:axId val="1928843375"/>
        <c:axId val="394512218"/>
      </c:barChart>
      <c:catAx>
        <c:axId val="192884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512218"/>
      </c:catAx>
      <c:valAx>
        <c:axId val="394512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Correct_rate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843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Errors Distribution in Unrelated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Object Errors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Sheet1!$A$29:$A$33</c:f>
            </c:strRef>
          </c:cat>
          <c:val>
            <c:numRef>
              <c:f>Sheet1!$E$29:$E$33</c:f>
              <c:numCache/>
            </c:numRef>
          </c:val>
        </c:ser>
        <c:ser>
          <c:idx val="1"/>
          <c:order val="1"/>
          <c:tx>
            <c:v>Color Errors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Sheet1!$A$29:$A$33</c:f>
            </c:strRef>
          </c:cat>
          <c:val>
            <c:numRef>
              <c:f>Sheet1!$F$29:$F$33</c:f>
              <c:numCache/>
            </c:numRef>
          </c:val>
        </c:ser>
        <c:ser>
          <c:idx val="2"/>
          <c:order val="2"/>
          <c:tx>
            <c:v>Spatial Relation Errors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Sheet1!$A$29:$A$33</c:f>
            </c:strRef>
          </c:cat>
          <c:val>
            <c:numRef>
              <c:f>Sheet1!$G$29:$G$33</c:f>
              <c:numCache/>
            </c:numRef>
          </c:val>
        </c:ser>
        <c:axId val="751043437"/>
        <c:axId val="1062548625"/>
      </c:barChart>
      <c:catAx>
        <c:axId val="751043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548625"/>
      </c:catAx>
      <c:valAx>
        <c:axId val="1062548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043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Errors Distribution in Related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Object Errors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Sheet1!$E$6:$E$10</c:f>
              <c:numCache/>
            </c:numRef>
          </c:val>
        </c:ser>
        <c:ser>
          <c:idx val="1"/>
          <c:order val="1"/>
          <c:tx>
            <c:v>Color Errors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Sheet1!$F$6:$F$10</c:f>
              <c:numCache/>
            </c:numRef>
          </c:val>
        </c:ser>
        <c:ser>
          <c:idx val="2"/>
          <c:order val="2"/>
          <c:tx>
            <c:v>Spatial Relation Errors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Sheet1!$G$6:$G$10</c:f>
              <c:numCache/>
            </c:numRef>
          </c:val>
        </c:ser>
        <c:axId val="596094780"/>
        <c:axId val="1771499876"/>
      </c:barChart>
      <c:catAx>
        <c:axId val="596094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499876"/>
      </c:catAx>
      <c:valAx>
        <c:axId val="1771499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094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Errors Rates Distribution in Related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Object Error Rate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Sheet1!$I$6:$I$10</c:f>
              <c:numCache/>
            </c:numRef>
          </c:val>
        </c:ser>
        <c:ser>
          <c:idx val="1"/>
          <c:order val="1"/>
          <c:tx>
            <c:v>Color Error Rate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Sheet1!$J$6:$J$10</c:f>
              <c:numCache/>
            </c:numRef>
          </c:val>
        </c:ser>
        <c:ser>
          <c:idx val="2"/>
          <c:order val="2"/>
          <c:tx>
            <c:v>Spatial Relation Error Rate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Sheet1!$K$6:$K$10</c:f>
              <c:numCache/>
            </c:numRef>
          </c:val>
        </c:ser>
        <c:axId val="1280715549"/>
        <c:axId val="385181912"/>
      </c:barChart>
      <c:catAx>
        <c:axId val="1280715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181912"/>
      </c:catAx>
      <c:valAx>
        <c:axId val="385181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715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Errors Rates Distribution in Unrelated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Object Error Rate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Sheet1!$A$29:$A$33</c:f>
            </c:strRef>
          </c:cat>
          <c:val>
            <c:numRef>
              <c:f>Sheet1!$I$29:$I$33</c:f>
              <c:numCache/>
            </c:numRef>
          </c:val>
        </c:ser>
        <c:ser>
          <c:idx val="1"/>
          <c:order val="1"/>
          <c:tx>
            <c:v>Color Error Rate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Sheet1!$A$29:$A$33</c:f>
            </c:strRef>
          </c:cat>
          <c:val>
            <c:numRef>
              <c:f>Sheet1!$J$29:$J$33</c:f>
              <c:numCache/>
            </c:numRef>
          </c:val>
        </c:ser>
        <c:ser>
          <c:idx val="2"/>
          <c:order val="2"/>
          <c:tx>
            <c:v>Spatial Relation Error Rate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Sheet1!$A$29:$A$33</c:f>
            </c:strRef>
          </c:cat>
          <c:val>
            <c:numRef>
              <c:f>Sheet1!$K$29:$K$33</c:f>
              <c:numCache/>
            </c:numRef>
          </c:val>
        </c:ser>
        <c:axId val="2009702665"/>
        <c:axId val="991952484"/>
      </c:barChart>
      <c:catAx>
        <c:axId val="200970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952484"/>
      </c:catAx>
      <c:valAx>
        <c:axId val="991952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702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45</xdr:row>
      <xdr:rowOff>9525</xdr:rowOff>
    </xdr:from>
    <xdr:ext cx="9124950" cy="5133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1790700</xdr:colOff>
      <xdr:row>48</xdr:row>
      <xdr:rowOff>161925</xdr:rowOff>
    </xdr:from>
    <xdr:ext cx="9124950" cy="5133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45</xdr:row>
      <xdr:rowOff>9525</xdr:rowOff>
    </xdr:from>
    <xdr:ext cx="8277225" cy="5133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1790700</xdr:colOff>
      <xdr:row>43</xdr:row>
      <xdr:rowOff>57150</xdr:rowOff>
    </xdr:from>
    <xdr:ext cx="8277225" cy="5133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400050</xdr:colOff>
      <xdr:row>37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790575</xdr:colOff>
      <xdr:row>41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923925</xdr:colOff>
      <xdr:row>37</xdr:row>
      <xdr:rowOff>190500</xdr:rowOff>
    </xdr:from>
    <xdr:ext cx="10115550" cy="5057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1095375</xdr:colOff>
      <xdr:row>33</xdr:row>
      <xdr:rowOff>76200</xdr:rowOff>
    </xdr:from>
    <xdr:ext cx="10115550" cy="5057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9.13"/>
    <col customWidth="1" min="3" max="3" width="18.75"/>
    <col customWidth="1" min="4" max="4" width="16.13"/>
    <col customWidth="1" min="5" max="5" width="15.25"/>
    <col customWidth="1" min="6" max="6" width="13.88"/>
    <col customWidth="1" min="7" max="7" width="24.88"/>
    <col customWidth="1" min="8" max="8" width="14.63"/>
    <col customWidth="1" min="9" max="9" width="14.75"/>
    <col customWidth="1" min="10" max="10" width="14.0"/>
    <col customWidth="1" min="11" max="11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>
      <c r="A2" s="1" t="s">
        <v>11</v>
      </c>
      <c r="B2" s="3">
        <f t="shared" ref="B2:B5" si="1">563*3</f>
        <v>1689</v>
      </c>
      <c r="C2" s="3">
        <f>283*3</f>
        <v>849</v>
      </c>
      <c r="D2" s="3">
        <f t="shared" ref="D2:D10" si="2">B2-C2</f>
        <v>840</v>
      </c>
      <c r="E2" s="3">
        <f>24*3</f>
        <v>72</v>
      </c>
      <c r="F2" s="3">
        <f>3*90</f>
        <v>270</v>
      </c>
      <c r="G2" s="3">
        <v>624.0</v>
      </c>
      <c r="H2" s="4">
        <f t="shared" ref="H2:H10" si="3">C2/B2</f>
        <v>0.5026642984</v>
      </c>
      <c r="I2" s="4">
        <f t="shared" ref="I2:I10" si="4">E2/D2</f>
        <v>0.08571428571</v>
      </c>
      <c r="J2" s="4">
        <f t="shared" ref="J2:J10" si="5">F2/D2</f>
        <v>0.3214285714</v>
      </c>
      <c r="K2" s="4">
        <f t="shared" ref="K2:K10" si="6">G2/D2</f>
        <v>0.7428571429</v>
      </c>
    </row>
    <row r="3">
      <c r="A3" s="1" t="s">
        <v>12</v>
      </c>
      <c r="B3" s="3">
        <f t="shared" si="1"/>
        <v>1689</v>
      </c>
      <c r="C3" s="3">
        <f>301*3</f>
        <v>903</v>
      </c>
      <c r="D3" s="3">
        <f t="shared" si="2"/>
        <v>786</v>
      </c>
      <c r="E3" s="3">
        <f>23*3</f>
        <v>69</v>
      </c>
      <c r="F3" s="3">
        <f>3*83</f>
        <v>249</v>
      </c>
      <c r="G3" s="3">
        <f>3*193</f>
        <v>579</v>
      </c>
      <c r="H3" s="4">
        <f t="shared" si="3"/>
        <v>0.5346358792</v>
      </c>
      <c r="I3" s="4">
        <f t="shared" si="4"/>
        <v>0.08778625954</v>
      </c>
      <c r="J3" s="4">
        <f t="shared" si="5"/>
        <v>0.3167938931</v>
      </c>
      <c r="K3" s="4">
        <f t="shared" si="6"/>
        <v>0.7366412214</v>
      </c>
    </row>
    <row r="4">
      <c r="A4" s="1" t="s">
        <v>13</v>
      </c>
      <c r="B4" s="3">
        <f t="shared" si="1"/>
        <v>1689</v>
      </c>
      <c r="C4" s="3">
        <f>287*3</f>
        <v>861</v>
      </c>
      <c r="D4" s="3">
        <f t="shared" si="2"/>
        <v>828</v>
      </c>
      <c r="E4" s="3">
        <f>24*3</f>
        <v>72</v>
      </c>
      <c r="F4" s="3">
        <f>3*90</f>
        <v>270</v>
      </c>
      <c r="G4" s="3">
        <f>3*206</f>
        <v>618</v>
      </c>
      <c r="H4" s="4">
        <f t="shared" si="3"/>
        <v>0.5097690941</v>
      </c>
      <c r="I4" s="4">
        <f t="shared" si="4"/>
        <v>0.08695652174</v>
      </c>
      <c r="J4" s="4">
        <f t="shared" si="5"/>
        <v>0.3260869565</v>
      </c>
      <c r="K4" s="4">
        <f t="shared" si="6"/>
        <v>0.7463768116</v>
      </c>
    </row>
    <row r="5">
      <c r="A5" s="1" t="s">
        <v>14</v>
      </c>
      <c r="B5" s="3">
        <f t="shared" si="1"/>
        <v>1689</v>
      </c>
      <c r="C5" s="3">
        <f>288*3</f>
        <v>864</v>
      </c>
      <c r="D5" s="3">
        <f t="shared" si="2"/>
        <v>825</v>
      </c>
      <c r="E5" s="3">
        <f>3*24</f>
        <v>72</v>
      </c>
      <c r="F5" s="3">
        <f>3*94</f>
        <v>282</v>
      </c>
      <c r="G5" s="3">
        <f>3*207</f>
        <v>621</v>
      </c>
      <c r="H5" s="4">
        <f t="shared" si="3"/>
        <v>0.5115452931</v>
      </c>
      <c r="I5" s="4">
        <f t="shared" si="4"/>
        <v>0.08727272727</v>
      </c>
      <c r="J5" s="4">
        <f t="shared" si="5"/>
        <v>0.3418181818</v>
      </c>
      <c r="K5" s="4">
        <f t="shared" si="6"/>
        <v>0.7527272727</v>
      </c>
    </row>
    <row r="6">
      <c r="A6" s="1" t="s">
        <v>15</v>
      </c>
      <c r="B6" s="3">
        <f t="shared" ref="B6:B9" si="7">573*3</f>
        <v>1719</v>
      </c>
      <c r="C6" s="3">
        <f>214*3</f>
        <v>642</v>
      </c>
      <c r="D6" s="3">
        <f t="shared" si="2"/>
        <v>1077</v>
      </c>
      <c r="E6" s="3">
        <f>3*145</f>
        <v>435</v>
      </c>
      <c r="F6" s="3">
        <f>3*85</f>
        <v>255</v>
      </c>
      <c r="G6" s="3">
        <f>3*182</f>
        <v>546</v>
      </c>
      <c r="H6" s="4">
        <f t="shared" si="3"/>
        <v>0.3734729494</v>
      </c>
      <c r="I6" s="4">
        <f t="shared" si="4"/>
        <v>0.4038997214</v>
      </c>
      <c r="J6" s="4">
        <f t="shared" si="5"/>
        <v>0.2367688022</v>
      </c>
      <c r="K6" s="4">
        <f t="shared" si="6"/>
        <v>0.5069637883</v>
      </c>
    </row>
    <row r="7">
      <c r="A7" s="1" t="s">
        <v>16</v>
      </c>
      <c r="B7" s="3">
        <f t="shared" si="7"/>
        <v>1719</v>
      </c>
      <c r="C7" s="3">
        <f>104*3</f>
        <v>312</v>
      </c>
      <c r="D7" s="3">
        <f t="shared" si="2"/>
        <v>1407</v>
      </c>
      <c r="E7" s="3">
        <f>3*175</f>
        <v>525</v>
      </c>
      <c r="F7" s="3">
        <v>275.0</v>
      </c>
      <c r="G7" s="3">
        <f>3*219</f>
        <v>657</v>
      </c>
      <c r="H7" s="4">
        <f t="shared" si="3"/>
        <v>0.1815008726</v>
      </c>
      <c r="I7" s="4">
        <f t="shared" si="4"/>
        <v>0.3731343284</v>
      </c>
      <c r="J7" s="4">
        <f t="shared" si="5"/>
        <v>0.1954513149</v>
      </c>
      <c r="K7" s="4">
        <f t="shared" si="6"/>
        <v>0.4669509595</v>
      </c>
    </row>
    <row r="8">
      <c r="A8" s="1" t="s">
        <v>17</v>
      </c>
      <c r="B8" s="3">
        <f t="shared" si="7"/>
        <v>1719</v>
      </c>
      <c r="C8" s="3">
        <v>150.0</v>
      </c>
      <c r="D8" s="3">
        <f t="shared" si="2"/>
        <v>1569</v>
      </c>
      <c r="E8" s="3">
        <f>3*335</f>
        <v>1005</v>
      </c>
      <c r="F8" s="3">
        <f>3*283</f>
        <v>849</v>
      </c>
      <c r="G8" s="3">
        <f>3*138</f>
        <v>414</v>
      </c>
      <c r="H8" s="4">
        <f t="shared" si="3"/>
        <v>0.0872600349</v>
      </c>
      <c r="I8" s="4">
        <f t="shared" si="4"/>
        <v>0.6405353728</v>
      </c>
      <c r="J8" s="4">
        <f t="shared" si="5"/>
        <v>0.5411089866</v>
      </c>
      <c r="K8" s="4">
        <f t="shared" si="6"/>
        <v>0.2638623327</v>
      </c>
    </row>
    <row r="9">
      <c r="A9" s="1" t="s">
        <v>18</v>
      </c>
      <c r="B9" s="3">
        <f t="shared" si="7"/>
        <v>1719</v>
      </c>
      <c r="C9" s="3">
        <v>138.0</v>
      </c>
      <c r="D9" s="3">
        <f t="shared" si="2"/>
        <v>1581</v>
      </c>
      <c r="E9" s="3">
        <f>3*342</f>
        <v>1026</v>
      </c>
      <c r="F9" s="3">
        <f>3*291</f>
        <v>873</v>
      </c>
      <c r="G9" s="3">
        <f>3*118</f>
        <v>354</v>
      </c>
      <c r="H9" s="4">
        <f t="shared" si="3"/>
        <v>0.08027923211</v>
      </c>
      <c r="I9" s="4">
        <f t="shared" si="4"/>
        <v>0.6489563567</v>
      </c>
      <c r="J9" s="4">
        <f t="shared" si="5"/>
        <v>0.5521821632</v>
      </c>
      <c r="K9" s="4">
        <f t="shared" si="6"/>
        <v>0.2239089184</v>
      </c>
    </row>
    <row r="10">
      <c r="A10" s="1" t="s">
        <v>19</v>
      </c>
      <c r="B10" s="5">
        <f>B5*4</f>
        <v>6756</v>
      </c>
      <c r="C10" s="5">
        <f>C2+C3+C4+C5</f>
        <v>3477</v>
      </c>
      <c r="D10" s="5">
        <f t="shared" si="2"/>
        <v>3279</v>
      </c>
      <c r="E10" s="5">
        <f t="shared" ref="E10:G10" si="8">E2+E3+E4+E5</f>
        <v>285</v>
      </c>
      <c r="F10" s="5">
        <f t="shared" si="8"/>
        <v>1071</v>
      </c>
      <c r="G10" s="5">
        <f t="shared" si="8"/>
        <v>2442</v>
      </c>
      <c r="H10" s="4">
        <f t="shared" si="3"/>
        <v>0.5146536412</v>
      </c>
      <c r="I10" s="4">
        <f t="shared" si="4"/>
        <v>0.08691674291</v>
      </c>
      <c r="J10" s="4">
        <f t="shared" si="5"/>
        <v>0.3266239707</v>
      </c>
      <c r="K10" s="4">
        <f t="shared" si="6"/>
        <v>0.7447392498</v>
      </c>
    </row>
    <row r="11">
      <c r="I11" s="4"/>
      <c r="J11" s="4"/>
      <c r="K11" s="4"/>
    </row>
    <row r="12">
      <c r="I12" s="4"/>
      <c r="J12" s="4"/>
      <c r="K12" s="4"/>
    </row>
    <row r="13">
      <c r="J13" s="4"/>
      <c r="K13" s="4"/>
    </row>
    <row r="14">
      <c r="I14" s="4"/>
      <c r="J14" s="4"/>
      <c r="K14" s="4"/>
    </row>
    <row r="15">
      <c r="I15" s="4"/>
      <c r="J15" s="4"/>
      <c r="K15" s="4"/>
    </row>
    <row r="16">
      <c r="I16" s="4"/>
      <c r="J16" s="4"/>
      <c r="K16" s="4"/>
    </row>
    <row r="17">
      <c r="I17" s="4"/>
      <c r="J17" s="4"/>
      <c r="K17" s="4"/>
    </row>
    <row r="18">
      <c r="I18" s="4"/>
      <c r="J18" s="4"/>
      <c r="K18" s="4"/>
    </row>
    <row r="19">
      <c r="I19" s="4"/>
      <c r="J19" s="4"/>
      <c r="K19" s="4"/>
    </row>
    <row r="20">
      <c r="I20" s="4"/>
      <c r="J20" s="4"/>
      <c r="K20" s="4"/>
    </row>
    <row r="21">
      <c r="I21" s="4"/>
      <c r="J21" s="4"/>
      <c r="K21" s="4"/>
    </row>
    <row r="22">
      <c r="I22" s="4"/>
      <c r="J22" s="4"/>
      <c r="K22" s="4"/>
    </row>
    <row r="23">
      <c r="I23" s="4"/>
      <c r="J23" s="4"/>
      <c r="K23" s="4"/>
    </row>
    <row r="24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2" t="s">
        <v>20</v>
      </c>
      <c r="J24" s="2" t="s">
        <v>21</v>
      </c>
      <c r="K24" s="2" t="s">
        <v>22</v>
      </c>
    </row>
    <row r="25">
      <c r="A25" s="6" t="s">
        <v>11</v>
      </c>
      <c r="B25" s="6">
        <f>3* 400</f>
        <v>1200</v>
      </c>
      <c r="C25" s="6">
        <f>3*195</f>
        <v>585</v>
      </c>
      <c r="D25" s="6">
        <f t="shared" ref="D25:D32" si="9">B25-C25</f>
        <v>615</v>
      </c>
      <c r="E25" s="6">
        <f t="shared" ref="E25:E26" si="10">3*25</f>
        <v>75</v>
      </c>
      <c r="F25" s="6">
        <f>3*56</f>
        <v>168</v>
      </c>
      <c r="G25" s="6">
        <f>3*157</f>
        <v>471</v>
      </c>
      <c r="H25" s="4">
        <f t="shared" ref="H25:H32" si="11">C25/B25</f>
        <v>0.4875</v>
      </c>
      <c r="I25" s="4">
        <f t="shared" ref="I25:I33" si="12">E25/D25</f>
        <v>0.1219512195</v>
      </c>
      <c r="J25" s="4">
        <f t="shared" ref="J25:J33" si="13">F25/D25</f>
        <v>0.2731707317</v>
      </c>
      <c r="K25" s="4">
        <f t="shared" ref="K25:K33" si="14">G25/D25</f>
        <v>0.7658536585</v>
      </c>
    </row>
    <row r="26">
      <c r="A26" s="6" t="s">
        <v>12</v>
      </c>
      <c r="B26" s="6">
        <f>3*392</f>
        <v>1176</v>
      </c>
      <c r="C26" s="6">
        <f>3*192</f>
        <v>576</v>
      </c>
      <c r="D26" s="6">
        <f t="shared" si="9"/>
        <v>600</v>
      </c>
      <c r="E26" s="6">
        <f t="shared" si="10"/>
        <v>75</v>
      </c>
      <c r="F26" s="6">
        <f>3*62</f>
        <v>186</v>
      </c>
      <c r="G26" s="6">
        <f>3*149</f>
        <v>447</v>
      </c>
      <c r="H26" s="4">
        <f t="shared" si="11"/>
        <v>0.4897959184</v>
      </c>
      <c r="I26" s="4">
        <f t="shared" si="12"/>
        <v>0.125</v>
      </c>
      <c r="J26" s="4">
        <f t="shared" si="13"/>
        <v>0.31</v>
      </c>
      <c r="K26" s="4">
        <f t="shared" si="14"/>
        <v>0.745</v>
      </c>
    </row>
    <row r="27">
      <c r="A27" s="6" t="s">
        <v>13</v>
      </c>
      <c r="B27" s="6">
        <f>3* 400</f>
        <v>1200</v>
      </c>
      <c r="C27" s="6">
        <f>3*198</f>
        <v>594</v>
      </c>
      <c r="D27" s="6">
        <f t="shared" si="9"/>
        <v>606</v>
      </c>
      <c r="E27" s="6">
        <f>3*18</f>
        <v>54</v>
      </c>
      <c r="F27" s="6">
        <f>3*61</f>
        <v>183</v>
      </c>
      <c r="G27" s="6">
        <f>3*155</f>
        <v>465</v>
      </c>
      <c r="H27" s="4">
        <f t="shared" si="11"/>
        <v>0.495</v>
      </c>
      <c r="I27" s="4">
        <f t="shared" si="12"/>
        <v>0.08910891089</v>
      </c>
      <c r="J27" s="4">
        <f t="shared" si="13"/>
        <v>0.301980198</v>
      </c>
      <c r="K27" s="4">
        <f t="shared" si="14"/>
        <v>0.7673267327</v>
      </c>
    </row>
    <row r="28">
      <c r="A28" s="6" t="s">
        <v>14</v>
      </c>
      <c r="B28" s="6">
        <f>3*404</f>
        <v>1212</v>
      </c>
      <c r="C28" s="6">
        <f>3*191</f>
        <v>573</v>
      </c>
      <c r="D28" s="6">
        <f t="shared" si="9"/>
        <v>639</v>
      </c>
      <c r="E28" s="6">
        <f>3*30</f>
        <v>90</v>
      </c>
      <c r="F28" s="6">
        <f>3*67</f>
        <v>201</v>
      </c>
      <c r="G28" s="6">
        <f>3*152</f>
        <v>456</v>
      </c>
      <c r="H28" s="4">
        <f t="shared" si="11"/>
        <v>0.4727722772</v>
      </c>
      <c r="I28" s="4">
        <f t="shared" si="12"/>
        <v>0.1408450704</v>
      </c>
      <c r="J28" s="4">
        <f t="shared" si="13"/>
        <v>0.3145539906</v>
      </c>
      <c r="K28" s="4">
        <f t="shared" si="14"/>
        <v>0.7136150235</v>
      </c>
    </row>
    <row r="29">
      <c r="A29" s="6" t="s">
        <v>15</v>
      </c>
      <c r="B29" s="6">
        <f>3*550</f>
        <v>1650</v>
      </c>
      <c r="C29" s="6">
        <f>3*264</f>
        <v>792</v>
      </c>
      <c r="D29" s="6">
        <f t="shared" si="9"/>
        <v>858</v>
      </c>
      <c r="E29" s="6">
        <f>3*13</f>
        <v>39</v>
      </c>
      <c r="F29" s="6">
        <f>3*96</f>
        <v>288</v>
      </c>
      <c r="G29" s="6">
        <f t="shared" ref="G29:G30" si="15">3*229</f>
        <v>687</v>
      </c>
      <c r="H29" s="4">
        <f t="shared" si="11"/>
        <v>0.48</v>
      </c>
      <c r="I29" s="4">
        <f t="shared" si="12"/>
        <v>0.04545454545</v>
      </c>
      <c r="J29" s="4">
        <f t="shared" si="13"/>
        <v>0.3356643357</v>
      </c>
      <c r="K29" s="4">
        <f t="shared" si="14"/>
        <v>0.8006993007</v>
      </c>
    </row>
    <row r="30">
      <c r="A30" s="6" t="s">
        <v>16</v>
      </c>
      <c r="B30" s="6">
        <f>3*554</f>
        <v>1662</v>
      </c>
      <c r="C30" s="6">
        <f>3*88</f>
        <v>264</v>
      </c>
      <c r="D30" s="6">
        <f t="shared" si="9"/>
        <v>1398</v>
      </c>
      <c r="E30" s="6">
        <f>3*178</f>
        <v>534</v>
      </c>
      <c r="F30" s="6">
        <f>3*247</f>
        <v>741</v>
      </c>
      <c r="G30" s="6">
        <f t="shared" si="15"/>
        <v>687</v>
      </c>
      <c r="H30" s="4">
        <f t="shared" si="11"/>
        <v>0.1588447653</v>
      </c>
      <c r="I30" s="4">
        <f t="shared" si="12"/>
        <v>0.3819742489</v>
      </c>
      <c r="J30" s="4">
        <f t="shared" si="13"/>
        <v>0.5300429185</v>
      </c>
      <c r="K30" s="4">
        <f t="shared" si="14"/>
        <v>0.491416309</v>
      </c>
    </row>
    <row r="31">
      <c r="A31" s="6" t="s">
        <v>17</v>
      </c>
      <c r="B31" s="6">
        <f>3*552</f>
        <v>1656</v>
      </c>
      <c r="C31" s="6">
        <f>3*42</f>
        <v>126</v>
      </c>
      <c r="D31" s="6">
        <f t="shared" si="9"/>
        <v>1530</v>
      </c>
      <c r="E31" s="6">
        <f>3*374</f>
        <v>1122</v>
      </c>
      <c r="F31" s="6">
        <f>3*230</f>
        <v>690</v>
      </c>
      <c r="G31" s="6">
        <f>3*107</f>
        <v>321</v>
      </c>
      <c r="H31" s="4">
        <f t="shared" si="11"/>
        <v>0.07608695652</v>
      </c>
      <c r="I31" s="4">
        <f t="shared" si="12"/>
        <v>0.7333333333</v>
      </c>
      <c r="J31" s="4">
        <f t="shared" si="13"/>
        <v>0.4509803922</v>
      </c>
      <c r="K31" s="4">
        <f t="shared" si="14"/>
        <v>0.2098039216</v>
      </c>
    </row>
    <row r="32">
      <c r="A32" s="6" t="s">
        <v>18</v>
      </c>
      <c r="B32" s="6">
        <f>3*559</f>
        <v>1677</v>
      </c>
      <c r="C32" s="6">
        <f>3*37</f>
        <v>111</v>
      </c>
      <c r="D32" s="6">
        <f t="shared" si="9"/>
        <v>1566</v>
      </c>
      <c r="E32" s="6">
        <f>3*362</f>
        <v>1086</v>
      </c>
      <c r="F32" s="6">
        <f>3*245</f>
        <v>735</v>
      </c>
      <c r="G32" s="6">
        <f>3*122</f>
        <v>366</v>
      </c>
      <c r="H32" s="4">
        <f t="shared" si="11"/>
        <v>0.06618962433</v>
      </c>
      <c r="I32" s="4">
        <f t="shared" si="12"/>
        <v>0.69348659</v>
      </c>
      <c r="J32" s="4">
        <f t="shared" si="13"/>
        <v>0.469348659</v>
      </c>
      <c r="K32" s="4">
        <f t="shared" si="14"/>
        <v>0.2337164751</v>
      </c>
    </row>
    <row r="33">
      <c r="A33" s="6" t="s">
        <v>19</v>
      </c>
      <c r="B33" s="7">
        <f>B25+B26+B27+B28</f>
        <v>4788</v>
      </c>
      <c r="C33" s="7"/>
      <c r="D33" s="7">
        <f t="shared" ref="D33:G33" si="16">D25+D26+D27+D28</f>
        <v>2460</v>
      </c>
      <c r="E33" s="7">
        <f t="shared" si="16"/>
        <v>294</v>
      </c>
      <c r="F33" s="7">
        <f t="shared" si="16"/>
        <v>738</v>
      </c>
      <c r="G33" s="7">
        <f t="shared" si="16"/>
        <v>1839</v>
      </c>
      <c r="H33" s="4">
        <f>(H25+H26+H27+H28)/4</f>
        <v>0.4862670489</v>
      </c>
      <c r="I33" s="4">
        <f t="shared" si="12"/>
        <v>0.1195121951</v>
      </c>
      <c r="J33" s="4">
        <f t="shared" si="13"/>
        <v>0.3</v>
      </c>
      <c r="K33" s="4">
        <f t="shared" si="14"/>
        <v>0.7475609756</v>
      </c>
    </row>
  </sheetData>
  <drawing r:id="rId1"/>
</worksheet>
</file>